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drawings/drawing1.xml" ContentType="application/vnd.openxmlformats-officedocument.drawing+xml"/>
  <Override PartName="/xl/comments1.xml" ContentType="application/vnd.openxmlformats-officedocument.spreadsheetml.comments+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tables/table17.xml" ContentType="application/vnd.openxmlformats-officedocument.spreadsheetml.table+xml"/>
  <Override PartName="/xl/queryTables/queryTable17.xml" ContentType="application/vnd.openxmlformats-officedocument.spreadsheetml.queryTable+xml"/>
  <Override PartName="/xl/tables/table18.xml" ContentType="application/vnd.openxmlformats-officedocument.spreadsheetml.table+xml"/>
  <Override PartName="/xl/queryTables/queryTable18.xml" ContentType="application/vnd.openxmlformats-officedocument.spreadsheetml.queryTable+xml"/>
  <Override PartName="/xl/tables/table19.xml" ContentType="application/vnd.openxmlformats-officedocument.spreadsheetml.table+xml"/>
  <Override PartName="/xl/queryTables/queryTable19.xml" ContentType="application/vnd.openxmlformats-officedocument.spreadsheetml.queryTable+xml"/>
  <Override PartName="/xl/tables/table20.xml" ContentType="application/vnd.openxmlformats-officedocument.spreadsheetml.table+xml"/>
  <Override PartName="/xl/queryTables/queryTable20.xml" ContentType="application/vnd.openxmlformats-officedocument.spreadsheetml.queryTable+xml"/>
  <Override PartName="/xl/tables/table21.xml" ContentType="application/vnd.openxmlformats-officedocument.spreadsheetml.table+xml"/>
  <Override PartName="/xl/queryTables/queryTable21.xml" ContentType="application/vnd.openxmlformats-officedocument.spreadsheetml.queryTable+xml"/>
  <Override PartName="/xl/tables/table22.xml" ContentType="application/vnd.openxmlformats-officedocument.spreadsheetml.table+xml"/>
  <Override PartName="/xl/queryTables/queryTable22.xml" ContentType="application/vnd.openxmlformats-officedocument.spreadsheetml.queryTable+xml"/>
  <Override PartName="/xl/tables/table23.xml" ContentType="application/vnd.openxmlformats-officedocument.spreadsheetml.table+xml"/>
  <Override PartName="/xl/queryTables/queryTable23.xml" ContentType="application/vnd.openxmlformats-officedocument.spreadsheetml.queryTable+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xml"/>
  <Override PartName="/xl/comments9.xml" ContentType="application/vnd.openxmlformats-officedocument.spreadsheetml.comments+xml"/>
  <Override PartName="/xl/charts/chart7.xml" ContentType="application/vnd.openxmlformats-officedocument.drawingml.chart+xml"/>
  <Override PartName="/xl/drawings/drawing11.xml" ContentType="application/vnd.openxmlformats-officedocument.drawing+xml"/>
  <Override PartName="/xl/comments10.xml" ContentType="application/vnd.openxmlformats-officedocument.spreadsheetml.comment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xml"/>
  <Override PartName="/xl/comments11.xml" ContentType="application/vnd.openxmlformats-officedocument.spreadsheetml.comments+xml"/>
  <Override PartName="/xl/drawings/drawing13.xml" ContentType="application/vnd.openxmlformats-officedocument.drawing+xml"/>
  <Override PartName="/xl/charts/chart12.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24226"/>
  <xr:revisionPtr revIDLastSave="0" documentId="13_ncr:1_{E8CF750E-4225-4037-90F2-2200DE03DD5E}" xr6:coauthVersionLast="47" xr6:coauthVersionMax="47" xr10:uidLastSave="{00000000-0000-0000-0000-000000000000}"/>
  <bookViews>
    <workbookView xWindow="-120" yWindow="-120" windowWidth="29040" windowHeight="15840" tabRatio="783" firstSheet="22" activeTab="32" xr2:uid="{00000000-000D-0000-FFFF-FFFF00000000}"/>
  </bookViews>
  <sheets>
    <sheet name="Форма 807_коды" sheetId="29" r:id="rId1"/>
    <sheet name="Ф_102_2021" sheetId="47" r:id="rId2"/>
    <sheet name="Ф_102_2020" sheetId="46" r:id="rId3"/>
    <sheet name="Ф_102_2019" sheetId="45" r:id="rId4"/>
    <sheet name="Ф_102_2018" sheetId="44" r:id="rId5"/>
    <sheet name="Ф_102_2017" sheetId="43" r:id="rId6"/>
    <sheet name="Ф_102_2016" sheetId="48" r:id="rId7"/>
    <sheet name="МСФО_ввод" sheetId="17" state="hidden" r:id="rId8"/>
    <sheet name="Ф_808_2023-2017" sheetId="68" r:id="rId9"/>
    <sheet name="Ф_808_2016-2015" sheetId="66" r:id="rId10"/>
    <sheet name="Ф_135_2017-2015" sheetId="71" r:id="rId11"/>
    <sheet name="Ф_135_2024-2018" sheetId="70" r:id="rId12"/>
    <sheet name="Ф_123_2021" sheetId="56" r:id="rId13"/>
    <sheet name="Ф_123_2020" sheetId="55" r:id="rId14"/>
    <sheet name="Ф_123_2019" sheetId="54" r:id="rId15"/>
    <sheet name="Ф_123_2018" sheetId="53" r:id="rId16"/>
    <sheet name="Ф_123_2017" sheetId="52" r:id="rId17"/>
    <sheet name="Ф_123_2016" sheetId="51" r:id="rId18"/>
    <sheet name="Ф_123_2015" sheetId="61" r:id="rId19"/>
    <sheet name="Ф_807_2020-2015" sheetId="59" r:id="rId20"/>
    <sheet name="Ф_807_2023-2021" sheetId="58" r:id="rId21"/>
    <sheet name="Ф_806_2018-2015" sheetId="50" r:id="rId22"/>
    <sheet name="Ф_806_2023-2019" sheetId="40" r:id="rId23"/>
    <sheet name="Ф_806_2024" sheetId="72" r:id="rId24"/>
    <sheet name="Ф_814_2020-2015" sheetId="60" r:id="rId25"/>
    <sheet name="Банк. система_ввод" sheetId="26" r:id="rId26"/>
    <sheet name="Доходы-Расходы_Ф102" sheetId="30" r:id="rId27"/>
    <sheet name="Ввод" sheetId="19" r:id="rId28"/>
    <sheet name="Баланс" sheetId="23" r:id="rId29"/>
    <sheet name="ОФР" sheetId="24" r:id="rId30"/>
    <sheet name="Кредиты" sheetId="25" r:id="rId31"/>
    <sheet name="Капитал_РСБУ" sheetId="15" state="hidden" r:id="rId32"/>
    <sheet name="Капитал" sheetId="6" r:id="rId33"/>
    <sheet name="Баллы" sheetId="28" r:id="rId34"/>
    <sheet name="Баланс_МСФО" sheetId="18" state="hidden" r:id="rId35"/>
    <sheet name="ОПиУ_МСФО" sheetId="20" state="hidden" r:id="rId36"/>
    <sheet name="Кредиты_МСФО" sheetId="21" state="hidden" r:id="rId37"/>
    <sheet name="Коэффициенты_МСФО" sheetId="22" state="hidden" r:id="rId38"/>
    <sheet name="Ликвидность" sheetId="11" state="hidden" r:id="rId39"/>
    <sheet name="Статистика_по группам банков" sheetId="7" state="hidden" r:id="rId40"/>
    <sheet name="К рентабельности" sheetId="10" state="hidden" r:id="rId41"/>
    <sheet name="Глоссарий" sheetId="3" state="hidden" r:id="rId42"/>
  </sheets>
  <definedNames>
    <definedName name="_xlnm._FilterDatabase" localSheetId="26" hidden="1">'Доходы-Расходы_Ф102'!$B$1:$F$470</definedName>
    <definedName name="ExternalData_1" localSheetId="17" hidden="1">'Ф_123_2016'!$A$1:$C$174</definedName>
    <definedName name="ExternalData_1" localSheetId="22" hidden="1">'Ф_806_2023-2019'!$A$1:$G$53</definedName>
    <definedName name="ExternalData_1" localSheetId="24" hidden="1">'Ф_814_2020-2015'!$A$1:$H$44</definedName>
    <definedName name="ExternalData_2" localSheetId="18" hidden="1">'Ф_123_2015'!$A$1:$C$179</definedName>
    <definedName name="ExternalData_2" localSheetId="16" hidden="1">'Ф_123_2017'!$A$1:$C$174</definedName>
    <definedName name="ExternalData_2" localSheetId="21" hidden="1">'Ф_806_2018-2015'!$A$1:$F$46</definedName>
    <definedName name="ExternalData_2" localSheetId="23" hidden="1">'Ф_806_2024'!$A$1:$D$55</definedName>
    <definedName name="ExternalData_2" localSheetId="20" hidden="1">'Ф_807_2023-2021'!$A$1:$F$34</definedName>
    <definedName name="ExternalData_3" localSheetId="5" hidden="1">Ф_102_2017!$A$1:$F$2018</definedName>
    <definedName name="ExternalData_3" localSheetId="15" hidden="1">'Ф_123_2018'!$A$1:$C$174</definedName>
    <definedName name="ExternalData_3" localSheetId="19" hidden="1">'Ф_807_2020-2015'!$A$1:$H$39</definedName>
    <definedName name="ExternalData_4" localSheetId="4" hidden="1">Ф_102_2018!$A$1:$F$2018</definedName>
    <definedName name="ExternalData_4" localSheetId="14" hidden="1">'Ф_123_2019'!$A$1:$C$164</definedName>
    <definedName name="ExternalData_5" localSheetId="3" hidden="1">Ф_102_2019!$A$1:$F$2416</definedName>
    <definedName name="ExternalData_5" localSheetId="13" hidden="1">'Ф_123_2020'!$A$1:$C$164</definedName>
    <definedName name="ExternalData_6" localSheetId="2" hidden="1">Ф_102_2020!$A$1:$F$2420</definedName>
    <definedName name="ExternalData_6" localSheetId="12" hidden="1">'Ф_123_2021'!$A$1:$C$195</definedName>
    <definedName name="ExternalData_7" localSheetId="1" hidden="1">Ф_102_2021!$A$1:$F$2419</definedName>
    <definedName name="ExternalData_7" localSheetId="11" hidden="1">'Ф_135_2024-2018'!$A$1:$G$18</definedName>
    <definedName name="ExternalData_7" localSheetId="9" hidden="1">'Ф_808_2016-2015'!$A$1:$D$119</definedName>
    <definedName name="ExternalData_8" localSheetId="6" hidden="1">'Ф_102_2016'!$A$1:$F$2018</definedName>
    <definedName name="ExternalData_8" localSheetId="10" hidden="1">'Ф_135_2017-2015'!$A$1:$D$18</definedName>
    <definedName name="ExternalData_8" localSheetId="8" hidden="1">'Ф_808_2023-2017'!$A$1:$J$109</definedName>
    <definedName name="sub_7637" localSheetId="0">'Форма 807_коды'!#REF!</definedName>
    <definedName name="sub_7638" localSheetId="0">'Форма 807_коды'!#REF!</definedName>
    <definedName name="sub_7639" localSheetId="0">'Форма 807_коды'!#REF!</definedName>
    <definedName name="sub_7640" localSheetId="0">'Форма 807_коды'!#REF!</definedName>
    <definedName name="sub_7641" localSheetId="0">'Форма 807_коды'!#REF!</definedName>
    <definedName name="sub_7642" localSheetId="0">'Форма 807_коды'!#REF!</definedName>
    <definedName name="sub_7643" localSheetId="0">'Форма 807_коды'!#REF!</definedName>
    <definedName name="sub_7644" localSheetId="0">'Форма 807_коды'!$A$14</definedName>
    <definedName name="sub_7645" localSheetId="0">'Форма 807_коды'!$A$16</definedName>
    <definedName name="sub_7646" localSheetId="0">'Форма 807_коды'!$A$17</definedName>
    <definedName name="sub_7647" localSheetId="0">'Форма 807_коды'!$A$18</definedName>
    <definedName name="sub_7648" localSheetId="0">'Форма 807_коды'!$A$19</definedName>
    <definedName name="sub_7649" localSheetId="0">'Форма 807_коды'!$A$20</definedName>
    <definedName name="sub_7650" localSheetId="0">'Форма 807_коды'!$A$21</definedName>
    <definedName name="sub_7651" localSheetId="0">'Форма 807_коды'!$A$22</definedName>
    <definedName name="sub_7652" localSheetId="0">'Форма 807_коды'!$A$23</definedName>
    <definedName name="sub_7653" localSheetId="0">'Форма 807_коды'!$A$24</definedName>
    <definedName name="sub_7654" localSheetId="0">'Форма 807_коды'!$A$25</definedName>
    <definedName name="sub_7655" localSheetId="0">'Форма 807_коды'!$A$26</definedName>
    <definedName name="sub_7656" localSheetId="0">'Форма 807_коды'!$A$27</definedName>
    <definedName name="sub_7657" localSheetId="0">'Форма 807_коды'!$A$28</definedName>
    <definedName name="sub_7658" localSheetId="0">'Форма 807_коды'!$A$29</definedName>
    <definedName name="sub_7659" localSheetId="0">'Форма 807_коды'!$A$30</definedName>
    <definedName name="sub_7660" localSheetId="0">'Форма 807_коды'!$A$31</definedName>
    <definedName name="sub_7661" localSheetId="0">'Форма 807_коды'!$A$32</definedName>
    <definedName name="sub_7662" localSheetId="0">'Форма 807_коды'!$A$33</definedName>
    <definedName name="sub_7663" localSheetId="0">'Форма 807_коды'!$A$34</definedName>
    <definedName name="sub_7664" localSheetId="0">'Форма 807_коды'!$A$35</definedName>
    <definedName name="sub_7665" localSheetId="0">'Форма 807_коды'!$A$36</definedName>
    <definedName name="sub_7666" localSheetId="0">'Форма 807_коды'!$A$37</definedName>
    <definedName name="sub_7667" localSheetId="0">'Форма 807_коды'!$A$39</definedName>
    <definedName name="sub_7668" localSheetId="0">'Форма 807_коды'!$A$40</definedName>
    <definedName name="sub_7669" localSheetId="0">'Форма 807_коды'!$A$41</definedName>
    <definedName name="sub_7670" localSheetId="0">'Форма 807_коды'!$A$42</definedName>
    <definedName name="sub_7671" localSheetId="0">'Форма 807_коды'!$A$44</definedName>
    <definedName name="sub_7672" localSheetId="0">'Форма 807_коды'!$A$45</definedName>
    <definedName name="sub_7673" localSheetId="0">'Форма 807_коды'!$A$46</definedName>
    <definedName name="sub_7674" localSheetId="0">'Форма 807_коды'!$A$47</definedName>
    <definedName name="sub_7675" localSheetId="0">'Форма 807_коды'!$A$48</definedName>
    <definedName name="sub_7676" localSheetId="0">'Форма 807_коды'!$A$49</definedName>
    <definedName name="sub_7677" localSheetId="0">'Форма 807_коды'!$A$51</definedName>
    <definedName name="sub_7678" localSheetId="0">'Форма 807_коды'!$A$52</definedName>
    <definedName name="sub_7679" localSheetId="0">'Форма 807_коды'!$A$53</definedName>
    <definedName name="sub_7680" localSheetId="0">'Форма 807_коды'!$A$54</definedName>
    <definedName name="sub_7681" localSheetId="0">'Форма 807_коды'!$A$55</definedName>
    <definedName name="sub_7682" localSheetId="0">'Форма 807_коды'!$A$57</definedName>
    <definedName name="sub_7683" localSheetId="0">'Форма 807_коды'!$A$58</definedName>
    <definedName name="sub_7684" localSheetId="0">'Форма 807_коды'!$A$59</definedName>
    <definedName name="sub_7685" localSheetId="0">'Форма 807_коды'!$A$60</definedName>
    <definedName name="sub_7686" localSheetId="0">'Форма 807_коды'!$A$61</definedName>
    <definedName name="sub_7687" localSheetId="0">'Форма 807_коды'!$A$62</definedName>
    <definedName name="sub_7688" localSheetId="0">'Форма 807_коды'!$A$63</definedName>
    <definedName name="_xlnm.Print_Area" localSheetId="28">Баланс!$A$1:$AE$277</definedName>
    <definedName name="_xlnm.Print_Area" localSheetId="34">Баланс_МСФО!$A$1:$S$203</definedName>
    <definedName name="_xlnm.Print_Area" localSheetId="37">Коэффициенты_МСФО!$A$8:$O$150</definedName>
    <definedName name="_xlnm.Print_Area" localSheetId="35">ОПиУ_МСФО!$A$8:$O$145</definedName>
    <definedName name="_xlnm.Print_Area" localSheetId="29">ОФР!$A$8:$T$309</definedName>
    <definedName name="Форма102_2016">#REF!</definedName>
    <definedName name="Форма102_2017">#REF!</definedName>
    <definedName name="Форма102_2018">#REF!</definedName>
    <definedName name="Форма102_2019">#REF!</definedName>
    <definedName name="Форма102_202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58" i="6" l="1"/>
  <c r="O159" i="6"/>
  <c r="O160" i="6"/>
  <c r="O161" i="6"/>
  <c r="O164" i="6"/>
  <c r="O167" i="6" s="1"/>
  <c r="O165" i="6"/>
  <c r="O166" i="6"/>
  <c r="G138" i="23"/>
  <c r="H138" i="23"/>
  <c r="I138" i="23"/>
  <c r="J138" i="23"/>
  <c r="K138" i="23"/>
  <c r="L138" i="23"/>
  <c r="M138" i="23"/>
  <c r="N138" i="23"/>
  <c r="F138" i="23"/>
  <c r="O205" i="25"/>
  <c r="O185" i="25"/>
  <c r="N185" i="25"/>
  <c r="M185" i="25"/>
  <c r="L185" i="25"/>
  <c r="K185" i="25"/>
  <c r="J185" i="25"/>
  <c r="I185" i="25"/>
  <c r="H185" i="25"/>
  <c r="G185" i="25"/>
  <c r="F185" i="25"/>
  <c r="O184" i="25"/>
  <c r="N184" i="25"/>
  <c r="M184" i="25"/>
  <c r="L184" i="25"/>
  <c r="K184" i="25"/>
  <c r="J184" i="25"/>
  <c r="I184" i="25"/>
  <c r="H184" i="25"/>
  <c r="G184" i="25"/>
  <c r="F184" i="25"/>
  <c r="O183" i="25"/>
  <c r="N183" i="25"/>
  <c r="M183" i="25"/>
  <c r="L183" i="25"/>
  <c r="K183" i="25"/>
  <c r="J183" i="25"/>
  <c r="I183" i="25"/>
  <c r="H183" i="25"/>
  <c r="G183" i="25"/>
  <c r="F183" i="25"/>
  <c r="O182" i="25"/>
  <c r="N182" i="25"/>
  <c r="M182" i="25"/>
  <c r="L182" i="25"/>
  <c r="K182" i="25"/>
  <c r="J182" i="25"/>
  <c r="I182" i="25"/>
  <c r="H182" i="25"/>
  <c r="G182" i="25"/>
  <c r="F182" i="25"/>
  <c r="O181" i="25"/>
  <c r="N181" i="25"/>
  <c r="M181" i="25"/>
  <c r="L181" i="25"/>
  <c r="K181" i="25"/>
  <c r="J181" i="25"/>
  <c r="I181" i="25"/>
  <c r="H181" i="25"/>
  <c r="G181" i="25"/>
  <c r="F181" i="25"/>
  <c r="O180" i="25"/>
  <c r="N180" i="25"/>
  <c r="M180" i="25"/>
  <c r="L180" i="25"/>
  <c r="K180" i="25"/>
  <c r="J180" i="25"/>
  <c r="I180" i="25"/>
  <c r="H180" i="25"/>
  <c r="G180" i="25"/>
  <c r="F180" i="25"/>
  <c r="O179" i="25"/>
  <c r="N179" i="25"/>
  <c r="M179" i="25"/>
  <c r="L179" i="25"/>
  <c r="K179" i="25"/>
  <c r="J179" i="25"/>
  <c r="I179" i="25"/>
  <c r="H179" i="25"/>
  <c r="G179" i="25"/>
  <c r="F179" i="25"/>
  <c r="O178" i="25"/>
  <c r="N178" i="25"/>
  <c r="M178" i="25"/>
  <c r="L178" i="25"/>
  <c r="K178" i="25"/>
  <c r="J178" i="25"/>
  <c r="I178" i="25"/>
  <c r="H178" i="25"/>
  <c r="G178" i="25"/>
  <c r="F178" i="25"/>
  <c r="O177" i="25"/>
  <c r="N177" i="25"/>
  <c r="M177" i="25"/>
  <c r="L177" i="25"/>
  <c r="K177" i="25"/>
  <c r="J177" i="25"/>
  <c r="I177" i="25"/>
  <c r="H177" i="25"/>
  <c r="G177" i="25"/>
  <c r="F177" i="25"/>
  <c r="O176" i="25"/>
  <c r="N176" i="25"/>
  <c r="M176" i="25"/>
  <c r="L176" i="25"/>
  <c r="K176" i="25"/>
  <c r="J176" i="25"/>
  <c r="I176" i="25"/>
  <c r="H176" i="25"/>
  <c r="G176" i="25"/>
  <c r="F176" i="25"/>
  <c r="O175" i="25"/>
  <c r="N175" i="25"/>
  <c r="M175" i="25"/>
  <c r="L175" i="25"/>
  <c r="K175" i="25"/>
  <c r="J175" i="25"/>
  <c r="I175" i="25"/>
  <c r="H175" i="25"/>
  <c r="G175" i="25"/>
  <c r="F175" i="25"/>
  <c r="O174" i="25"/>
  <c r="N174" i="25"/>
  <c r="M174" i="25"/>
  <c r="L174" i="25"/>
  <c r="K174" i="25"/>
  <c r="J174" i="25"/>
  <c r="I174" i="25"/>
  <c r="H174" i="25"/>
  <c r="G174" i="25"/>
  <c r="F174" i="25"/>
  <c r="O173" i="25"/>
  <c r="N173" i="25"/>
  <c r="M173" i="25"/>
  <c r="L173" i="25"/>
  <c r="K173" i="25"/>
  <c r="J173" i="25"/>
  <c r="I173" i="25"/>
  <c r="H173" i="25"/>
  <c r="G173" i="25"/>
  <c r="F173" i="25"/>
  <c r="O172" i="25"/>
  <c r="N172" i="25"/>
  <c r="M172" i="25"/>
  <c r="L172" i="25"/>
  <c r="K172" i="25"/>
  <c r="J172" i="25"/>
  <c r="I172" i="25"/>
  <c r="H172" i="25"/>
  <c r="G172" i="25"/>
  <c r="F172" i="25"/>
  <c r="O171" i="25"/>
  <c r="N171" i="25"/>
  <c r="M171" i="25"/>
  <c r="L171" i="25"/>
  <c r="K171" i="25"/>
  <c r="J171" i="25"/>
  <c r="I171" i="25"/>
  <c r="H171" i="25"/>
  <c r="G171" i="25"/>
  <c r="F171" i="25"/>
  <c r="O170" i="25"/>
  <c r="O200" i="25" s="1"/>
  <c r="N170" i="25"/>
  <c r="N200" i="25" s="1"/>
  <c r="M170" i="25"/>
  <c r="M200" i="25" s="1"/>
  <c r="L170" i="25"/>
  <c r="L200" i="25" s="1"/>
  <c r="K170" i="25"/>
  <c r="K200" i="25" s="1"/>
  <c r="J170" i="25"/>
  <c r="J200" i="25" s="1"/>
  <c r="I170" i="25"/>
  <c r="I200" i="25" s="1"/>
  <c r="H170" i="25"/>
  <c r="H200" i="25" s="1"/>
  <c r="G170" i="25"/>
  <c r="G200" i="25" s="1"/>
  <c r="F170" i="25"/>
  <c r="F200" i="25" s="1"/>
  <c r="O169" i="25"/>
  <c r="N169" i="25"/>
  <c r="M169" i="25"/>
  <c r="L169" i="25"/>
  <c r="K169" i="25"/>
  <c r="J169" i="25"/>
  <c r="I169" i="25"/>
  <c r="H169" i="25"/>
  <c r="G169" i="25"/>
  <c r="B185" i="25"/>
  <c r="B184" i="25"/>
  <c r="B183" i="25"/>
  <c r="B182" i="25"/>
  <c r="B181" i="25"/>
  <c r="B180" i="25"/>
  <c r="B179" i="25"/>
  <c r="B178" i="25"/>
  <c r="B177" i="25"/>
  <c r="B176" i="25"/>
  <c r="B175" i="25"/>
  <c r="B174" i="25"/>
  <c r="B173" i="25"/>
  <c r="B172" i="25"/>
  <c r="B171" i="25"/>
  <c r="B170" i="25"/>
  <c r="M567" i="19"/>
  <c r="M566" i="19"/>
  <c r="M565" i="19"/>
  <c r="M564" i="19"/>
  <c r="M563" i="19"/>
  <c r="M562" i="19"/>
  <c r="M561" i="19"/>
  <c r="M560" i="19"/>
  <c r="M559" i="19"/>
  <c r="M558" i="19"/>
  <c r="M556" i="19"/>
  <c r="O567" i="19"/>
  <c r="O575" i="19" s="1"/>
  <c r="O576" i="19" s="1"/>
  <c r="N567" i="19"/>
  <c r="L567" i="19"/>
  <c r="O558" i="19"/>
  <c r="N558" i="19"/>
  <c r="N575" i="19" s="1"/>
  <c r="N576" i="19" s="1"/>
  <c r="L558" i="19"/>
  <c r="P576" i="19"/>
  <c r="K575" i="19"/>
  <c r="J575" i="19"/>
  <c r="I575" i="19"/>
  <c r="G575" i="19"/>
  <c r="F248" i="23"/>
  <c r="F247" i="23"/>
  <c r="F246" i="23"/>
  <c r="F245" i="23"/>
  <c r="F244" i="23"/>
  <c r="F243" i="23"/>
  <c r="B248" i="23"/>
  <c r="B247" i="23"/>
  <c r="B246" i="23"/>
  <c r="B245" i="23"/>
  <c r="B244" i="23"/>
  <c r="G248" i="23"/>
  <c r="G247" i="23"/>
  <c r="G246" i="23"/>
  <c r="G245" i="23"/>
  <c r="G244" i="23"/>
  <c r="G243" i="23"/>
  <c r="P575" i="19"/>
  <c r="H575" i="19"/>
  <c r="O669" i="19"/>
  <c r="N669" i="19"/>
  <c r="O668" i="19"/>
  <c r="N668" i="19"/>
  <c r="O664" i="19"/>
  <c r="N664" i="19"/>
  <c r="O661" i="19"/>
  <c r="N661" i="19"/>
  <c r="L669" i="19"/>
  <c r="K669" i="19"/>
  <c r="L668" i="19"/>
  <c r="K668" i="19"/>
  <c r="L664" i="19"/>
  <c r="K664" i="19"/>
  <c r="L661" i="19"/>
  <c r="K661" i="19"/>
  <c r="G670" i="19"/>
  <c r="P676" i="19"/>
  <c r="G220" i="25" l="1"/>
  <c r="B220" i="25" s="1"/>
  <c r="G221" i="25"/>
  <c r="B221" i="25" s="1"/>
  <c r="G222" i="25"/>
  <c r="B222" i="25" s="1"/>
  <c r="G216" i="25"/>
  <c r="B216" i="25" s="1"/>
  <c r="G217" i="25"/>
  <c r="G218" i="25"/>
  <c r="B218" i="25" s="1"/>
  <c r="G219" i="25"/>
  <c r="B219" i="25" s="1"/>
  <c r="M575" i="19"/>
  <c r="M576" i="19" s="1"/>
  <c r="L575" i="19"/>
  <c r="L576" i="19" s="1"/>
  <c r="K676" i="19"/>
  <c r="N676" i="19"/>
  <c r="O676" i="19"/>
  <c r="O677" i="19" s="1"/>
  <c r="L676" i="19"/>
  <c r="O205" i="6"/>
  <c r="N205" i="6"/>
  <c r="M205" i="6"/>
  <c r="L205" i="6"/>
  <c r="K205" i="6"/>
  <c r="L45" i="6"/>
  <c r="L33" i="6"/>
  <c r="L10" i="6"/>
  <c r="I550" i="19"/>
  <c r="J550" i="19"/>
  <c r="K550" i="19"/>
  <c r="I551" i="19"/>
  <c r="J551" i="19"/>
  <c r="K551" i="19"/>
  <c r="H551" i="19"/>
  <c r="H550" i="19"/>
  <c r="I485" i="19"/>
  <c r="J485" i="19"/>
  <c r="J486" i="19" s="1"/>
  <c r="K485" i="19"/>
  <c r="K486" i="19" s="1"/>
  <c r="I486" i="19"/>
  <c r="H485" i="19"/>
  <c r="H486" i="19" s="1"/>
  <c r="U478" i="19"/>
  <c r="U479" i="19"/>
  <c r="V479" i="19"/>
  <c r="W479" i="19"/>
  <c r="U480" i="19"/>
  <c r="W466" i="19"/>
  <c r="W468" i="19" s="1"/>
  <c r="O473" i="19"/>
  <c r="O476" i="19"/>
  <c r="V474" i="19"/>
  <c r="V476" i="19" s="1"/>
  <c r="W474" i="19"/>
  <c r="W476" i="19" s="1"/>
  <c r="V468" i="19"/>
  <c r="W458" i="19"/>
  <c r="V458" i="19"/>
  <c r="N479" i="19"/>
  <c r="N478" i="19" s="1"/>
  <c r="O479" i="19"/>
  <c r="O478" i="19" s="1"/>
  <c r="M484" i="19"/>
  <c r="M479" i="19" s="1"/>
  <c r="L479" i="19"/>
  <c r="L478" i="19" s="1"/>
  <c r="V648" i="19"/>
  <c r="T648" i="19"/>
  <c r="V644" i="19"/>
  <c r="T644" i="19"/>
  <c r="O650" i="19"/>
  <c r="V650" i="19" s="1"/>
  <c r="O649" i="19"/>
  <c r="V649" i="19" s="1"/>
  <c r="O646" i="19"/>
  <c r="V646" i="19" s="1"/>
  <c r="O645" i="19"/>
  <c r="V645" i="19" s="1"/>
  <c r="M646" i="19"/>
  <c r="T646" i="19" s="1"/>
  <c r="M645" i="19"/>
  <c r="T645" i="19" s="1"/>
  <c r="M650" i="19"/>
  <c r="T650" i="19" s="1"/>
  <c r="M649" i="19"/>
  <c r="T649" i="19" s="1"/>
  <c r="P686" i="19"/>
  <c r="O686" i="19"/>
  <c r="N686" i="19"/>
  <c r="M686" i="19"/>
  <c r="L686" i="19"/>
  <c r="K686" i="19"/>
  <c r="J686" i="19"/>
  <c r="I686" i="19"/>
  <c r="H686" i="19"/>
  <c r="L550" i="19" l="1"/>
  <c r="N550" i="19" s="1"/>
  <c r="W480" i="19"/>
  <c r="L551" i="19"/>
  <c r="O551" i="19" s="1"/>
  <c r="N551" i="19"/>
  <c r="O550" i="19"/>
  <c r="M550" i="19"/>
  <c r="L9" i="6"/>
  <c r="L485" i="19"/>
  <c r="O485" i="19" s="1"/>
  <c r="O525" i="19" s="1"/>
  <c r="N485" i="19"/>
  <c r="N525" i="19" s="1"/>
  <c r="V480" i="19"/>
  <c r="M478" i="19"/>
  <c r="W478" i="19"/>
  <c r="V478" i="19"/>
  <c r="P550" i="19" l="1"/>
  <c r="P544" i="19" s="1"/>
  <c r="M551" i="19"/>
  <c r="P551" i="19"/>
  <c r="P545" i="19" s="1"/>
  <c r="P547" i="19" s="1"/>
  <c r="O544" i="19"/>
  <c r="O532" i="19"/>
  <c r="O545" i="19" s="1"/>
  <c r="P485" i="19"/>
  <c r="L525" i="19"/>
  <c r="L544" i="19" s="1"/>
  <c r="L486" i="19"/>
  <c r="L467" i="19" s="1"/>
  <c r="L468" i="19" s="1"/>
  <c r="M485" i="19"/>
  <c r="M525" i="19" s="1"/>
  <c r="M544" i="19" s="1"/>
  <c r="N532" i="19"/>
  <c r="N545" i="19" s="1"/>
  <c r="N544" i="19"/>
  <c r="N547" i="19" s="1"/>
  <c r="D40" i="28"/>
  <c r="D45" i="28" s="1"/>
  <c r="D28" i="28"/>
  <c r="O547" i="19" l="1"/>
  <c r="M532" i="19"/>
  <c r="M545" i="19" s="1"/>
  <c r="M547" i="19" s="1"/>
  <c r="L457" i="19"/>
  <c r="L458" i="19" s="1"/>
  <c r="P486" i="19"/>
  <c r="M486" i="19"/>
  <c r="M467" i="19" s="1"/>
  <c r="M468" i="19" s="1"/>
  <c r="O486" i="19"/>
  <c r="O467" i="19" s="1"/>
  <c r="O457" i="19" s="1"/>
  <c r="N486" i="19"/>
  <c r="N467" i="19" s="1"/>
  <c r="N457" i="19" s="1"/>
  <c r="N458" i="19" s="1"/>
  <c r="L532" i="19"/>
  <c r="L545" i="19" s="1"/>
  <c r="L547" i="19" s="1"/>
  <c r="V204" i="26"/>
  <c r="U204" i="26"/>
  <c r="V182" i="26"/>
  <c r="U182" i="26"/>
  <c r="U181" i="26"/>
  <c r="V167" i="26"/>
  <c r="U167" i="26"/>
  <c r="V203" i="26"/>
  <c r="U203" i="26"/>
  <c r="N259" i="6"/>
  <c r="M259" i="6"/>
  <c r="L259" i="6"/>
  <c r="L272" i="6" s="1"/>
  <c r="K259" i="6"/>
  <c r="K272" i="6" s="1"/>
  <c r="J259" i="6"/>
  <c r="J272" i="6" s="1"/>
  <c r="I259" i="6"/>
  <c r="I272" i="6" s="1"/>
  <c r="H259" i="6"/>
  <c r="G259" i="6"/>
  <c r="F259" i="6"/>
  <c r="O259" i="6"/>
  <c r="J287" i="6"/>
  <c r="K287" i="6"/>
  <c r="L287" i="6"/>
  <c r="M287" i="6"/>
  <c r="N287" i="6"/>
  <c r="O287" i="6"/>
  <c r="AA287" i="6" s="1"/>
  <c r="U146" i="26"/>
  <c r="V107" i="26"/>
  <c r="U107" i="26"/>
  <c r="V98" i="26"/>
  <c r="U98" i="26"/>
  <c r="U121" i="26"/>
  <c r="V121" i="26"/>
  <c r="V114" i="26"/>
  <c r="W107" i="26"/>
  <c r="W105" i="26"/>
  <c r="W98" i="26"/>
  <c r="W96" i="26"/>
  <c r="V39" i="26"/>
  <c r="V22" i="26"/>
  <c r="V26" i="26"/>
  <c r="V15" i="26"/>
  <c r="V19" i="26" s="1"/>
  <c r="V58" i="26" s="1"/>
  <c r="V63" i="26" s="1"/>
  <c r="V65" i="26" s="1"/>
  <c r="U26" i="26"/>
  <c r="V199" i="26"/>
  <c r="V164" i="26"/>
  <c r="V94" i="26"/>
  <c r="V87" i="26"/>
  <c r="V69" i="26"/>
  <c r="V57" i="26"/>
  <c r="V51" i="26"/>
  <c r="V38" i="26"/>
  <c r="V25" i="26"/>
  <c r="V14" i="26"/>
  <c r="L746" i="19"/>
  <c r="K746" i="19"/>
  <c r="J746" i="19"/>
  <c r="I746" i="19"/>
  <c r="G746" i="19"/>
  <c r="L745" i="19"/>
  <c r="K745" i="19"/>
  <c r="J745" i="19"/>
  <c r="I745" i="19"/>
  <c r="G745" i="19"/>
  <c r="L744" i="19"/>
  <c r="K744" i="19"/>
  <c r="J744" i="19"/>
  <c r="I744" i="19"/>
  <c r="G744" i="19"/>
  <c r="L743" i="19"/>
  <c r="K743" i="19"/>
  <c r="J743" i="19"/>
  <c r="I743" i="19"/>
  <c r="G743" i="19"/>
  <c r="L742" i="19"/>
  <c r="K742" i="19"/>
  <c r="J742" i="19"/>
  <c r="I742" i="19"/>
  <c r="G742" i="19"/>
  <c r="L740" i="19"/>
  <c r="K740" i="19"/>
  <c r="J740" i="19"/>
  <c r="I740" i="19"/>
  <c r="G740" i="19"/>
  <c r="L739" i="19"/>
  <c r="K739" i="19"/>
  <c r="J739" i="19"/>
  <c r="I739" i="19"/>
  <c r="G739" i="19"/>
  <c r="L738" i="19"/>
  <c r="K738" i="19"/>
  <c r="J738" i="19"/>
  <c r="I738" i="19"/>
  <c r="G738" i="19"/>
  <c r="L737" i="19"/>
  <c r="K737" i="19"/>
  <c r="J737" i="19"/>
  <c r="I737" i="19"/>
  <c r="G737" i="19"/>
  <c r="L736" i="19"/>
  <c r="K736" i="19"/>
  <c r="J736" i="19"/>
  <c r="I736" i="19"/>
  <c r="G736" i="19"/>
  <c r="L735" i="19"/>
  <c r="K735" i="19"/>
  <c r="J735" i="19"/>
  <c r="I735" i="19"/>
  <c r="G735" i="19"/>
  <c r="L734" i="19"/>
  <c r="K734" i="19"/>
  <c r="J734" i="19"/>
  <c r="I734" i="19"/>
  <c r="G734" i="19"/>
  <c r="L733" i="19"/>
  <c r="K733" i="19"/>
  <c r="J733" i="19"/>
  <c r="I733" i="19"/>
  <c r="G733" i="19"/>
  <c r="L732" i="19"/>
  <c r="K732" i="19"/>
  <c r="J732" i="19"/>
  <c r="I732" i="19"/>
  <c r="G732" i="19"/>
  <c r="L731" i="19"/>
  <c r="K731" i="19"/>
  <c r="J731" i="19"/>
  <c r="I731" i="19"/>
  <c r="G731" i="19"/>
  <c r="H746" i="19"/>
  <c r="H745" i="19"/>
  <c r="H744" i="19"/>
  <c r="H743" i="19"/>
  <c r="H742" i="19"/>
  <c r="H740" i="19"/>
  <c r="H739" i="19"/>
  <c r="H738" i="19"/>
  <c r="H737" i="19"/>
  <c r="H736" i="19"/>
  <c r="H735" i="19"/>
  <c r="H734" i="19"/>
  <c r="H733" i="19"/>
  <c r="H732" i="19"/>
  <c r="H731" i="19"/>
  <c r="L723" i="19"/>
  <c r="K723" i="19"/>
  <c r="J723" i="19"/>
  <c r="I723" i="19"/>
  <c r="G723" i="19"/>
  <c r="L722" i="19"/>
  <c r="K722" i="19"/>
  <c r="J722" i="19"/>
  <c r="I722" i="19"/>
  <c r="G722" i="19"/>
  <c r="L721" i="19"/>
  <c r="K721" i="19"/>
  <c r="J721" i="19"/>
  <c r="I721" i="19"/>
  <c r="G721" i="19"/>
  <c r="L720" i="19"/>
  <c r="K720" i="19"/>
  <c r="J720" i="19"/>
  <c r="I720" i="19"/>
  <c r="G720" i="19"/>
  <c r="L719" i="19"/>
  <c r="K719" i="19"/>
  <c r="J719" i="19"/>
  <c r="I719" i="19"/>
  <c r="G719" i="19"/>
  <c r="L718" i="19"/>
  <c r="K718" i="19"/>
  <c r="J718" i="19"/>
  <c r="I718" i="19"/>
  <c r="G718" i="19"/>
  <c r="L717" i="19"/>
  <c r="K717" i="19"/>
  <c r="J717" i="19"/>
  <c r="I717" i="19"/>
  <c r="G717" i="19"/>
  <c r="L716" i="19"/>
  <c r="K716" i="19"/>
  <c r="J716" i="19"/>
  <c r="I716" i="19"/>
  <c r="G716" i="19"/>
  <c r="L715" i="19"/>
  <c r="K715" i="19"/>
  <c r="J715" i="19"/>
  <c r="I715" i="19"/>
  <c r="G715" i="19"/>
  <c r="H723" i="19"/>
  <c r="H722" i="19"/>
  <c r="H721" i="19"/>
  <c r="H720" i="19"/>
  <c r="H719" i="19"/>
  <c r="H718" i="19"/>
  <c r="H717" i="19"/>
  <c r="H716" i="19"/>
  <c r="H715" i="19"/>
  <c r="L708" i="19"/>
  <c r="K708" i="19"/>
  <c r="J708" i="19"/>
  <c r="I708" i="19"/>
  <c r="G708" i="19"/>
  <c r="L707" i="19"/>
  <c r="K707" i="19"/>
  <c r="J707" i="19"/>
  <c r="I707" i="19"/>
  <c r="G707" i="19"/>
  <c r="L706" i="19"/>
  <c r="K706" i="19"/>
  <c r="J706" i="19"/>
  <c r="I706" i="19"/>
  <c r="G706" i="19"/>
  <c r="H708" i="19"/>
  <c r="H707" i="19"/>
  <c r="H706" i="19"/>
  <c r="L700" i="19"/>
  <c r="K700" i="19"/>
  <c r="J700" i="19"/>
  <c r="I700" i="19"/>
  <c r="G700" i="19"/>
  <c r="G696" i="19"/>
  <c r="G695" i="19"/>
  <c r="G694" i="19"/>
  <c r="L696" i="19"/>
  <c r="K696" i="19"/>
  <c r="J696" i="19"/>
  <c r="I696" i="19"/>
  <c r="L695" i="19"/>
  <c r="K695" i="19"/>
  <c r="J695" i="19"/>
  <c r="I695" i="19"/>
  <c r="L694" i="19"/>
  <c r="K694" i="19"/>
  <c r="J694" i="19"/>
  <c r="I694" i="19"/>
  <c r="H700" i="19"/>
  <c r="H696" i="19"/>
  <c r="H695" i="19"/>
  <c r="H694" i="19"/>
  <c r="N648" i="19"/>
  <c r="N644" i="19"/>
  <c r="P687" i="19"/>
  <c r="G686" i="19"/>
  <c r="N468" i="19" l="1"/>
  <c r="M457" i="19"/>
  <c r="M458" i="19" s="1"/>
  <c r="N677" i="19"/>
  <c r="L314" i="6"/>
  <c r="L313" i="6"/>
  <c r="L315" i="6"/>
  <c r="K314" i="6"/>
  <c r="K313" i="6"/>
  <c r="K315" i="6"/>
  <c r="I313" i="6"/>
  <c r="I315" i="6"/>
  <c r="I314" i="6"/>
  <c r="J313" i="6"/>
  <c r="J315" i="6"/>
  <c r="J314" i="6"/>
  <c r="O272" i="6"/>
  <c r="N272" i="6"/>
  <c r="H272" i="6"/>
  <c r="G272" i="6"/>
  <c r="F272" i="6"/>
  <c r="U644" i="19"/>
  <c r="U646" i="19"/>
  <c r="U645" i="19"/>
  <c r="M272" i="6"/>
  <c r="U649" i="19"/>
  <c r="U648" i="19"/>
  <c r="U650" i="19"/>
  <c r="U114" i="26"/>
  <c r="U126" i="26" s="1"/>
  <c r="V146" i="26"/>
  <c r="V129" i="26"/>
  <c r="V137" i="26" s="1"/>
  <c r="U129" i="26"/>
  <c r="U137" i="26" s="1"/>
  <c r="V126" i="26"/>
  <c r="V105" i="26"/>
  <c r="U105" i="26"/>
  <c r="V96" i="26"/>
  <c r="V113" i="26" s="1"/>
  <c r="U96" i="26"/>
  <c r="G539" i="19"/>
  <c r="F205" i="6" s="1"/>
  <c r="M314" i="6" l="1"/>
  <c r="M313" i="6"/>
  <c r="M315" i="6"/>
  <c r="F313" i="6"/>
  <c r="F315" i="6"/>
  <c r="F314" i="6"/>
  <c r="G313" i="6"/>
  <c r="G315" i="6"/>
  <c r="G314" i="6"/>
  <c r="H313" i="6"/>
  <c r="H315" i="6"/>
  <c r="H314" i="6"/>
  <c r="N314" i="6"/>
  <c r="N313" i="6"/>
  <c r="N315" i="6"/>
  <c r="O314" i="6"/>
  <c r="O313" i="6"/>
  <c r="O315" i="6"/>
  <c r="V127" i="26"/>
  <c r="V147" i="26" s="1"/>
  <c r="V151" i="26" s="1"/>
  <c r="U113" i="26"/>
  <c r="U127" i="26" s="1"/>
  <c r="U147" i="26" s="1"/>
  <c r="U151" i="26" s="1"/>
  <c r="S479" i="19"/>
  <c r="S480" i="19"/>
  <c r="T480" i="19"/>
  <c r="T479" i="19"/>
  <c r="S474" i="19"/>
  <c r="S478" i="19" s="1"/>
  <c r="T474" i="19"/>
  <c r="T478" i="19" s="1"/>
  <c r="H340" i="19"/>
  <c r="H338" i="19"/>
  <c r="H337" i="19"/>
  <c r="H330" i="19"/>
  <c r="H323" i="19"/>
  <c r="H318" i="19"/>
  <c r="H317" i="19"/>
  <c r="H316" i="19"/>
  <c r="H315" i="19"/>
  <c r="H314" i="19"/>
  <c r="H313" i="19"/>
  <c r="H307" i="19"/>
  <c r="H299" i="19"/>
  <c r="H274" i="19"/>
  <c r="J258" i="19"/>
  <c r="J257" i="19"/>
  <c r="J256" i="19"/>
  <c r="J255" i="19"/>
  <c r="J254" i="19"/>
  <c r="J253" i="19"/>
  <c r="J252" i="19"/>
  <c r="J251" i="19"/>
  <c r="J250" i="19"/>
  <c r="J249" i="19"/>
  <c r="J248" i="19"/>
  <c r="J247" i="19"/>
  <c r="J246" i="19"/>
  <c r="J245" i="19"/>
  <c r="J244" i="19"/>
  <c r="J243" i="19"/>
  <c r="J242" i="19"/>
  <c r="J241" i="19"/>
  <c r="J240" i="19"/>
  <c r="J239" i="19"/>
  <c r="J238" i="19"/>
  <c r="J237" i="19"/>
  <c r="J236" i="19"/>
  <c r="J235" i="19"/>
  <c r="J234" i="19"/>
  <c r="J233" i="19"/>
  <c r="J232" i="19"/>
  <c r="J231" i="19"/>
  <c r="J230" i="19"/>
  <c r="J229" i="19"/>
  <c r="J228" i="19"/>
  <c r="J227" i="19"/>
  <c r="J226" i="19"/>
  <c r="J225" i="19"/>
  <c r="J224" i="19"/>
  <c r="J223" i="19"/>
  <c r="J222" i="19"/>
  <c r="J221" i="19"/>
  <c r="J220" i="19"/>
  <c r="J219" i="19"/>
  <c r="J218" i="19"/>
  <c r="J217" i="19"/>
  <c r="J216" i="19"/>
  <c r="J215" i="19"/>
  <c r="J214" i="19"/>
  <c r="J213" i="19"/>
  <c r="J212" i="19"/>
  <c r="J211" i="19"/>
  <c r="J210" i="19"/>
  <c r="J209" i="19"/>
  <c r="J208" i="19"/>
  <c r="J207" i="19"/>
  <c r="J206" i="19"/>
  <c r="J205" i="19"/>
  <c r="J204" i="19"/>
  <c r="J203" i="19"/>
  <c r="J202" i="19"/>
  <c r="J201" i="19"/>
  <c r="J200" i="19"/>
  <c r="J199" i="19"/>
  <c r="J198" i="19"/>
  <c r="J197" i="19"/>
  <c r="J196" i="19"/>
  <c r="J195" i="19"/>
  <c r="J194" i="19"/>
  <c r="J193" i="19"/>
  <c r="J192" i="19"/>
  <c r="J191" i="19"/>
  <c r="J190" i="19"/>
  <c r="J189" i="19"/>
  <c r="J188" i="19"/>
  <c r="J187" i="19"/>
  <c r="J186" i="19"/>
  <c r="J185" i="19"/>
  <c r="J184" i="19"/>
  <c r="J183" i="19"/>
  <c r="J182" i="19"/>
  <c r="J181" i="19"/>
  <c r="J180" i="19"/>
  <c r="J179" i="19"/>
  <c r="J178" i="19"/>
  <c r="J177" i="19"/>
  <c r="J176" i="19"/>
  <c r="J175" i="19"/>
  <c r="J174" i="19"/>
  <c r="J173" i="19"/>
  <c r="J172" i="19"/>
  <c r="L258" i="19"/>
  <c r="K258" i="19"/>
  <c r="I258" i="19"/>
  <c r="H258" i="19"/>
  <c r="G258" i="19"/>
  <c r="L257" i="19"/>
  <c r="K257" i="19"/>
  <c r="I257" i="19"/>
  <c r="H257" i="19"/>
  <c r="G257" i="19"/>
  <c r="L256" i="19"/>
  <c r="K256" i="19"/>
  <c r="I256" i="19"/>
  <c r="H256" i="19"/>
  <c r="G256" i="19"/>
  <c r="L255" i="19"/>
  <c r="K255" i="19"/>
  <c r="I255" i="19"/>
  <c r="H255" i="19"/>
  <c r="G255" i="19"/>
  <c r="L254" i="19"/>
  <c r="K254" i="19"/>
  <c r="I254" i="19"/>
  <c r="H254" i="19"/>
  <c r="G254" i="19"/>
  <c r="L253" i="19"/>
  <c r="K253" i="19"/>
  <c r="I253" i="19"/>
  <c r="H253" i="19"/>
  <c r="G253" i="19"/>
  <c r="L252" i="19"/>
  <c r="K252" i="19"/>
  <c r="I252" i="19"/>
  <c r="H252" i="19"/>
  <c r="G252" i="19"/>
  <c r="L251" i="19"/>
  <c r="K251" i="19"/>
  <c r="I251" i="19"/>
  <c r="H251" i="19"/>
  <c r="G251" i="19"/>
  <c r="L250" i="19"/>
  <c r="K250" i="19"/>
  <c r="I250" i="19"/>
  <c r="H250" i="19"/>
  <c r="G250" i="19"/>
  <c r="L249" i="19"/>
  <c r="K249" i="19"/>
  <c r="I249" i="19"/>
  <c r="H249" i="19"/>
  <c r="G249" i="19"/>
  <c r="L248" i="19"/>
  <c r="K248" i="19"/>
  <c r="I248" i="19"/>
  <c r="H248" i="19"/>
  <c r="G248" i="19"/>
  <c r="L247" i="19"/>
  <c r="K247" i="19"/>
  <c r="I247" i="19"/>
  <c r="H247" i="19"/>
  <c r="G247" i="19"/>
  <c r="L246" i="19"/>
  <c r="K246" i="19"/>
  <c r="I246" i="19"/>
  <c r="H246" i="19"/>
  <c r="G246" i="19"/>
  <c r="L245" i="19"/>
  <c r="K245" i="19"/>
  <c r="I245" i="19"/>
  <c r="H245" i="19"/>
  <c r="G245" i="19"/>
  <c r="L244" i="19"/>
  <c r="K244" i="19"/>
  <c r="I244" i="19"/>
  <c r="H244" i="19"/>
  <c r="G244" i="19"/>
  <c r="L243" i="19"/>
  <c r="K243" i="19"/>
  <c r="I243" i="19"/>
  <c r="H243" i="19"/>
  <c r="G243" i="19"/>
  <c r="L242" i="19"/>
  <c r="K242" i="19"/>
  <c r="I242" i="19"/>
  <c r="H242" i="19"/>
  <c r="G242" i="19"/>
  <c r="L241" i="19"/>
  <c r="K241" i="19"/>
  <c r="I241" i="19"/>
  <c r="H241" i="19"/>
  <c r="G241" i="19"/>
  <c r="L240" i="19"/>
  <c r="K240" i="19"/>
  <c r="I240" i="19"/>
  <c r="H240" i="19"/>
  <c r="G240" i="19"/>
  <c r="L239" i="19"/>
  <c r="K239" i="19"/>
  <c r="I239" i="19"/>
  <c r="H239" i="19"/>
  <c r="G239" i="19"/>
  <c r="L238" i="19"/>
  <c r="K238" i="19"/>
  <c r="I238" i="19"/>
  <c r="H238" i="19"/>
  <c r="G238" i="19"/>
  <c r="L237" i="19"/>
  <c r="K237" i="19"/>
  <c r="I237" i="19"/>
  <c r="H237" i="19"/>
  <c r="G237" i="19"/>
  <c r="L236" i="19"/>
  <c r="K236" i="19"/>
  <c r="I236" i="19"/>
  <c r="H236" i="19"/>
  <c r="G236" i="19"/>
  <c r="L235" i="19"/>
  <c r="K235" i="19"/>
  <c r="I235" i="19"/>
  <c r="H235" i="19"/>
  <c r="G235" i="19"/>
  <c r="L234" i="19"/>
  <c r="K234" i="19"/>
  <c r="I234" i="19"/>
  <c r="H234" i="19"/>
  <c r="G234" i="19"/>
  <c r="L233" i="19"/>
  <c r="K233" i="19"/>
  <c r="I233" i="19"/>
  <c r="H233" i="19"/>
  <c r="G233" i="19"/>
  <c r="L232" i="19"/>
  <c r="K232" i="19"/>
  <c r="I232" i="19"/>
  <c r="H232" i="19"/>
  <c r="G232" i="19"/>
  <c r="L231" i="19"/>
  <c r="K231" i="19"/>
  <c r="I231" i="19"/>
  <c r="H231" i="19"/>
  <c r="G231" i="19"/>
  <c r="L230" i="19"/>
  <c r="K230" i="19"/>
  <c r="I230" i="19"/>
  <c r="H230" i="19"/>
  <c r="G230" i="19"/>
  <c r="L229" i="19"/>
  <c r="K229" i="19"/>
  <c r="I229" i="19"/>
  <c r="H229" i="19"/>
  <c r="G229" i="19"/>
  <c r="L228" i="19"/>
  <c r="K228" i="19"/>
  <c r="I228" i="19"/>
  <c r="H228" i="19"/>
  <c r="G228" i="19"/>
  <c r="L227" i="19"/>
  <c r="K227" i="19"/>
  <c r="I227" i="19"/>
  <c r="H227" i="19"/>
  <c r="G227" i="19"/>
  <c r="L226" i="19"/>
  <c r="K226" i="19"/>
  <c r="I226" i="19"/>
  <c r="H226" i="19"/>
  <c r="G226" i="19"/>
  <c r="L225" i="19"/>
  <c r="K225" i="19"/>
  <c r="I225" i="19"/>
  <c r="H225" i="19"/>
  <c r="G225" i="19"/>
  <c r="L224" i="19"/>
  <c r="K224" i="19"/>
  <c r="I224" i="19"/>
  <c r="H224" i="19"/>
  <c r="G224" i="19"/>
  <c r="L223" i="19"/>
  <c r="K223" i="19"/>
  <c r="I223" i="19"/>
  <c r="H223" i="19"/>
  <c r="G223" i="19"/>
  <c r="L222" i="19"/>
  <c r="K222" i="19"/>
  <c r="I222" i="19"/>
  <c r="H222" i="19"/>
  <c r="G222" i="19"/>
  <c r="L221" i="19"/>
  <c r="K221" i="19"/>
  <c r="I221" i="19"/>
  <c r="H221" i="19"/>
  <c r="G221" i="19"/>
  <c r="L220" i="19"/>
  <c r="K220" i="19"/>
  <c r="I220" i="19"/>
  <c r="H220" i="19"/>
  <c r="G220" i="19"/>
  <c r="L219" i="19"/>
  <c r="K219" i="19"/>
  <c r="I219" i="19"/>
  <c r="H219" i="19"/>
  <c r="G219" i="19"/>
  <c r="L218" i="19"/>
  <c r="K218" i="19"/>
  <c r="I218" i="19"/>
  <c r="H218" i="19"/>
  <c r="G218" i="19"/>
  <c r="L217" i="19"/>
  <c r="K217" i="19"/>
  <c r="I217" i="19"/>
  <c r="H217" i="19"/>
  <c r="G217" i="19"/>
  <c r="L216" i="19"/>
  <c r="K216" i="19"/>
  <c r="I216" i="19"/>
  <c r="H216" i="19"/>
  <c r="G216" i="19"/>
  <c r="L215" i="19"/>
  <c r="K215" i="19"/>
  <c r="I215" i="19"/>
  <c r="H215" i="19"/>
  <c r="G215" i="19"/>
  <c r="L214" i="19"/>
  <c r="K214" i="19"/>
  <c r="I214" i="19"/>
  <c r="H214" i="19"/>
  <c r="G214" i="19"/>
  <c r="L213" i="19"/>
  <c r="K213" i="19"/>
  <c r="I213" i="19"/>
  <c r="H213" i="19"/>
  <c r="G213" i="19"/>
  <c r="L212" i="19"/>
  <c r="K212" i="19"/>
  <c r="I212" i="19"/>
  <c r="H212" i="19"/>
  <c r="G212" i="19"/>
  <c r="L211" i="19"/>
  <c r="K211" i="19"/>
  <c r="I211" i="19"/>
  <c r="H211" i="19"/>
  <c r="G211" i="19"/>
  <c r="L210" i="19"/>
  <c r="K210" i="19"/>
  <c r="I210" i="19"/>
  <c r="H210" i="19"/>
  <c r="G210" i="19"/>
  <c r="L209" i="19"/>
  <c r="K209" i="19"/>
  <c r="I209" i="19"/>
  <c r="H209" i="19"/>
  <c r="G209" i="19"/>
  <c r="L208" i="19"/>
  <c r="K208" i="19"/>
  <c r="I208" i="19"/>
  <c r="H208" i="19"/>
  <c r="G208" i="19"/>
  <c r="L207" i="19"/>
  <c r="K207" i="19"/>
  <c r="I207" i="19"/>
  <c r="H207" i="19"/>
  <c r="G207" i="19"/>
  <c r="L206" i="19"/>
  <c r="K206" i="19"/>
  <c r="I206" i="19"/>
  <c r="H206" i="19"/>
  <c r="G206" i="19"/>
  <c r="L205" i="19"/>
  <c r="K205" i="19"/>
  <c r="I205" i="19"/>
  <c r="H205" i="19"/>
  <c r="G205" i="19"/>
  <c r="L204" i="19"/>
  <c r="K204" i="19"/>
  <c r="I204" i="19"/>
  <c r="H204" i="19"/>
  <c r="G204" i="19"/>
  <c r="L203" i="19"/>
  <c r="K203" i="19"/>
  <c r="I203" i="19"/>
  <c r="H203" i="19"/>
  <c r="G203" i="19"/>
  <c r="L202" i="19"/>
  <c r="K202" i="19"/>
  <c r="I202" i="19"/>
  <c r="H202" i="19"/>
  <c r="G202" i="19"/>
  <c r="L201" i="19"/>
  <c r="K201" i="19"/>
  <c r="I201" i="19"/>
  <c r="H201" i="19"/>
  <c r="G201" i="19"/>
  <c r="L200" i="19"/>
  <c r="K200" i="19"/>
  <c r="I200" i="19"/>
  <c r="H200" i="19"/>
  <c r="G200" i="19"/>
  <c r="L199" i="19"/>
  <c r="K199" i="19"/>
  <c r="I199" i="19"/>
  <c r="H199" i="19"/>
  <c r="G199" i="19"/>
  <c r="L198" i="19"/>
  <c r="K198" i="19"/>
  <c r="I198" i="19"/>
  <c r="H198" i="19"/>
  <c r="G198" i="19"/>
  <c r="L197" i="19"/>
  <c r="K197" i="19"/>
  <c r="I197" i="19"/>
  <c r="H197" i="19"/>
  <c r="G197" i="19"/>
  <c r="L196" i="19"/>
  <c r="K196" i="19"/>
  <c r="I196" i="19"/>
  <c r="H196" i="19"/>
  <c r="G196" i="19"/>
  <c r="L195" i="19"/>
  <c r="K195" i="19"/>
  <c r="I195" i="19"/>
  <c r="H195" i="19"/>
  <c r="G195" i="19"/>
  <c r="L194" i="19"/>
  <c r="K194" i="19"/>
  <c r="I194" i="19"/>
  <c r="H194" i="19"/>
  <c r="G194" i="19"/>
  <c r="L193" i="19"/>
  <c r="K193" i="19"/>
  <c r="I193" i="19"/>
  <c r="H193" i="19"/>
  <c r="G193" i="19"/>
  <c r="L192" i="19"/>
  <c r="K192" i="19"/>
  <c r="I192" i="19"/>
  <c r="H192" i="19"/>
  <c r="G192" i="19"/>
  <c r="L191" i="19"/>
  <c r="K191" i="19"/>
  <c r="I191" i="19"/>
  <c r="H191" i="19"/>
  <c r="G191" i="19"/>
  <c r="L190" i="19"/>
  <c r="K190" i="19"/>
  <c r="I190" i="19"/>
  <c r="H190" i="19"/>
  <c r="G190" i="19"/>
  <c r="L189" i="19"/>
  <c r="K189" i="19"/>
  <c r="I189" i="19"/>
  <c r="H189" i="19"/>
  <c r="G189" i="19"/>
  <c r="L188" i="19"/>
  <c r="K188" i="19"/>
  <c r="I188" i="19"/>
  <c r="H188" i="19"/>
  <c r="G188" i="19"/>
  <c r="L187" i="19"/>
  <c r="K187" i="19"/>
  <c r="I187" i="19"/>
  <c r="H187" i="19"/>
  <c r="G187" i="19"/>
  <c r="L186" i="19"/>
  <c r="K186" i="19"/>
  <c r="I186" i="19"/>
  <c r="H186" i="19"/>
  <c r="G186" i="19"/>
  <c r="L185" i="19"/>
  <c r="K185" i="19"/>
  <c r="I185" i="19"/>
  <c r="H185" i="19"/>
  <c r="G185" i="19"/>
  <c r="L184" i="19"/>
  <c r="K184" i="19"/>
  <c r="I184" i="19"/>
  <c r="H184" i="19"/>
  <c r="G184" i="19"/>
  <c r="L183" i="19"/>
  <c r="K183" i="19"/>
  <c r="I183" i="19"/>
  <c r="H183" i="19"/>
  <c r="G183" i="19"/>
  <c r="L182" i="19"/>
  <c r="K182" i="19"/>
  <c r="I182" i="19"/>
  <c r="H182" i="19"/>
  <c r="G182" i="19"/>
  <c r="L181" i="19"/>
  <c r="K181" i="19"/>
  <c r="I181" i="19"/>
  <c r="H181" i="19"/>
  <c r="G181" i="19"/>
  <c r="L180" i="19"/>
  <c r="K180" i="19"/>
  <c r="I180" i="19"/>
  <c r="H180" i="19"/>
  <c r="G180" i="19"/>
  <c r="L179" i="19"/>
  <c r="K179" i="19"/>
  <c r="I179" i="19"/>
  <c r="H179" i="19"/>
  <c r="G179" i="19"/>
  <c r="L178" i="19"/>
  <c r="K178" i="19"/>
  <c r="I178" i="19"/>
  <c r="H178" i="19"/>
  <c r="G178" i="19"/>
  <c r="L177" i="19"/>
  <c r="K177" i="19"/>
  <c r="I177" i="19"/>
  <c r="H177" i="19"/>
  <c r="G177" i="19"/>
  <c r="L176" i="19"/>
  <c r="K176" i="19"/>
  <c r="I176" i="19"/>
  <c r="H176" i="19"/>
  <c r="G176" i="19"/>
  <c r="L175" i="19"/>
  <c r="K175" i="19"/>
  <c r="I175" i="19"/>
  <c r="H175" i="19"/>
  <c r="G175" i="19"/>
  <c r="L174" i="19"/>
  <c r="K174" i="19"/>
  <c r="I174" i="19"/>
  <c r="H174" i="19"/>
  <c r="G174" i="19"/>
  <c r="L173" i="19"/>
  <c r="K173" i="19"/>
  <c r="I173" i="19"/>
  <c r="H173" i="19"/>
  <c r="G173" i="19"/>
  <c r="L172" i="19"/>
  <c r="K172" i="19"/>
  <c r="I172" i="19"/>
  <c r="H172" i="19"/>
  <c r="G172" i="19"/>
  <c r="F120" i="25" s="1"/>
  <c r="L77" i="19"/>
  <c r="J57" i="19"/>
  <c r="J56" i="19"/>
  <c r="J54" i="19"/>
  <c r="J36" i="19"/>
  <c r="I69" i="23" s="1"/>
  <c r="N36" i="19"/>
  <c r="M69" i="23" s="1"/>
  <c r="M36" i="19"/>
  <c r="L69" i="23" s="1"/>
  <c r="L36" i="19"/>
  <c r="K69" i="23" s="1"/>
  <c r="K36" i="19"/>
  <c r="J69" i="23" s="1"/>
  <c r="I36" i="19"/>
  <c r="H69" i="23" s="1"/>
  <c r="H36" i="19"/>
  <c r="G69" i="23" s="1"/>
  <c r="G36" i="19"/>
  <c r="F69" i="23" s="1"/>
  <c r="H168" i="19"/>
  <c r="K108" i="19"/>
  <c r="J47" i="24" s="1"/>
  <c r="J108" i="19"/>
  <c r="I47" i="24" s="1"/>
  <c r="I108" i="19"/>
  <c r="H47" i="24" s="1"/>
  <c r="H108" i="19"/>
  <c r="G47" i="24" s="1"/>
  <c r="G108" i="19"/>
  <c r="D51" i="58"/>
  <c r="E51" i="58"/>
  <c r="F51" i="58"/>
  <c r="C51" i="58"/>
  <c r="B50" i="58"/>
  <c r="C50" i="58"/>
  <c r="D50" i="58"/>
  <c r="E50" i="58"/>
  <c r="F50" i="58"/>
  <c r="A50" i="58"/>
  <c r="O13" i="24"/>
  <c r="D65" i="72"/>
  <c r="C65" i="72"/>
  <c r="D65" i="40"/>
  <c r="E65" i="40"/>
  <c r="F65" i="40"/>
  <c r="G65" i="40"/>
  <c r="C65" i="40"/>
  <c r="C65" i="50"/>
  <c r="D65" i="50"/>
  <c r="E65" i="50"/>
  <c r="F65" i="50"/>
  <c r="N54" i="19"/>
  <c r="M54" i="19"/>
  <c r="L54" i="19"/>
  <c r="K54" i="19"/>
  <c r="I54" i="19"/>
  <c r="H54" i="19"/>
  <c r="G54" i="19"/>
  <c r="D63" i="72"/>
  <c r="D64" i="72"/>
  <c r="C64" i="72"/>
  <c r="C63" i="72"/>
  <c r="B62" i="72"/>
  <c r="C62" i="72"/>
  <c r="D62" i="72"/>
  <c r="A62" i="72"/>
  <c r="D63" i="40"/>
  <c r="E63" i="40"/>
  <c r="F63" i="40"/>
  <c r="G63" i="40"/>
  <c r="D64" i="40"/>
  <c r="E64" i="40"/>
  <c r="F64" i="40"/>
  <c r="G64" i="40"/>
  <c r="C64" i="40"/>
  <c r="C63" i="40"/>
  <c r="B62" i="40"/>
  <c r="C62" i="40"/>
  <c r="D62" i="40"/>
  <c r="E62" i="40"/>
  <c r="F62" i="40"/>
  <c r="G62" i="40"/>
  <c r="A62" i="40"/>
  <c r="B62" i="50"/>
  <c r="C62" i="50"/>
  <c r="D62" i="50"/>
  <c r="E62" i="50"/>
  <c r="F62" i="50"/>
  <c r="A62" i="50"/>
  <c r="D63" i="50"/>
  <c r="E63" i="50"/>
  <c r="F63" i="50"/>
  <c r="D64" i="50"/>
  <c r="E64" i="50"/>
  <c r="F64" i="50"/>
  <c r="C63" i="50"/>
  <c r="C64" i="50"/>
  <c r="O57" i="19"/>
  <c r="O56" i="19"/>
  <c r="Q129" i="26"/>
  <c r="Q137" i="26" s="1"/>
  <c r="R129" i="26"/>
  <c r="R137" i="26" s="1"/>
  <c r="S129" i="26"/>
  <c r="T129" i="26"/>
  <c r="P129" i="26"/>
  <c r="Q121" i="26"/>
  <c r="R121" i="26"/>
  <c r="S121" i="26"/>
  <c r="T121" i="26"/>
  <c r="P121" i="26"/>
  <c r="Q114" i="26"/>
  <c r="Q126" i="26" s="1"/>
  <c r="R114" i="26"/>
  <c r="L151" i="25" s="1"/>
  <c r="S114" i="26"/>
  <c r="S126" i="26" s="1"/>
  <c r="T114" i="26"/>
  <c r="N151" i="25" s="1"/>
  <c r="P114" i="26"/>
  <c r="T146" i="26"/>
  <c r="S146" i="26"/>
  <c r="R146" i="26"/>
  <c r="Q146" i="26"/>
  <c r="P146" i="26"/>
  <c r="O146" i="26"/>
  <c r="N146" i="26"/>
  <c r="M146" i="26"/>
  <c r="L146" i="26"/>
  <c r="K146" i="26"/>
  <c r="J146" i="26"/>
  <c r="T137" i="26"/>
  <c r="S137" i="26"/>
  <c r="P137" i="26"/>
  <c r="O137" i="26"/>
  <c r="N137" i="26"/>
  <c r="M137" i="26"/>
  <c r="L137" i="26"/>
  <c r="K137" i="26"/>
  <c r="J137" i="26"/>
  <c r="O126" i="26"/>
  <c r="N126" i="26"/>
  <c r="M126" i="26"/>
  <c r="L126" i="26"/>
  <c r="K126" i="26"/>
  <c r="J126" i="26"/>
  <c r="L113" i="26"/>
  <c r="L127" i="26" s="1"/>
  <c r="K113" i="26"/>
  <c r="J113" i="26"/>
  <c r="T107" i="26"/>
  <c r="T105" i="26" s="1"/>
  <c r="S107" i="26"/>
  <c r="S105" i="26" s="1"/>
  <c r="R107" i="26"/>
  <c r="R105" i="26" s="1"/>
  <c r="Q107" i="26"/>
  <c r="Q105" i="26" s="1"/>
  <c r="P107" i="26"/>
  <c r="P105" i="26" s="1"/>
  <c r="O105" i="26"/>
  <c r="T98" i="26"/>
  <c r="S98" i="26"/>
  <c r="R98" i="26"/>
  <c r="R96" i="26" s="1"/>
  <c r="Q98" i="26"/>
  <c r="Q96" i="26" s="1"/>
  <c r="P98" i="26"/>
  <c r="P96" i="26" s="1"/>
  <c r="T96" i="26"/>
  <c r="S96" i="26"/>
  <c r="O96" i="26"/>
  <c r="I152" i="25" s="1"/>
  <c r="N96" i="26"/>
  <c r="H152" i="25" s="1"/>
  <c r="M96" i="26"/>
  <c r="M113" i="26" s="1"/>
  <c r="M141" i="25"/>
  <c r="N141" i="25"/>
  <c r="O141" i="25"/>
  <c r="F141" i="25"/>
  <c r="F151" i="25"/>
  <c r="G151" i="25"/>
  <c r="H151" i="25"/>
  <c r="I151" i="25"/>
  <c r="J151" i="25"/>
  <c r="F152" i="25"/>
  <c r="G152" i="25"/>
  <c r="F150" i="25"/>
  <c r="G150" i="25"/>
  <c r="H150" i="25"/>
  <c r="I150" i="25"/>
  <c r="J150" i="25"/>
  <c r="K150" i="25"/>
  <c r="L150" i="25"/>
  <c r="M150" i="25"/>
  <c r="O150" i="25"/>
  <c r="N150" i="25"/>
  <c r="G147" i="25"/>
  <c r="H147" i="25"/>
  <c r="I147" i="25"/>
  <c r="J147" i="25"/>
  <c r="K147" i="25"/>
  <c r="O147" i="25"/>
  <c r="L147" i="25"/>
  <c r="M147" i="25"/>
  <c r="N147" i="25"/>
  <c r="M142" i="25"/>
  <c r="N142" i="25"/>
  <c r="O142" i="25"/>
  <c r="M143" i="25"/>
  <c r="N143" i="25"/>
  <c r="O143" i="25"/>
  <c r="E7" i="6"/>
  <c r="E212" i="6" s="1"/>
  <c r="D7" i="25"/>
  <c r="D214" i="25" s="1"/>
  <c r="D7" i="24"/>
  <c r="D286" i="24" s="1"/>
  <c r="D241" i="23"/>
  <c r="D215" i="23"/>
  <c r="B97" i="23"/>
  <c r="L252" i="6"/>
  <c r="M252" i="6"/>
  <c r="N252" i="6"/>
  <c r="O252" i="6"/>
  <c r="F253" i="6"/>
  <c r="F186" i="6"/>
  <c r="L183" i="6"/>
  <c r="M183" i="6"/>
  <c r="N183" i="6"/>
  <c r="O183" i="6"/>
  <c r="L155" i="6"/>
  <c r="M155" i="6"/>
  <c r="N155" i="6"/>
  <c r="H145" i="6"/>
  <c r="I145" i="6"/>
  <c r="J145" i="6"/>
  <c r="H146" i="6"/>
  <c r="I146" i="6"/>
  <c r="J146" i="6"/>
  <c r="H147" i="6"/>
  <c r="I147" i="6"/>
  <c r="J147" i="6"/>
  <c r="I148" i="6"/>
  <c r="J148" i="6"/>
  <c r="H149" i="6"/>
  <c r="I149" i="6"/>
  <c r="J149" i="6"/>
  <c r="P149" i="6" s="1"/>
  <c r="H150" i="6"/>
  <c r="I150" i="6"/>
  <c r="J150" i="6"/>
  <c r="P150" i="6" s="1"/>
  <c r="H151" i="6"/>
  <c r="I151" i="6"/>
  <c r="J151" i="6"/>
  <c r="H152" i="6"/>
  <c r="I152" i="6"/>
  <c r="J152" i="6"/>
  <c r="H153" i="6"/>
  <c r="I153" i="6"/>
  <c r="J153" i="6"/>
  <c r="G153" i="6"/>
  <c r="G152" i="6"/>
  <c r="G151" i="6"/>
  <c r="G150" i="6"/>
  <c r="G149" i="6"/>
  <c r="G148" i="6"/>
  <c r="G147" i="6"/>
  <c r="G146" i="6"/>
  <c r="G145" i="6"/>
  <c r="O133" i="6"/>
  <c r="O89" i="6"/>
  <c r="O90" i="6"/>
  <c r="O91" i="6"/>
  <c r="O92" i="6"/>
  <c r="O93" i="6"/>
  <c r="O94" i="6"/>
  <c r="O95" i="6"/>
  <c r="O115" i="6"/>
  <c r="O116" i="6"/>
  <c r="O117" i="6"/>
  <c r="O118" i="6"/>
  <c r="O119" i="6"/>
  <c r="O120" i="6"/>
  <c r="O110" i="6"/>
  <c r="O111" i="6"/>
  <c r="O112" i="6"/>
  <c r="O113" i="6"/>
  <c r="O98" i="6"/>
  <c r="O99" i="6"/>
  <c r="O100" i="6"/>
  <c r="O102" i="6"/>
  <c r="O103" i="6"/>
  <c r="O104" i="6"/>
  <c r="O105" i="6"/>
  <c r="O106" i="6"/>
  <c r="O107" i="6"/>
  <c r="O108" i="6"/>
  <c r="O96" i="6"/>
  <c r="O81" i="6"/>
  <c r="O82" i="6"/>
  <c r="O83" i="6"/>
  <c r="O84" i="6"/>
  <c r="O85" i="6"/>
  <c r="O86" i="6"/>
  <c r="O87" i="6"/>
  <c r="N10" i="6"/>
  <c r="O10" i="6"/>
  <c r="M10" i="6"/>
  <c r="N33" i="6"/>
  <c r="O33" i="6"/>
  <c r="M33" i="6"/>
  <c r="N45" i="6"/>
  <c r="O45" i="6"/>
  <c r="M45" i="6"/>
  <c r="AB169" i="25"/>
  <c r="AB186" i="25" s="1"/>
  <c r="AB170" i="25"/>
  <c r="AB171" i="25"/>
  <c r="AB172" i="25"/>
  <c r="AB173" i="25"/>
  <c r="AB174" i="25"/>
  <c r="AB175" i="25"/>
  <c r="AB176" i="25"/>
  <c r="AB177" i="25"/>
  <c r="AB178" i="25"/>
  <c r="AB179" i="25"/>
  <c r="AB180" i="25"/>
  <c r="AB181" i="25"/>
  <c r="L203" i="25"/>
  <c r="L205" i="25" s="1"/>
  <c r="M203" i="25"/>
  <c r="M205" i="25" s="1"/>
  <c r="N203" i="25"/>
  <c r="N205" i="25" s="1"/>
  <c r="O201" i="25"/>
  <c r="O204" i="25" s="1"/>
  <c r="F169" i="25"/>
  <c r="O127" i="25"/>
  <c r="F127" i="25"/>
  <c r="L111" i="25"/>
  <c r="M111" i="25"/>
  <c r="N111" i="25"/>
  <c r="O111" i="25"/>
  <c r="L106" i="25"/>
  <c r="M106" i="25"/>
  <c r="N106" i="25"/>
  <c r="O106" i="25"/>
  <c r="O98" i="25"/>
  <c r="O99" i="25"/>
  <c r="O91" i="25"/>
  <c r="F60" i="25"/>
  <c r="H26" i="25"/>
  <c r="I26" i="25"/>
  <c r="J26" i="25"/>
  <c r="L26" i="25"/>
  <c r="M26" i="25"/>
  <c r="N26" i="25"/>
  <c r="O26" i="25"/>
  <c r="F26" i="25"/>
  <c r="G26" i="25"/>
  <c r="H19" i="25"/>
  <c r="I19" i="25"/>
  <c r="J19" i="25"/>
  <c r="K19" i="25"/>
  <c r="L19" i="25"/>
  <c r="M19" i="25"/>
  <c r="N19" i="25"/>
  <c r="O19" i="25"/>
  <c r="H20" i="25"/>
  <c r="I20" i="25"/>
  <c r="J20" i="25"/>
  <c r="K20" i="25"/>
  <c r="L20" i="25"/>
  <c r="M20" i="25"/>
  <c r="N20" i="25"/>
  <c r="O20" i="25"/>
  <c r="H21" i="25"/>
  <c r="I21" i="25"/>
  <c r="J21" i="25"/>
  <c r="K21" i="25"/>
  <c r="L21" i="25"/>
  <c r="M21" i="25"/>
  <c r="N21" i="25"/>
  <c r="O21" i="25"/>
  <c r="H22" i="25"/>
  <c r="I22" i="25"/>
  <c r="J22" i="25"/>
  <c r="K22" i="25"/>
  <c r="L22" i="25"/>
  <c r="M22" i="25"/>
  <c r="N22" i="25"/>
  <c r="O22" i="25"/>
  <c r="H23" i="25"/>
  <c r="I23" i="25"/>
  <c r="J23" i="25"/>
  <c r="K23" i="25"/>
  <c r="L23" i="25"/>
  <c r="M23" i="25"/>
  <c r="N23" i="25"/>
  <c r="O23" i="25"/>
  <c r="L24" i="25"/>
  <c r="L78" i="25" s="1"/>
  <c r="O24" i="25"/>
  <c r="O45" i="25" s="1"/>
  <c r="F19" i="25"/>
  <c r="F20" i="25"/>
  <c r="F21" i="25"/>
  <c r="F22" i="25"/>
  <c r="F23" i="25"/>
  <c r="F24" i="25"/>
  <c r="G23" i="25"/>
  <c r="G22" i="25"/>
  <c r="G21" i="25"/>
  <c r="G20" i="25"/>
  <c r="G19" i="25"/>
  <c r="F11" i="25"/>
  <c r="F12" i="25"/>
  <c r="F13" i="25"/>
  <c r="F14" i="25"/>
  <c r="F15" i="25"/>
  <c r="F16" i="25"/>
  <c r="F17" i="25"/>
  <c r="F71" i="25" s="1"/>
  <c r="H11" i="25"/>
  <c r="I11" i="25"/>
  <c r="J11" i="25"/>
  <c r="K11" i="25"/>
  <c r="L11" i="25"/>
  <c r="M11" i="25"/>
  <c r="N11" i="25"/>
  <c r="O11" i="25"/>
  <c r="H12" i="25"/>
  <c r="I12" i="25"/>
  <c r="J12" i="25"/>
  <c r="K12" i="25"/>
  <c r="L12" i="25"/>
  <c r="M12" i="25"/>
  <c r="N12" i="25"/>
  <c r="O12" i="25"/>
  <c r="H13" i="25"/>
  <c r="I13" i="25"/>
  <c r="J13" i="25"/>
  <c r="K13" i="25"/>
  <c r="L13" i="25"/>
  <c r="M13" i="25"/>
  <c r="N13" i="25"/>
  <c r="O13" i="25"/>
  <c r="H14" i="25"/>
  <c r="I14" i="25"/>
  <c r="J14" i="25"/>
  <c r="K14" i="25"/>
  <c r="L14" i="25"/>
  <c r="M14" i="25"/>
  <c r="N14" i="25"/>
  <c r="O14" i="25"/>
  <c r="H15" i="25"/>
  <c r="I15" i="25"/>
  <c r="J15" i="25"/>
  <c r="K15" i="25"/>
  <c r="L15" i="25"/>
  <c r="M15" i="25"/>
  <c r="N15" i="25"/>
  <c r="O15" i="25"/>
  <c r="H16" i="25"/>
  <c r="I16" i="25"/>
  <c r="J16" i="25"/>
  <c r="K16" i="25"/>
  <c r="L16" i="25"/>
  <c r="M16" i="25"/>
  <c r="N16" i="25"/>
  <c r="O16" i="25"/>
  <c r="O17" i="25"/>
  <c r="O71" i="25" s="1"/>
  <c r="G16" i="25"/>
  <c r="G15" i="25"/>
  <c r="G14" i="25"/>
  <c r="G13" i="25"/>
  <c r="G12" i="25"/>
  <c r="G11" i="25"/>
  <c r="O46" i="24"/>
  <c r="N46" i="24"/>
  <c r="M46" i="24"/>
  <c r="O25" i="24"/>
  <c r="N25" i="24"/>
  <c r="M25" i="24"/>
  <c r="O24" i="24"/>
  <c r="N24" i="24"/>
  <c r="M24" i="24"/>
  <c r="G217" i="23"/>
  <c r="H217" i="23"/>
  <c r="I217" i="23"/>
  <c r="J217" i="23"/>
  <c r="K217" i="23"/>
  <c r="L217" i="23"/>
  <c r="M217" i="23"/>
  <c r="N217" i="23"/>
  <c r="O217" i="23"/>
  <c r="G218" i="23"/>
  <c r="H218" i="23"/>
  <c r="I218" i="23"/>
  <c r="J218" i="23"/>
  <c r="K218" i="23"/>
  <c r="M218" i="23"/>
  <c r="N218" i="23"/>
  <c r="O218" i="23"/>
  <c r="G219" i="23"/>
  <c r="H219" i="23"/>
  <c r="I219" i="23"/>
  <c r="J219" i="23"/>
  <c r="K219" i="23"/>
  <c r="M219" i="23"/>
  <c r="N219" i="23"/>
  <c r="O219" i="23"/>
  <c r="G220" i="23"/>
  <c r="H220" i="23"/>
  <c r="I220" i="23"/>
  <c r="J220" i="23"/>
  <c r="K220" i="23"/>
  <c r="M220" i="23"/>
  <c r="N220" i="23"/>
  <c r="O220" i="23"/>
  <c r="G221" i="23"/>
  <c r="H221" i="23"/>
  <c r="I221" i="23"/>
  <c r="J221" i="23"/>
  <c r="K221" i="23"/>
  <c r="M221" i="23"/>
  <c r="N221" i="23"/>
  <c r="O221" i="23"/>
  <c r="G222" i="23"/>
  <c r="H222" i="23"/>
  <c r="I222" i="23"/>
  <c r="J222" i="23"/>
  <c r="K222" i="23"/>
  <c r="M222" i="23"/>
  <c r="N222" i="23"/>
  <c r="O222" i="23"/>
  <c r="G223" i="23"/>
  <c r="H223" i="23"/>
  <c r="I223" i="23"/>
  <c r="J223" i="23"/>
  <c r="K223" i="23"/>
  <c r="M223" i="23"/>
  <c r="N223" i="23"/>
  <c r="O223" i="23"/>
  <c r="G224" i="23"/>
  <c r="H224" i="23"/>
  <c r="I224" i="23"/>
  <c r="J224" i="23"/>
  <c r="K224" i="23"/>
  <c r="M224" i="23"/>
  <c r="N224" i="23"/>
  <c r="O224" i="23"/>
  <c r="G225" i="23"/>
  <c r="H225" i="23"/>
  <c r="I225" i="23"/>
  <c r="J225" i="23"/>
  <c r="K225" i="23"/>
  <c r="M225" i="23"/>
  <c r="N225" i="23"/>
  <c r="O225" i="23"/>
  <c r="G226" i="23"/>
  <c r="H226" i="23"/>
  <c r="I226" i="23"/>
  <c r="J226" i="23"/>
  <c r="K226" i="23"/>
  <c r="M226" i="23"/>
  <c r="N226" i="23"/>
  <c r="O226" i="23"/>
  <c r="G227" i="23"/>
  <c r="H227" i="23"/>
  <c r="I227" i="23"/>
  <c r="J227" i="23"/>
  <c r="K227" i="23"/>
  <c r="M227" i="23"/>
  <c r="N227" i="23"/>
  <c r="O227" i="23"/>
  <c r="G228" i="23"/>
  <c r="H228" i="23"/>
  <c r="I228" i="23"/>
  <c r="J228" i="23"/>
  <c r="K228" i="23"/>
  <c r="M228" i="23"/>
  <c r="N228" i="23"/>
  <c r="O228" i="23"/>
  <c r="G229" i="23"/>
  <c r="H229" i="23"/>
  <c r="I229" i="23"/>
  <c r="K229" i="23"/>
  <c r="M229" i="23"/>
  <c r="N229" i="23"/>
  <c r="O229" i="23"/>
  <c r="G230" i="23"/>
  <c r="H230" i="23"/>
  <c r="I230" i="23"/>
  <c r="J230" i="23"/>
  <c r="K230" i="23"/>
  <c r="L230" i="23"/>
  <c r="M230" i="23"/>
  <c r="N230" i="23"/>
  <c r="O230" i="23"/>
  <c r="G231" i="23"/>
  <c r="H231" i="23"/>
  <c r="I231" i="23"/>
  <c r="J231" i="23"/>
  <c r="K231" i="23"/>
  <c r="L231" i="23"/>
  <c r="M231" i="23"/>
  <c r="N231" i="23"/>
  <c r="O231" i="23"/>
  <c r="G232" i="23"/>
  <c r="H232" i="23"/>
  <c r="I232" i="23"/>
  <c r="J232" i="23"/>
  <c r="K232" i="23"/>
  <c r="L232" i="23"/>
  <c r="M232" i="23"/>
  <c r="N232" i="23"/>
  <c r="O232" i="23"/>
  <c r="G233" i="23"/>
  <c r="H233" i="23"/>
  <c r="I233" i="23"/>
  <c r="J233" i="23"/>
  <c r="K233" i="23"/>
  <c r="L233" i="23"/>
  <c r="M233" i="23"/>
  <c r="N233" i="23"/>
  <c r="O233" i="23"/>
  <c r="G234" i="23"/>
  <c r="H234" i="23"/>
  <c r="I234" i="23"/>
  <c r="J234" i="23"/>
  <c r="K234" i="23"/>
  <c r="L234" i="23"/>
  <c r="M234" i="23"/>
  <c r="N234" i="23"/>
  <c r="O234" i="23"/>
  <c r="F234" i="23"/>
  <c r="F218" i="23"/>
  <c r="F219" i="23"/>
  <c r="F220" i="23"/>
  <c r="F221" i="23"/>
  <c r="F222" i="23"/>
  <c r="F223" i="23"/>
  <c r="F224" i="23"/>
  <c r="F225" i="23"/>
  <c r="F226" i="23"/>
  <c r="F227" i="23"/>
  <c r="F228" i="23"/>
  <c r="F229" i="23"/>
  <c r="F230" i="23"/>
  <c r="F231" i="23"/>
  <c r="F232" i="23"/>
  <c r="F233" i="23"/>
  <c r="F217" i="23"/>
  <c r="E127" i="23"/>
  <c r="E128" i="23"/>
  <c r="E129" i="23"/>
  <c r="E130" i="23"/>
  <c r="E131" i="23"/>
  <c r="E120" i="23"/>
  <c r="E121" i="23"/>
  <c r="E122" i="23"/>
  <c r="E123" i="23"/>
  <c r="E124" i="23"/>
  <c r="F121" i="23"/>
  <c r="M101" i="23"/>
  <c r="G101" i="23"/>
  <c r="G100" i="23"/>
  <c r="G127" i="25" s="1"/>
  <c r="E43" i="23"/>
  <c r="L17" i="23"/>
  <c r="M17" i="23"/>
  <c r="N17" i="23"/>
  <c r="O17" i="23"/>
  <c r="L18" i="23"/>
  <c r="M18" i="23"/>
  <c r="N18" i="23"/>
  <c r="O18" i="23"/>
  <c r="L19" i="23"/>
  <c r="M19" i="23"/>
  <c r="N19" i="23"/>
  <c r="O19" i="23"/>
  <c r="L21" i="23"/>
  <c r="M21" i="23"/>
  <c r="N21" i="23"/>
  <c r="O21" i="23"/>
  <c r="L22" i="23"/>
  <c r="M22" i="23"/>
  <c r="N22" i="23"/>
  <c r="O22" i="23"/>
  <c r="L24" i="23"/>
  <c r="M24" i="23"/>
  <c r="N24" i="23"/>
  <c r="O24" i="23"/>
  <c r="L26" i="23"/>
  <c r="M26" i="23"/>
  <c r="N26" i="23"/>
  <c r="O26" i="23"/>
  <c r="L27" i="23"/>
  <c r="M27" i="23"/>
  <c r="N27" i="23"/>
  <c r="O27" i="23"/>
  <c r="L28" i="23"/>
  <c r="M28" i="23"/>
  <c r="N28" i="23"/>
  <c r="O28" i="23"/>
  <c r="O14" i="23"/>
  <c r="G65" i="23"/>
  <c r="H65" i="23"/>
  <c r="I65" i="23"/>
  <c r="J65" i="23"/>
  <c r="K65" i="23"/>
  <c r="M65" i="23"/>
  <c r="O65" i="23"/>
  <c r="G66" i="23"/>
  <c r="H66" i="23"/>
  <c r="I66" i="23"/>
  <c r="J66" i="23"/>
  <c r="K66" i="23"/>
  <c r="L66" i="23"/>
  <c r="M66" i="23"/>
  <c r="N66" i="23"/>
  <c r="O66" i="23"/>
  <c r="G67" i="23"/>
  <c r="G180" i="23" s="1"/>
  <c r="H67" i="23"/>
  <c r="H180" i="23" s="1"/>
  <c r="I67" i="23"/>
  <c r="I180" i="23" s="1"/>
  <c r="J67" i="23"/>
  <c r="J180" i="23" s="1"/>
  <c r="K67" i="23"/>
  <c r="K180" i="23" s="1"/>
  <c r="L67" i="23"/>
  <c r="L180" i="23" s="1"/>
  <c r="M67" i="23"/>
  <c r="M180" i="23" s="1"/>
  <c r="O67" i="23"/>
  <c r="O180" i="23" s="1"/>
  <c r="G68" i="23"/>
  <c r="H68" i="23"/>
  <c r="I68" i="23"/>
  <c r="K68" i="23"/>
  <c r="L68" i="23"/>
  <c r="M68" i="23"/>
  <c r="N68" i="23"/>
  <c r="O68" i="23"/>
  <c r="F68" i="23"/>
  <c r="F67" i="23"/>
  <c r="F66" i="23"/>
  <c r="F65" i="23"/>
  <c r="H60" i="23"/>
  <c r="I60" i="23"/>
  <c r="J60" i="23"/>
  <c r="K60" i="23"/>
  <c r="M60" i="23"/>
  <c r="O60" i="23"/>
  <c r="H61" i="23"/>
  <c r="I61" i="23"/>
  <c r="J61" i="23"/>
  <c r="K61" i="23"/>
  <c r="M61" i="23"/>
  <c r="O61" i="23"/>
  <c r="G61" i="23"/>
  <c r="G60" i="23"/>
  <c r="G48" i="23"/>
  <c r="H48" i="23"/>
  <c r="I48" i="23"/>
  <c r="J48" i="23"/>
  <c r="K48" i="23"/>
  <c r="L48" i="23"/>
  <c r="M48" i="23"/>
  <c r="N48" i="23"/>
  <c r="O48" i="23"/>
  <c r="G49" i="23"/>
  <c r="H49" i="23"/>
  <c r="I49" i="23"/>
  <c r="J49" i="23"/>
  <c r="K49" i="23"/>
  <c r="L49" i="23"/>
  <c r="M49" i="23"/>
  <c r="N49" i="23"/>
  <c r="O49" i="23"/>
  <c r="G51" i="23"/>
  <c r="H51" i="23"/>
  <c r="L51" i="23"/>
  <c r="M51" i="23"/>
  <c r="O51" i="23"/>
  <c r="G52" i="23"/>
  <c r="H52" i="23"/>
  <c r="M52" i="23"/>
  <c r="O52" i="23"/>
  <c r="G53" i="23"/>
  <c r="H53" i="23"/>
  <c r="I53" i="23"/>
  <c r="L53" i="23"/>
  <c r="M53" i="23"/>
  <c r="N53" i="23"/>
  <c r="O53" i="23"/>
  <c r="H56" i="23"/>
  <c r="I56" i="23"/>
  <c r="J56" i="23"/>
  <c r="M56" i="23"/>
  <c r="O56" i="23"/>
  <c r="G57" i="23"/>
  <c r="H57" i="23"/>
  <c r="I57" i="23"/>
  <c r="J57" i="23"/>
  <c r="K57" i="23"/>
  <c r="M57" i="23"/>
  <c r="O57" i="23"/>
  <c r="G58" i="23"/>
  <c r="H58" i="23"/>
  <c r="I58" i="23"/>
  <c r="J58" i="23"/>
  <c r="K58" i="23"/>
  <c r="L58" i="23"/>
  <c r="M58" i="23"/>
  <c r="N58" i="23"/>
  <c r="O58" i="23"/>
  <c r="F58" i="23"/>
  <c r="F57" i="23"/>
  <c r="F56" i="23"/>
  <c r="F53" i="23"/>
  <c r="F52" i="23"/>
  <c r="F51" i="23"/>
  <c r="F49" i="23"/>
  <c r="F48" i="23"/>
  <c r="O30" i="23"/>
  <c r="G17" i="23"/>
  <c r="H17" i="23"/>
  <c r="I17" i="23"/>
  <c r="J17" i="23"/>
  <c r="K17" i="23"/>
  <c r="G18" i="23"/>
  <c r="H18" i="23"/>
  <c r="I18" i="23"/>
  <c r="J18" i="23"/>
  <c r="K18" i="23"/>
  <c r="G19" i="23"/>
  <c r="H19" i="23"/>
  <c r="I19" i="23"/>
  <c r="J19" i="23"/>
  <c r="K19" i="23"/>
  <c r="G21" i="23"/>
  <c r="H21" i="23"/>
  <c r="I21" i="23"/>
  <c r="J21" i="23"/>
  <c r="K21" i="23"/>
  <c r="G22" i="23"/>
  <c r="H22" i="23"/>
  <c r="I22" i="23"/>
  <c r="J22" i="23"/>
  <c r="K22" i="23"/>
  <c r="G24" i="23"/>
  <c r="H24" i="23"/>
  <c r="I24" i="23"/>
  <c r="J24" i="23"/>
  <c r="K24" i="23"/>
  <c r="H26" i="23"/>
  <c r="J26" i="23"/>
  <c r="K26" i="23"/>
  <c r="G27" i="23"/>
  <c r="I27" i="23"/>
  <c r="J27" i="23"/>
  <c r="K27" i="23"/>
  <c r="G28" i="23"/>
  <c r="H28" i="23"/>
  <c r="I28" i="23"/>
  <c r="J28" i="23"/>
  <c r="K28" i="23"/>
  <c r="F28" i="23"/>
  <c r="F27" i="23"/>
  <c r="F26" i="23"/>
  <c r="F24" i="23"/>
  <c r="F22" i="23"/>
  <c r="F21" i="23"/>
  <c r="F19" i="23"/>
  <c r="F18" i="23"/>
  <c r="F17" i="23"/>
  <c r="F14" i="23"/>
  <c r="J229" i="23"/>
  <c r="J52" i="23"/>
  <c r="K52" i="23"/>
  <c r="L160" i="25"/>
  <c r="M160" i="25"/>
  <c r="N160" i="25"/>
  <c r="O160" i="25"/>
  <c r="L161" i="25"/>
  <c r="M161" i="25"/>
  <c r="N161" i="25"/>
  <c r="O161" i="25"/>
  <c r="L162" i="25"/>
  <c r="M162" i="25"/>
  <c r="N162" i="25"/>
  <c r="O162" i="25"/>
  <c r="L120" i="25"/>
  <c r="M120" i="25"/>
  <c r="N120" i="25"/>
  <c r="O120" i="25"/>
  <c r="L53" i="25"/>
  <c r="L55" i="25" s="1"/>
  <c r="M53" i="25"/>
  <c r="M55" i="25" s="1"/>
  <c r="N53" i="25"/>
  <c r="N55" i="25" s="1"/>
  <c r="O53" i="25"/>
  <c r="O55" i="25" s="1"/>
  <c r="L54" i="25"/>
  <c r="M54" i="25"/>
  <c r="N54" i="25"/>
  <c r="O54" i="25"/>
  <c r="L57" i="25"/>
  <c r="L59" i="25" s="1"/>
  <c r="M57" i="25"/>
  <c r="M59" i="25" s="1"/>
  <c r="N57" i="25"/>
  <c r="N59" i="25" s="1"/>
  <c r="O57" i="25"/>
  <c r="O59" i="25" s="1"/>
  <c r="L58" i="25"/>
  <c r="M58" i="25"/>
  <c r="N58" i="25"/>
  <c r="O58" i="25"/>
  <c r="L60" i="25"/>
  <c r="M60" i="25"/>
  <c r="N60" i="25"/>
  <c r="O60" i="25"/>
  <c r="AB11" i="25"/>
  <c r="AB17" i="25" s="1"/>
  <c r="AB12" i="25"/>
  <c r="AB13" i="25"/>
  <c r="AB14" i="25"/>
  <c r="AB15" i="25"/>
  <c r="AB16" i="25"/>
  <c r="AB19" i="25"/>
  <c r="AB24" i="25" s="1"/>
  <c r="AB20" i="25"/>
  <c r="AB21" i="25"/>
  <c r="AB22" i="25"/>
  <c r="AB23" i="25"/>
  <c r="AB26" i="25"/>
  <c r="AB27" i="25"/>
  <c r="X8" i="25"/>
  <c r="Y8" i="25"/>
  <c r="Z8" i="25"/>
  <c r="AA8" i="25"/>
  <c r="AB8" i="25"/>
  <c r="AB168" i="25" s="1"/>
  <c r="L8" i="25"/>
  <c r="L104" i="25" s="1"/>
  <c r="M8" i="25"/>
  <c r="M198" i="25" s="1"/>
  <c r="N8" i="25"/>
  <c r="N198" i="25" s="1"/>
  <c r="O8" i="25"/>
  <c r="O125" i="25" s="1"/>
  <c r="N56" i="23"/>
  <c r="L56" i="23"/>
  <c r="L60" i="23"/>
  <c r="K56" i="23"/>
  <c r="G56" i="23"/>
  <c r="L164" i="26"/>
  <c r="M164" i="26"/>
  <c r="G322" i="30"/>
  <c r="F322" i="30"/>
  <c r="E322" i="30"/>
  <c r="D322" i="30"/>
  <c r="C322" i="30"/>
  <c r="B322" i="30"/>
  <c r="G321" i="30"/>
  <c r="F321" i="30"/>
  <c r="E321" i="30"/>
  <c r="D321" i="30"/>
  <c r="C321" i="30"/>
  <c r="B321" i="30"/>
  <c r="G320" i="30"/>
  <c r="F320" i="30"/>
  <c r="E320" i="30"/>
  <c r="D320" i="30"/>
  <c r="C320" i="30"/>
  <c r="B320" i="30"/>
  <c r="G469" i="30"/>
  <c r="F469" i="30"/>
  <c r="E469" i="30"/>
  <c r="D469" i="30"/>
  <c r="C469" i="30"/>
  <c r="B469" i="30"/>
  <c r="G468" i="30"/>
  <c r="F468" i="30"/>
  <c r="E468" i="30"/>
  <c r="D468" i="30"/>
  <c r="C468" i="30"/>
  <c r="B468" i="30"/>
  <c r="G467" i="30"/>
  <c r="F467" i="30"/>
  <c r="E467" i="30"/>
  <c r="D467" i="30"/>
  <c r="C467" i="30"/>
  <c r="B467" i="30"/>
  <c r="G466" i="30"/>
  <c r="F466" i="30"/>
  <c r="E466" i="30"/>
  <c r="D466" i="30"/>
  <c r="C466" i="30"/>
  <c r="B466" i="30"/>
  <c r="G465" i="30"/>
  <c r="F465" i="30"/>
  <c r="E465" i="30"/>
  <c r="D465" i="30"/>
  <c r="C465" i="30"/>
  <c r="B465" i="30"/>
  <c r="G464" i="30"/>
  <c r="F464" i="30"/>
  <c r="E464" i="30"/>
  <c r="D464" i="30"/>
  <c r="C464" i="30"/>
  <c r="B464" i="30"/>
  <c r="G463" i="30"/>
  <c r="F463" i="30"/>
  <c r="E463" i="30"/>
  <c r="D463" i="30"/>
  <c r="C463" i="30"/>
  <c r="B463" i="30"/>
  <c r="G462" i="30"/>
  <c r="F462" i="30"/>
  <c r="E462" i="30"/>
  <c r="D462" i="30"/>
  <c r="C462" i="30"/>
  <c r="B462" i="30"/>
  <c r="G461" i="30"/>
  <c r="F461" i="30"/>
  <c r="E461" i="30"/>
  <c r="D461" i="30"/>
  <c r="C461" i="30"/>
  <c r="B461" i="30"/>
  <c r="G460" i="30"/>
  <c r="F460" i="30"/>
  <c r="E460" i="30"/>
  <c r="D460" i="30"/>
  <c r="C460" i="30"/>
  <c r="B460" i="30"/>
  <c r="G459" i="30"/>
  <c r="F459" i="30"/>
  <c r="E459" i="30"/>
  <c r="D459" i="30"/>
  <c r="C459" i="30"/>
  <c r="B459" i="30"/>
  <c r="G458" i="30"/>
  <c r="F458" i="30"/>
  <c r="E458" i="30"/>
  <c r="D458" i="30"/>
  <c r="C458" i="30"/>
  <c r="B458" i="30"/>
  <c r="G457" i="30"/>
  <c r="F457" i="30"/>
  <c r="E457" i="30"/>
  <c r="D457" i="30"/>
  <c r="C457" i="30"/>
  <c r="B457" i="30"/>
  <c r="G456" i="30"/>
  <c r="F456" i="30"/>
  <c r="E456" i="30"/>
  <c r="D456" i="30"/>
  <c r="C456" i="30"/>
  <c r="B456" i="30"/>
  <c r="G455" i="30"/>
  <c r="F455" i="30"/>
  <c r="E455" i="30"/>
  <c r="D455" i="30"/>
  <c r="C455" i="30"/>
  <c r="B455" i="30"/>
  <c r="G454" i="30"/>
  <c r="F454" i="30"/>
  <c r="E454" i="30"/>
  <c r="D454" i="30"/>
  <c r="C454" i="30"/>
  <c r="B454" i="30"/>
  <c r="G453" i="30"/>
  <c r="F453" i="30"/>
  <c r="E453" i="30"/>
  <c r="D453" i="30"/>
  <c r="C453" i="30"/>
  <c r="B453" i="30"/>
  <c r="G452" i="30"/>
  <c r="F452" i="30"/>
  <c r="E452" i="30"/>
  <c r="D452" i="30"/>
  <c r="C452" i="30"/>
  <c r="B452" i="30"/>
  <c r="G451" i="30"/>
  <c r="F451" i="30"/>
  <c r="E451" i="30"/>
  <c r="D451" i="30"/>
  <c r="C451" i="30"/>
  <c r="B451" i="30"/>
  <c r="G450" i="30"/>
  <c r="F450" i="30"/>
  <c r="E450" i="30"/>
  <c r="D450" i="30"/>
  <c r="C450" i="30"/>
  <c r="B450" i="30"/>
  <c r="G449" i="30"/>
  <c r="F449" i="30"/>
  <c r="E449" i="30"/>
  <c r="D449" i="30"/>
  <c r="C449" i="30"/>
  <c r="B449" i="30"/>
  <c r="G448" i="30"/>
  <c r="F448" i="30"/>
  <c r="E448" i="30"/>
  <c r="D448" i="30"/>
  <c r="C448" i="30"/>
  <c r="B448" i="30"/>
  <c r="G447" i="30"/>
  <c r="F447" i="30"/>
  <c r="E447" i="30"/>
  <c r="D447" i="30"/>
  <c r="C447" i="30"/>
  <c r="B447" i="30"/>
  <c r="G446" i="30"/>
  <c r="F446" i="30"/>
  <c r="E446" i="30"/>
  <c r="D446" i="30"/>
  <c r="C446" i="30"/>
  <c r="B446" i="30"/>
  <c r="G445" i="30"/>
  <c r="F445" i="30"/>
  <c r="E445" i="30"/>
  <c r="D445" i="30"/>
  <c r="C445" i="30"/>
  <c r="B445" i="30"/>
  <c r="G444" i="30"/>
  <c r="F444" i="30"/>
  <c r="E444" i="30"/>
  <c r="D444" i="30"/>
  <c r="C444" i="30"/>
  <c r="B444" i="30"/>
  <c r="G443" i="30"/>
  <c r="F443" i="30"/>
  <c r="E443" i="30"/>
  <c r="D443" i="30"/>
  <c r="C443" i="30"/>
  <c r="B443" i="30"/>
  <c r="G442" i="30"/>
  <c r="F442" i="30"/>
  <c r="E442" i="30"/>
  <c r="D442" i="30"/>
  <c r="C442" i="30"/>
  <c r="B442" i="30"/>
  <c r="G441" i="30"/>
  <c r="F441" i="30"/>
  <c r="E441" i="30"/>
  <c r="D441" i="30"/>
  <c r="C441" i="30"/>
  <c r="B441" i="30"/>
  <c r="G440" i="30"/>
  <c r="F440" i="30"/>
  <c r="E440" i="30"/>
  <c r="D440" i="30"/>
  <c r="C440" i="30"/>
  <c r="B440" i="30"/>
  <c r="G439" i="30"/>
  <c r="F439" i="30"/>
  <c r="E439" i="30"/>
  <c r="D439" i="30"/>
  <c r="C439" i="30"/>
  <c r="B439" i="30"/>
  <c r="G438" i="30"/>
  <c r="F438" i="30"/>
  <c r="E438" i="30"/>
  <c r="D438" i="30"/>
  <c r="C438" i="30"/>
  <c r="B438" i="30"/>
  <c r="G437" i="30"/>
  <c r="F437" i="30"/>
  <c r="E437" i="30"/>
  <c r="D437" i="30"/>
  <c r="C437" i="30"/>
  <c r="B437" i="30"/>
  <c r="G436" i="30"/>
  <c r="F436" i="30"/>
  <c r="E436" i="30"/>
  <c r="D436" i="30"/>
  <c r="C436" i="30"/>
  <c r="B436" i="30"/>
  <c r="G435" i="30"/>
  <c r="F435" i="30"/>
  <c r="E435" i="30"/>
  <c r="D435" i="30"/>
  <c r="C435" i="30"/>
  <c r="B435" i="30"/>
  <c r="G434" i="30"/>
  <c r="F434" i="30"/>
  <c r="E434" i="30"/>
  <c r="D434" i="30"/>
  <c r="C434" i="30"/>
  <c r="B434" i="30"/>
  <c r="G433" i="30"/>
  <c r="F433" i="30"/>
  <c r="E433" i="30"/>
  <c r="D433" i="30"/>
  <c r="C433" i="30"/>
  <c r="B433" i="30"/>
  <c r="G432" i="30"/>
  <c r="F432" i="30"/>
  <c r="E432" i="30"/>
  <c r="D432" i="30"/>
  <c r="C432" i="30"/>
  <c r="B432" i="30"/>
  <c r="G431" i="30"/>
  <c r="F431" i="30"/>
  <c r="E431" i="30"/>
  <c r="D431" i="30"/>
  <c r="C431" i="30"/>
  <c r="B431" i="30"/>
  <c r="G430" i="30"/>
  <c r="F430" i="30"/>
  <c r="E430" i="30"/>
  <c r="D430" i="30"/>
  <c r="C430" i="30"/>
  <c r="B430" i="30"/>
  <c r="G429" i="30"/>
  <c r="F429" i="30"/>
  <c r="E429" i="30"/>
  <c r="D429" i="30"/>
  <c r="C429" i="30"/>
  <c r="B429" i="30"/>
  <c r="G428" i="30"/>
  <c r="F428" i="30"/>
  <c r="E428" i="30"/>
  <c r="D428" i="30"/>
  <c r="C428" i="30"/>
  <c r="B428" i="30"/>
  <c r="G427" i="30"/>
  <c r="F427" i="30"/>
  <c r="E427" i="30"/>
  <c r="D427" i="30"/>
  <c r="C427" i="30"/>
  <c r="B427" i="30"/>
  <c r="G426" i="30"/>
  <c r="F426" i="30"/>
  <c r="E426" i="30"/>
  <c r="D426" i="30"/>
  <c r="C426" i="30"/>
  <c r="B426" i="30"/>
  <c r="G425" i="30"/>
  <c r="F425" i="30"/>
  <c r="E425" i="30"/>
  <c r="D425" i="30"/>
  <c r="C425" i="30"/>
  <c r="B425" i="30"/>
  <c r="G424" i="30"/>
  <c r="F424" i="30"/>
  <c r="E424" i="30"/>
  <c r="D424" i="30"/>
  <c r="C424" i="30"/>
  <c r="B424" i="30"/>
  <c r="G423" i="30"/>
  <c r="F423" i="30"/>
  <c r="E423" i="30"/>
  <c r="D423" i="30"/>
  <c r="C423" i="30"/>
  <c r="B423" i="30"/>
  <c r="G422" i="30"/>
  <c r="F422" i="30"/>
  <c r="E422" i="30"/>
  <c r="D422" i="30"/>
  <c r="C422" i="30"/>
  <c r="B422" i="30"/>
  <c r="G421" i="30"/>
  <c r="F421" i="30"/>
  <c r="E421" i="30"/>
  <c r="D421" i="30"/>
  <c r="C421" i="30"/>
  <c r="B421" i="30"/>
  <c r="G420" i="30"/>
  <c r="F420" i="30"/>
  <c r="E420" i="30"/>
  <c r="D420" i="30"/>
  <c r="C420" i="30"/>
  <c r="B420" i="30"/>
  <c r="G419" i="30"/>
  <c r="F419" i="30"/>
  <c r="E419" i="30"/>
  <c r="D419" i="30"/>
  <c r="C419" i="30"/>
  <c r="B419" i="30"/>
  <c r="G418" i="30"/>
  <c r="F418" i="30"/>
  <c r="E418" i="30"/>
  <c r="D418" i="30"/>
  <c r="C418" i="30"/>
  <c r="B418" i="30"/>
  <c r="G417" i="30"/>
  <c r="F417" i="30"/>
  <c r="E417" i="30"/>
  <c r="D417" i="30"/>
  <c r="C417" i="30"/>
  <c r="B417" i="30"/>
  <c r="G416" i="30"/>
  <c r="F416" i="30"/>
  <c r="E416" i="30"/>
  <c r="D416" i="30"/>
  <c r="C416" i="30"/>
  <c r="B416" i="30"/>
  <c r="G415" i="30"/>
  <c r="F415" i="30"/>
  <c r="E415" i="30"/>
  <c r="D415" i="30"/>
  <c r="C415" i="30"/>
  <c r="B415" i="30"/>
  <c r="G414" i="30"/>
  <c r="F414" i="30"/>
  <c r="E414" i="30"/>
  <c r="D414" i="30"/>
  <c r="C414" i="30"/>
  <c r="B414" i="30"/>
  <c r="G413" i="30"/>
  <c r="F413" i="30"/>
  <c r="E413" i="30"/>
  <c r="D413" i="30"/>
  <c r="C413" i="30"/>
  <c r="B413" i="30"/>
  <c r="G412" i="30"/>
  <c r="F412" i="30"/>
  <c r="E412" i="30"/>
  <c r="D412" i="30"/>
  <c r="C412" i="30"/>
  <c r="B412" i="30"/>
  <c r="G411" i="30"/>
  <c r="F411" i="30"/>
  <c r="E411" i="30"/>
  <c r="D411" i="30"/>
  <c r="C411" i="30"/>
  <c r="B411" i="30"/>
  <c r="G410" i="30"/>
  <c r="F410" i="30"/>
  <c r="E410" i="30"/>
  <c r="D410" i="30"/>
  <c r="C410" i="30"/>
  <c r="B410" i="30"/>
  <c r="G409" i="30"/>
  <c r="F409" i="30"/>
  <c r="E409" i="30"/>
  <c r="D409" i="30"/>
  <c r="C409" i="30"/>
  <c r="B409" i="30"/>
  <c r="G408" i="30"/>
  <c r="F408" i="30"/>
  <c r="E408" i="30"/>
  <c r="D408" i="30"/>
  <c r="C408" i="30"/>
  <c r="B408" i="30"/>
  <c r="G407" i="30"/>
  <c r="F407" i="30"/>
  <c r="E407" i="30"/>
  <c r="D407" i="30"/>
  <c r="C407" i="30"/>
  <c r="B407" i="30"/>
  <c r="G406" i="30"/>
  <c r="F406" i="30"/>
  <c r="E406" i="30"/>
  <c r="D406" i="30"/>
  <c r="C406" i="30"/>
  <c r="B406" i="30"/>
  <c r="G405" i="30"/>
  <c r="F405" i="30"/>
  <c r="E405" i="30"/>
  <c r="D405" i="30"/>
  <c r="C405" i="30"/>
  <c r="B405" i="30"/>
  <c r="G404" i="30"/>
  <c r="F404" i="30"/>
  <c r="E404" i="30"/>
  <c r="D404" i="30"/>
  <c r="C404" i="30"/>
  <c r="B404" i="30"/>
  <c r="G403" i="30"/>
  <c r="F403" i="30"/>
  <c r="E403" i="30"/>
  <c r="D403" i="30"/>
  <c r="C403" i="30"/>
  <c r="B403" i="30"/>
  <c r="G402" i="30"/>
  <c r="F402" i="30"/>
  <c r="E402" i="30"/>
  <c r="D402" i="30"/>
  <c r="C402" i="30"/>
  <c r="B402" i="30"/>
  <c r="G401" i="30"/>
  <c r="F401" i="30"/>
  <c r="E401" i="30"/>
  <c r="D401" i="30"/>
  <c r="C401" i="30"/>
  <c r="B401" i="30"/>
  <c r="G400" i="30"/>
  <c r="F400" i="30"/>
  <c r="E400" i="30"/>
  <c r="D400" i="30"/>
  <c r="C400" i="30"/>
  <c r="B400" i="30"/>
  <c r="G399" i="30"/>
  <c r="F399" i="30"/>
  <c r="E399" i="30"/>
  <c r="D399" i="30"/>
  <c r="C399" i="30"/>
  <c r="B399" i="30"/>
  <c r="G398" i="30"/>
  <c r="F398" i="30"/>
  <c r="E398" i="30"/>
  <c r="D398" i="30"/>
  <c r="C398" i="30"/>
  <c r="B398" i="30"/>
  <c r="G397" i="30"/>
  <c r="F397" i="30"/>
  <c r="E397" i="30"/>
  <c r="D397" i="30"/>
  <c r="C397" i="30"/>
  <c r="B397" i="30"/>
  <c r="G396" i="30"/>
  <c r="F396" i="30"/>
  <c r="E396" i="30"/>
  <c r="D396" i="30"/>
  <c r="C396" i="30"/>
  <c r="B396" i="30"/>
  <c r="G395" i="30"/>
  <c r="F395" i="30"/>
  <c r="E395" i="30"/>
  <c r="D395" i="30"/>
  <c r="C395" i="30"/>
  <c r="B395" i="30"/>
  <c r="G394" i="30"/>
  <c r="F394" i="30"/>
  <c r="E394" i="30"/>
  <c r="D394" i="30"/>
  <c r="C394" i="30"/>
  <c r="B394" i="30"/>
  <c r="G393" i="30"/>
  <c r="F393" i="30"/>
  <c r="E393" i="30"/>
  <c r="D393" i="30"/>
  <c r="C393" i="30"/>
  <c r="B393" i="30"/>
  <c r="G392" i="30"/>
  <c r="F392" i="30"/>
  <c r="E392" i="30"/>
  <c r="D392" i="30"/>
  <c r="C392" i="30"/>
  <c r="B392" i="30"/>
  <c r="G391" i="30"/>
  <c r="F391" i="30"/>
  <c r="E391" i="30"/>
  <c r="D391" i="30"/>
  <c r="C391" i="30"/>
  <c r="B391" i="30"/>
  <c r="G390" i="30"/>
  <c r="F390" i="30"/>
  <c r="E390" i="30"/>
  <c r="D390" i="30"/>
  <c r="C390" i="30"/>
  <c r="B390" i="30"/>
  <c r="G389" i="30"/>
  <c r="F389" i="30"/>
  <c r="E389" i="30"/>
  <c r="D389" i="30"/>
  <c r="C389" i="30"/>
  <c r="B389" i="30"/>
  <c r="G388" i="30"/>
  <c r="F388" i="30"/>
  <c r="E388" i="30"/>
  <c r="D388" i="30"/>
  <c r="C388" i="30"/>
  <c r="B388" i="30"/>
  <c r="G387" i="30"/>
  <c r="F387" i="30"/>
  <c r="E387" i="30"/>
  <c r="D387" i="30"/>
  <c r="C387" i="30"/>
  <c r="B387" i="30"/>
  <c r="G386" i="30"/>
  <c r="F386" i="30"/>
  <c r="E386" i="30"/>
  <c r="D386" i="30"/>
  <c r="C386" i="30"/>
  <c r="B386" i="30"/>
  <c r="G385" i="30"/>
  <c r="F385" i="30"/>
  <c r="E385" i="30"/>
  <c r="D385" i="30"/>
  <c r="C385" i="30"/>
  <c r="B385" i="30"/>
  <c r="G384" i="30"/>
  <c r="F384" i="30"/>
  <c r="E384" i="30"/>
  <c r="D384" i="30"/>
  <c r="C384" i="30"/>
  <c r="B384" i="30"/>
  <c r="G383" i="30"/>
  <c r="F383" i="30"/>
  <c r="E383" i="30"/>
  <c r="D383" i="30"/>
  <c r="C383" i="30"/>
  <c r="B383" i="30"/>
  <c r="G382" i="30"/>
  <c r="F382" i="30"/>
  <c r="E382" i="30"/>
  <c r="D382" i="30"/>
  <c r="C382" i="30"/>
  <c r="B382" i="30"/>
  <c r="G381" i="30"/>
  <c r="F381" i="30"/>
  <c r="E381" i="30"/>
  <c r="D381" i="30"/>
  <c r="C381" i="30"/>
  <c r="B381" i="30"/>
  <c r="G380" i="30"/>
  <c r="F380" i="30"/>
  <c r="E380" i="30"/>
  <c r="D380" i="30"/>
  <c r="C380" i="30"/>
  <c r="B380" i="30"/>
  <c r="G379" i="30"/>
  <c r="F379" i="30"/>
  <c r="E379" i="30"/>
  <c r="D379" i="30"/>
  <c r="C379" i="30"/>
  <c r="B379" i="30"/>
  <c r="G378" i="30"/>
  <c r="F378" i="30"/>
  <c r="E378" i="30"/>
  <c r="D378" i="30"/>
  <c r="C378" i="30"/>
  <c r="B378" i="30"/>
  <c r="G377" i="30"/>
  <c r="F377" i="30"/>
  <c r="E377" i="30"/>
  <c r="D377" i="30"/>
  <c r="C377" i="30"/>
  <c r="B377" i="30"/>
  <c r="G376" i="30"/>
  <c r="F376" i="30"/>
  <c r="E376" i="30"/>
  <c r="D376" i="30"/>
  <c r="C376" i="30"/>
  <c r="B376" i="30"/>
  <c r="G375" i="30"/>
  <c r="F375" i="30"/>
  <c r="E375" i="30"/>
  <c r="D375" i="30"/>
  <c r="C375" i="30"/>
  <c r="B375" i="30"/>
  <c r="G374" i="30"/>
  <c r="F374" i="30"/>
  <c r="E374" i="30"/>
  <c r="D374" i="30"/>
  <c r="C374" i="30"/>
  <c r="B374" i="30"/>
  <c r="G373" i="30"/>
  <c r="F373" i="30"/>
  <c r="E373" i="30"/>
  <c r="D373" i="30"/>
  <c r="C373" i="30"/>
  <c r="B373" i="30"/>
  <c r="G372" i="30"/>
  <c r="F372" i="30"/>
  <c r="E372" i="30"/>
  <c r="D372" i="30"/>
  <c r="C372" i="30"/>
  <c r="B372" i="30"/>
  <c r="G371" i="30"/>
  <c r="F371" i="30"/>
  <c r="E371" i="30"/>
  <c r="D371" i="30"/>
  <c r="C371" i="30"/>
  <c r="B371" i="30"/>
  <c r="G370" i="30"/>
  <c r="F370" i="30"/>
  <c r="E370" i="30"/>
  <c r="D370" i="30"/>
  <c r="C370" i="30"/>
  <c r="B370" i="30"/>
  <c r="G368" i="30"/>
  <c r="F368" i="30"/>
  <c r="E368" i="30"/>
  <c r="D368" i="30"/>
  <c r="C368" i="30"/>
  <c r="B368" i="30"/>
  <c r="G367" i="30"/>
  <c r="F367" i="30"/>
  <c r="E367" i="30"/>
  <c r="D367" i="30"/>
  <c r="C367" i="30"/>
  <c r="B367" i="30"/>
  <c r="G366" i="30"/>
  <c r="F366" i="30"/>
  <c r="E366" i="30"/>
  <c r="D366" i="30"/>
  <c r="C366" i="30"/>
  <c r="B366" i="30"/>
  <c r="G364" i="30"/>
  <c r="F364" i="30"/>
  <c r="E364" i="30"/>
  <c r="D364" i="30"/>
  <c r="C364" i="30"/>
  <c r="B364" i="30"/>
  <c r="G363" i="30"/>
  <c r="F363" i="30"/>
  <c r="E363" i="30"/>
  <c r="D363" i="30"/>
  <c r="C363" i="30"/>
  <c r="B363" i="30"/>
  <c r="G362" i="30"/>
  <c r="F362" i="30"/>
  <c r="E362" i="30"/>
  <c r="D362" i="30"/>
  <c r="C362" i="30"/>
  <c r="B362" i="30"/>
  <c r="G361" i="30"/>
  <c r="F361" i="30"/>
  <c r="E361" i="30"/>
  <c r="D361" i="30"/>
  <c r="C361" i="30"/>
  <c r="B361" i="30"/>
  <c r="G360" i="30"/>
  <c r="F360" i="30"/>
  <c r="E360" i="30"/>
  <c r="D360" i="30"/>
  <c r="C360" i="30"/>
  <c r="B360" i="30"/>
  <c r="G359" i="30"/>
  <c r="F359" i="30"/>
  <c r="E359" i="30"/>
  <c r="D359" i="30"/>
  <c r="C359" i="30"/>
  <c r="B359" i="30"/>
  <c r="G358" i="30"/>
  <c r="F358" i="30"/>
  <c r="E358" i="30"/>
  <c r="D358" i="30"/>
  <c r="C358" i="30"/>
  <c r="B358" i="30"/>
  <c r="G357" i="30"/>
  <c r="F357" i="30"/>
  <c r="E357" i="30"/>
  <c r="D357" i="30"/>
  <c r="C357" i="30"/>
  <c r="B357" i="30"/>
  <c r="G356" i="30"/>
  <c r="F356" i="30"/>
  <c r="E356" i="30"/>
  <c r="D356" i="30"/>
  <c r="C356" i="30"/>
  <c r="B356" i="30"/>
  <c r="G355" i="30"/>
  <c r="F355" i="30"/>
  <c r="E355" i="30"/>
  <c r="D355" i="30"/>
  <c r="C355" i="30"/>
  <c r="B355" i="30"/>
  <c r="G354" i="30"/>
  <c r="F354" i="30"/>
  <c r="E354" i="30"/>
  <c r="D354" i="30"/>
  <c r="C354" i="30"/>
  <c r="B354" i="30"/>
  <c r="G353" i="30"/>
  <c r="F353" i="30"/>
  <c r="E353" i="30"/>
  <c r="D353" i="30"/>
  <c r="C353" i="30"/>
  <c r="B353" i="30"/>
  <c r="G352" i="30"/>
  <c r="F352" i="30"/>
  <c r="E352" i="30"/>
  <c r="D352" i="30"/>
  <c r="C352" i="30"/>
  <c r="B352" i="30"/>
  <c r="G351" i="30"/>
  <c r="F351" i="30"/>
  <c r="E351" i="30"/>
  <c r="D351" i="30"/>
  <c r="C351" i="30"/>
  <c r="B351" i="30"/>
  <c r="G350" i="30"/>
  <c r="F350" i="30"/>
  <c r="E350" i="30"/>
  <c r="D350" i="30"/>
  <c r="C350" i="30"/>
  <c r="B350" i="30"/>
  <c r="G349" i="30"/>
  <c r="F349" i="30"/>
  <c r="E349" i="30"/>
  <c r="D349" i="30"/>
  <c r="C349" i="30"/>
  <c r="B349" i="30"/>
  <c r="G348" i="30"/>
  <c r="F348" i="30"/>
  <c r="E348" i="30"/>
  <c r="D348" i="30"/>
  <c r="C348" i="30"/>
  <c r="B348" i="30"/>
  <c r="G347" i="30"/>
  <c r="F347" i="30"/>
  <c r="E347" i="30"/>
  <c r="D347" i="30"/>
  <c r="C347" i="30"/>
  <c r="B347" i="30"/>
  <c r="G346" i="30"/>
  <c r="F346" i="30"/>
  <c r="E346" i="30"/>
  <c r="D346" i="30"/>
  <c r="C346" i="30"/>
  <c r="B346" i="30"/>
  <c r="G345" i="30"/>
  <c r="F345" i="30"/>
  <c r="E345" i="30"/>
  <c r="D345" i="30"/>
  <c r="C345" i="30"/>
  <c r="B345" i="30"/>
  <c r="G343" i="30"/>
  <c r="F343" i="30"/>
  <c r="E343" i="30"/>
  <c r="D343" i="30"/>
  <c r="C343" i="30"/>
  <c r="B343" i="30"/>
  <c r="G342" i="30"/>
  <c r="F342" i="30"/>
  <c r="E342" i="30"/>
  <c r="D342" i="30"/>
  <c r="C342" i="30"/>
  <c r="B342" i="30"/>
  <c r="G341" i="30"/>
  <c r="F341" i="30"/>
  <c r="E341" i="30"/>
  <c r="D341" i="30"/>
  <c r="C341" i="30"/>
  <c r="B341" i="30"/>
  <c r="G340" i="30"/>
  <c r="F340" i="30"/>
  <c r="E340" i="30"/>
  <c r="D340" i="30"/>
  <c r="C340" i="30"/>
  <c r="B340" i="30"/>
  <c r="G339" i="30"/>
  <c r="F339" i="30"/>
  <c r="E339" i="30"/>
  <c r="D339" i="30"/>
  <c r="C339" i="30"/>
  <c r="B339" i="30"/>
  <c r="G338" i="30"/>
  <c r="F338" i="30"/>
  <c r="E338" i="30"/>
  <c r="D338" i="30"/>
  <c r="C338" i="30"/>
  <c r="B338" i="30"/>
  <c r="G337" i="30"/>
  <c r="F337" i="30"/>
  <c r="E337" i="30"/>
  <c r="D337" i="30"/>
  <c r="C337" i="30"/>
  <c r="B337" i="30"/>
  <c r="G336" i="30"/>
  <c r="F336" i="30"/>
  <c r="E336" i="30"/>
  <c r="D336" i="30"/>
  <c r="C336" i="30"/>
  <c r="B336" i="30"/>
  <c r="G335" i="30"/>
  <c r="F335" i="30"/>
  <c r="E335" i="30"/>
  <c r="D335" i="30"/>
  <c r="C335" i="30"/>
  <c r="B335" i="30"/>
  <c r="G334" i="30"/>
  <c r="F334" i="30"/>
  <c r="E334" i="30"/>
  <c r="D334" i="30"/>
  <c r="C334" i="30"/>
  <c r="B334" i="30"/>
  <c r="G333" i="30"/>
  <c r="F333" i="30"/>
  <c r="E333" i="30"/>
  <c r="D333" i="30"/>
  <c r="C333" i="30"/>
  <c r="B333" i="30"/>
  <c r="G332" i="30"/>
  <c r="F332" i="30"/>
  <c r="E332" i="30"/>
  <c r="D332" i="30"/>
  <c r="C332" i="30"/>
  <c r="B332" i="30"/>
  <c r="G331" i="30"/>
  <c r="F331" i="30"/>
  <c r="E331" i="30"/>
  <c r="D331" i="30"/>
  <c r="C331" i="30"/>
  <c r="B331" i="30"/>
  <c r="G330" i="30"/>
  <c r="F330" i="30"/>
  <c r="E330" i="30"/>
  <c r="D330" i="30"/>
  <c r="C330" i="30"/>
  <c r="B330" i="30"/>
  <c r="G329" i="30"/>
  <c r="F329" i="30"/>
  <c r="E329" i="30"/>
  <c r="D329" i="30"/>
  <c r="C329" i="30"/>
  <c r="B329" i="30"/>
  <c r="G328" i="30"/>
  <c r="F328" i="30"/>
  <c r="E328" i="30"/>
  <c r="D328" i="30"/>
  <c r="C328" i="30"/>
  <c r="B328" i="30"/>
  <c r="G327" i="30"/>
  <c r="F327" i="30"/>
  <c r="E327" i="30"/>
  <c r="D327" i="30"/>
  <c r="C327" i="30"/>
  <c r="B327" i="30"/>
  <c r="G326" i="30"/>
  <c r="F326" i="30"/>
  <c r="E326" i="30"/>
  <c r="D326" i="30"/>
  <c r="C326" i="30"/>
  <c r="B326" i="30"/>
  <c r="G325" i="30"/>
  <c r="F325" i="30"/>
  <c r="E325" i="30"/>
  <c r="D325" i="30"/>
  <c r="C325" i="30"/>
  <c r="B325" i="30"/>
  <c r="G324" i="30"/>
  <c r="F324" i="30"/>
  <c r="E324" i="30"/>
  <c r="D324" i="30"/>
  <c r="C324" i="30"/>
  <c r="B324" i="30"/>
  <c r="G319" i="30"/>
  <c r="F319" i="30"/>
  <c r="E319" i="30"/>
  <c r="D319" i="30"/>
  <c r="C319" i="30"/>
  <c r="B319" i="30"/>
  <c r="G318" i="30"/>
  <c r="F318" i="30"/>
  <c r="E318" i="30"/>
  <c r="D318" i="30"/>
  <c r="C318" i="30"/>
  <c r="B318" i="30"/>
  <c r="G317" i="30"/>
  <c r="F317" i="30"/>
  <c r="E317" i="30"/>
  <c r="D317" i="30"/>
  <c r="C317" i="30"/>
  <c r="B317" i="30"/>
  <c r="G316" i="30"/>
  <c r="F316" i="30"/>
  <c r="E316" i="30"/>
  <c r="D316" i="30"/>
  <c r="C316" i="30"/>
  <c r="B316" i="30"/>
  <c r="G315" i="30"/>
  <c r="F315" i="30"/>
  <c r="E315" i="30"/>
  <c r="D315" i="30"/>
  <c r="C315" i="30"/>
  <c r="B315" i="30"/>
  <c r="G314" i="30"/>
  <c r="F314" i="30"/>
  <c r="E314" i="30"/>
  <c r="D314" i="30"/>
  <c r="C314" i="30"/>
  <c r="B314" i="30"/>
  <c r="G313" i="30"/>
  <c r="F313" i="30"/>
  <c r="E313" i="30"/>
  <c r="D313" i="30"/>
  <c r="C313" i="30"/>
  <c r="B313" i="30"/>
  <c r="G312" i="30"/>
  <c r="F312" i="30"/>
  <c r="E312" i="30"/>
  <c r="D312" i="30"/>
  <c r="C312" i="30"/>
  <c r="B312" i="30"/>
  <c r="G311" i="30"/>
  <c r="F311" i="30"/>
  <c r="E311" i="30"/>
  <c r="D311" i="30"/>
  <c r="C311" i="30"/>
  <c r="B311" i="30"/>
  <c r="G310" i="30"/>
  <c r="F310" i="30"/>
  <c r="E310" i="30"/>
  <c r="D310" i="30"/>
  <c r="C310" i="30"/>
  <c r="B310" i="30"/>
  <c r="G309" i="30"/>
  <c r="F309" i="30"/>
  <c r="E309" i="30"/>
  <c r="D309" i="30"/>
  <c r="C309" i="30"/>
  <c r="B309" i="30"/>
  <c r="G308" i="30"/>
  <c r="F308" i="30"/>
  <c r="E308" i="30"/>
  <c r="D308" i="30"/>
  <c r="C308" i="30"/>
  <c r="B308" i="30"/>
  <c r="G307" i="30"/>
  <c r="F307" i="30"/>
  <c r="E307" i="30"/>
  <c r="D307" i="30"/>
  <c r="C307" i="30"/>
  <c r="B307" i="30"/>
  <c r="G306" i="30"/>
  <c r="F306" i="30"/>
  <c r="E306" i="30"/>
  <c r="D306" i="30"/>
  <c r="C306" i="30"/>
  <c r="B306" i="30"/>
  <c r="G305" i="30"/>
  <c r="F305" i="30"/>
  <c r="E305" i="30"/>
  <c r="D305" i="30"/>
  <c r="C305" i="30"/>
  <c r="B305" i="30"/>
  <c r="G304" i="30"/>
  <c r="F304" i="30"/>
  <c r="E304" i="30"/>
  <c r="D304" i="30"/>
  <c r="C304" i="30"/>
  <c r="B304" i="30"/>
  <c r="G303" i="30"/>
  <c r="F303" i="30"/>
  <c r="E303" i="30"/>
  <c r="D303" i="30"/>
  <c r="C303" i="30"/>
  <c r="B303" i="30"/>
  <c r="G302" i="30"/>
  <c r="F302" i="30"/>
  <c r="E302" i="30"/>
  <c r="D302" i="30"/>
  <c r="C302" i="30"/>
  <c r="B302" i="30"/>
  <c r="G301" i="30"/>
  <c r="F301" i="30"/>
  <c r="E301" i="30"/>
  <c r="D301" i="30"/>
  <c r="C301" i="30"/>
  <c r="B301" i="30"/>
  <c r="G300" i="30"/>
  <c r="G323" i="30" s="1"/>
  <c r="F300" i="30"/>
  <c r="F323" i="30" s="1"/>
  <c r="E300" i="30"/>
  <c r="E323" i="30" s="1"/>
  <c r="D300" i="30"/>
  <c r="D323" i="30" s="1"/>
  <c r="C300" i="30"/>
  <c r="C323" i="30" s="1"/>
  <c r="B300" i="30"/>
  <c r="B323" i="30" s="1"/>
  <c r="G298" i="30"/>
  <c r="F298" i="30"/>
  <c r="E298" i="30"/>
  <c r="D298" i="30"/>
  <c r="C298" i="30"/>
  <c r="B298" i="30"/>
  <c r="G297" i="30"/>
  <c r="F297" i="30"/>
  <c r="E297" i="30"/>
  <c r="D297" i="30"/>
  <c r="C297" i="30"/>
  <c r="B297" i="30"/>
  <c r="G296" i="30"/>
  <c r="F296" i="30"/>
  <c r="E296" i="30"/>
  <c r="D296" i="30"/>
  <c r="C296" i="30"/>
  <c r="B296" i="30"/>
  <c r="G295" i="30"/>
  <c r="F295" i="30"/>
  <c r="E295" i="30"/>
  <c r="D295" i="30"/>
  <c r="C295" i="30"/>
  <c r="B295" i="30"/>
  <c r="G294" i="30"/>
  <c r="F294" i="30"/>
  <c r="E294" i="30"/>
  <c r="D294" i="30"/>
  <c r="C294" i="30"/>
  <c r="B294" i="30"/>
  <c r="G293" i="30"/>
  <c r="F293" i="30"/>
  <c r="E293" i="30"/>
  <c r="D293" i="30"/>
  <c r="C293" i="30"/>
  <c r="B293" i="30"/>
  <c r="G292" i="30"/>
  <c r="F292" i="30"/>
  <c r="E292" i="30"/>
  <c r="D292" i="30"/>
  <c r="C292" i="30"/>
  <c r="B292" i="30"/>
  <c r="G291" i="30"/>
  <c r="F291" i="30"/>
  <c r="E291" i="30"/>
  <c r="D291" i="30"/>
  <c r="C291" i="30"/>
  <c r="B291" i="30"/>
  <c r="G290" i="30"/>
  <c r="F290" i="30"/>
  <c r="E290" i="30"/>
  <c r="D290" i="30"/>
  <c r="C290" i="30"/>
  <c r="B290" i="30"/>
  <c r="G289" i="30"/>
  <c r="F289" i="30"/>
  <c r="E289" i="30"/>
  <c r="D289" i="30"/>
  <c r="C289" i="30"/>
  <c r="B289" i="30"/>
  <c r="G288" i="30"/>
  <c r="F288" i="30"/>
  <c r="E288" i="30"/>
  <c r="D288" i="30"/>
  <c r="C288" i="30"/>
  <c r="B288" i="30"/>
  <c r="G287" i="30"/>
  <c r="F287" i="30"/>
  <c r="E287" i="30"/>
  <c r="D287" i="30"/>
  <c r="C287" i="30"/>
  <c r="B287" i="30"/>
  <c r="G286" i="30"/>
  <c r="F286" i="30"/>
  <c r="E286" i="30"/>
  <c r="D286" i="30"/>
  <c r="C286" i="30"/>
  <c r="B286" i="30"/>
  <c r="G285" i="30"/>
  <c r="F285" i="30"/>
  <c r="E285" i="30"/>
  <c r="D285" i="30"/>
  <c r="C285" i="30"/>
  <c r="B285" i="30"/>
  <c r="G284" i="30"/>
  <c r="F284" i="30"/>
  <c r="E284" i="30"/>
  <c r="D284" i="30"/>
  <c r="C284" i="30"/>
  <c r="B284" i="30"/>
  <c r="G283" i="30"/>
  <c r="F283" i="30"/>
  <c r="E283" i="30"/>
  <c r="D283" i="30"/>
  <c r="C283" i="30"/>
  <c r="B283" i="30"/>
  <c r="G282" i="30"/>
  <c r="F282" i="30"/>
  <c r="E282" i="30"/>
  <c r="D282" i="30"/>
  <c r="C282" i="30"/>
  <c r="B282" i="30"/>
  <c r="G281" i="30"/>
  <c r="F281" i="30"/>
  <c r="E281" i="30"/>
  <c r="D281" i="30"/>
  <c r="C281" i="30"/>
  <c r="B281" i="30"/>
  <c r="G280" i="30"/>
  <c r="F280" i="30"/>
  <c r="E280" i="30"/>
  <c r="D280" i="30"/>
  <c r="C280" i="30"/>
  <c r="B280" i="30"/>
  <c r="G279" i="30"/>
  <c r="F279" i="30"/>
  <c r="E279" i="30"/>
  <c r="D279" i="30"/>
  <c r="C279" i="30"/>
  <c r="B279" i="30"/>
  <c r="G277" i="30"/>
  <c r="F277" i="30"/>
  <c r="E277" i="30"/>
  <c r="D277" i="30"/>
  <c r="C277" i="30"/>
  <c r="B277" i="30"/>
  <c r="G276" i="30"/>
  <c r="F276" i="30"/>
  <c r="E276" i="30"/>
  <c r="D276" i="30"/>
  <c r="C276" i="30"/>
  <c r="B276" i="30"/>
  <c r="G275" i="30"/>
  <c r="F275" i="30"/>
  <c r="E275" i="30"/>
  <c r="D275" i="30"/>
  <c r="C275" i="30"/>
  <c r="B275" i="30"/>
  <c r="G274" i="30"/>
  <c r="F274" i="30"/>
  <c r="E274" i="30"/>
  <c r="D274" i="30"/>
  <c r="C274" i="30"/>
  <c r="B274" i="30"/>
  <c r="G273" i="30"/>
  <c r="F273" i="30"/>
  <c r="E273" i="30"/>
  <c r="D273" i="30"/>
  <c r="C273" i="30"/>
  <c r="B273" i="30"/>
  <c r="G272" i="30"/>
  <c r="F272" i="30"/>
  <c r="E272" i="30"/>
  <c r="D272" i="30"/>
  <c r="C272" i="30"/>
  <c r="B272" i="30"/>
  <c r="G271" i="30"/>
  <c r="F271" i="30"/>
  <c r="E271" i="30"/>
  <c r="D271" i="30"/>
  <c r="C271" i="30"/>
  <c r="B271" i="30"/>
  <c r="G270" i="30"/>
  <c r="F270" i="30"/>
  <c r="E270" i="30"/>
  <c r="D270" i="30"/>
  <c r="C270" i="30"/>
  <c r="B270" i="30"/>
  <c r="G269" i="30"/>
  <c r="F269" i="30"/>
  <c r="E269" i="30"/>
  <c r="D269" i="30"/>
  <c r="C269" i="30"/>
  <c r="B269" i="30"/>
  <c r="G268" i="30"/>
  <c r="F268" i="30"/>
  <c r="E268" i="30"/>
  <c r="D268" i="30"/>
  <c r="C268" i="30"/>
  <c r="B268" i="30"/>
  <c r="G267" i="30"/>
  <c r="F267" i="30"/>
  <c r="E267" i="30"/>
  <c r="D267" i="30"/>
  <c r="C267" i="30"/>
  <c r="B267" i="30"/>
  <c r="G265" i="30"/>
  <c r="F265" i="30"/>
  <c r="E265" i="30"/>
  <c r="D265" i="30"/>
  <c r="C265" i="30"/>
  <c r="B265" i="30"/>
  <c r="G264" i="30"/>
  <c r="F264" i="30"/>
  <c r="E264" i="30"/>
  <c r="D264" i="30"/>
  <c r="C264" i="30"/>
  <c r="B264" i="30"/>
  <c r="G263" i="30"/>
  <c r="F263" i="30"/>
  <c r="E263" i="30"/>
  <c r="D263" i="30"/>
  <c r="C263" i="30"/>
  <c r="B263" i="30"/>
  <c r="G262" i="30"/>
  <c r="F262" i="30"/>
  <c r="E262" i="30"/>
  <c r="D262" i="30"/>
  <c r="C262" i="30"/>
  <c r="B262" i="30"/>
  <c r="G261" i="30"/>
  <c r="F261" i="30"/>
  <c r="E261" i="30"/>
  <c r="D261" i="30"/>
  <c r="C261" i="30"/>
  <c r="B261" i="30"/>
  <c r="G260" i="30"/>
  <c r="F260" i="30"/>
  <c r="E260" i="30"/>
  <c r="D260" i="30"/>
  <c r="C260" i="30"/>
  <c r="B260" i="30"/>
  <c r="G259" i="30"/>
  <c r="F259" i="30"/>
  <c r="E259" i="30"/>
  <c r="D259" i="30"/>
  <c r="C259" i="30"/>
  <c r="B259" i="30"/>
  <c r="G258" i="30"/>
  <c r="F258" i="30"/>
  <c r="E258" i="30"/>
  <c r="D258" i="30"/>
  <c r="C258" i="30"/>
  <c r="B258" i="30"/>
  <c r="G257" i="30"/>
  <c r="F257" i="30"/>
  <c r="E257" i="30"/>
  <c r="D257" i="30"/>
  <c r="C257" i="30"/>
  <c r="B257" i="30"/>
  <c r="G256" i="30"/>
  <c r="F256" i="30"/>
  <c r="E256" i="30"/>
  <c r="D256" i="30"/>
  <c r="C256" i="30"/>
  <c r="B256" i="30"/>
  <c r="G255" i="30"/>
  <c r="F255" i="30"/>
  <c r="E255" i="30"/>
  <c r="D255" i="30"/>
  <c r="C255" i="30"/>
  <c r="B255" i="30"/>
  <c r="G254" i="30"/>
  <c r="F254" i="30"/>
  <c r="E254" i="30"/>
  <c r="D254" i="30"/>
  <c r="C254" i="30"/>
  <c r="B254" i="30"/>
  <c r="G253" i="30"/>
  <c r="F253" i="30"/>
  <c r="E253" i="30"/>
  <c r="D253" i="30"/>
  <c r="C253" i="30"/>
  <c r="B253" i="30"/>
  <c r="G251" i="30"/>
  <c r="F251" i="30"/>
  <c r="E251" i="30"/>
  <c r="D251" i="30"/>
  <c r="C251" i="30"/>
  <c r="B251" i="30"/>
  <c r="G250" i="30"/>
  <c r="F250" i="30"/>
  <c r="E250" i="30"/>
  <c r="D250" i="30"/>
  <c r="C250" i="30"/>
  <c r="B250" i="30"/>
  <c r="G249" i="30"/>
  <c r="F249" i="30"/>
  <c r="E249" i="30"/>
  <c r="D249" i="30"/>
  <c r="C249" i="30"/>
  <c r="B249" i="30"/>
  <c r="G247" i="30"/>
  <c r="F247" i="30"/>
  <c r="E247" i="30"/>
  <c r="D247" i="30"/>
  <c r="C247" i="30"/>
  <c r="B247" i="30"/>
  <c r="G246" i="30"/>
  <c r="F246" i="30"/>
  <c r="E246" i="30"/>
  <c r="D246" i="30"/>
  <c r="C246" i="30"/>
  <c r="B246" i="30"/>
  <c r="G245" i="30"/>
  <c r="F245" i="30"/>
  <c r="E245" i="30"/>
  <c r="D245" i="30"/>
  <c r="C245" i="30"/>
  <c r="B245" i="30"/>
  <c r="G244" i="30"/>
  <c r="F244" i="30"/>
  <c r="E244" i="30"/>
  <c r="D244" i="30"/>
  <c r="C244" i="30"/>
  <c r="B244" i="30"/>
  <c r="G243" i="30"/>
  <c r="F243" i="30"/>
  <c r="E243" i="30"/>
  <c r="D243" i="30"/>
  <c r="C243" i="30"/>
  <c r="B243" i="30"/>
  <c r="G242" i="30"/>
  <c r="F242" i="30"/>
  <c r="E242" i="30"/>
  <c r="D242" i="30"/>
  <c r="C242" i="30"/>
  <c r="B242" i="30"/>
  <c r="G241" i="30"/>
  <c r="F241" i="30"/>
  <c r="E241" i="30"/>
  <c r="D241" i="30"/>
  <c r="C241" i="30"/>
  <c r="B241" i="30"/>
  <c r="G240" i="30"/>
  <c r="F240" i="30"/>
  <c r="E240" i="30"/>
  <c r="D240" i="30"/>
  <c r="C240" i="30"/>
  <c r="B240" i="30"/>
  <c r="G239" i="30"/>
  <c r="F239" i="30"/>
  <c r="E239" i="30"/>
  <c r="D239" i="30"/>
  <c r="C239" i="30"/>
  <c r="B239" i="30"/>
  <c r="G237" i="30"/>
  <c r="F237" i="30"/>
  <c r="E237" i="30"/>
  <c r="D237" i="30"/>
  <c r="C237" i="30"/>
  <c r="B237" i="30"/>
  <c r="G236" i="30"/>
  <c r="F236" i="30"/>
  <c r="E236" i="30"/>
  <c r="D236" i="30"/>
  <c r="C236" i="30"/>
  <c r="B236" i="30"/>
  <c r="G235" i="30"/>
  <c r="F235" i="30"/>
  <c r="E235" i="30"/>
  <c r="D235" i="30"/>
  <c r="C235" i="30"/>
  <c r="B235" i="30"/>
  <c r="G234" i="30"/>
  <c r="F234" i="30"/>
  <c r="E234" i="30"/>
  <c r="D234" i="30"/>
  <c r="C234" i="30"/>
  <c r="B234" i="30"/>
  <c r="G233" i="30"/>
  <c r="F233" i="30"/>
  <c r="E233" i="30"/>
  <c r="D233" i="30"/>
  <c r="C233" i="30"/>
  <c r="B233" i="30"/>
  <c r="G232" i="30"/>
  <c r="F232" i="30"/>
  <c r="E232" i="30"/>
  <c r="D232" i="30"/>
  <c r="C232" i="30"/>
  <c r="B232" i="30"/>
  <c r="G231" i="30"/>
  <c r="F231" i="30"/>
  <c r="E231" i="30"/>
  <c r="D231" i="30"/>
  <c r="C231" i="30"/>
  <c r="B231" i="30"/>
  <c r="G230" i="30"/>
  <c r="F230" i="30"/>
  <c r="E230" i="30"/>
  <c r="D230" i="30"/>
  <c r="C230" i="30"/>
  <c r="B230" i="30"/>
  <c r="G229" i="30"/>
  <c r="F229" i="30"/>
  <c r="E229" i="30"/>
  <c r="D229" i="30"/>
  <c r="C229" i="30"/>
  <c r="B229" i="30"/>
  <c r="G228" i="30"/>
  <c r="F228" i="30"/>
  <c r="E228" i="30"/>
  <c r="D228" i="30"/>
  <c r="C228" i="30"/>
  <c r="B228" i="30"/>
  <c r="G227" i="30"/>
  <c r="F227" i="30"/>
  <c r="E227" i="30"/>
  <c r="D227" i="30"/>
  <c r="C227" i="30"/>
  <c r="B227" i="30"/>
  <c r="G226" i="30"/>
  <c r="F226" i="30"/>
  <c r="E226" i="30"/>
  <c r="D226" i="30"/>
  <c r="C226" i="30"/>
  <c r="B226" i="30"/>
  <c r="G225" i="30"/>
  <c r="F225" i="30"/>
  <c r="E225" i="30"/>
  <c r="D225" i="30"/>
  <c r="C225" i="30"/>
  <c r="B225" i="30"/>
  <c r="G216" i="30"/>
  <c r="F216" i="30"/>
  <c r="E216" i="30"/>
  <c r="D216" i="30"/>
  <c r="C216" i="30"/>
  <c r="B216" i="30"/>
  <c r="G215" i="30"/>
  <c r="F215" i="30"/>
  <c r="E215" i="30"/>
  <c r="D215" i="30"/>
  <c r="C215" i="30"/>
  <c r="B215" i="30"/>
  <c r="G214" i="30"/>
  <c r="F214" i="30"/>
  <c r="E214" i="30"/>
  <c r="D214" i="30"/>
  <c r="C214" i="30"/>
  <c r="B214" i="30"/>
  <c r="G213" i="30"/>
  <c r="F213" i="30"/>
  <c r="E213" i="30"/>
  <c r="D213" i="30"/>
  <c r="C213" i="30"/>
  <c r="B213" i="30"/>
  <c r="G211" i="30"/>
  <c r="F211" i="30"/>
  <c r="E211" i="30"/>
  <c r="D211" i="30"/>
  <c r="C211" i="30"/>
  <c r="B211" i="30"/>
  <c r="G210" i="30"/>
  <c r="F210" i="30"/>
  <c r="E210" i="30"/>
  <c r="D210" i="30"/>
  <c r="C210" i="30"/>
  <c r="B210" i="30"/>
  <c r="G209" i="30"/>
  <c r="F209" i="30"/>
  <c r="E209" i="30"/>
  <c r="D209" i="30"/>
  <c r="C209" i="30"/>
  <c r="B209" i="30"/>
  <c r="G208" i="30"/>
  <c r="F208" i="30"/>
  <c r="E208" i="30"/>
  <c r="D208" i="30"/>
  <c r="C208" i="30"/>
  <c r="B208" i="30"/>
  <c r="G206" i="30"/>
  <c r="F206" i="30"/>
  <c r="E206" i="30"/>
  <c r="D206" i="30"/>
  <c r="C206" i="30"/>
  <c r="B206" i="30"/>
  <c r="G205" i="30"/>
  <c r="F205" i="30"/>
  <c r="E205" i="30"/>
  <c r="D205" i="30"/>
  <c r="C205" i="30"/>
  <c r="B205" i="30"/>
  <c r="G204" i="30"/>
  <c r="F204" i="30"/>
  <c r="E204" i="30"/>
  <c r="D204" i="30"/>
  <c r="C204" i="30"/>
  <c r="B204" i="30"/>
  <c r="G203" i="30"/>
  <c r="F203" i="30"/>
  <c r="E203" i="30"/>
  <c r="D203" i="30"/>
  <c r="C203" i="30"/>
  <c r="B203" i="30"/>
  <c r="G201" i="30"/>
  <c r="F201" i="30"/>
  <c r="E201" i="30"/>
  <c r="D201" i="30"/>
  <c r="C201" i="30"/>
  <c r="B201" i="30"/>
  <c r="G200" i="30"/>
  <c r="F200" i="30"/>
  <c r="E200" i="30"/>
  <c r="D200" i="30"/>
  <c r="C200" i="30"/>
  <c r="B200" i="30"/>
  <c r="G199" i="30"/>
  <c r="F199" i="30"/>
  <c r="E199" i="30"/>
  <c r="D199" i="30"/>
  <c r="C199" i="30"/>
  <c r="B199" i="30"/>
  <c r="G198" i="30"/>
  <c r="F198" i="30"/>
  <c r="E198" i="30"/>
  <c r="D198" i="30"/>
  <c r="C198" i="30"/>
  <c r="B198" i="30"/>
  <c r="G196" i="30"/>
  <c r="F196" i="30"/>
  <c r="E196" i="30"/>
  <c r="D196" i="30"/>
  <c r="C196" i="30"/>
  <c r="B196" i="30"/>
  <c r="G195" i="30"/>
  <c r="F195" i="30"/>
  <c r="E195" i="30"/>
  <c r="D195" i="30"/>
  <c r="C195" i="30"/>
  <c r="B195" i="30"/>
  <c r="G194" i="30"/>
  <c r="F194" i="30"/>
  <c r="E194" i="30"/>
  <c r="D194" i="30"/>
  <c r="C194" i="30"/>
  <c r="B194" i="30"/>
  <c r="G193" i="30"/>
  <c r="F193" i="30"/>
  <c r="E193" i="30"/>
  <c r="D193" i="30"/>
  <c r="C193" i="30"/>
  <c r="B193" i="30"/>
  <c r="G191" i="30"/>
  <c r="F191" i="30"/>
  <c r="E191" i="30"/>
  <c r="D191" i="30"/>
  <c r="C191" i="30"/>
  <c r="B191" i="30"/>
  <c r="G190" i="30"/>
  <c r="F190" i="30"/>
  <c r="E190" i="30"/>
  <c r="D190" i="30"/>
  <c r="C190" i="30"/>
  <c r="B190" i="30"/>
  <c r="G189" i="30"/>
  <c r="F189" i="30"/>
  <c r="E189" i="30"/>
  <c r="D189" i="30"/>
  <c r="C189" i="30"/>
  <c r="B189" i="30"/>
  <c r="G188" i="30"/>
  <c r="F188" i="30"/>
  <c r="E188" i="30"/>
  <c r="D188" i="30"/>
  <c r="C188" i="30"/>
  <c r="B188" i="30"/>
  <c r="G187" i="30"/>
  <c r="F187" i="30"/>
  <c r="E187" i="30"/>
  <c r="D187" i="30"/>
  <c r="C187" i="30"/>
  <c r="B187" i="30"/>
  <c r="G186" i="30"/>
  <c r="F186" i="30"/>
  <c r="E186" i="30"/>
  <c r="D186" i="30"/>
  <c r="C186" i="30"/>
  <c r="B186" i="30"/>
  <c r="G185" i="30"/>
  <c r="F185" i="30"/>
  <c r="E185" i="30"/>
  <c r="D185" i="30"/>
  <c r="C185" i="30"/>
  <c r="B185" i="30"/>
  <c r="G184" i="30"/>
  <c r="F184" i="30"/>
  <c r="E184" i="30"/>
  <c r="D184" i="30"/>
  <c r="C184" i="30"/>
  <c r="B184" i="30"/>
  <c r="G183" i="30"/>
  <c r="F183" i="30"/>
  <c r="E183" i="30"/>
  <c r="D183" i="30"/>
  <c r="C183" i="30"/>
  <c r="B183" i="30"/>
  <c r="G181" i="30"/>
  <c r="F181" i="30"/>
  <c r="E181" i="30"/>
  <c r="D181" i="30"/>
  <c r="C181" i="30"/>
  <c r="B181" i="30"/>
  <c r="G180" i="30"/>
  <c r="F180" i="30"/>
  <c r="E180" i="30"/>
  <c r="D180" i="30"/>
  <c r="C180" i="30"/>
  <c r="B180" i="30"/>
  <c r="G179" i="30"/>
  <c r="F179" i="30"/>
  <c r="E179" i="30"/>
  <c r="D179" i="30"/>
  <c r="C179" i="30"/>
  <c r="B179" i="30"/>
  <c r="G178" i="30"/>
  <c r="F178" i="30"/>
  <c r="E178" i="30"/>
  <c r="D178" i="30"/>
  <c r="C178" i="30"/>
  <c r="B178" i="30"/>
  <c r="G176" i="30"/>
  <c r="F176" i="30"/>
  <c r="E176" i="30"/>
  <c r="D176" i="30"/>
  <c r="C176" i="30"/>
  <c r="B176" i="30"/>
  <c r="G175" i="30"/>
  <c r="F175" i="30"/>
  <c r="E175" i="30"/>
  <c r="D175" i="30"/>
  <c r="C175" i="30"/>
  <c r="B175" i="30"/>
  <c r="G174" i="30"/>
  <c r="F174" i="30"/>
  <c r="E174" i="30"/>
  <c r="D174" i="30"/>
  <c r="C174" i="30"/>
  <c r="B174" i="30"/>
  <c r="G173" i="30"/>
  <c r="F173" i="30"/>
  <c r="E173" i="30"/>
  <c r="D173" i="30"/>
  <c r="C173" i="30"/>
  <c r="B173" i="30"/>
  <c r="G171" i="30"/>
  <c r="F171" i="30"/>
  <c r="E171" i="30"/>
  <c r="D171" i="30"/>
  <c r="C171" i="30"/>
  <c r="B171" i="30"/>
  <c r="G170" i="30"/>
  <c r="F170" i="30"/>
  <c r="E170" i="30"/>
  <c r="D170" i="30"/>
  <c r="C170" i="30"/>
  <c r="B170" i="30"/>
  <c r="G169" i="30"/>
  <c r="F169" i="30"/>
  <c r="E169" i="30"/>
  <c r="D169" i="30"/>
  <c r="C169" i="30"/>
  <c r="B169" i="30"/>
  <c r="G168" i="30"/>
  <c r="F168" i="30"/>
  <c r="E168" i="30"/>
  <c r="D168" i="30"/>
  <c r="C168" i="30"/>
  <c r="B168" i="30"/>
  <c r="G150" i="30"/>
  <c r="F150" i="30"/>
  <c r="E150" i="30"/>
  <c r="D150" i="30"/>
  <c r="C150" i="30"/>
  <c r="B150" i="30"/>
  <c r="G149" i="30"/>
  <c r="F149" i="30"/>
  <c r="E149" i="30"/>
  <c r="D149" i="30"/>
  <c r="C149" i="30"/>
  <c r="B149" i="30"/>
  <c r="G148" i="30"/>
  <c r="F148" i="30"/>
  <c r="E148" i="30"/>
  <c r="D148" i="30"/>
  <c r="C148" i="30"/>
  <c r="B148" i="30"/>
  <c r="G146" i="30"/>
  <c r="F146" i="30"/>
  <c r="E146" i="30"/>
  <c r="D146" i="30"/>
  <c r="C146" i="30"/>
  <c r="B146" i="30"/>
  <c r="G145" i="30"/>
  <c r="F145" i="30"/>
  <c r="E145" i="30"/>
  <c r="D145" i="30"/>
  <c r="C145" i="30"/>
  <c r="B145" i="30"/>
  <c r="G144" i="30"/>
  <c r="F144" i="30"/>
  <c r="E144" i="30"/>
  <c r="D144" i="30"/>
  <c r="C144" i="30"/>
  <c r="B144" i="30"/>
  <c r="G143" i="30"/>
  <c r="F143" i="30"/>
  <c r="E143" i="30"/>
  <c r="D143" i="30"/>
  <c r="C143" i="30"/>
  <c r="B143" i="30"/>
  <c r="G142" i="30"/>
  <c r="F142" i="30"/>
  <c r="E142" i="30"/>
  <c r="D142" i="30"/>
  <c r="C142" i="30"/>
  <c r="B142" i="30"/>
  <c r="G141" i="30"/>
  <c r="F141" i="30"/>
  <c r="E141" i="30"/>
  <c r="D141" i="30"/>
  <c r="C141" i="30"/>
  <c r="B141" i="30"/>
  <c r="G140" i="30"/>
  <c r="F140" i="30"/>
  <c r="E140" i="30"/>
  <c r="D140" i="30"/>
  <c r="C140" i="30"/>
  <c r="B140" i="30"/>
  <c r="G139" i="30"/>
  <c r="F139" i="30"/>
  <c r="E139" i="30"/>
  <c r="D139" i="30"/>
  <c r="C139" i="30"/>
  <c r="B139" i="30"/>
  <c r="G138" i="30"/>
  <c r="F138" i="30"/>
  <c r="E138" i="30"/>
  <c r="D138" i="30"/>
  <c r="C138" i="30"/>
  <c r="B138" i="30"/>
  <c r="G137" i="30"/>
  <c r="F137" i="30"/>
  <c r="E137" i="30"/>
  <c r="D137" i="30"/>
  <c r="C137" i="30"/>
  <c r="B137" i="30"/>
  <c r="G136" i="30"/>
  <c r="F136" i="30"/>
  <c r="E136" i="30"/>
  <c r="D136" i="30"/>
  <c r="C136" i="30"/>
  <c r="B136" i="30"/>
  <c r="G135" i="30"/>
  <c r="F135" i="30"/>
  <c r="E135" i="30"/>
  <c r="D135" i="30"/>
  <c r="C135" i="30"/>
  <c r="B135" i="30"/>
  <c r="G134" i="30"/>
  <c r="F134" i="30"/>
  <c r="E134" i="30"/>
  <c r="D134" i="30"/>
  <c r="C134" i="30"/>
  <c r="B134" i="30"/>
  <c r="G133" i="30"/>
  <c r="F133" i="30"/>
  <c r="E133" i="30"/>
  <c r="D133" i="30"/>
  <c r="C133" i="30"/>
  <c r="B133" i="30"/>
  <c r="G132" i="30"/>
  <c r="F132" i="30"/>
  <c r="E132" i="30"/>
  <c r="D132" i="30"/>
  <c r="C132" i="30"/>
  <c r="B132" i="30"/>
  <c r="G131" i="30"/>
  <c r="F131" i="30"/>
  <c r="E131" i="30"/>
  <c r="D131" i="30"/>
  <c r="C131" i="30"/>
  <c r="B131" i="30"/>
  <c r="G130" i="30"/>
  <c r="F130" i="30"/>
  <c r="E130" i="30"/>
  <c r="D130" i="30"/>
  <c r="C130" i="30"/>
  <c r="B130" i="30"/>
  <c r="G129" i="30"/>
  <c r="F129" i="30"/>
  <c r="E129" i="30"/>
  <c r="D129" i="30"/>
  <c r="C129" i="30"/>
  <c r="B129" i="30"/>
  <c r="G128" i="30"/>
  <c r="F128" i="30"/>
  <c r="E128" i="30"/>
  <c r="D128" i="30"/>
  <c r="C128" i="30"/>
  <c r="B128" i="30"/>
  <c r="G127" i="30"/>
  <c r="F127" i="30"/>
  <c r="E127" i="30"/>
  <c r="D127" i="30"/>
  <c r="C127" i="30"/>
  <c r="B127" i="30"/>
  <c r="G125" i="30"/>
  <c r="F125" i="30"/>
  <c r="E125" i="30"/>
  <c r="D125" i="30"/>
  <c r="C125" i="30"/>
  <c r="B125" i="30"/>
  <c r="G124" i="30"/>
  <c r="F124" i="30"/>
  <c r="E124" i="30"/>
  <c r="D124" i="30"/>
  <c r="C124" i="30"/>
  <c r="B124" i="30"/>
  <c r="G123" i="30"/>
  <c r="F123" i="30"/>
  <c r="E123" i="30"/>
  <c r="D123" i="30"/>
  <c r="C123" i="30"/>
  <c r="B123" i="30"/>
  <c r="G122" i="30"/>
  <c r="F122" i="30"/>
  <c r="E122" i="30"/>
  <c r="D122" i="30"/>
  <c r="C122" i="30"/>
  <c r="B122" i="30"/>
  <c r="G121" i="30"/>
  <c r="F121" i="30"/>
  <c r="E121" i="30"/>
  <c r="D121" i="30"/>
  <c r="C121" i="30"/>
  <c r="B121" i="30"/>
  <c r="G120" i="30"/>
  <c r="F120" i="30"/>
  <c r="E120" i="30"/>
  <c r="D120" i="30"/>
  <c r="C120" i="30"/>
  <c r="B120" i="30"/>
  <c r="G119" i="30"/>
  <c r="F119" i="30"/>
  <c r="E119" i="30"/>
  <c r="D119" i="30"/>
  <c r="C119" i="30"/>
  <c r="B119" i="30"/>
  <c r="G118" i="30"/>
  <c r="F118" i="30"/>
  <c r="E118" i="30"/>
  <c r="D118" i="30"/>
  <c r="C118" i="30"/>
  <c r="B118" i="30"/>
  <c r="G117" i="30"/>
  <c r="F117" i="30"/>
  <c r="E117" i="30"/>
  <c r="D117" i="30"/>
  <c r="C117" i="30"/>
  <c r="B117" i="30"/>
  <c r="G116" i="30"/>
  <c r="F116" i="30"/>
  <c r="E116" i="30"/>
  <c r="D116" i="30"/>
  <c r="C116" i="30"/>
  <c r="B116" i="30"/>
  <c r="G115" i="30"/>
  <c r="F115" i="30"/>
  <c r="E115" i="30"/>
  <c r="D115" i="30"/>
  <c r="C115" i="30"/>
  <c r="B115" i="30"/>
  <c r="G114" i="30"/>
  <c r="F114" i="30"/>
  <c r="E114" i="30"/>
  <c r="D114" i="30"/>
  <c r="C114" i="30"/>
  <c r="B114" i="30"/>
  <c r="G113" i="30"/>
  <c r="F113" i="30"/>
  <c r="E113" i="30"/>
  <c r="D113" i="30"/>
  <c r="C113" i="30"/>
  <c r="B113" i="30"/>
  <c r="G112" i="30"/>
  <c r="F112" i="30"/>
  <c r="E112" i="30"/>
  <c r="D112" i="30"/>
  <c r="C112" i="30"/>
  <c r="B112" i="30"/>
  <c r="G111" i="30"/>
  <c r="F111" i="30"/>
  <c r="E111" i="30"/>
  <c r="D111" i="30"/>
  <c r="C111" i="30"/>
  <c r="B111" i="30"/>
  <c r="G110" i="30"/>
  <c r="F110" i="30"/>
  <c r="E110" i="30"/>
  <c r="D110" i="30"/>
  <c r="C110" i="30"/>
  <c r="B110" i="30"/>
  <c r="G109" i="30"/>
  <c r="F109" i="30"/>
  <c r="E109" i="30"/>
  <c r="D109" i="30"/>
  <c r="C109" i="30"/>
  <c r="B109" i="30"/>
  <c r="G108" i="30"/>
  <c r="F108" i="30"/>
  <c r="E108" i="30"/>
  <c r="D108" i="30"/>
  <c r="C108" i="30"/>
  <c r="B108" i="30"/>
  <c r="G107" i="30"/>
  <c r="F107" i="30"/>
  <c r="E107" i="30"/>
  <c r="D107" i="30"/>
  <c r="C107" i="30"/>
  <c r="B107" i="30"/>
  <c r="G106" i="30"/>
  <c r="F106" i="30"/>
  <c r="E106" i="30"/>
  <c r="D106" i="30"/>
  <c r="C106" i="30"/>
  <c r="B106" i="30"/>
  <c r="G99" i="30"/>
  <c r="F99" i="30"/>
  <c r="E99" i="30"/>
  <c r="D99" i="30"/>
  <c r="C99" i="30"/>
  <c r="B99" i="30"/>
  <c r="G97" i="30"/>
  <c r="F97" i="30"/>
  <c r="E97" i="30"/>
  <c r="D97" i="30"/>
  <c r="C97" i="30"/>
  <c r="B97" i="30"/>
  <c r="G96" i="30"/>
  <c r="F96" i="30"/>
  <c r="E96" i="30"/>
  <c r="D96" i="30"/>
  <c r="C96" i="30"/>
  <c r="B96" i="30"/>
  <c r="G95" i="30"/>
  <c r="F95" i="30"/>
  <c r="E95" i="30"/>
  <c r="D95" i="30"/>
  <c r="C95" i="30"/>
  <c r="B95" i="30"/>
  <c r="G94" i="30"/>
  <c r="F94" i="30"/>
  <c r="E94" i="30"/>
  <c r="D94" i="30"/>
  <c r="C94" i="30"/>
  <c r="B94" i="30"/>
  <c r="G93" i="30"/>
  <c r="F93" i="30"/>
  <c r="E93" i="30"/>
  <c r="D93" i="30"/>
  <c r="C93" i="30"/>
  <c r="B93" i="30"/>
  <c r="G92" i="30"/>
  <c r="F92" i="30"/>
  <c r="E92" i="30"/>
  <c r="D92" i="30"/>
  <c r="C92" i="30"/>
  <c r="B92" i="30"/>
  <c r="G91" i="30"/>
  <c r="F91" i="30"/>
  <c r="E91" i="30"/>
  <c r="D91" i="30"/>
  <c r="C91" i="30"/>
  <c r="B91" i="30"/>
  <c r="G90" i="30"/>
  <c r="F90" i="30"/>
  <c r="E90" i="30"/>
  <c r="D90" i="30"/>
  <c r="C90" i="30"/>
  <c r="B90" i="30"/>
  <c r="G89" i="30"/>
  <c r="F89" i="30"/>
  <c r="E89" i="30"/>
  <c r="D89" i="30"/>
  <c r="C89" i="30"/>
  <c r="B89" i="30"/>
  <c r="G88" i="30"/>
  <c r="F88" i="30"/>
  <c r="E88" i="30"/>
  <c r="D88" i="30"/>
  <c r="C88" i="30"/>
  <c r="B88" i="30"/>
  <c r="G87" i="30"/>
  <c r="F87" i="30"/>
  <c r="E87" i="30"/>
  <c r="D87" i="30"/>
  <c r="C87" i="30"/>
  <c r="B87" i="30"/>
  <c r="G86" i="30"/>
  <c r="F86" i="30"/>
  <c r="E86" i="30"/>
  <c r="D86" i="30"/>
  <c r="C86" i="30"/>
  <c r="B86" i="30"/>
  <c r="G84" i="30"/>
  <c r="F84" i="30"/>
  <c r="E84" i="30"/>
  <c r="D84" i="30"/>
  <c r="C84" i="30"/>
  <c r="B84" i="30"/>
  <c r="G83" i="30"/>
  <c r="F83" i="30"/>
  <c r="E83" i="30"/>
  <c r="D83" i="30"/>
  <c r="C83" i="30"/>
  <c r="B83" i="30"/>
  <c r="G82" i="30"/>
  <c r="F82" i="30"/>
  <c r="E82" i="30"/>
  <c r="D82" i="30"/>
  <c r="C82" i="30"/>
  <c r="B82" i="30"/>
  <c r="G81" i="30"/>
  <c r="F81" i="30"/>
  <c r="E81" i="30"/>
  <c r="D81" i="30"/>
  <c r="C81" i="30"/>
  <c r="B81" i="30"/>
  <c r="G80" i="30"/>
  <c r="F80" i="30"/>
  <c r="E80" i="30"/>
  <c r="D80" i="30"/>
  <c r="C80" i="30"/>
  <c r="B80" i="30"/>
  <c r="G79" i="30"/>
  <c r="F79" i="30"/>
  <c r="E79" i="30"/>
  <c r="D79" i="30"/>
  <c r="C79" i="30"/>
  <c r="B79" i="30"/>
  <c r="G78" i="30"/>
  <c r="F78" i="30"/>
  <c r="E78" i="30"/>
  <c r="D78" i="30"/>
  <c r="C78" i="30"/>
  <c r="B78" i="30"/>
  <c r="G77" i="30"/>
  <c r="F77" i="30"/>
  <c r="E77" i="30"/>
  <c r="D77" i="30"/>
  <c r="C77" i="30"/>
  <c r="B77" i="30"/>
  <c r="G76" i="30"/>
  <c r="F76" i="30"/>
  <c r="E76" i="30"/>
  <c r="D76" i="30"/>
  <c r="C76" i="30"/>
  <c r="B76" i="30"/>
  <c r="G75" i="30"/>
  <c r="F75" i="30"/>
  <c r="E75" i="30"/>
  <c r="D75" i="30"/>
  <c r="C75" i="30"/>
  <c r="B75" i="30"/>
  <c r="G73" i="30"/>
  <c r="F73" i="30"/>
  <c r="E73" i="30"/>
  <c r="D73" i="30"/>
  <c r="C73" i="30"/>
  <c r="B73" i="30"/>
  <c r="G72" i="30"/>
  <c r="F72" i="30"/>
  <c r="E72" i="30"/>
  <c r="D72" i="30"/>
  <c r="C72" i="30"/>
  <c r="B72" i="30"/>
  <c r="G71" i="30"/>
  <c r="F71" i="30"/>
  <c r="E71" i="30"/>
  <c r="D71" i="30"/>
  <c r="C71" i="30"/>
  <c r="B71" i="30"/>
  <c r="G70" i="30"/>
  <c r="F70" i="30"/>
  <c r="E70" i="30"/>
  <c r="D70" i="30"/>
  <c r="C70" i="30"/>
  <c r="B70" i="30"/>
  <c r="G69" i="30"/>
  <c r="F69" i="30"/>
  <c r="E69" i="30"/>
  <c r="D69" i="30"/>
  <c r="C69" i="30"/>
  <c r="B69" i="30"/>
  <c r="G68" i="30"/>
  <c r="F68" i="30"/>
  <c r="E68" i="30"/>
  <c r="D68" i="30"/>
  <c r="C68" i="30"/>
  <c r="B68" i="30"/>
  <c r="G66" i="30"/>
  <c r="F66" i="30"/>
  <c r="E66" i="30"/>
  <c r="D66" i="30"/>
  <c r="C66" i="30"/>
  <c r="B66" i="30"/>
  <c r="G65" i="30"/>
  <c r="F65" i="30"/>
  <c r="E65" i="30"/>
  <c r="D65" i="30"/>
  <c r="C65" i="30"/>
  <c r="B65" i="30"/>
  <c r="G64" i="30"/>
  <c r="F64" i="30"/>
  <c r="E64" i="30"/>
  <c r="D64" i="30"/>
  <c r="C64" i="30"/>
  <c r="B64" i="30"/>
  <c r="G63" i="30"/>
  <c r="F63" i="30"/>
  <c r="E63" i="30"/>
  <c r="D63" i="30"/>
  <c r="C63" i="30"/>
  <c r="B63" i="30"/>
  <c r="G62" i="30"/>
  <c r="F62" i="30"/>
  <c r="E62" i="30"/>
  <c r="D62" i="30"/>
  <c r="C62" i="30"/>
  <c r="B62" i="30"/>
  <c r="G61" i="30"/>
  <c r="F61" i="30"/>
  <c r="E61" i="30"/>
  <c r="D61" i="30"/>
  <c r="C61" i="30"/>
  <c r="B61" i="30"/>
  <c r="G59" i="30"/>
  <c r="F59" i="30"/>
  <c r="E59" i="30"/>
  <c r="D59" i="30"/>
  <c r="C59" i="30"/>
  <c r="B59" i="30"/>
  <c r="G58" i="30"/>
  <c r="F58" i="30"/>
  <c r="E58" i="30"/>
  <c r="D58" i="30"/>
  <c r="C58" i="30"/>
  <c r="B58" i="30"/>
  <c r="G57" i="30"/>
  <c r="F57" i="30"/>
  <c r="E57" i="30"/>
  <c r="D57" i="30"/>
  <c r="C57" i="30"/>
  <c r="B57" i="30"/>
  <c r="G56" i="30"/>
  <c r="F56" i="30"/>
  <c r="E56" i="30"/>
  <c r="D56" i="30"/>
  <c r="C56" i="30"/>
  <c r="B56" i="30"/>
  <c r="G55" i="30"/>
  <c r="F55" i="30"/>
  <c r="E55" i="30"/>
  <c r="D55" i="30"/>
  <c r="C55" i="30"/>
  <c r="B55" i="30"/>
  <c r="G54" i="30"/>
  <c r="F54" i="30"/>
  <c r="E54" i="30"/>
  <c r="D54" i="30"/>
  <c r="C54" i="30"/>
  <c r="B54" i="30"/>
  <c r="G53" i="30"/>
  <c r="F53" i="30"/>
  <c r="E53" i="30"/>
  <c r="D53" i="30"/>
  <c r="C53" i="30"/>
  <c r="B53" i="30"/>
  <c r="G52" i="30"/>
  <c r="F52" i="30"/>
  <c r="E52" i="30"/>
  <c r="D52" i="30"/>
  <c r="C52" i="30"/>
  <c r="B52" i="30"/>
  <c r="G51" i="30"/>
  <c r="F51" i="30"/>
  <c r="E51" i="30"/>
  <c r="D51" i="30"/>
  <c r="C51" i="30"/>
  <c r="B51" i="30"/>
  <c r="G50" i="30"/>
  <c r="F50" i="30"/>
  <c r="E50" i="30"/>
  <c r="D50" i="30"/>
  <c r="C50" i="30"/>
  <c r="B50" i="30"/>
  <c r="G49" i="30"/>
  <c r="F49" i="30"/>
  <c r="E49" i="30"/>
  <c r="D49" i="30"/>
  <c r="C49" i="30"/>
  <c r="B49" i="30"/>
  <c r="G48" i="30"/>
  <c r="F48" i="30"/>
  <c r="E48" i="30"/>
  <c r="D48" i="30"/>
  <c r="C48" i="30"/>
  <c r="B48" i="30"/>
  <c r="G47" i="30"/>
  <c r="F47" i="30"/>
  <c r="E47" i="30"/>
  <c r="D47" i="30"/>
  <c r="C47" i="30"/>
  <c r="B47" i="30"/>
  <c r="G46" i="30"/>
  <c r="F46" i="30"/>
  <c r="E46" i="30"/>
  <c r="D46" i="30"/>
  <c r="C46" i="30"/>
  <c r="B46" i="30"/>
  <c r="G45" i="30"/>
  <c r="F45" i="30"/>
  <c r="E45" i="30"/>
  <c r="D45" i="30"/>
  <c r="C45" i="30"/>
  <c r="B45" i="30"/>
  <c r="G44" i="30"/>
  <c r="F44" i="30"/>
  <c r="E44" i="30"/>
  <c r="D44" i="30"/>
  <c r="C44" i="30"/>
  <c r="B44" i="30"/>
  <c r="G43" i="30"/>
  <c r="F43" i="30"/>
  <c r="E43" i="30"/>
  <c r="D43" i="30"/>
  <c r="C43" i="30"/>
  <c r="B43" i="30"/>
  <c r="G42" i="30"/>
  <c r="F42" i="30"/>
  <c r="E42" i="30"/>
  <c r="D42" i="30"/>
  <c r="C42" i="30"/>
  <c r="B42" i="30"/>
  <c r="G41" i="30"/>
  <c r="F41" i="30"/>
  <c r="E41" i="30"/>
  <c r="D41" i="30"/>
  <c r="C41" i="30"/>
  <c r="B41" i="30"/>
  <c r="G40" i="30"/>
  <c r="F40" i="30"/>
  <c r="E40" i="30"/>
  <c r="D40" i="30"/>
  <c r="C40" i="30"/>
  <c r="B40" i="30"/>
  <c r="G39" i="30"/>
  <c r="F39" i="30"/>
  <c r="E39" i="30"/>
  <c r="D39" i="30"/>
  <c r="C39" i="30"/>
  <c r="B39" i="30"/>
  <c r="G38" i="30"/>
  <c r="F38" i="30"/>
  <c r="E38" i="30"/>
  <c r="D38" i="30"/>
  <c r="C38" i="30"/>
  <c r="B38" i="30"/>
  <c r="G37" i="30"/>
  <c r="F37" i="30"/>
  <c r="E37" i="30"/>
  <c r="D37" i="30"/>
  <c r="C37" i="30"/>
  <c r="B37" i="30"/>
  <c r="G36" i="30"/>
  <c r="F36" i="30"/>
  <c r="E36" i="30"/>
  <c r="D36" i="30"/>
  <c r="C36" i="30"/>
  <c r="B36" i="30"/>
  <c r="G35" i="30"/>
  <c r="F35" i="30"/>
  <c r="E35" i="30"/>
  <c r="D35" i="30"/>
  <c r="C35" i="30"/>
  <c r="B35" i="30"/>
  <c r="G34" i="30"/>
  <c r="F34" i="30"/>
  <c r="E34" i="30"/>
  <c r="D34" i="30"/>
  <c r="C34" i="30"/>
  <c r="B34" i="30"/>
  <c r="G33" i="30"/>
  <c r="F33" i="30"/>
  <c r="E33" i="30"/>
  <c r="D33" i="30"/>
  <c r="C33" i="30"/>
  <c r="B33" i="30"/>
  <c r="G32" i="30"/>
  <c r="F32" i="30"/>
  <c r="E32" i="30"/>
  <c r="D32" i="30"/>
  <c r="C32" i="30"/>
  <c r="B32" i="30"/>
  <c r="G31" i="30"/>
  <c r="F31" i="30"/>
  <c r="E31" i="30"/>
  <c r="D31" i="30"/>
  <c r="C31" i="30"/>
  <c r="B31" i="30"/>
  <c r="G30" i="30"/>
  <c r="F30" i="30"/>
  <c r="E30" i="30"/>
  <c r="D30" i="30"/>
  <c r="C30" i="30"/>
  <c r="B30" i="30"/>
  <c r="G28" i="30"/>
  <c r="F28" i="30"/>
  <c r="E28" i="30"/>
  <c r="D28" i="30"/>
  <c r="C28" i="30"/>
  <c r="B28" i="30"/>
  <c r="G27" i="30"/>
  <c r="F27" i="30"/>
  <c r="E27" i="30"/>
  <c r="D27" i="30"/>
  <c r="C27" i="30"/>
  <c r="B27" i="30"/>
  <c r="G26" i="30"/>
  <c r="F26" i="30"/>
  <c r="E26" i="30"/>
  <c r="D26" i="30"/>
  <c r="C26" i="30"/>
  <c r="B26" i="30"/>
  <c r="G25" i="30"/>
  <c r="F25" i="30"/>
  <c r="E25" i="30"/>
  <c r="D25" i="30"/>
  <c r="C25" i="30"/>
  <c r="B25" i="30"/>
  <c r="G24" i="30"/>
  <c r="F24" i="30"/>
  <c r="E24" i="30"/>
  <c r="D24" i="30"/>
  <c r="C24" i="30"/>
  <c r="B24" i="30"/>
  <c r="G23" i="30"/>
  <c r="F23" i="30"/>
  <c r="E23" i="30"/>
  <c r="D23" i="30"/>
  <c r="C23" i="30"/>
  <c r="B23" i="30"/>
  <c r="G22" i="30"/>
  <c r="F22" i="30"/>
  <c r="E22" i="30"/>
  <c r="D22" i="30"/>
  <c r="C22" i="30"/>
  <c r="B22" i="30"/>
  <c r="G21" i="30"/>
  <c r="F21" i="30"/>
  <c r="E21" i="30"/>
  <c r="D21" i="30"/>
  <c r="C21" i="30"/>
  <c r="B21" i="30"/>
  <c r="G20" i="30"/>
  <c r="F20" i="30"/>
  <c r="E20" i="30"/>
  <c r="D20" i="30"/>
  <c r="C20" i="30"/>
  <c r="B20" i="30"/>
  <c r="G19" i="30"/>
  <c r="F19" i="30"/>
  <c r="E19" i="30"/>
  <c r="D19" i="30"/>
  <c r="C19" i="30"/>
  <c r="B19" i="30"/>
  <c r="G18" i="30"/>
  <c r="F18" i="30"/>
  <c r="E18" i="30"/>
  <c r="D18" i="30"/>
  <c r="C18" i="30"/>
  <c r="B18" i="30"/>
  <c r="G17" i="30"/>
  <c r="F17" i="30"/>
  <c r="E17" i="30"/>
  <c r="D17" i="30"/>
  <c r="C17" i="30"/>
  <c r="B17" i="30"/>
  <c r="G16" i="30"/>
  <c r="F16" i="30"/>
  <c r="E16" i="30"/>
  <c r="D16" i="30"/>
  <c r="C16" i="30"/>
  <c r="B16" i="30"/>
  <c r="G15" i="30"/>
  <c r="F15" i="30"/>
  <c r="E15" i="30"/>
  <c r="D15" i="30"/>
  <c r="C15" i="30"/>
  <c r="B15" i="30"/>
  <c r="G14" i="30"/>
  <c r="F14" i="30"/>
  <c r="E14" i="30"/>
  <c r="D14" i="30"/>
  <c r="C14" i="30"/>
  <c r="B14" i="30"/>
  <c r="G13" i="30"/>
  <c r="F13" i="30"/>
  <c r="E13" i="30"/>
  <c r="D13" i="30"/>
  <c r="C13" i="30"/>
  <c r="B13" i="30"/>
  <c r="G12" i="30"/>
  <c r="F12" i="30"/>
  <c r="E12" i="30"/>
  <c r="D12" i="30"/>
  <c r="C12" i="30"/>
  <c r="B12" i="30"/>
  <c r="G11" i="30"/>
  <c r="F11" i="30"/>
  <c r="E11" i="30"/>
  <c r="D11" i="30"/>
  <c r="C11" i="30"/>
  <c r="B11" i="30"/>
  <c r="G10" i="30"/>
  <c r="F10" i="30"/>
  <c r="E10" i="30"/>
  <c r="D10" i="30"/>
  <c r="C10" i="30"/>
  <c r="B10" i="30"/>
  <c r="G9" i="30"/>
  <c r="F9" i="30"/>
  <c r="E9" i="30"/>
  <c r="D9" i="30"/>
  <c r="C9" i="30"/>
  <c r="B9" i="30"/>
  <c r="G8" i="30"/>
  <c r="F8" i="30"/>
  <c r="E8" i="30"/>
  <c r="D8" i="30"/>
  <c r="C8" i="30"/>
  <c r="B8" i="30"/>
  <c r="G7" i="30"/>
  <c r="F7" i="30"/>
  <c r="E7" i="30"/>
  <c r="D7" i="30"/>
  <c r="C7" i="30"/>
  <c r="P705" i="19"/>
  <c r="O705" i="19"/>
  <c r="N705" i="19"/>
  <c r="M705" i="19"/>
  <c r="L705" i="19"/>
  <c r="K705" i="19"/>
  <c r="J705" i="19"/>
  <c r="I705" i="19"/>
  <c r="H705" i="19"/>
  <c r="G705" i="19"/>
  <c r="G709" i="19"/>
  <c r="F709" i="19"/>
  <c r="B7" i="30"/>
  <c r="C105" i="30"/>
  <c r="D105" i="30"/>
  <c r="E105" i="30"/>
  <c r="F105" i="30"/>
  <c r="G105" i="30"/>
  <c r="B105" i="30"/>
  <c r="N65" i="23"/>
  <c r="N67" i="23"/>
  <c r="N180" i="23" s="1"/>
  <c r="N57" i="23"/>
  <c r="P648" i="19"/>
  <c r="P644" i="19"/>
  <c r="L57" i="23"/>
  <c r="L61" i="23"/>
  <c r="P637" i="19"/>
  <c r="N637" i="19"/>
  <c r="P626" i="19"/>
  <c r="O626" i="19"/>
  <c r="N626" i="19"/>
  <c r="M626" i="19"/>
  <c r="N14" i="23"/>
  <c r="L159" i="23"/>
  <c r="M159" i="23"/>
  <c r="N159" i="23"/>
  <c r="O159" i="23"/>
  <c r="L160" i="23"/>
  <c r="M160" i="23"/>
  <c r="N160" i="23"/>
  <c r="O160" i="23"/>
  <c r="L150" i="23"/>
  <c r="M150" i="23"/>
  <c r="N150" i="23"/>
  <c r="O150" i="23"/>
  <c r="O293" i="24"/>
  <c r="L300" i="24"/>
  <c r="M300" i="24"/>
  <c r="N300" i="24"/>
  <c r="O300" i="24"/>
  <c r="BA65" i="24"/>
  <c r="BB65" i="24"/>
  <c r="BC65" i="24"/>
  <c r="BD65" i="24"/>
  <c r="BA66" i="24"/>
  <c r="BB66" i="24"/>
  <c r="BC66" i="24"/>
  <c r="BD66" i="24"/>
  <c r="O8" i="24"/>
  <c r="AE8" i="24" s="1"/>
  <c r="AQ8" i="24" s="1"/>
  <c r="M8" i="24"/>
  <c r="AC8" i="24" s="1"/>
  <c r="AO8" i="24" s="1"/>
  <c r="N8" i="24"/>
  <c r="AD8" i="24" s="1"/>
  <c r="AP8" i="24" s="1"/>
  <c r="K8" i="24"/>
  <c r="AZ8" i="24" s="1"/>
  <c r="L8" i="24"/>
  <c r="G167" i="26"/>
  <c r="H167" i="26"/>
  <c r="I167" i="26"/>
  <c r="J167" i="26"/>
  <c r="K167" i="26"/>
  <c r="L167" i="26"/>
  <c r="M167" i="26"/>
  <c r="N167" i="26"/>
  <c r="O167" i="26"/>
  <c r="P167" i="26"/>
  <c r="Q167" i="26"/>
  <c r="R167" i="26"/>
  <c r="S167" i="26"/>
  <c r="T167" i="26"/>
  <c r="R60" i="26"/>
  <c r="U70" i="26"/>
  <c r="R70" i="26"/>
  <c r="S70" i="26"/>
  <c r="T70" i="26"/>
  <c r="R39" i="26"/>
  <c r="S39" i="26"/>
  <c r="T39" i="26"/>
  <c r="R22" i="26"/>
  <c r="U39" i="26"/>
  <c r="Q26" i="26"/>
  <c r="R26" i="26"/>
  <c r="S26" i="26"/>
  <c r="T26" i="26"/>
  <c r="U22" i="26"/>
  <c r="S22" i="26"/>
  <c r="T22" i="26"/>
  <c r="R15" i="26"/>
  <c r="S15" i="26"/>
  <c r="T15" i="26"/>
  <c r="U15" i="26"/>
  <c r="U19" i="26" s="1"/>
  <c r="U58" i="26" s="1"/>
  <c r="U63" i="26" s="1"/>
  <c r="U65" i="26" s="1"/>
  <c r="U94" i="26"/>
  <c r="U164" i="26"/>
  <c r="U199" i="26"/>
  <c r="U87" i="26"/>
  <c r="U69" i="26"/>
  <c r="U57" i="26"/>
  <c r="U51" i="26"/>
  <c r="U38" i="26"/>
  <c r="U25" i="26"/>
  <c r="U14" i="26"/>
  <c r="X8" i="23"/>
  <c r="Y8" i="23"/>
  <c r="Y216" i="23" s="1"/>
  <c r="Z8" i="23"/>
  <c r="Z216" i="23" s="1"/>
  <c r="AA8" i="23"/>
  <c r="AA216" i="23" s="1"/>
  <c r="K8" i="23"/>
  <c r="L8" i="23"/>
  <c r="L196" i="23" s="1"/>
  <c r="M8" i="23"/>
  <c r="M196" i="23" s="1"/>
  <c r="N8" i="23"/>
  <c r="O8" i="23"/>
  <c r="E730" i="19"/>
  <c r="E714" i="19"/>
  <c r="E692" i="19"/>
  <c r="E681" i="19"/>
  <c r="E657" i="19"/>
  <c r="E643" i="19"/>
  <c r="E632" i="19"/>
  <c r="E623" i="19"/>
  <c r="E603" i="19"/>
  <c r="E582" i="19"/>
  <c r="E557" i="19"/>
  <c r="E543" i="19"/>
  <c r="E519" i="19"/>
  <c r="E491" i="19"/>
  <c r="E448" i="19"/>
  <c r="E430" i="19"/>
  <c r="E366" i="19"/>
  <c r="E361" i="19"/>
  <c r="E262" i="19"/>
  <c r="E171" i="19"/>
  <c r="E112" i="19"/>
  <c r="E73" i="19"/>
  <c r="AL114" i="6"/>
  <c r="AK114" i="6"/>
  <c r="AJ114" i="6"/>
  <c r="AI114" i="6"/>
  <c r="AH114" i="6"/>
  <c r="AG114" i="6"/>
  <c r="AF114" i="6"/>
  <c r="AE114" i="6"/>
  <c r="AD114" i="6"/>
  <c r="AL101" i="6"/>
  <c r="AK101" i="6"/>
  <c r="AJ101" i="6"/>
  <c r="AI101" i="6"/>
  <c r="AH101" i="6"/>
  <c r="AG101" i="6"/>
  <c r="AF101" i="6"/>
  <c r="AE101" i="6"/>
  <c r="AD101" i="6"/>
  <c r="AL88" i="6"/>
  <c r="AK88" i="6"/>
  <c r="AJ88" i="6"/>
  <c r="AI88" i="6"/>
  <c r="AH88" i="6"/>
  <c r="AG88" i="6"/>
  <c r="AF88" i="6"/>
  <c r="AE88" i="6"/>
  <c r="AD88" i="6"/>
  <c r="D2" i="6"/>
  <c r="I337" i="19"/>
  <c r="J337" i="19"/>
  <c r="K337" i="19"/>
  <c r="L337" i="19"/>
  <c r="M337" i="19"/>
  <c r="N337" i="19"/>
  <c r="O337" i="19"/>
  <c r="I338" i="19"/>
  <c r="J338" i="19"/>
  <c r="K338" i="19"/>
  <c r="L338" i="19"/>
  <c r="M338" i="19"/>
  <c r="N338" i="19"/>
  <c r="O338" i="19"/>
  <c r="I340" i="19"/>
  <c r="J340" i="19"/>
  <c r="K340" i="19"/>
  <c r="L340" i="19"/>
  <c r="M340" i="19"/>
  <c r="N340" i="19"/>
  <c r="O340" i="19"/>
  <c r="I313" i="19"/>
  <c r="J313" i="19"/>
  <c r="K313" i="19"/>
  <c r="L313" i="19"/>
  <c r="M313" i="19"/>
  <c r="N313" i="19"/>
  <c r="O313" i="19"/>
  <c r="I314" i="19"/>
  <c r="J314" i="19"/>
  <c r="K314" i="19"/>
  <c r="L314" i="19"/>
  <c r="M314" i="19"/>
  <c r="N314" i="19"/>
  <c r="O314" i="19"/>
  <c r="I315" i="19"/>
  <c r="J315" i="19"/>
  <c r="K315" i="19"/>
  <c r="L315" i="19"/>
  <c r="M315" i="19"/>
  <c r="N315" i="19"/>
  <c r="O315" i="19"/>
  <c r="I316" i="19"/>
  <c r="J316" i="19"/>
  <c r="K316" i="19"/>
  <c r="L316" i="19"/>
  <c r="M316" i="19"/>
  <c r="N316" i="19"/>
  <c r="O316" i="19"/>
  <c r="I317" i="19"/>
  <c r="J317" i="19"/>
  <c r="K317" i="19"/>
  <c r="L317" i="19"/>
  <c r="M317" i="19"/>
  <c r="N317" i="19"/>
  <c r="O317" i="19"/>
  <c r="I318" i="19"/>
  <c r="J318" i="19"/>
  <c r="K318" i="19"/>
  <c r="L318" i="19"/>
  <c r="M318" i="19"/>
  <c r="N318" i="19"/>
  <c r="O318" i="19"/>
  <c r="J68" i="23"/>
  <c r="K53" i="23"/>
  <c r="J53" i="23"/>
  <c r="I52" i="23"/>
  <c r="K51" i="23"/>
  <c r="J51" i="23"/>
  <c r="I51" i="23"/>
  <c r="H27" i="23"/>
  <c r="I26" i="23"/>
  <c r="G26" i="23"/>
  <c r="P392" i="19"/>
  <c r="O392" i="19"/>
  <c r="N392" i="19"/>
  <c r="N400" i="19" s="1"/>
  <c r="M159" i="25" s="1"/>
  <c r="M392" i="19"/>
  <c r="L392" i="19"/>
  <c r="L400" i="19" s="1"/>
  <c r="K392" i="19"/>
  <c r="K393" i="19" s="1"/>
  <c r="J392" i="19"/>
  <c r="J395" i="19" s="1"/>
  <c r="I392" i="19"/>
  <c r="I395" i="19" s="1"/>
  <c r="H392" i="19"/>
  <c r="H394" i="19" s="1"/>
  <c r="G392" i="19"/>
  <c r="G394" i="19" s="1"/>
  <c r="G141" i="6"/>
  <c r="I141" i="6"/>
  <c r="J141" i="6"/>
  <c r="H141" i="6"/>
  <c r="H148" i="6"/>
  <c r="O190" i="6"/>
  <c r="AD20" i="6"/>
  <c r="AD32" i="6"/>
  <c r="AD38" i="6"/>
  <c r="AD59" i="6"/>
  <c r="AH32" i="6"/>
  <c r="AG32" i="6"/>
  <c r="AF32" i="6"/>
  <c r="AE32" i="6"/>
  <c r="G334" i="19"/>
  <c r="G330" i="19"/>
  <c r="G323" i="19"/>
  <c r="G307" i="19"/>
  <c r="G299" i="19"/>
  <c r="G274" i="19"/>
  <c r="M330" i="19"/>
  <c r="L330" i="19"/>
  <c r="K330" i="19"/>
  <c r="J330" i="19"/>
  <c r="I330" i="19"/>
  <c r="M323" i="19"/>
  <c r="L323" i="19"/>
  <c r="K323" i="19"/>
  <c r="J323" i="19"/>
  <c r="I323" i="19"/>
  <c r="M307" i="19"/>
  <c r="L307" i="19"/>
  <c r="K307" i="19"/>
  <c r="J307" i="19"/>
  <c r="I307" i="19"/>
  <c r="M299" i="19"/>
  <c r="L299" i="19"/>
  <c r="K299" i="19"/>
  <c r="J299" i="19"/>
  <c r="I299" i="19"/>
  <c r="M274" i="19"/>
  <c r="L274" i="19"/>
  <c r="K274" i="19"/>
  <c r="J274" i="19"/>
  <c r="I274" i="19"/>
  <c r="O330" i="19"/>
  <c r="N330" i="19"/>
  <c r="O323" i="19"/>
  <c r="N323" i="19"/>
  <c r="O307" i="19"/>
  <c r="N307" i="19"/>
  <c r="O299" i="19"/>
  <c r="N299" i="19"/>
  <c r="O274" i="19"/>
  <c r="N274" i="19"/>
  <c r="X168" i="25" l="1"/>
  <c r="X215" i="25"/>
  <c r="AA168" i="25"/>
  <c r="AA215" i="25"/>
  <c r="Z168" i="25"/>
  <c r="Z215" i="25"/>
  <c r="Y168" i="25"/>
  <c r="Y215" i="25"/>
  <c r="P677" i="19"/>
  <c r="M197" i="23"/>
  <c r="L197" i="23"/>
  <c r="L202" i="23"/>
  <c r="P148" i="6"/>
  <c r="N23" i="23"/>
  <c r="N196" i="23"/>
  <c r="K97" i="23"/>
  <c r="K196" i="23"/>
  <c r="O23" i="23"/>
  <c r="O196" i="23"/>
  <c r="L98" i="25"/>
  <c r="F78" i="25"/>
  <c r="F98" i="25"/>
  <c r="O113" i="26"/>
  <c r="O127" i="26" s="1"/>
  <c r="O147" i="26" s="1"/>
  <c r="O151" i="26" s="1"/>
  <c r="K151" i="25"/>
  <c r="N113" i="26"/>
  <c r="N127" i="26" s="1"/>
  <c r="N152" i="25"/>
  <c r="M151" i="25"/>
  <c r="O148" i="25"/>
  <c r="P126" i="26"/>
  <c r="P146" i="6"/>
  <c r="P151" i="6"/>
  <c r="I396" i="19"/>
  <c r="I397" i="19"/>
  <c r="I398" i="19"/>
  <c r="P141" i="6"/>
  <c r="AB8" i="24"/>
  <c r="AN8" i="24" s="1"/>
  <c r="L133" i="24"/>
  <c r="I399" i="19"/>
  <c r="I400" i="19"/>
  <c r="N393" i="19"/>
  <c r="P153" i="6"/>
  <c r="N394" i="19"/>
  <c r="P147" i="6"/>
  <c r="N395" i="19"/>
  <c r="P152" i="6"/>
  <c r="N397" i="19"/>
  <c r="M156" i="23" s="1"/>
  <c r="N396" i="19"/>
  <c r="N398" i="19"/>
  <c r="M157" i="23" s="1"/>
  <c r="N399" i="19"/>
  <c r="M158" i="23" s="1"/>
  <c r="P145" i="6"/>
  <c r="I393" i="19"/>
  <c r="I394" i="19"/>
  <c r="T126" i="26"/>
  <c r="R126" i="26"/>
  <c r="M127" i="26"/>
  <c r="M147" i="26" s="1"/>
  <c r="J127" i="26"/>
  <c r="K127" i="26"/>
  <c r="K151" i="26" s="1"/>
  <c r="F91" i="25"/>
  <c r="K26" i="25"/>
  <c r="M113" i="23"/>
  <c r="L113" i="23"/>
  <c r="K113" i="23"/>
  <c r="J113" i="23"/>
  <c r="I113" i="23"/>
  <c r="H113" i="23"/>
  <c r="G113" i="23"/>
  <c r="X216" i="23"/>
  <c r="X46" i="23"/>
  <c r="M637" i="19"/>
  <c r="O633" i="19" s="1"/>
  <c r="L52" i="23"/>
  <c r="O176" i="23"/>
  <c r="O97" i="23"/>
  <c r="L121" i="23"/>
  <c r="L17" i="25"/>
  <c r="N61" i="23"/>
  <c r="N135" i="23"/>
  <c r="N97" i="23"/>
  <c r="M135" i="23"/>
  <c r="M97" i="23"/>
  <c r="L242" i="23"/>
  <c r="L97" i="23"/>
  <c r="L65" i="23"/>
  <c r="S113" i="26"/>
  <c r="S127" i="26" s="1"/>
  <c r="S147" i="26" s="1"/>
  <c r="S151" i="26" s="1"/>
  <c r="L151" i="26"/>
  <c r="L147" i="26"/>
  <c r="J147" i="26"/>
  <c r="J151" i="26"/>
  <c r="T113" i="26"/>
  <c r="N147" i="26"/>
  <c r="N151" i="26"/>
  <c r="P113" i="26"/>
  <c r="J152" i="25"/>
  <c r="Q113" i="26"/>
  <c r="Q127" i="26" s="1"/>
  <c r="Q147" i="26" s="1"/>
  <c r="Q151" i="26" s="1"/>
  <c r="K152" i="25"/>
  <c r="R113" i="26"/>
  <c r="L152" i="25"/>
  <c r="M152" i="25"/>
  <c r="E251" i="6"/>
  <c r="Y46" i="23"/>
  <c r="M23" i="23"/>
  <c r="L23" i="23"/>
  <c r="AA46" i="23"/>
  <c r="Z46" i="23"/>
  <c r="N46" i="23"/>
  <c r="E78" i="6"/>
  <c r="C139" i="6"/>
  <c r="D58" i="24"/>
  <c r="E177" i="6"/>
  <c r="D75" i="24"/>
  <c r="D105" i="24"/>
  <c r="E200" i="6"/>
  <c r="D137" i="25"/>
  <c r="L146" i="25"/>
  <c r="O168" i="25"/>
  <c r="O146" i="25"/>
  <c r="N146" i="25"/>
  <c r="M146" i="25"/>
  <c r="O137" i="25"/>
  <c r="O32" i="25"/>
  <c r="M137" i="25"/>
  <c r="L137" i="25"/>
  <c r="O198" i="25"/>
  <c r="O119" i="25"/>
  <c r="N137" i="25"/>
  <c r="O158" i="25"/>
  <c r="N215" i="25"/>
  <c r="N32" i="25"/>
  <c r="N65" i="25"/>
  <c r="N119" i="25"/>
  <c r="F38" i="25"/>
  <c r="O51" i="25"/>
  <c r="N125" i="25"/>
  <c r="N168" i="25"/>
  <c r="O65" i="25"/>
  <c r="O215" i="25"/>
  <c r="O85" i="25"/>
  <c r="L158" i="25"/>
  <c r="O104" i="25"/>
  <c r="N104" i="25"/>
  <c r="O130" i="25"/>
  <c r="D103" i="25"/>
  <c r="M32" i="25"/>
  <c r="M65" i="25"/>
  <c r="M119" i="25"/>
  <c r="O38" i="25"/>
  <c r="N130" i="25"/>
  <c r="D124" i="25"/>
  <c r="L168" i="25"/>
  <c r="L32" i="25"/>
  <c r="L65" i="25"/>
  <c r="L119" i="25"/>
  <c r="M215" i="25"/>
  <c r="M130" i="25"/>
  <c r="D167" i="25"/>
  <c r="L215" i="25"/>
  <c r="L130" i="25"/>
  <c r="D197" i="25"/>
  <c r="N51" i="25"/>
  <c r="N85" i="25"/>
  <c r="M168" i="25"/>
  <c r="M51" i="25"/>
  <c r="M85" i="25"/>
  <c r="L51" i="25"/>
  <c r="L85" i="25"/>
  <c r="M125" i="25"/>
  <c r="M104" i="25"/>
  <c r="N158" i="25"/>
  <c r="L198" i="25"/>
  <c r="L125" i="25"/>
  <c r="M158" i="25"/>
  <c r="F45" i="25"/>
  <c r="N186" i="25"/>
  <c r="Z175" i="25" s="1"/>
  <c r="O186" i="25"/>
  <c r="AA178" i="25" s="1"/>
  <c r="L186" i="25"/>
  <c r="L45" i="25"/>
  <c r="M186" i="25"/>
  <c r="Y178" i="25" s="1"/>
  <c r="O109" i="6"/>
  <c r="O78" i="25"/>
  <c r="M46" i="23"/>
  <c r="L46" i="23"/>
  <c r="K23" i="23"/>
  <c r="M166" i="23"/>
  <c r="G167" i="23"/>
  <c r="L166" i="23"/>
  <c r="K168" i="23"/>
  <c r="G55" i="23"/>
  <c r="K122" i="23"/>
  <c r="O167" i="23"/>
  <c r="F168" i="23"/>
  <c r="K166" i="23"/>
  <c r="M122" i="23"/>
  <c r="L167" i="23"/>
  <c r="O168" i="23"/>
  <c r="H55" i="23"/>
  <c r="L122" i="23"/>
  <c r="K167" i="23"/>
  <c r="I167" i="23"/>
  <c r="J167" i="23"/>
  <c r="L168" i="23"/>
  <c r="O166" i="23"/>
  <c r="O169" i="23" s="1"/>
  <c r="J166" i="23"/>
  <c r="M168" i="23"/>
  <c r="H167" i="23"/>
  <c r="F167" i="23"/>
  <c r="N55" i="23"/>
  <c r="G166" i="23"/>
  <c r="I166" i="23"/>
  <c r="J122" i="23"/>
  <c r="J168" i="23"/>
  <c r="I122" i="23"/>
  <c r="I168" i="23"/>
  <c r="H122" i="23"/>
  <c r="H168" i="23"/>
  <c r="H166" i="23"/>
  <c r="G122" i="23"/>
  <c r="G168" i="23"/>
  <c r="F166" i="23"/>
  <c r="O236" i="23"/>
  <c r="AA233" i="23" s="1"/>
  <c r="N236" i="23"/>
  <c r="M167" i="23"/>
  <c r="M236" i="23"/>
  <c r="M55" i="23"/>
  <c r="O55" i="23"/>
  <c r="K55" i="23"/>
  <c r="J55" i="23"/>
  <c r="I55" i="23"/>
  <c r="L55" i="23"/>
  <c r="F55" i="23"/>
  <c r="AB25" i="25"/>
  <c r="O25" i="25"/>
  <c r="O79" i="25" s="1"/>
  <c r="O46" i="23"/>
  <c r="O292" i="24"/>
  <c r="M296" i="24"/>
  <c r="O296" i="24"/>
  <c r="N106" i="23"/>
  <c r="M106" i="23"/>
  <c r="E151" i="30"/>
  <c r="F151" i="30"/>
  <c r="G147" i="30"/>
  <c r="G151" i="30"/>
  <c r="D151" i="30"/>
  <c r="E147" i="30"/>
  <c r="N287" i="24"/>
  <c r="L219" i="24"/>
  <c r="N263" i="24"/>
  <c r="L252" i="24"/>
  <c r="L263" i="24"/>
  <c r="L287" i="24"/>
  <c r="AD219" i="24"/>
  <c r="O89" i="24"/>
  <c r="L89" i="24"/>
  <c r="L106" i="24"/>
  <c r="O216" i="23"/>
  <c r="N133" i="24"/>
  <c r="M133" i="24"/>
  <c r="O208" i="23"/>
  <c r="O172" i="24"/>
  <c r="M208" i="23"/>
  <c r="N172" i="24"/>
  <c r="L208" i="23"/>
  <c r="O155" i="23"/>
  <c r="N155" i="23"/>
  <c r="O287" i="24"/>
  <c r="O263" i="24"/>
  <c r="M155" i="23"/>
  <c r="O165" i="23"/>
  <c r="L155" i="23"/>
  <c r="N165" i="23"/>
  <c r="M287" i="24"/>
  <c r="AC219" i="24"/>
  <c r="AE252" i="24"/>
  <c r="L165" i="23"/>
  <c r="L172" i="24"/>
  <c r="O59" i="24"/>
  <c r="N192" i="24"/>
  <c r="R8" i="24"/>
  <c r="L59" i="24"/>
  <c r="M192" i="24"/>
  <c r="L192" i="24"/>
  <c r="O213" i="24"/>
  <c r="O651" i="19"/>
  <c r="P651" i="19"/>
  <c r="AE59" i="24"/>
  <c r="O76" i="24"/>
  <c r="N213" i="24"/>
  <c r="N216" i="23"/>
  <c r="AC213" i="24"/>
  <c r="N76" i="24"/>
  <c r="L213" i="24"/>
  <c r="M216" i="23"/>
  <c r="AE219" i="24"/>
  <c r="L76" i="24"/>
  <c r="O219" i="24"/>
  <c r="L216" i="23"/>
  <c r="L14" i="23"/>
  <c r="M76" i="24"/>
  <c r="M172" i="24"/>
  <c r="M213" i="24"/>
  <c r="M263" i="24"/>
  <c r="M165" i="23"/>
  <c r="N208" i="23"/>
  <c r="O135" i="23"/>
  <c r="M89" i="24"/>
  <c r="M219" i="24"/>
  <c r="L135" i="23"/>
  <c r="N176" i="23"/>
  <c r="N242" i="23"/>
  <c r="AE287" i="24"/>
  <c r="K59" i="24"/>
  <c r="M176" i="23"/>
  <c r="M242" i="23"/>
  <c r="N59" i="24"/>
  <c r="N89" i="24"/>
  <c r="O242" i="23"/>
  <c r="AD287" i="24"/>
  <c r="O106" i="24"/>
  <c r="O252" i="24"/>
  <c r="L176" i="23"/>
  <c r="AA242" i="23"/>
  <c r="N219" i="24"/>
  <c r="AC287" i="24"/>
  <c r="N106" i="24"/>
  <c r="N252" i="24"/>
  <c r="Z242" i="23"/>
  <c r="M59" i="24"/>
  <c r="M106" i="24"/>
  <c r="M252" i="24"/>
  <c r="Y242" i="23"/>
  <c r="X242" i="23"/>
  <c r="AD59" i="24"/>
  <c r="O133" i="24"/>
  <c r="O192" i="24"/>
  <c r="C151" i="30"/>
  <c r="D147" i="30"/>
  <c r="B151" i="30"/>
  <c r="F147" i="30"/>
  <c r="B147" i="30"/>
  <c r="C147" i="30"/>
  <c r="C126" i="30"/>
  <c r="B126" i="30"/>
  <c r="F126" i="30"/>
  <c r="G126" i="30"/>
  <c r="D126" i="30"/>
  <c r="E126" i="30"/>
  <c r="N651" i="19"/>
  <c r="O295" i="24"/>
  <c r="AD252" i="24"/>
  <c r="L156" i="23"/>
  <c r="L159" i="25"/>
  <c r="AL33" i="6"/>
  <c r="O397" i="19"/>
  <c r="N156" i="23" s="1"/>
  <c r="O400" i="19"/>
  <c r="N159" i="25" s="1"/>
  <c r="AC59" i="24"/>
  <c r="AC252" i="24"/>
  <c r="AE172" i="24"/>
  <c r="AE263" i="24"/>
  <c r="O159" i="25"/>
  <c r="AD172" i="24"/>
  <c r="AD263" i="24"/>
  <c r="AC172" i="24"/>
  <c r="AC263" i="24"/>
  <c r="AE213" i="24"/>
  <c r="AD213" i="24"/>
  <c r="BD8" i="24"/>
  <c r="BC8" i="24"/>
  <c r="BB8" i="24"/>
  <c r="BA8" i="24"/>
  <c r="T19" i="26"/>
  <c r="T58" i="26" s="1"/>
  <c r="T63" i="26" s="1"/>
  <c r="T65" i="26" s="1"/>
  <c r="S19" i="26"/>
  <c r="S58" i="26" s="1"/>
  <c r="S63" i="26" s="1"/>
  <c r="S65" i="26" s="1"/>
  <c r="R19" i="26"/>
  <c r="O9" i="6"/>
  <c r="O70" i="6" s="1"/>
  <c r="O72" i="6" s="1"/>
  <c r="AL45" i="6"/>
  <c r="G403" i="19"/>
  <c r="H403" i="19"/>
  <c r="K395" i="19"/>
  <c r="L395" i="19"/>
  <c r="O395" i="19"/>
  <c r="O156" i="23"/>
  <c r="J398" i="19"/>
  <c r="K398" i="19"/>
  <c r="L398" i="19"/>
  <c r="L157" i="23"/>
  <c r="O398" i="19"/>
  <c r="N157" i="23" s="1"/>
  <c r="K396" i="19"/>
  <c r="O157" i="23"/>
  <c r="G395" i="19"/>
  <c r="G398" i="19"/>
  <c r="O393" i="19"/>
  <c r="L396" i="19"/>
  <c r="J399" i="19"/>
  <c r="K399" i="19"/>
  <c r="L399" i="19"/>
  <c r="H397" i="19"/>
  <c r="G399" i="19"/>
  <c r="K394" i="19"/>
  <c r="L158" i="23"/>
  <c r="O396" i="19"/>
  <c r="G393" i="19"/>
  <c r="H399" i="19"/>
  <c r="L394" i="19"/>
  <c r="J397" i="19"/>
  <c r="O399" i="19"/>
  <c r="N158" i="23" s="1"/>
  <c r="J396" i="19"/>
  <c r="H398" i="19"/>
  <c r="H393" i="19"/>
  <c r="K397" i="19"/>
  <c r="O158" i="23"/>
  <c r="L393" i="19"/>
  <c r="G400" i="19"/>
  <c r="O394" i="19"/>
  <c r="L397" i="19"/>
  <c r="J400" i="19"/>
  <c r="G397" i="19"/>
  <c r="H400" i="19"/>
  <c r="K400" i="19"/>
  <c r="H395" i="19"/>
  <c r="J393" i="19"/>
  <c r="J394" i="19"/>
  <c r="O80" i="6"/>
  <c r="AL10" i="6"/>
  <c r="O97" i="6"/>
  <c r="N9" i="6"/>
  <c r="M9" i="6"/>
  <c r="P262" i="19"/>
  <c r="O262" i="19"/>
  <c r="N262" i="19"/>
  <c r="M262" i="19"/>
  <c r="L262" i="19"/>
  <c r="K262" i="19"/>
  <c r="J262" i="19"/>
  <c r="I262" i="19"/>
  <c r="H262" i="19"/>
  <c r="G262" i="19"/>
  <c r="G171" i="19"/>
  <c r="H171" i="19"/>
  <c r="I171" i="19"/>
  <c r="J171" i="19"/>
  <c r="K171" i="19"/>
  <c r="L171" i="19"/>
  <c r="M171" i="19"/>
  <c r="N171" i="19"/>
  <c r="O171" i="19"/>
  <c r="Z8" i="6" s="1"/>
  <c r="Z78" i="6" s="1"/>
  <c r="P171" i="19"/>
  <c r="F262" i="19"/>
  <c r="K69" i="6"/>
  <c r="J69" i="6"/>
  <c r="I69" i="6"/>
  <c r="H69" i="6"/>
  <c r="G69" i="6"/>
  <c r="F69" i="6"/>
  <c r="K67" i="6"/>
  <c r="J67" i="6"/>
  <c r="I67" i="6"/>
  <c r="H67" i="6"/>
  <c r="G67" i="6"/>
  <c r="F67" i="6"/>
  <c r="K66" i="6"/>
  <c r="J66" i="6"/>
  <c r="I66" i="6"/>
  <c r="H66" i="6"/>
  <c r="G66" i="6"/>
  <c r="F66" i="6"/>
  <c r="K64" i="6"/>
  <c r="J64" i="6"/>
  <c r="I64" i="6"/>
  <c r="H64" i="6"/>
  <c r="G64" i="6"/>
  <c r="F64" i="6"/>
  <c r="K63" i="6"/>
  <c r="K62" i="6"/>
  <c r="J62" i="6"/>
  <c r="I62" i="6"/>
  <c r="H62" i="6"/>
  <c r="G62" i="6"/>
  <c r="F62" i="6"/>
  <c r="K61" i="6"/>
  <c r="J61" i="6"/>
  <c r="I61" i="6"/>
  <c r="H61" i="6"/>
  <c r="G61" i="6"/>
  <c r="F61" i="6"/>
  <c r="H60" i="6"/>
  <c r="G60" i="6"/>
  <c r="F60" i="6"/>
  <c r="K58" i="6"/>
  <c r="J58" i="6"/>
  <c r="I58" i="6"/>
  <c r="H58" i="6"/>
  <c r="G58" i="6"/>
  <c r="F58" i="6"/>
  <c r="K57" i="6"/>
  <c r="J57" i="6"/>
  <c r="I57" i="6"/>
  <c r="H57" i="6"/>
  <c r="G57" i="6"/>
  <c r="F57" i="6"/>
  <c r="K54" i="6"/>
  <c r="J54" i="6"/>
  <c r="I54" i="6"/>
  <c r="H54" i="6"/>
  <c r="G54" i="6"/>
  <c r="F54" i="6"/>
  <c r="K53" i="6"/>
  <c r="J53" i="6"/>
  <c r="I53" i="6"/>
  <c r="H53" i="6"/>
  <c r="G53" i="6"/>
  <c r="F53" i="6"/>
  <c r="K52" i="6"/>
  <c r="J52" i="6"/>
  <c r="I52" i="6"/>
  <c r="H52" i="6"/>
  <c r="G52" i="6"/>
  <c r="F52" i="6"/>
  <c r="K51" i="6"/>
  <c r="J51" i="6"/>
  <c r="I51" i="6"/>
  <c r="H51" i="6"/>
  <c r="G51" i="6"/>
  <c r="F51" i="6"/>
  <c r="K56" i="6"/>
  <c r="J56" i="6"/>
  <c r="I56" i="6"/>
  <c r="H56" i="6"/>
  <c r="G56" i="6"/>
  <c r="F56" i="6"/>
  <c r="K55" i="6"/>
  <c r="J55" i="6"/>
  <c r="I55" i="6"/>
  <c r="H55" i="6"/>
  <c r="G55" i="6"/>
  <c r="F55" i="6"/>
  <c r="K50" i="6"/>
  <c r="J50" i="6"/>
  <c r="I50" i="6"/>
  <c r="H50" i="6"/>
  <c r="G50" i="6"/>
  <c r="F50" i="6"/>
  <c r="K49" i="6"/>
  <c r="J49" i="6"/>
  <c r="I49" i="6"/>
  <c r="H49" i="6"/>
  <c r="G49" i="6"/>
  <c r="F49" i="6"/>
  <c r="K48" i="6"/>
  <c r="J48" i="6"/>
  <c r="I48" i="6"/>
  <c r="H48" i="6"/>
  <c r="G48" i="6"/>
  <c r="F48" i="6"/>
  <c r="K47" i="6"/>
  <c r="J47" i="6"/>
  <c r="I47" i="6"/>
  <c r="H47" i="6"/>
  <c r="G47" i="6"/>
  <c r="F47" i="6"/>
  <c r="K46" i="6"/>
  <c r="J46" i="6"/>
  <c r="I46" i="6"/>
  <c r="H46" i="6"/>
  <c r="G46" i="6"/>
  <c r="F46" i="6"/>
  <c r="K44" i="6"/>
  <c r="J44" i="6"/>
  <c r="I44" i="6"/>
  <c r="H44" i="6"/>
  <c r="G44" i="6"/>
  <c r="F44" i="6"/>
  <c r="K43" i="6"/>
  <c r="J43" i="6"/>
  <c r="I43" i="6"/>
  <c r="H43" i="6"/>
  <c r="G43" i="6"/>
  <c r="F43" i="6"/>
  <c r="K41" i="6"/>
  <c r="J41" i="6"/>
  <c r="I41" i="6"/>
  <c r="H41" i="6"/>
  <c r="G41" i="6"/>
  <c r="F41" i="6"/>
  <c r="K40" i="6"/>
  <c r="J40" i="6"/>
  <c r="I40" i="6"/>
  <c r="H40" i="6"/>
  <c r="G40" i="6"/>
  <c r="F40" i="6"/>
  <c r="K37" i="6"/>
  <c r="J37" i="6"/>
  <c r="I37" i="6"/>
  <c r="H37" i="6"/>
  <c r="G37" i="6"/>
  <c r="F37" i="6"/>
  <c r="K36" i="6"/>
  <c r="J36" i="6"/>
  <c r="I36" i="6"/>
  <c r="H36" i="6"/>
  <c r="G36" i="6"/>
  <c r="F36" i="6"/>
  <c r="K35" i="6"/>
  <c r="J35" i="6"/>
  <c r="I35" i="6"/>
  <c r="H35" i="6"/>
  <c r="G35" i="6"/>
  <c r="F35" i="6"/>
  <c r="K34" i="6"/>
  <c r="J34" i="6"/>
  <c r="I34" i="6"/>
  <c r="H34" i="6"/>
  <c r="G34" i="6"/>
  <c r="F34" i="6"/>
  <c r="K26" i="6"/>
  <c r="J26" i="6"/>
  <c r="I26" i="6"/>
  <c r="H26" i="6"/>
  <c r="G26" i="6"/>
  <c r="F26" i="6"/>
  <c r="K25" i="6"/>
  <c r="J25" i="6"/>
  <c r="I25" i="6"/>
  <c r="H25" i="6"/>
  <c r="G25" i="6"/>
  <c r="F25" i="6"/>
  <c r="K23" i="6"/>
  <c r="J23" i="6"/>
  <c r="I23" i="6"/>
  <c r="K28" i="6"/>
  <c r="J28" i="6"/>
  <c r="I28" i="6"/>
  <c r="H28" i="6"/>
  <c r="G28" i="6"/>
  <c r="F28" i="6"/>
  <c r="K22" i="6"/>
  <c r="J22" i="6"/>
  <c r="I22" i="6"/>
  <c r="H22" i="6"/>
  <c r="G22" i="6"/>
  <c r="F22" i="6"/>
  <c r="K31" i="6"/>
  <c r="K30" i="6"/>
  <c r="J30" i="6"/>
  <c r="I30" i="6"/>
  <c r="H30" i="6"/>
  <c r="G30" i="6"/>
  <c r="F30" i="6"/>
  <c r="K29" i="6"/>
  <c r="J29" i="6"/>
  <c r="I29" i="6"/>
  <c r="H29" i="6"/>
  <c r="G29" i="6"/>
  <c r="F29" i="6"/>
  <c r="K21" i="6"/>
  <c r="J21" i="6"/>
  <c r="I21" i="6"/>
  <c r="H21" i="6"/>
  <c r="G21" i="6"/>
  <c r="F21" i="6"/>
  <c r="K18" i="6"/>
  <c r="J18" i="6"/>
  <c r="I18" i="6"/>
  <c r="H18" i="6"/>
  <c r="G18" i="6"/>
  <c r="F18" i="6"/>
  <c r="K19" i="6"/>
  <c r="J19" i="6"/>
  <c r="I19" i="6"/>
  <c r="H19" i="6"/>
  <c r="G19" i="6"/>
  <c r="F19" i="6"/>
  <c r="K15" i="6"/>
  <c r="J15" i="6"/>
  <c r="I15" i="6"/>
  <c r="H15" i="6"/>
  <c r="G15" i="6"/>
  <c r="F15" i="6"/>
  <c r="K14" i="6"/>
  <c r="J14" i="6"/>
  <c r="I14" i="6"/>
  <c r="H14" i="6"/>
  <c r="G14" i="6"/>
  <c r="F14" i="6"/>
  <c r="K13" i="6"/>
  <c r="J13" i="6"/>
  <c r="I13" i="6"/>
  <c r="H13" i="6"/>
  <c r="G13" i="6"/>
  <c r="F13" i="6"/>
  <c r="K12" i="6"/>
  <c r="J12" i="6"/>
  <c r="I12" i="6"/>
  <c r="H12" i="6"/>
  <c r="G12" i="6"/>
  <c r="F12" i="6"/>
  <c r="P112" i="19"/>
  <c r="O112" i="19"/>
  <c r="N112" i="19"/>
  <c r="M112" i="19"/>
  <c r="L112" i="19"/>
  <c r="K112" i="19"/>
  <c r="K117" i="19" s="1"/>
  <c r="J112" i="19"/>
  <c r="J117" i="19" s="1"/>
  <c r="I112" i="19"/>
  <c r="I115" i="19" s="1"/>
  <c r="H111" i="25" s="1"/>
  <c r="H112" i="19"/>
  <c r="H115" i="19" s="1"/>
  <c r="G111" i="25" s="1"/>
  <c r="G112" i="19"/>
  <c r="G115" i="19" s="1"/>
  <c r="F111" i="25" s="1"/>
  <c r="O77" i="19"/>
  <c r="N13" i="24" s="1"/>
  <c r="N77" i="19"/>
  <c r="M13" i="24" s="1"/>
  <c r="M77" i="19"/>
  <c r="L13" i="24" s="1"/>
  <c r="P73" i="19"/>
  <c r="O73" i="19"/>
  <c r="O97" i="19" s="1"/>
  <c r="N41" i="24" s="1"/>
  <c r="N73" i="19"/>
  <c r="N95" i="19" s="1"/>
  <c r="M73" i="19"/>
  <c r="M103" i="19" s="1"/>
  <c r="L73" i="19"/>
  <c r="K73" i="19"/>
  <c r="K102" i="19" s="1"/>
  <c r="J23" i="24" s="1"/>
  <c r="J73" i="19"/>
  <c r="J106" i="19" s="1"/>
  <c r="I52" i="24" s="1"/>
  <c r="I73" i="19"/>
  <c r="I106" i="19" s="1"/>
  <c r="H52" i="24" s="1"/>
  <c r="H73" i="19"/>
  <c r="H101" i="19" s="1"/>
  <c r="G73" i="19"/>
  <c r="G100" i="19" s="1"/>
  <c r="N57" i="19"/>
  <c r="M57" i="19"/>
  <c r="L57" i="19"/>
  <c r="K57" i="19"/>
  <c r="N56" i="19"/>
  <c r="M56" i="19"/>
  <c r="L56" i="19"/>
  <c r="K56" i="19"/>
  <c r="I58" i="19"/>
  <c r="H58" i="19"/>
  <c r="G58" i="19"/>
  <c r="I55" i="19"/>
  <c r="H87" i="23" s="1"/>
  <c r="H55" i="19"/>
  <c r="G87" i="23" s="1"/>
  <c r="G55" i="19"/>
  <c r="F87" i="23" s="1"/>
  <c r="I53" i="19"/>
  <c r="H86" i="23" s="1"/>
  <c r="H53" i="19"/>
  <c r="G86" i="23" s="1"/>
  <c r="G53" i="19"/>
  <c r="F86" i="23" s="1"/>
  <c r="I35" i="19"/>
  <c r="H35" i="19"/>
  <c r="G35" i="19"/>
  <c r="I34" i="19"/>
  <c r="H34" i="19"/>
  <c r="G34" i="19"/>
  <c r="I32" i="19"/>
  <c r="H32" i="19"/>
  <c r="G32" i="19"/>
  <c r="I27" i="19"/>
  <c r="H27" i="19"/>
  <c r="G27" i="19"/>
  <c r="P6" i="19"/>
  <c r="O6" i="19"/>
  <c r="N6" i="19"/>
  <c r="M6" i="19"/>
  <c r="L6" i="19"/>
  <c r="L108" i="19" s="1"/>
  <c r="K6" i="19"/>
  <c r="J6" i="19"/>
  <c r="I6" i="19"/>
  <c r="I51" i="19" s="1"/>
  <c r="H84" i="23" s="1"/>
  <c r="H6" i="19"/>
  <c r="H67" i="19" s="1"/>
  <c r="G138" i="25" s="1"/>
  <c r="G6" i="19"/>
  <c r="G67" i="19" s="1"/>
  <c r="F138" i="25" s="1"/>
  <c r="G100" i="30"/>
  <c r="C224" i="30"/>
  <c r="D224" i="30"/>
  <c r="E224" i="30"/>
  <c r="F224" i="30"/>
  <c r="G224" i="30"/>
  <c r="B224" i="30"/>
  <c r="G167" i="30"/>
  <c r="P730" i="19"/>
  <c r="O730" i="19"/>
  <c r="N730" i="19"/>
  <c r="M730" i="19"/>
  <c r="P714" i="19"/>
  <c r="O714" i="19"/>
  <c r="N714" i="19"/>
  <c r="M714" i="19"/>
  <c r="P692" i="19"/>
  <c r="O692" i="19"/>
  <c r="N692" i="19"/>
  <c r="M692" i="19"/>
  <c r="P681" i="19"/>
  <c r="O681" i="19"/>
  <c r="N681" i="19"/>
  <c r="M681" i="19"/>
  <c r="P657" i="19"/>
  <c r="O657" i="19"/>
  <c r="N657" i="19"/>
  <c r="M657" i="19"/>
  <c r="P643" i="19"/>
  <c r="O643" i="19"/>
  <c r="V643" i="19" s="1"/>
  <c r="N643" i="19"/>
  <c r="U643" i="19" s="1"/>
  <c r="M643" i="19"/>
  <c r="T643" i="19" s="1"/>
  <c r="P632" i="19"/>
  <c r="O632" i="19"/>
  <c r="N632" i="19"/>
  <c r="M632" i="19"/>
  <c r="P623" i="19"/>
  <c r="O623" i="19"/>
  <c r="N623" i="19"/>
  <c r="M623" i="19"/>
  <c r="P603" i="19"/>
  <c r="O603" i="19"/>
  <c r="N603" i="19"/>
  <c r="M603" i="19"/>
  <c r="P582" i="19"/>
  <c r="O582" i="19"/>
  <c r="N582" i="19"/>
  <c r="M582" i="19"/>
  <c r="P557" i="19"/>
  <c r="O557" i="19"/>
  <c r="N557" i="19"/>
  <c r="M557" i="19"/>
  <c r="P543" i="19"/>
  <c r="O543" i="19"/>
  <c r="N543" i="19"/>
  <c r="M543" i="19"/>
  <c r="P519" i="19"/>
  <c r="O519" i="19"/>
  <c r="N519" i="19"/>
  <c r="M519" i="19"/>
  <c r="P491" i="19"/>
  <c r="O491" i="19"/>
  <c r="N491" i="19"/>
  <c r="M491" i="19"/>
  <c r="P448" i="19"/>
  <c r="O448" i="19"/>
  <c r="N448" i="19"/>
  <c r="M448" i="19"/>
  <c r="P430" i="19"/>
  <c r="O430" i="19"/>
  <c r="N430" i="19"/>
  <c r="M430" i="19"/>
  <c r="P423" i="19"/>
  <c r="O423" i="19"/>
  <c r="N423" i="19"/>
  <c r="M423" i="19"/>
  <c r="P417" i="19"/>
  <c r="O417" i="19"/>
  <c r="N417" i="19"/>
  <c r="M417" i="19"/>
  <c r="P408" i="19"/>
  <c r="O408" i="19"/>
  <c r="N408" i="19"/>
  <c r="M408" i="19"/>
  <c r="P366" i="19"/>
  <c r="O366" i="19"/>
  <c r="N366" i="19"/>
  <c r="M366" i="19"/>
  <c r="P361" i="19"/>
  <c r="O361" i="19"/>
  <c r="N361" i="19"/>
  <c r="M361" i="19"/>
  <c r="E40" i="28"/>
  <c r="E45" i="28" s="1"/>
  <c r="C20" i="25"/>
  <c r="C21" i="25"/>
  <c r="C22" i="25"/>
  <c r="C23" i="25"/>
  <c r="C16" i="25"/>
  <c r="C15" i="25"/>
  <c r="C14" i="25"/>
  <c r="C13" i="25"/>
  <c r="C12" i="25"/>
  <c r="AB287" i="24" l="1"/>
  <c r="AB59" i="24"/>
  <c r="AB252" i="24"/>
  <c r="O237" i="23"/>
  <c r="Y218" i="23"/>
  <c r="M237" i="23"/>
  <c r="Z227" i="23"/>
  <c r="N237" i="23"/>
  <c r="K197" i="23"/>
  <c r="K202" i="23"/>
  <c r="L38" i="25"/>
  <c r="L91" i="25"/>
  <c r="P127" i="26"/>
  <c r="P147" i="26" s="1"/>
  <c r="P151" i="26" s="1"/>
  <c r="T127" i="26"/>
  <c r="T147" i="26" s="1"/>
  <c r="T151" i="26" s="1"/>
  <c r="AB263" i="24"/>
  <c r="AB213" i="24"/>
  <c r="AB219" i="24"/>
  <c r="AB172" i="24"/>
  <c r="H345" i="19"/>
  <c r="H329" i="19"/>
  <c r="H297" i="19"/>
  <c r="H280" i="19"/>
  <c r="G91" i="6" s="1"/>
  <c r="H264" i="19"/>
  <c r="G81" i="6" s="1"/>
  <c r="H328" i="19"/>
  <c r="G113" i="6" s="1"/>
  <c r="H296" i="19"/>
  <c r="G93" i="6" s="1"/>
  <c r="H279" i="19"/>
  <c r="H344" i="19"/>
  <c r="H343" i="19"/>
  <c r="H327" i="19"/>
  <c r="H311" i="19"/>
  <c r="G105" i="6" s="1"/>
  <c r="H294" i="19"/>
  <c r="G94" i="6" s="1"/>
  <c r="H278" i="19"/>
  <c r="G90" i="6" s="1"/>
  <c r="H342" i="19"/>
  <c r="H326" i="19"/>
  <c r="G112" i="6" s="1"/>
  <c r="H310" i="19"/>
  <c r="G104" i="6" s="1"/>
  <c r="H293" i="19"/>
  <c r="H277" i="19"/>
  <c r="H341" i="19"/>
  <c r="H325" i="19"/>
  <c r="G111" i="6" s="1"/>
  <c r="H309" i="19"/>
  <c r="G103" i="6" s="1"/>
  <c r="H292" i="19"/>
  <c r="H276" i="19"/>
  <c r="H324" i="19"/>
  <c r="G110" i="6" s="1"/>
  <c r="H308" i="19"/>
  <c r="G102" i="6" s="1"/>
  <c r="H291" i="19"/>
  <c r="H275" i="19"/>
  <c r="H322" i="19"/>
  <c r="H306" i="19"/>
  <c r="H289" i="19"/>
  <c r="H273" i="19"/>
  <c r="H339" i="19"/>
  <c r="H290" i="19"/>
  <c r="H321" i="19"/>
  <c r="H305" i="19"/>
  <c r="H288" i="19"/>
  <c r="H272" i="19"/>
  <c r="G87" i="6" s="1"/>
  <c r="H336" i="19"/>
  <c r="G119" i="6" s="1"/>
  <c r="H320" i="19"/>
  <c r="H304" i="19"/>
  <c r="G100" i="6" s="1"/>
  <c r="H287" i="19"/>
  <c r="H271" i="19"/>
  <c r="G86" i="6" s="1"/>
  <c r="H335" i="19"/>
  <c r="G118" i="6" s="1"/>
  <c r="H319" i="19"/>
  <c r="G107" i="6" s="1"/>
  <c r="H303" i="19"/>
  <c r="G99" i="6" s="1"/>
  <c r="H286" i="19"/>
  <c r="H270" i="19"/>
  <c r="G82" i="6" s="1"/>
  <c r="H350" i="19"/>
  <c r="G133" i="6" s="1"/>
  <c r="H334" i="19"/>
  <c r="H302" i="19"/>
  <c r="H285" i="19"/>
  <c r="H269" i="19"/>
  <c r="G85" i="6" s="1"/>
  <c r="H349" i="19"/>
  <c r="H186" i="6" s="1"/>
  <c r="H333" i="19"/>
  <c r="G117" i="6" s="1"/>
  <c r="H301" i="19"/>
  <c r="H284" i="19"/>
  <c r="G92" i="6" s="1"/>
  <c r="H268" i="19"/>
  <c r="G84" i="6" s="1"/>
  <c r="H332" i="19"/>
  <c r="G116" i="6" s="1"/>
  <c r="H300" i="19"/>
  <c r="G98" i="6" s="1"/>
  <c r="H283" i="19"/>
  <c r="H267" i="19"/>
  <c r="G83" i="6" s="1"/>
  <c r="H348" i="19"/>
  <c r="H347" i="19"/>
  <c r="H331" i="19"/>
  <c r="G115" i="6" s="1"/>
  <c r="H282" i="19"/>
  <c r="H266" i="19"/>
  <c r="H312" i="19"/>
  <c r="G106" i="6" s="1"/>
  <c r="H346" i="19"/>
  <c r="H298" i="19"/>
  <c r="H281" i="19"/>
  <c r="H265" i="19"/>
  <c r="O634" i="19"/>
  <c r="N51" i="23"/>
  <c r="K147" i="26"/>
  <c r="R127" i="26"/>
  <c r="R147" i="26" s="1"/>
  <c r="R151" i="26" s="1"/>
  <c r="M151" i="26"/>
  <c r="R58" i="26"/>
  <c r="R63" i="26" s="1"/>
  <c r="R65" i="26" s="1"/>
  <c r="L148" i="25"/>
  <c r="N148" i="25"/>
  <c r="M148" i="25"/>
  <c r="M169" i="23"/>
  <c r="F169" i="23"/>
  <c r="H17" i="6"/>
  <c r="J31" i="6"/>
  <c r="I68" i="6"/>
  <c r="I65" i="6" s="1"/>
  <c r="I16" i="6"/>
  <c r="K68" i="6"/>
  <c r="K65" i="6" s="1"/>
  <c r="J68" i="19"/>
  <c r="J46" i="19"/>
  <c r="I79" i="23" s="1"/>
  <c r="J28" i="19"/>
  <c r="I50" i="23" s="1"/>
  <c r="J21" i="19"/>
  <c r="I36" i="23" s="1"/>
  <c r="J29" i="19"/>
  <c r="I54" i="23" s="1"/>
  <c r="J45" i="19"/>
  <c r="J27" i="19"/>
  <c r="J22" i="19"/>
  <c r="I40" i="23" s="1"/>
  <c r="J18" i="19"/>
  <c r="J44" i="19"/>
  <c r="J26" i="19"/>
  <c r="I47" i="23" s="1"/>
  <c r="J59" i="19"/>
  <c r="I89" i="23" s="1"/>
  <c r="J41" i="19"/>
  <c r="J23" i="19"/>
  <c r="I41" i="23" s="1"/>
  <c r="J48" i="19"/>
  <c r="I81" i="23" s="1"/>
  <c r="J58" i="19"/>
  <c r="J40" i="19"/>
  <c r="I74" i="23" s="1"/>
  <c r="J9" i="19"/>
  <c r="J31" i="19"/>
  <c r="I63" i="23" s="1"/>
  <c r="J19" i="19"/>
  <c r="I39" i="23" s="1"/>
  <c r="J47" i="19"/>
  <c r="I80" i="23" s="1"/>
  <c r="J39" i="19"/>
  <c r="I73" i="23" s="1"/>
  <c r="J10" i="19"/>
  <c r="I11" i="23" s="1"/>
  <c r="J38" i="19"/>
  <c r="I72" i="23" s="1"/>
  <c r="J11" i="19"/>
  <c r="I12" i="23" s="1"/>
  <c r="J32" i="19"/>
  <c r="J55" i="19"/>
  <c r="I87" i="23" s="1"/>
  <c r="J37" i="19"/>
  <c r="I71" i="23" s="1"/>
  <c r="J12" i="19"/>
  <c r="I13" i="23" s="1"/>
  <c r="J50" i="19"/>
  <c r="J30" i="19"/>
  <c r="J13" i="19"/>
  <c r="J17" i="19"/>
  <c r="I25" i="23" s="1"/>
  <c r="J53" i="19"/>
  <c r="I86" i="23" s="1"/>
  <c r="J35" i="19"/>
  <c r="J14" i="19"/>
  <c r="J51" i="19"/>
  <c r="I84" i="23" s="1"/>
  <c r="J33" i="19"/>
  <c r="J16" i="19"/>
  <c r="I204" i="6" s="1"/>
  <c r="J52" i="19"/>
  <c r="I85" i="23" s="1"/>
  <c r="J34" i="19"/>
  <c r="J15" i="19"/>
  <c r="I20" i="23" s="1"/>
  <c r="J49" i="19"/>
  <c r="I82" i="23" s="1"/>
  <c r="J20" i="19"/>
  <c r="J16" i="6"/>
  <c r="K16" i="6"/>
  <c r="F39" i="6"/>
  <c r="G39" i="6"/>
  <c r="I63" i="6"/>
  <c r="L92" i="19"/>
  <c r="K35" i="24" s="1"/>
  <c r="L76" i="19"/>
  <c r="K12" i="24" s="1"/>
  <c r="L79" i="19"/>
  <c r="L107" i="19"/>
  <c r="L91" i="19"/>
  <c r="K34" i="24" s="1"/>
  <c r="L75" i="19"/>
  <c r="K11" i="24" s="1"/>
  <c r="L94" i="19"/>
  <c r="K44" i="24" s="1"/>
  <c r="L93" i="19"/>
  <c r="K36" i="24" s="1"/>
  <c r="L106" i="19"/>
  <c r="K52" i="24" s="1"/>
  <c r="L90" i="19"/>
  <c r="K33" i="24" s="1"/>
  <c r="L74" i="19"/>
  <c r="L95" i="19"/>
  <c r="L78" i="19"/>
  <c r="K14" i="24" s="1"/>
  <c r="L105" i="19"/>
  <c r="K51" i="24" s="1"/>
  <c r="L89" i="19"/>
  <c r="K32" i="24" s="1"/>
  <c r="L104" i="19"/>
  <c r="K50" i="24" s="1"/>
  <c r="L88" i="19"/>
  <c r="K31" i="24" s="1"/>
  <c r="L103" i="19"/>
  <c r="L87" i="19"/>
  <c r="K30" i="24" s="1"/>
  <c r="L102" i="19"/>
  <c r="K23" i="24" s="1"/>
  <c r="L86" i="19"/>
  <c r="L101" i="19"/>
  <c r="L85" i="19"/>
  <c r="L100" i="19"/>
  <c r="K45" i="24" s="1"/>
  <c r="L84" i="19"/>
  <c r="L99" i="19"/>
  <c r="K43" i="24" s="1"/>
  <c r="L83" i="19"/>
  <c r="K130" i="23" s="1"/>
  <c r="L97" i="19"/>
  <c r="K41" i="24" s="1"/>
  <c r="L96" i="19"/>
  <c r="K22" i="24" s="1"/>
  <c r="L98" i="19"/>
  <c r="K42" i="24" s="1"/>
  <c r="L82" i="19"/>
  <c r="K19" i="24" s="1"/>
  <c r="L81" i="19"/>
  <c r="K18" i="24" s="1"/>
  <c r="L80" i="19"/>
  <c r="K17" i="24" s="1"/>
  <c r="J63" i="6"/>
  <c r="O179" i="6"/>
  <c r="O34" i="24"/>
  <c r="O11" i="24"/>
  <c r="O18" i="24"/>
  <c r="O16" i="24"/>
  <c r="O174" i="24" s="1"/>
  <c r="O14" i="24"/>
  <c r="O33" i="24"/>
  <c r="O41" i="24"/>
  <c r="O51" i="24"/>
  <c r="O32" i="24"/>
  <c r="O22" i="24"/>
  <c r="O50" i="24"/>
  <c r="O31" i="24"/>
  <c r="O42" i="24"/>
  <c r="O17" i="24"/>
  <c r="O30" i="24"/>
  <c r="O12" i="24"/>
  <c r="O23" i="24"/>
  <c r="O45" i="24"/>
  <c r="O43" i="24"/>
  <c r="O19" i="24"/>
  <c r="O36" i="24"/>
  <c r="O44" i="24"/>
  <c r="O66" i="24" s="1"/>
  <c r="O35" i="24"/>
  <c r="P652" i="19"/>
  <c r="O72" i="23"/>
  <c r="O71" i="23"/>
  <c r="O69" i="23"/>
  <c r="O197" i="23" s="1"/>
  <c r="O63" i="23"/>
  <c r="O25" i="23"/>
  <c r="O74" i="23"/>
  <c r="O41" i="23"/>
  <c r="O138" i="25"/>
  <c r="O139" i="25" s="1"/>
  <c r="O89" i="23"/>
  <c r="O13" i="23"/>
  <c r="O87" i="23"/>
  <c r="O47" i="24"/>
  <c r="O75" i="23"/>
  <c r="O84" i="23"/>
  <c r="O82" i="23"/>
  <c r="O108" i="19"/>
  <c r="N47" i="24" s="1"/>
  <c r="O27" i="19"/>
  <c r="O45" i="19"/>
  <c r="O21" i="19"/>
  <c r="N36" i="23" s="1"/>
  <c r="O49" i="19"/>
  <c r="N82" i="23" s="1"/>
  <c r="O38" i="19"/>
  <c r="N72" i="23" s="1"/>
  <c r="O30" i="19"/>
  <c r="O19" i="19"/>
  <c r="N39" i="23" s="1"/>
  <c r="O11" i="19"/>
  <c r="N12" i="23" s="1"/>
  <c r="O16" i="19"/>
  <c r="O26" i="19"/>
  <c r="O14" i="19"/>
  <c r="O31" i="19"/>
  <c r="N63" i="23" s="1"/>
  <c r="O59" i="19"/>
  <c r="N89" i="23" s="1"/>
  <c r="O46" i="19"/>
  <c r="N79" i="23" s="1"/>
  <c r="O53" i="19"/>
  <c r="N86" i="23" s="1"/>
  <c r="O44" i="19"/>
  <c r="N77" i="23" s="1"/>
  <c r="O51" i="19"/>
  <c r="N84" i="23" s="1"/>
  <c r="O20" i="19"/>
  <c r="O48" i="19"/>
  <c r="N81" i="23" s="1"/>
  <c r="O37" i="19"/>
  <c r="N71" i="23" s="1"/>
  <c r="O29" i="19"/>
  <c r="O18" i="19"/>
  <c r="N38" i="23" s="1"/>
  <c r="O10" i="19"/>
  <c r="N11" i="23" s="1"/>
  <c r="O54" i="19"/>
  <c r="O34" i="19"/>
  <c r="O15" i="19"/>
  <c r="N20" i="23" s="1"/>
  <c r="O22" i="19"/>
  <c r="N40" i="23" s="1"/>
  <c r="O32" i="19"/>
  <c r="O50" i="19"/>
  <c r="N83" i="23" s="1"/>
  <c r="O40" i="19"/>
  <c r="N74" i="23" s="1"/>
  <c r="O52" i="19"/>
  <c r="N85" i="23" s="1"/>
  <c r="O41" i="19"/>
  <c r="N75" i="23" s="1"/>
  <c r="O39" i="19"/>
  <c r="O68" i="19"/>
  <c r="O55" i="19"/>
  <c r="N87" i="23" s="1"/>
  <c r="O47" i="19"/>
  <c r="N80" i="23" s="1"/>
  <c r="O36" i="19"/>
  <c r="N69" i="23" s="1"/>
  <c r="N197" i="23" s="1"/>
  <c r="O28" i="19"/>
  <c r="O17" i="19"/>
  <c r="N25" i="23" s="1"/>
  <c r="O9" i="19"/>
  <c r="N10" i="23" s="1"/>
  <c r="O67" i="19"/>
  <c r="N138" i="25" s="1"/>
  <c r="N139" i="25" s="1"/>
  <c r="O66" i="19"/>
  <c r="O13" i="19"/>
  <c r="O12" i="19"/>
  <c r="N13" i="23" s="1"/>
  <c r="O23" i="19"/>
  <c r="N41" i="23" s="1"/>
  <c r="O35" i="19"/>
  <c r="O33" i="19"/>
  <c r="O687" i="19" s="1"/>
  <c r="O58" i="19"/>
  <c r="N88" i="23" s="1"/>
  <c r="N68" i="19"/>
  <c r="N59" i="19"/>
  <c r="M89" i="23" s="1"/>
  <c r="N108" i="19"/>
  <c r="M47" i="24" s="1"/>
  <c r="N40" i="19"/>
  <c r="M74" i="23" s="1"/>
  <c r="N23" i="19"/>
  <c r="M41" i="23" s="1"/>
  <c r="M58" i="19"/>
  <c r="L88" i="23" s="1"/>
  <c r="M40" i="19"/>
  <c r="L74" i="23" s="1"/>
  <c r="M23" i="19"/>
  <c r="L41" i="23" s="1"/>
  <c r="M108" i="19"/>
  <c r="L47" i="24" s="1"/>
  <c r="M59" i="19"/>
  <c r="L89" i="23" s="1"/>
  <c r="L67" i="19"/>
  <c r="K138" i="25" s="1"/>
  <c r="K139" i="25" s="1"/>
  <c r="K47" i="24"/>
  <c r="L59" i="19"/>
  <c r="K89" i="23" s="1"/>
  <c r="L40" i="19"/>
  <c r="K74" i="23" s="1"/>
  <c r="L23" i="19"/>
  <c r="K41" i="23" s="1"/>
  <c r="K51" i="19"/>
  <c r="J84" i="23" s="1"/>
  <c r="K23" i="19"/>
  <c r="J41" i="23" s="1"/>
  <c r="K40" i="19"/>
  <c r="J74" i="23" s="1"/>
  <c r="K59" i="19"/>
  <c r="J89" i="23" s="1"/>
  <c r="I40" i="19"/>
  <c r="H74" i="23" s="1"/>
  <c r="I23" i="19"/>
  <c r="H41" i="23" s="1"/>
  <c r="I59" i="19"/>
  <c r="H89" i="23" s="1"/>
  <c r="H40" i="19"/>
  <c r="G74" i="23" s="1"/>
  <c r="H23" i="19"/>
  <c r="G41" i="23" s="1"/>
  <c r="H59" i="19"/>
  <c r="G89" i="23" s="1"/>
  <c r="G59" i="19"/>
  <c r="F89" i="23" s="1"/>
  <c r="G23" i="19"/>
  <c r="F41" i="23" s="1"/>
  <c r="G40" i="19"/>
  <c r="F74" i="23" s="1"/>
  <c r="G17" i="6"/>
  <c r="H11" i="6"/>
  <c r="K17" i="6"/>
  <c r="K11" i="6"/>
  <c r="G68" i="6"/>
  <c r="G65" i="6" s="1"/>
  <c r="G16" i="6"/>
  <c r="H31" i="6"/>
  <c r="G23" i="6"/>
  <c r="I24" i="6"/>
  <c r="G63" i="6"/>
  <c r="H68" i="6"/>
  <c r="H65" i="6" s="1"/>
  <c r="I11" i="6"/>
  <c r="H16" i="6"/>
  <c r="I31" i="6"/>
  <c r="H23" i="6"/>
  <c r="J24" i="6"/>
  <c r="H63" i="6"/>
  <c r="G11" i="6"/>
  <c r="J11" i="6"/>
  <c r="J68" i="6"/>
  <c r="J65" i="6" s="1"/>
  <c r="I60" i="6"/>
  <c r="J60" i="6"/>
  <c r="M651" i="19"/>
  <c r="J17" i="6"/>
  <c r="K27" i="6"/>
  <c r="H39" i="6"/>
  <c r="K60" i="6"/>
  <c r="M21" i="24"/>
  <c r="M62" i="24" s="1"/>
  <c r="M110" i="25"/>
  <c r="M112" i="25" s="1"/>
  <c r="M113" i="25" s="1"/>
  <c r="K24" i="6"/>
  <c r="H27" i="6"/>
  <c r="I39" i="6"/>
  <c r="F42" i="6"/>
  <c r="L25" i="25"/>
  <c r="I17" i="6"/>
  <c r="J27" i="6"/>
  <c r="J39" i="6"/>
  <c r="G42" i="6"/>
  <c r="L71" i="25"/>
  <c r="F27" i="6"/>
  <c r="O77" i="23"/>
  <c r="O40" i="23"/>
  <c r="O88" i="23"/>
  <c r="O86" i="23"/>
  <c r="O85" i="23"/>
  <c r="O20" i="23"/>
  <c r="P481" i="19"/>
  <c r="O83" i="23"/>
  <c r="O81" i="23"/>
  <c r="O80" i="23"/>
  <c r="O79" i="23"/>
  <c r="O36" i="23"/>
  <c r="O39" i="23"/>
  <c r="O38" i="23"/>
  <c r="O16" i="23"/>
  <c r="O73" i="23"/>
  <c r="O12" i="23"/>
  <c r="O54" i="23"/>
  <c r="O11" i="23"/>
  <c r="I27" i="6"/>
  <c r="F139" i="25"/>
  <c r="I183" i="6"/>
  <c r="I252" i="6"/>
  <c r="K39" i="6"/>
  <c r="H42" i="6"/>
  <c r="L30" i="23"/>
  <c r="Z219" i="23"/>
  <c r="I42" i="6"/>
  <c r="F24" i="6"/>
  <c r="J42" i="6"/>
  <c r="G27" i="6"/>
  <c r="G139" i="25"/>
  <c r="F31" i="6"/>
  <c r="G24" i="6"/>
  <c r="K42" i="6"/>
  <c r="F68" i="6"/>
  <c r="N60" i="23"/>
  <c r="J252" i="6"/>
  <c r="J183" i="6"/>
  <c r="K252" i="6"/>
  <c r="K183" i="6"/>
  <c r="M709" i="19"/>
  <c r="L46" i="24" s="1"/>
  <c r="F16" i="6"/>
  <c r="G31" i="6"/>
  <c r="F23" i="6"/>
  <c r="H24" i="6"/>
  <c r="F63" i="6"/>
  <c r="K169" i="23"/>
  <c r="X175" i="25"/>
  <c r="X177" i="25"/>
  <c r="X170" i="25"/>
  <c r="X173" i="25"/>
  <c r="AA169" i="25"/>
  <c r="AA186" i="25" s="1"/>
  <c r="AA173" i="25"/>
  <c r="AA181" i="25"/>
  <c r="Z181" i="25"/>
  <c r="X180" i="25"/>
  <c r="X176" i="25"/>
  <c r="X174" i="25"/>
  <c r="Z178" i="25"/>
  <c r="X172" i="25"/>
  <c r="Z170" i="25"/>
  <c r="Z174" i="25"/>
  <c r="AA174" i="25"/>
  <c r="Y173" i="25"/>
  <c r="Y177" i="25"/>
  <c r="L187" i="25"/>
  <c r="X181" i="25"/>
  <c r="X179" i="25"/>
  <c r="X171" i="25"/>
  <c r="X178" i="25"/>
  <c r="Y176" i="25"/>
  <c r="Y175" i="25"/>
  <c r="M187" i="25"/>
  <c r="Y179" i="25"/>
  <c r="Y180" i="25"/>
  <c r="Y171" i="25"/>
  <c r="Y181" i="25"/>
  <c r="AA172" i="25"/>
  <c r="Y172" i="25"/>
  <c r="Y169" i="25"/>
  <c r="AA179" i="25"/>
  <c r="AA176" i="25"/>
  <c r="O187" i="25"/>
  <c r="AA180" i="25"/>
  <c r="AA177" i="25"/>
  <c r="AA170" i="25"/>
  <c r="AA171" i="25"/>
  <c r="Y170" i="25"/>
  <c r="Z176" i="25"/>
  <c r="Z171" i="25"/>
  <c r="Z172" i="25"/>
  <c r="N187" i="25"/>
  <c r="Z169" i="25"/>
  <c r="Z179" i="25"/>
  <c r="Z173" i="25"/>
  <c r="Z180" i="25"/>
  <c r="Z177" i="25"/>
  <c r="X169" i="25"/>
  <c r="Y174" i="25"/>
  <c r="AA175" i="25"/>
  <c r="Z223" i="23"/>
  <c r="L169" i="23"/>
  <c r="Z226" i="23"/>
  <c r="Y217" i="23"/>
  <c r="Z225" i="23"/>
  <c r="Z230" i="23"/>
  <c r="Y229" i="23"/>
  <c r="Y227" i="23"/>
  <c r="Y233" i="23"/>
  <c r="Y223" i="23"/>
  <c r="Y225" i="23"/>
  <c r="I169" i="23"/>
  <c r="AA223" i="23"/>
  <c r="J169" i="23"/>
  <c r="Y230" i="23"/>
  <c r="Y228" i="23"/>
  <c r="Z218" i="23"/>
  <c r="AA229" i="23"/>
  <c r="AA222" i="23"/>
  <c r="AA220" i="23"/>
  <c r="AA224" i="23"/>
  <c r="AA230" i="23"/>
  <c r="AA221" i="23"/>
  <c r="AA228" i="23"/>
  <c r="Y224" i="23"/>
  <c r="Y231" i="23"/>
  <c r="Y221" i="23"/>
  <c r="Y222" i="23"/>
  <c r="Y232" i="23"/>
  <c r="AA232" i="23"/>
  <c r="AA225" i="23"/>
  <c r="Y234" i="23"/>
  <c r="Z234" i="23"/>
  <c r="H169" i="23"/>
  <c r="Y219" i="23"/>
  <c r="AA218" i="23"/>
  <c r="Y220" i="23"/>
  <c r="AA217" i="23"/>
  <c r="AA236" i="23" s="1"/>
  <c r="AA231" i="23"/>
  <c r="Z229" i="23"/>
  <c r="Z231" i="23"/>
  <c r="Z224" i="23"/>
  <c r="Z221" i="23"/>
  <c r="Z228" i="23"/>
  <c r="AA234" i="23"/>
  <c r="Z232" i="23"/>
  <c r="Z220" i="23"/>
  <c r="Z222" i="23"/>
  <c r="Z217" i="23"/>
  <c r="Y226" i="23"/>
  <c r="Z233" i="23"/>
  <c r="AA219" i="23"/>
  <c r="AA226" i="23"/>
  <c r="AA227" i="23"/>
  <c r="O27" i="25"/>
  <c r="AA27" i="25" s="1"/>
  <c r="AA19" i="25"/>
  <c r="AA24" i="25" s="1"/>
  <c r="AA23" i="25"/>
  <c r="AA14" i="25"/>
  <c r="O46" i="25"/>
  <c r="AA13" i="25"/>
  <c r="AA20" i="25"/>
  <c r="AA22" i="25"/>
  <c r="AA11" i="25"/>
  <c r="AA17" i="25" s="1"/>
  <c r="AA15" i="25"/>
  <c r="AA21" i="25"/>
  <c r="AA12" i="25"/>
  <c r="AA16" i="25"/>
  <c r="AA26" i="25"/>
  <c r="AL9" i="6"/>
  <c r="G299" i="30"/>
  <c r="G369" i="30"/>
  <c r="G177" i="30"/>
  <c r="G212" i="30"/>
  <c r="O291" i="24"/>
  <c r="N30" i="23"/>
  <c r="O342" i="19"/>
  <c r="O341" i="19"/>
  <c r="O339" i="19"/>
  <c r="I341" i="19"/>
  <c r="I339" i="19"/>
  <c r="I342" i="19"/>
  <c r="BP8" i="24"/>
  <c r="BD219" i="24"/>
  <c r="BD263" i="24"/>
  <c r="BD287" i="24"/>
  <c r="BD172" i="24"/>
  <c r="BD252" i="24"/>
  <c r="BD59" i="24"/>
  <c r="BD213" i="24"/>
  <c r="J339" i="19"/>
  <c r="J341" i="19"/>
  <c r="J342" i="19"/>
  <c r="AA80" i="6"/>
  <c r="K342" i="19"/>
  <c r="K339" i="19"/>
  <c r="K341" i="19"/>
  <c r="L342" i="19"/>
  <c r="L341" i="19"/>
  <c r="L339" i="19"/>
  <c r="BA219" i="24"/>
  <c r="BA263" i="24"/>
  <c r="BA287" i="24"/>
  <c r="BA172" i="24"/>
  <c r="BA59" i="24"/>
  <c r="BA252" i="24"/>
  <c r="BA213" i="24"/>
  <c r="BM8" i="24"/>
  <c r="M342" i="19"/>
  <c r="M341" i="19"/>
  <c r="M339" i="19"/>
  <c r="BB219" i="24"/>
  <c r="BB263" i="24"/>
  <c r="BB287" i="24"/>
  <c r="BB172" i="24"/>
  <c r="BB59" i="24"/>
  <c r="BB252" i="24"/>
  <c r="BN8" i="24"/>
  <c r="BB213" i="24"/>
  <c r="N342" i="19"/>
  <c r="N341" i="19"/>
  <c r="N339" i="19"/>
  <c r="BO8" i="24"/>
  <c r="BC219" i="24"/>
  <c r="BC263" i="24"/>
  <c r="BC287" i="24"/>
  <c r="BC172" i="24"/>
  <c r="BC252" i="24"/>
  <c r="BC213" i="24"/>
  <c r="BC59" i="24"/>
  <c r="O79" i="6"/>
  <c r="O8" i="6"/>
  <c r="AA8" i="6"/>
  <c r="G344" i="19"/>
  <c r="G311" i="19"/>
  <c r="F105" i="6" s="1"/>
  <c r="G295" i="19"/>
  <c r="G271" i="19"/>
  <c r="F86" i="6" s="1"/>
  <c r="G348" i="19"/>
  <c r="G340" i="19"/>
  <c r="G332" i="19"/>
  <c r="F116" i="6" s="1"/>
  <c r="G324" i="19"/>
  <c r="F110" i="6" s="1"/>
  <c r="G316" i="19"/>
  <c r="G308" i="19"/>
  <c r="F102" i="6" s="1"/>
  <c r="G300" i="19"/>
  <c r="F98" i="6" s="1"/>
  <c r="G292" i="19"/>
  <c r="G284" i="19"/>
  <c r="F92" i="6" s="1"/>
  <c r="G276" i="19"/>
  <c r="G268" i="19"/>
  <c r="F84" i="6" s="1"/>
  <c r="G343" i="19"/>
  <c r="G336" i="19"/>
  <c r="F119" i="6" s="1"/>
  <c r="G288" i="19"/>
  <c r="G303" i="19"/>
  <c r="F99" i="6" s="1"/>
  <c r="G347" i="19"/>
  <c r="G339" i="19"/>
  <c r="G331" i="19"/>
  <c r="F115" i="6" s="1"/>
  <c r="G315" i="19"/>
  <c r="G291" i="19"/>
  <c r="G283" i="19"/>
  <c r="G275" i="19"/>
  <c r="G267" i="19"/>
  <c r="F83" i="6" s="1"/>
  <c r="G304" i="19"/>
  <c r="F100" i="6" s="1"/>
  <c r="G279" i="19"/>
  <c r="G328" i="19"/>
  <c r="F113" i="6" s="1"/>
  <c r="G280" i="19"/>
  <c r="F91" i="6" s="1"/>
  <c r="G287" i="19"/>
  <c r="G346" i="19"/>
  <c r="G338" i="19"/>
  <c r="G322" i="19"/>
  <c r="G314" i="19"/>
  <c r="G306" i="19"/>
  <c r="G298" i="19"/>
  <c r="G290" i="19"/>
  <c r="G282" i="19"/>
  <c r="G266" i="19"/>
  <c r="G312" i="19"/>
  <c r="F106" i="6" s="1"/>
  <c r="G272" i="19"/>
  <c r="F87" i="6" s="1"/>
  <c r="G335" i="19"/>
  <c r="F118" i="6" s="1"/>
  <c r="G327" i="19"/>
  <c r="G345" i="19"/>
  <c r="G337" i="19"/>
  <c r="G329" i="19"/>
  <c r="G321" i="19"/>
  <c r="G313" i="19"/>
  <c r="G305" i="19"/>
  <c r="G297" i="19"/>
  <c r="G289" i="19"/>
  <c r="G281" i="19"/>
  <c r="G273" i="19"/>
  <c r="G265" i="19"/>
  <c r="G320" i="19"/>
  <c r="G296" i="19"/>
  <c r="F93" i="6" s="1"/>
  <c r="G264" i="19"/>
  <c r="F81" i="6" s="1"/>
  <c r="G319" i="19"/>
  <c r="F107" i="6" s="1"/>
  <c r="G310" i="19"/>
  <c r="F104" i="6" s="1"/>
  <c r="G286" i="19"/>
  <c r="G333" i="19"/>
  <c r="F117" i="6" s="1"/>
  <c r="G309" i="19"/>
  <c r="F103" i="6" s="1"/>
  <c r="G285" i="19"/>
  <c r="G278" i="19"/>
  <c r="F90" i="6" s="1"/>
  <c r="G326" i="19"/>
  <c r="F112" i="6" s="1"/>
  <c r="G302" i="19"/>
  <c r="G277" i="19"/>
  <c r="G350" i="19"/>
  <c r="F133" i="6" s="1"/>
  <c r="G325" i="19"/>
  <c r="F111" i="6" s="1"/>
  <c r="G301" i="19"/>
  <c r="G349" i="19"/>
  <c r="G186" i="6" s="1"/>
  <c r="G270" i="19"/>
  <c r="F82" i="6" s="1"/>
  <c r="G342" i="19"/>
  <c r="G318" i="19"/>
  <c r="G294" i="19"/>
  <c r="F94" i="6" s="1"/>
  <c r="G269" i="19"/>
  <c r="F85" i="6" s="1"/>
  <c r="G317" i="19"/>
  <c r="G293" i="19"/>
  <c r="G341" i="19"/>
  <c r="N70" i="6"/>
  <c r="N72" i="6" s="1"/>
  <c r="AA10" i="6"/>
  <c r="AA9" i="6"/>
  <c r="AA33" i="6"/>
  <c r="AA45" i="6"/>
  <c r="I335" i="19"/>
  <c r="H118" i="6" s="1"/>
  <c r="I319" i="19"/>
  <c r="H107" i="6" s="1"/>
  <c r="I297" i="19"/>
  <c r="I280" i="19"/>
  <c r="H91" i="6" s="1"/>
  <c r="I264" i="19"/>
  <c r="H81" i="6" s="1"/>
  <c r="I283" i="19"/>
  <c r="I294" i="19"/>
  <c r="H94" i="6" s="1"/>
  <c r="I265" i="19"/>
  <c r="I284" i="19"/>
  <c r="H92" i="6" s="1"/>
  <c r="I287" i="19"/>
  <c r="I329" i="19"/>
  <c r="I322" i="19"/>
  <c r="I300" i="19"/>
  <c r="H98" i="6" s="1"/>
  <c r="I267" i="19"/>
  <c r="H83" i="6" s="1"/>
  <c r="I336" i="19"/>
  <c r="H119" i="6" s="1"/>
  <c r="I345" i="19"/>
  <c r="I344" i="19"/>
  <c r="I325" i="19"/>
  <c r="H111" i="6" s="1"/>
  <c r="I303" i="19"/>
  <c r="H99" i="6" s="1"/>
  <c r="I286" i="19"/>
  <c r="I270" i="19"/>
  <c r="H82" i="6" s="1"/>
  <c r="I292" i="19"/>
  <c r="I276" i="19"/>
  <c r="I332" i="19"/>
  <c r="H116" i="6" s="1"/>
  <c r="I310" i="19"/>
  <c r="H104" i="6" s="1"/>
  <c r="I347" i="19"/>
  <c r="I328" i="19"/>
  <c r="H113" i="6" s="1"/>
  <c r="I306" i="19"/>
  <c r="I289" i="19"/>
  <c r="I273" i="19"/>
  <c r="I311" i="19"/>
  <c r="H105" i="6" s="1"/>
  <c r="I278" i="19"/>
  <c r="H90" i="6" s="1"/>
  <c r="I290" i="19"/>
  <c r="I293" i="19"/>
  <c r="I350" i="19"/>
  <c r="H133" i="6" s="1"/>
  <c r="I331" i="19"/>
  <c r="H115" i="6" s="1"/>
  <c r="I309" i="19"/>
  <c r="H103" i="6" s="1"/>
  <c r="I275" i="19"/>
  <c r="I298" i="19"/>
  <c r="I348" i="19"/>
  <c r="I334" i="19"/>
  <c r="I312" i="19"/>
  <c r="H106" i="6" s="1"/>
  <c r="I296" i="19"/>
  <c r="H93" i="6" s="1"/>
  <c r="I279" i="19"/>
  <c r="I288" i="19"/>
  <c r="I291" i="19"/>
  <c r="I304" i="19"/>
  <c r="H100" i="6" s="1"/>
  <c r="I343" i="19"/>
  <c r="I321" i="19"/>
  <c r="I282" i="19"/>
  <c r="I266" i="19"/>
  <c r="I346" i="19"/>
  <c r="I327" i="19"/>
  <c r="I349" i="19"/>
  <c r="I186" i="6" s="1"/>
  <c r="I281" i="19"/>
  <c r="I301" i="19"/>
  <c r="I326" i="19"/>
  <c r="H112" i="6" s="1"/>
  <c r="I271" i="19"/>
  <c r="H86" i="6" s="1"/>
  <c r="I277" i="19"/>
  <c r="I324" i="19"/>
  <c r="H110" i="6" s="1"/>
  <c r="I302" i="19"/>
  <c r="I285" i="19"/>
  <c r="I269" i="19"/>
  <c r="H85" i="6" s="1"/>
  <c r="I305" i="19"/>
  <c r="I272" i="19"/>
  <c r="H87" i="6" s="1"/>
  <c r="I308" i="19"/>
  <c r="H102" i="6" s="1"/>
  <c r="I333" i="19"/>
  <c r="H117" i="6" s="1"/>
  <c r="I320" i="19"/>
  <c r="I268" i="19"/>
  <c r="H84" i="6" s="1"/>
  <c r="J322" i="19"/>
  <c r="J300" i="19"/>
  <c r="I98" i="6" s="1"/>
  <c r="J283" i="19"/>
  <c r="J267" i="19"/>
  <c r="I83" i="6" s="1"/>
  <c r="J303" i="19"/>
  <c r="I99" i="6" s="1"/>
  <c r="J270" i="19"/>
  <c r="I82" i="6" s="1"/>
  <c r="J326" i="19"/>
  <c r="I112" i="6" s="1"/>
  <c r="J348" i="19"/>
  <c r="J297" i="19"/>
  <c r="J344" i="19"/>
  <c r="J325" i="19"/>
  <c r="I111" i="6" s="1"/>
  <c r="J286" i="19"/>
  <c r="J294" i="19"/>
  <c r="I94" i="6" s="1"/>
  <c r="J332" i="19"/>
  <c r="I116" i="6" s="1"/>
  <c r="J293" i="19"/>
  <c r="J335" i="19"/>
  <c r="I118" i="6" s="1"/>
  <c r="J347" i="19"/>
  <c r="J328" i="19"/>
  <c r="I113" i="6" s="1"/>
  <c r="J306" i="19"/>
  <c r="J289" i="19"/>
  <c r="J273" i="19"/>
  <c r="J276" i="19"/>
  <c r="J301" i="19"/>
  <c r="J287" i="19"/>
  <c r="J329" i="19"/>
  <c r="J280" i="19"/>
  <c r="I91" i="6" s="1"/>
  <c r="J350" i="19"/>
  <c r="I133" i="6" s="1"/>
  <c r="J331" i="19"/>
  <c r="I115" i="6" s="1"/>
  <c r="J309" i="19"/>
  <c r="I103" i="6" s="1"/>
  <c r="J292" i="19"/>
  <c r="J333" i="19"/>
  <c r="I117" i="6" s="1"/>
  <c r="J278" i="19"/>
  <c r="I90" i="6" s="1"/>
  <c r="J264" i="19"/>
  <c r="I81" i="6" s="1"/>
  <c r="J334" i="19"/>
  <c r="J312" i="19"/>
  <c r="I106" i="6" s="1"/>
  <c r="J296" i="19"/>
  <c r="I93" i="6" s="1"/>
  <c r="J279" i="19"/>
  <c r="J336" i="19"/>
  <c r="I119" i="6" s="1"/>
  <c r="J298" i="19"/>
  <c r="J268" i="19"/>
  <c r="I84" i="6" s="1"/>
  <c r="J345" i="19"/>
  <c r="J304" i="19"/>
  <c r="I100" i="6" s="1"/>
  <c r="J271" i="19"/>
  <c r="I86" i="6" s="1"/>
  <c r="J277" i="19"/>
  <c r="J343" i="19"/>
  <c r="J321" i="19"/>
  <c r="J282" i="19"/>
  <c r="J266" i="19"/>
  <c r="J349" i="19"/>
  <c r="J186" i="6" s="1"/>
  <c r="J308" i="19"/>
  <c r="I102" i="6" s="1"/>
  <c r="J310" i="19"/>
  <c r="I104" i="6" s="1"/>
  <c r="J324" i="19"/>
  <c r="I110" i="6" s="1"/>
  <c r="J302" i="19"/>
  <c r="J285" i="19"/>
  <c r="J269" i="19"/>
  <c r="I85" i="6" s="1"/>
  <c r="J275" i="19"/>
  <c r="J311" i="19"/>
  <c r="I105" i="6" s="1"/>
  <c r="J320" i="19"/>
  <c r="J265" i="19"/>
  <c r="J346" i="19"/>
  <c r="J327" i="19"/>
  <c r="J305" i="19"/>
  <c r="J288" i="19"/>
  <c r="J272" i="19"/>
  <c r="I87" i="6" s="1"/>
  <c r="J291" i="19"/>
  <c r="J281" i="19"/>
  <c r="J284" i="19"/>
  <c r="I92" i="6" s="1"/>
  <c r="J290" i="19"/>
  <c r="J319" i="19"/>
  <c r="I107" i="6" s="1"/>
  <c r="K344" i="19"/>
  <c r="K325" i="19"/>
  <c r="J111" i="6" s="1"/>
  <c r="K303" i="19"/>
  <c r="J99" i="6" s="1"/>
  <c r="K286" i="19"/>
  <c r="K270" i="19"/>
  <c r="J82" i="6" s="1"/>
  <c r="K289" i="19"/>
  <c r="K336" i="19"/>
  <c r="J119" i="6" s="1"/>
  <c r="K298" i="19"/>
  <c r="K268" i="19"/>
  <c r="J84" i="6" s="1"/>
  <c r="K345" i="19"/>
  <c r="K347" i="19"/>
  <c r="K328" i="19"/>
  <c r="J113" i="6" s="1"/>
  <c r="K306" i="19"/>
  <c r="K273" i="19"/>
  <c r="K265" i="19"/>
  <c r="K271" i="19"/>
  <c r="J86" i="6" s="1"/>
  <c r="K264" i="19"/>
  <c r="J81" i="6" s="1"/>
  <c r="K267" i="19"/>
  <c r="J83" i="6" s="1"/>
  <c r="K350" i="19"/>
  <c r="J133" i="6" s="1"/>
  <c r="K331" i="19"/>
  <c r="J115" i="6" s="1"/>
  <c r="K309" i="19"/>
  <c r="J103" i="6" s="1"/>
  <c r="K292" i="19"/>
  <c r="K276" i="19"/>
  <c r="K266" i="19"/>
  <c r="K284" i="19"/>
  <c r="J92" i="6" s="1"/>
  <c r="K310" i="19"/>
  <c r="J104" i="6" s="1"/>
  <c r="K280" i="19"/>
  <c r="J91" i="6" s="1"/>
  <c r="K334" i="19"/>
  <c r="K312" i="19"/>
  <c r="J106" i="6" s="1"/>
  <c r="K296" i="19"/>
  <c r="J93" i="6" s="1"/>
  <c r="K279" i="19"/>
  <c r="K304" i="19"/>
  <c r="J100" i="6" s="1"/>
  <c r="K290" i="19"/>
  <c r="K332" i="19"/>
  <c r="J116" i="6" s="1"/>
  <c r="K319" i="19"/>
  <c r="J107" i="6" s="1"/>
  <c r="K343" i="19"/>
  <c r="K321" i="19"/>
  <c r="K282" i="19"/>
  <c r="K300" i="19"/>
  <c r="J98" i="6" s="1"/>
  <c r="K324" i="19"/>
  <c r="J110" i="6" s="1"/>
  <c r="K302" i="19"/>
  <c r="K285" i="19"/>
  <c r="K269" i="19"/>
  <c r="J85" i="6" s="1"/>
  <c r="K333" i="19"/>
  <c r="J117" i="6" s="1"/>
  <c r="K278" i="19"/>
  <c r="J90" i="6" s="1"/>
  <c r="K320" i="19"/>
  <c r="K326" i="19"/>
  <c r="J112" i="6" s="1"/>
  <c r="K287" i="19"/>
  <c r="K329" i="19"/>
  <c r="K277" i="19"/>
  <c r="K335" i="19"/>
  <c r="J118" i="6" s="1"/>
  <c r="K322" i="19"/>
  <c r="K283" i="19"/>
  <c r="K346" i="19"/>
  <c r="K327" i="19"/>
  <c r="K305" i="19"/>
  <c r="K288" i="19"/>
  <c r="K272" i="19"/>
  <c r="J87" i="6" s="1"/>
  <c r="K311" i="19"/>
  <c r="J105" i="6" s="1"/>
  <c r="K294" i="19"/>
  <c r="J94" i="6" s="1"/>
  <c r="K348" i="19"/>
  <c r="K293" i="19"/>
  <c r="K349" i="19"/>
  <c r="K186" i="6" s="1"/>
  <c r="K308" i="19"/>
  <c r="J102" i="6" s="1"/>
  <c r="K291" i="19"/>
  <c r="K275" i="19"/>
  <c r="K281" i="19"/>
  <c r="K301" i="19"/>
  <c r="K297" i="19"/>
  <c r="L347" i="19"/>
  <c r="L328" i="19"/>
  <c r="K113" i="6" s="1"/>
  <c r="L306" i="19"/>
  <c r="L289" i="19"/>
  <c r="L273" i="19"/>
  <c r="L276" i="19"/>
  <c r="L290" i="19"/>
  <c r="L310" i="19"/>
  <c r="K104" i="6" s="1"/>
  <c r="L300" i="19"/>
  <c r="K98" i="6" s="1"/>
  <c r="L325" i="19"/>
  <c r="K111" i="6" s="1"/>
  <c r="L270" i="19"/>
  <c r="K82" i="6" s="1"/>
  <c r="L350" i="19"/>
  <c r="K133" i="6" s="1"/>
  <c r="L331" i="19"/>
  <c r="K115" i="6" s="1"/>
  <c r="L309" i="19"/>
  <c r="K103" i="6" s="1"/>
  <c r="L292" i="19"/>
  <c r="L304" i="19"/>
  <c r="K100" i="6" s="1"/>
  <c r="L332" i="19"/>
  <c r="K116" i="6" s="1"/>
  <c r="L334" i="19"/>
  <c r="L312" i="19"/>
  <c r="K106" i="6" s="1"/>
  <c r="L296" i="19"/>
  <c r="K93" i="6" s="1"/>
  <c r="L279" i="19"/>
  <c r="L282" i="19"/>
  <c r="L301" i="19"/>
  <c r="L284" i="19"/>
  <c r="K92" i="6" s="1"/>
  <c r="L326" i="19"/>
  <c r="K112" i="6" s="1"/>
  <c r="L348" i="19"/>
  <c r="L343" i="19"/>
  <c r="L321" i="19"/>
  <c r="L266" i="19"/>
  <c r="L285" i="19"/>
  <c r="L322" i="19"/>
  <c r="L267" i="19"/>
  <c r="K83" i="6" s="1"/>
  <c r="L344" i="19"/>
  <c r="L324" i="19"/>
  <c r="K110" i="6" s="1"/>
  <c r="L302" i="19"/>
  <c r="L269" i="19"/>
  <c r="K85" i="6" s="1"/>
  <c r="L271" i="19"/>
  <c r="K86" i="6" s="1"/>
  <c r="L319" i="19"/>
  <c r="K107" i="6" s="1"/>
  <c r="L297" i="19"/>
  <c r="L280" i="19"/>
  <c r="K91" i="6" s="1"/>
  <c r="L264" i="19"/>
  <c r="K81" i="6" s="1"/>
  <c r="L346" i="19"/>
  <c r="L327" i="19"/>
  <c r="L305" i="19"/>
  <c r="L288" i="19"/>
  <c r="L272" i="19"/>
  <c r="K87" i="6" s="1"/>
  <c r="L298" i="19"/>
  <c r="L268" i="19"/>
  <c r="K84" i="6" s="1"/>
  <c r="L345" i="19"/>
  <c r="L277" i="19"/>
  <c r="L283" i="19"/>
  <c r="L349" i="19"/>
  <c r="L186" i="6" s="1"/>
  <c r="L308" i="19"/>
  <c r="K102" i="6" s="1"/>
  <c r="L291" i="19"/>
  <c r="L275" i="19"/>
  <c r="L336" i="19"/>
  <c r="K119" i="6" s="1"/>
  <c r="L265" i="19"/>
  <c r="L287" i="19"/>
  <c r="L329" i="19"/>
  <c r="L303" i="19"/>
  <c r="K99" i="6" s="1"/>
  <c r="L333" i="19"/>
  <c r="K117" i="6" s="1"/>
  <c r="L311" i="19"/>
  <c r="K105" i="6" s="1"/>
  <c r="L294" i="19"/>
  <c r="K94" i="6" s="1"/>
  <c r="L278" i="19"/>
  <c r="K90" i="6" s="1"/>
  <c r="L320" i="19"/>
  <c r="L281" i="19"/>
  <c r="L293" i="19"/>
  <c r="L335" i="19"/>
  <c r="K118" i="6" s="1"/>
  <c r="L286" i="19"/>
  <c r="M350" i="19"/>
  <c r="L133" i="6" s="1"/>
  <c r="M331" i="19"/>
  <c r="L115" i="6" s="1"/>
  <c r="M309" i="19"/>
  <c r="L103" i="6" s="1"/>
  <c r="M292" i="19"/>
  <c r="M276" i="19"/>
  <c r="M312" i="19"/>
  <c r="L106" i="6" s="1"/>
  <c r="M296" i="19"/>
  <c r="L93" i="6" s="1"/>
  <c r="M271" i="19"/>
  <c r="L86" i="6" s="1"/>
  <c r="M334" i="19"/>
  <c r="M279" i="19"/>
  <c r="M329" i="19"/>
  <c r="M293" i="19"/>
  <c r="M280" i="19"/>
  <c r="L91" i="6" s="1"/>
  <c r="M300" i="19"/>
  <c r="L98" i="6" s="1"/>
  <c r="M289" i="19"/>
  <c r="M343" i="19"/>
  <c r="M321" i="19"/>
  <c r="M282" i="19"/>
  <c r="M266" i="19"/>
  <c r="M269" i="19"/>
  <c r="L85" i="6" s="1"/>
  <c r="M326" i="19"/>
  <c r="L112" i="6" s="1"/>
  <c r="M319" i="19"/>
  <c r="L107" i="6" s="1"/>
  <c r="M283" i="19"/>
  <c r="M344" i="19"/>
  <c r="M324" i="19"/>
  <c r="L110" i="6" s="1"/>
  <c r="M302" i="19"/>
  <c r="M285" i="19"/>
  <c r="M272" i="19"/>
  <c r="L87" i="6" s="1"/>
  <c r="M304" i="19"/>
  <c r="L100" i="6" s="1"/>
  <c r="M348" i="19"/>
  <c r="M332" i="19"/>
  <c r="L116" i="6" s="1"/>
  <c r="M277" i="19"/>
  <c r="M335" i="19"/>
  <c r="L118" i="6" s="1"/>
  <c r="M264" i="19"/>
  <c r="L81" i="6" s="1"/>
  <c r="M346" i="19"/>
  <c r="M327" i="19"/>
  <c r="M305" i="19"/>
  <c r="M288" i="19"/>
  <c r="M322" i="19"/>
  <c r="M303" i="19"/>
  <c r="L99" i="6" s="1"/>
  <c r="M273" i="19"/>
  <c r="M349" i="19"/>
  <c r="M186" i="6" s="1"/>
  <c r="M308" i="19"/>
  <c r="L102" i="6" s="1"/>
  <c r="M291" i="19"/>
  <c r="M275" i="19"/>
  <c r="M268" i="19"/>
  <c r="L84" i="6" s="1"/>
  <c r="M290" i="19"/>
  <c r="M310" i="19"/>
  <c r="L104" i="6" s="1"/>
  <c r="M297" i="19"/>
  <c r="M306" i="19"/>
  <c r="M333" i="19"/>
  <c r="L117" i="6" s="1"/>
  <c r="M311" i="19"/>
  <c r="L105" i="6" s="1"/>
  <c r="M294" i="19"/>
  <c r="L94" i="6" s="1"/>
  <c r="M278" i="19"/>
  <c r="L90" i="6" s="1"/>
  <c r="M301" i="19"/>
  <c r="M284" i="19"/>
  <c r="L92" i="6" s="1"/>
  <c r="M287" i="19"/>
  <c r="M286" i="19"/>
  <c r="M328" i="19"/>
  <c r="L113" i="6" s="1"/>
  <c r="M336" i="19"/>
  <c r="L119" i="6" s="1"/>
  <c r="M320" i="19"/>
  <c r="M298" i="19"/>
  <c r="M281" i="19"/>
  <c r="M265" i="19"/>
  <c r="M345" i="19"/>
  <c r="M267" i="19"/>
  <c r="L83" i="6" s="1"/>
  <c r="M325" i="19"/>
  <c r="L111" i="6" s="1"/>
  <c r="M270" i="19"/>
  <c r="L82" i="6" s="1"/>
  <c r="M347" i="19"/>
  <c r="N332" i="19"/>
  <c r="M116" i="6" s="1"/>
  <c r="N324" i="19"/>
  <c r="M110" i="6" s="1"/>
  <c r="N310" i="19"/>
  <c r="M104" i="6" s="1"/>
  <c r="N302" i="19"/>
  <c r="N293" i="19"/>
  <c r="N285" i="19"/>
  <c r="N277" i="19"/>
  <c r="N269" i="19"/>
  <c r="M85" i="6" s="1"/>
  <c r="N322" i="19"/>
  <c r="N283" i="19"/>
  <c r="N288" i="19"/>
  <c r="N334" i="19"/>
  <c r="N308" i="19"/>
  <c r="M102" i="6" s="1"/>
  <c r="N275" i="19"/>
  <c r="N319" i="19"/>
  <c r="M107" i="6" s="1"/>
  <c r="N326" i="19"/>
  <c r="M112" i="6" s="1"/>
  <c r="N286" i="19"/>
  <c r="N350" i="19"/>
  <c r="M133" i="6" s="1"/>
  <c r="N331" i="19"/>
  <c r="M115" i="6" s="1"/>
  <c r="N309" i="19"/>
  <c r="M103" i="6" s="1"/>
  <c r="N301" i="19"/>
  <c r="N292" i="19"/>
  <c r="N284" i="19"/>
  <c r="M92" i="6" s="1"/>
  <c r="N276" i="19"/>
  <c r="N268" i="19"/>
  <c r="M84" i="6" s="1"/>
  <c r="N291" i="19"/>
  <c r="N327" i="19"/>
  <c r="N345" i="19"/>
  <c r="N271" i="19"/>
  <c r="M86" i="6" s="1"/>
  <c r="N325" i="19"/>
  <c r="M111" i="6" s="1"/>
  <c r="N349" i="19"/>
  <c r="N186" i="6" s="1"/>
  <c r="N300" i="19"/>
  <c r="M98" i="6" s="1"/>
  <c r="N305" i="19"/>
  <c r="N279" i="19"/>
  <c r="N294" i="19"/>
  <c r="M94" i="6" s="1"/>
  <c r="N267" i="19"/>
  <c r="M83" i="6" s="1"/>
  <c r="N297" i="19"/>
  <c r="N296" i="19"/>
  <c r="M93" i="6" s="1"/>
  <c r="N303" i="19"/>
  <c r="M99" i="6" s="1"/>
  <c r="N336" i="19"/>
  <c r="M119" i="6" s="1"/>
  <c r="N306" i="19"/>
  <c r="N281" i="19"/>
  <c r="N346" i="19"/>
  <c r="N272" i="19"/>
  <c r="M87" i="6" s="1"/>
  <c r="N312" i="19"/>
  <c r="M106" i="6" s="1"/>
  <c r="N333" i="19"/>
  <c r="M117" i="6" s="1"/>
  <c r="N270" i="19"/>
  <c r="M82" i="6" s="1"/>
  <c r="N348" i="19"/>
  <c r="N343" i="19"/>
  <c r="N329" i="19"/>
  <c r="N321" i="19"/>
  <c r="N290" i="19"/>
  <c r="N282" i="19"/>
  <c r="N266" i="19"/>
  <c r="N328" i="19"/>
  <c r="M113" i="6" s="1"/>
  <c r="N298" i="19"/>
  <c r="N273" i="19"/>
  <c r="N280" i="19"/>
  <c r="M91" i="6" s="1"/>
  <c r="N304" i="19"/>
  <c r="M100" i="6" s="1"/>
  <c r="N344" i="19"/>
  <c r="N278" i="19"/>
  <c r="M90" i="6" s="1"/>
  <c r="N347" i="19"/>
  <c r="N320" i="19"/>
  <c r="N289" i="19"/>
  <c r="N265" i="19"/>
  <c r="N335" i="19"/>
  <c r="M118" i="6" s="1"/>
  <c r="N264" i="19"/>
  <c r="M81" i="6" s="1"/>
  <c r="N287" i="19"/>
  <c r="N311" i="19"/>
  <c r="M105" i="6" s="1"/>
  <c r="O350" i="19"/>
  <c r="N133" i="6" s="1"/>
  <c r="O331" i="19"/>
  <c r="N115" i="6" s="1"/>
  <c r="O309" i="19"/>
  <c r="N103" i="6" s="1"/>
  <c r="O301" i="19"/>
  <c r="O292" i="19"/>
  <c r="O284" i="19"/>
  <c r="N92" i="6" s="1"/>
  <c r="O268" i="19"/>
  <c r="N84" i="6" s="1"/>
  <c r="O305" i="19"/>
  <c r="O279" i="19"/>
  <c r="O344" i="19"/>
  <c r="O270" i="19"/>
  <c r="N82" i="6" s="1"/>
  <c r="O302" i="19"/>
  <c r="O276" i="19"/>
  <c r="O280" i="19"/>
  <c r="N91" i="6" s="1"/>
  <c r="O287" i="19"/>
  <c r="O294" i="19"/>
  <c r="N94" i="6" s="1"/>
  <c r="O285" i="19"/>
  <c r="O349" i="19"/>
  <c r="O186" i="6" s="1"/>
  <c r="O308" i="19"/>
  <c r="N102" i="6" s="1"/>
  <c r="O291" i="19"/>
  <c r="O275" i="19"/>
  <c r="O346" i="19"/>
  <c r="O272" i="19"/>
  <c r="N87" i="6" s="1"/>
  <c r="O296" i="19"/>
  <c r="N93" i="6" s="1"/>
  <c r="O333" i="19"/>
  <c r="N117" i="6" s="1"/>
  <c r="O324" i="19"/>
  <c r="N110" i="6" s="1"/>
  <c r="O322" i="19"/>
  <c r="O300" i="19"/>
  <c r="N98" i="6" s="1"/>
  <c r="O283" i="19"/>
  <c r="O267" i="19"/>
  <c r="N83" i="6" s="1"/>
  <c r="O327" i="19"/>
  <c r="O326" i="19"/>
  <c r="N112" i="6" s="1"/>
  <c r="O325" i="19"/>
  <c r="N111" i="6" s="1"/>
  <c r="O269" i="19"/>
  <c r="N85" i="6" s="1"/>
  <c r="O288" i="19"/>
  <c r="O304" i="19"/>
  <c r="N100" i="6" s="1"/>
  <c r="O286" i="19"/>
  <c r="O293" i="19"/>
  <c r="O348" i="19"/>
  <c r="O343" i="19"/>
  <c r="O329" i="19"/>
  <c r="O321" i="19"/>
  <c r="O290" i="19"/>
  <c r="O282" i="19"/>
  <c r="O266" i="19"/>
  <c r="O297" i="19"/>
  <c r="O345" i="19"/>
  <c r="O271" i="19"/>
  <c r="N86" i="6" s="1"/>
  <c r="O311" i="19"/>
  <c r="N105" i="6" s="1"/>
  <c r="O277" i="19"/>
  <c r="O335" i="19"/>
  <c r="N118" i="6" s="1"/>
  <c r="O264" i="19"/>
  <c r="N81" i="6" s="1"/>
  <c r="O312" i="19"/>
  <c r="N106" i="6" s="1"/>
  <c r="O303" i="19"/>
  <c r="N99" i="6" s="1"/>
  <c r="O310" i="19"/>
  <c r="N104" i="6" s="1"/>
  <c r="O347" i="19"/>
  <c r="O336" i="19"/>
  <c r="N119" i="6" s="1"/>
  <c r="O328" i="19"/>
  <c r="N113" i="6" s="1"/>
  <c r="O320" i="19"/>
  <c r="O306" i="19"/>
  <c r="O298" i="19"/>
  <c r="O289" i="19"/>
  <c r="O281" i="19"/>
  <c r="O273" i="19"/>
  <c r="O265" i="19"/>
  <c r="O319" i="19"/>
  <c r="N107" i="6" s="1"/>
  <c r="O334" i="19"/>
  <c r="O278" i="19"/>
  <c r="N90" i="6" s="1"/>
  <c r="O332" i="19"/>
  <c r="N116" i="6" s="1"/>
  <c r="G248" i="30"/>
  <c r="G365" i="30"/>
  <c r="G266" i="30"/>
  <c r="G60" i="30"/>
  <c r="G98" i="30"/>
  <c r="G202" i="30"/>
  <c r="G238" i="30"/>
  <c r="G192" i="30"/>
  <c r="G252" i="30"/>
  <c r="G278" i="30"/>
  <c r="H17" i="19"/>
  <c r="G25" i="23" s="1"/>
  <c r="G74" i="30"/>
  <c r="G197" i="30"/>
  <c r="G207" i="30"/>
  <c r="G217" i="30"/>
  <c r="G344" i="30"/>
  <c r="G470" i="30"/>
  <c r="G172" i="30"/>
  <c r="G182" i="30"/>
  <c r="G17" i="19"/>
  <c r="F25" i="23" s="1"/>
  <c r="M84" i="19"/>
  <c r="N84" i="19"/>
  <c r="O91" i="19"/>
  <c r="N34" i="24" s="1"/>
  <c r="H9" i="19"/>
  <c r="G10" i="23" s="1"/>
  <c r="O75" i="19"/>
  <c r="N11" i="24" s="1"/>
  <c r="K28" i="19"/>
  <c r="J50" i="23" s="1"/>
  <c r="K19" i="19"/>
  <c r="J39" i="23" s="1"/>
  <c r="K34" i="19"/>
  <c r="N93" i="19"/>
  <c r="M36" i="24" s="1"/>
  <c r="N101" i="19"/>
  <c r="N92" i="19"/>
  <c r="M35" i="24" s="1"/>
  <c r="K82" i="19"/>
  <c r="J19" i="24" s="1"/>
  <c r="M92" i="19"/>
  <c r="L35" i="24" s="1"/>
  <c r="M75" i="19"/>
  <c r="L11" i="24" s="1"/>
  <c r="N75" i="19"/>
  <c r="M11" i="24" s="1"/>
  <c r="G80" i="19"/>
  <c r="M27" i="19"/>
  <c r="G90" i="19"/>
  <c r="N76" i="19"/>
  <c r="M12" i="24" s="1"/>
  <c r="O102" i="19"/>
  <c r="N23" i="24" s="1"/>
  <c r="L18" i="19"/>
  <c r="K38" i="23" s="1"/>
  <c r="G86" i="19"/>
  <c r="G87" i="19"/>
  <c r="M102" i="19"/>
  <c r="L23" i="24" s="1"/>
  <c r="M76" i="19"/>
  <c r="L12" i="24" s="1"/>
  <c r="G91" i="19"/>
  <c r="N103" i="19"/>
  <c r="G102" i="19"/>
  <c r="G103" i="19"/>
  <c r="L19" i="19"/>
  <c r="K39" i="23" s="1"/>
  <c r="G89" i="19"/>
  <c r="G44" i="19"/>
  <c r="F77" i="23" s="1"/>
  <c r="G93" i="19"/>
  <c r="G99" i="19"/>
  <c r="G83" i="19"/>
  <c r="F130" i="23" s="1"/>
  <c r="G85" i="19"/>
  <c r="M45" i="19"/>
  <c r="G104" i="19"/>
  <c r="L51" i="19"/>
  <c r="K84" i="23" s="1"/>
  <c r="G28" i="19"/>
  <c r="F50" i="23" s="1"/>
  <c r="O82" i="19"/>
  <c r="N19" i="24" s="1"/>
  <c r="L45" i="19"/>
  <c r="M19" i="19"/>
  <c r="L39" i="23" s="1"/>
  <c r="G105" i="19"/>
  <c r="M28" i="19"/>
  <c r="N102" i="19"/>
  <c r="M23" i="24" s="1"/>
  <c r="H44" i="19"/>
  <c r="G77" i="23" s="1"/>
  <c r="G68" i="19"/>
  <c r="K95" i="19"/>
  <c r="H68" i="19"/>
  <c r="G96" i="19"/>
  <c r="H28" i="19"/>
  <c r="G50" i="23" s="1"/>
  <c r="G52" i="19"/>
  <c r="F85" i="23" s="1"/>
  <c r="G77" i="19"/>
  <c r="G97" i="19"/>
  <c r="M83" i="19"/>
  <c r="L130" i="23" s="1"/>
  <c r="G79" i="19"/>
  <c r="F129" i="23" s="1"/>
  <c r="K88" i="19"/>
  <c r="J31" i="24" s="1"/>
  <c r="G48" i="19"/>
  <c r="F81" i="23" s="1"/>
  <c r="L34" i="19"/>
  <c r="H52" i="19"/>
  <c r="G85" i="23" s="1"/>
  <c r="L12" i="19"/>
  <c r="K13" i="23" s="1"/>
  <c r="G78" i="19"/>
  <c r="G98" i="19"/>
  <c r="N83" i="19"/>
  <c r="M130" i="23" s="1"/>
  <c r="K53" i="19"/>
  <c r="J86" i="23" s="1"/>
  <c r="K58" i="19"/>
  <c r="M85" i="19"/>
  <c r="L37" i="19"/>
  <c r="K71" i="23" s="1"/>
  <c r="K97" i="19"/>
  <c r="J41" i="24" s="1"/>
  <c r="I13" i="19"/>
  <c r="K83" i="19"/>
  <c r="J130" i="23" s="1"/>
  <c r="I103" i="19"/>
  <c r="K90" i="19"/>
  <c r="J33" i="24" s="1"/>
  <c r="K103" i="19"/>
  <c r="L35" i="19"/>
  <c r="L21" i="19"/>
  <c r="K36" i="23" s="1"/>
  <c r="I79" i="19"/>
  <c r="N85" i="19"/>
  <c r="M86" i="19"/>
  <c r="I28" i="19"/>
  <c r="H50" i="23" s="1"/>
  <c r="M97" i="19"/>
  <c r="L41" i="24" s="1"/>
  <c r="I9" i="19"/>
  <c r="H10" i="23" s="1"/>
  <c r="M9" i="19"/>
  <c r="L10" i="23" s="1"/>
  <c r="L15" i="19"/>
  <c r="K20" i="23" s="1"/>
  <c r="L22" i="19"/>
  <c r="K40" i="23" s="1"/>
  <c r="L38" i="19"/>
  <c r="K72" i="23" s="1"/>
  <c r="M48" i="19"/>
  <c r="L81" i="23" s="1"/>
  <c r="L55" i="19"/>
  <c r="K87" i="23" s="1"/>
  <c r="N78" i="19"/>
  <c r="M14" i="24" s="1"/>
  <c r="O86" i="19"/>
  <c r="N97" i="19"/>
  <c r="M41" i="24" s="1"/>
  <c r="N107" i="19"/>
  <c r="I26" i="19"/>
  <c r="H47" i="23" s="1"/>
  <c r="K77" i="19"/>
  <c r="J13" i="24" s="1"/>
  <c r="I66" i="19"/>
  <c r="L46" i="19"/>
  <c r="K79" i="23" s="1"/>
  <c r="N96" i="19"/>
  <c r="M47" i="19"/>
  <c r="L80" i="23" s="1"/>
  <c r="K92" i="19"/>
  <c r="J35" i="24" s="1"/>
  <c r="N105" i="19"/>
  <c r="M51" i="24" s="1"/>
  <c r="I10" i="19"/>
  <c r="H11" i="23" s="1"/>
  <c r="I19" i="19"/>
  <c r="H39" i="23" s="1"/>
  <c r="H48" i="19"/>
  <c r="G81" i="23" s="1"/>
  <c r="M22" i="19"/>
  <c r="L40" i="23" s="1"/>
  <c r="L31" i="19"/>
  <c r="K63" i="23" s="1"/>
  <c r="K39" i="19"/>
  <c r="J73" i="23" s="1"/>
  <c r="K68" i="19"/>
  <c r="I80" i="19"/>
  <c r="H17" i="24" s="1"/>
  <c r="I87" i="19"/>
  <c r="H30" i="24" s="1"/>
  <c r="K93" i="19"/>
  <c r="J36" i="24" s="1"/>
  <c r="K99" i="19"/>
  <c r="J43" i="24" s="1"/>
  <c r="K105" i="19"/>
  <c r="J51" i="24" s="1"/>
  <c r="O78" i="19"/>
  <c r="N14" i="24" s="1"/>
  <c r="N87" i="19"/>
  <c r="M30" i="24" s="1"/>
  <c r="M98" i="19"/>
  <c r="L42" i="24" s="1"/>
  <c r="G113" i="19"/>
  <c r="F106" i="25" s="1"/>
  <c r="I15" i="19"/>
  <c r="H20" i="23" s="1"/>
  <c r="K13" i="19"/>
  <c r="K46" i="19"/>
  <c r="J79" i="23" s="1"/>
  <c r="K13" i="24"/>
  <c r="J96" i="19"/>
  <c r="I22" i="24" s="1"/>
  <c r="I67" i="19"/>
  <c r="H138" i="25" s="1"/>
  <c r="H139" i="25" s="1"/>
  <c r="L52" i="19"/>
  <c r="K85" i="23" s="1"/>
  <c r="L58" i="19"/>
  <c r="K88" i="23" s="1"/>
  <c r="K38" i="19"/>
  <c r="J72" i="23" s="1"/>
  <c r="K79" i="19"/>
  <c r="M78" i="19"/>
  <c r="L14" i="24" s="1"/>
  <c r="I29" i="19"/>
  <c r="H54" i="23" s="1"/>
  <c r="I20" i="19"/>
  <c r="I30" i="19"/>
  <c r="G37" i="19"/>
  <c r="F71" i="23" s="1"/>
  <c r="I48" i="19"/>
  <c r="H81" i="23" s="1"/>
  <c r="I56" i="19"/>
  <c r="L10" i="19"/>
  <c r="K11" i="23" s="1"/>
  <c r="K16" i="19"/>
  <c r="J204" i="6" s="1"/>
  <c r="K26" i="19"/>
  <c r="J47" i="23" s="1"/>
  <c r="L39" i="19"/>
  <c r="K73" i="23" s="1"/>
  <c r="L49" i="19"/>
  <c r="K82" i="23" s="1"/>
  <c r="L68" i="19"/>
  <c r="G74" i="19"/>
  <c r="J80" i="19"/>
  <c r="I17" i="24" s="1"/>
  <c r="J87" i="19"/>
  <c r="I30" i="24" s="1"/>
  <c r="K100" i="19"/>
  <c r="J45" i="24" s="1"/>
  <c r="G106" i="19"/>
  <c r="N80" i="19"/>
  <c r="M17" i="24" s="1"/>
  <c r="M88" i="19"/>
  <c r="L31" i="24" s="1"/>
  <c r="O98" i="19"/>
  <c r="N42" i="24" s="1"/>
  <c r="I52" i="19"/>
  <c r="H85" i="23" s="1"/>
  <c r="I44" i="19"/>
  <c r="H77" i="23" s="1"/>
  <c r="L29" i="19"/>
  <c r="K54" i="23" s="1"/>
  <c r="I45" i="19"/>
  <c r="M104" i="19"/>
  <c r="L50" i="24" s="1"/>
  <c r="L30" i="19"/>
  <c r="I18" i="19"/>
  <c r="H38" i="23" s="1"/>
  <c r="K15" i="19"/>
  <c r="J20" i="23" s="1"/>
  <c r="K55" i="19"/>
  <c r="J87" i="23" s="1"/>
  <c r="N86" i="19"/>
  <c r="I11" i="19"/>
  <c r="H12" i="23" s="1"/>
  <c r="G21" i="19"/>
  <c r="F36" i="23" s="1"/>
  <c r="I31" i="19"/>
  <c r="H63" i="23" s="1"/>
  <c r="H37" i="19"/>
  <c r="G71" i="23" s="1"/>
  <c r="I49" i="19"/>
  <c r="H82" i="23" s="1"/>
  <c r="G57" i="19"/>
  <c r="L16" i="19"/>
  <c r="L26" i="19"/>
  <c r="K47" i="23" s="1"/>
  <c r="K32" i="19"/>
  <c r="N73" i="23"/>
  <c r="M68" i="19"/>
  <c r="K74" i="19"/>
  <c r="K80" i="19"/>
  <c r="J17" i="24" s="1"/>
  <c r="K87" i="19"/>
  <c r="J30" i="24" s="1"/>
  <c r="G94" i="19"/>
  <c r="K106" i="19"/>
  <c r="J52" i="24" s="1"/>
  <c r="O80" i="19"/>
  <c r="N17" i="24" s="1"/>
  <c r="N88" i="19"/>
  <c r="M31" i="24" s="1"/>
  <c r="N99" i="19"/>
  <c r="M43" i="24" s="1"/>
  <c r="I41" i="19"/>
  <c r="H75" i="23" s="1"/>
  <c r="K52" i="19"/>
  <c r="J85" i="23" s="1"/>
  <c r="K84" i="19"/>
  <c r="J103" i="19"/>
  <c r="K35" i="19"/>
  <c r="K14" i="19"/>
  <c r="L14" i="19"/>
  <c r="L53" i="19"/>
  <c r="K86" i="23" s="1"/>
  <c r="I104" i="19"/>
  <c r="H50" i="24" s="1"/>
  <c r="I46" i="19"/>
  <c r="H79" i="23" s="1"/>
  <c r="M21" i="19"/>
  <c r="L36" i="23" s="1"/>
  <c r="K66" i="19"/>
  <c r="J104" i="19"/>
  <c r="I50" i="24" s="1"/>
  <c r="I47" i="19"/>
  <c r="H80" i="23" s="1"/>
  <c r="L66" i="19"/>
  <c r="K98" i="19"/>
  <c r="J42" i="24" s="1"/>
  <c r="N106" i="19"/>
  <c r="M52" i="24" s="1"/>
  <c r="I38" i="23"/>
  <c r="I12" i="19"/>
  <c r="H13" i="23" s="1"/>
  <c r="H21" i="19"/>
  <c r="G36" i="23" s="1"/>
  <c r="I37" i="19"/>
  <c r="H71" i="23" s="1"/>
  <c r="H57" i="19"/>
  <c r="K11" i="19"/>
  <c r="J12" i="23" s="1"/>
  <c r="L17" i="19"/>
  <c r="K25" i="23" s="1"/>
  <c r="L32" i="19"/>
  <c r="K44" i="19"/>
  <c r="J77" i="23" s="1"/>
  <c r="K50" i="19"/>
  <c r="J83" i="23" s="1"/>
  <c r="G75" i="19"/>
  <c r="G81" i="19"/>
  <c r="G88" i="19"/>
  <c r="G95" i="19"/>
  <c r="F110" i="25" s="1"/>
  <c r="G101" i="19"/>
  <c r="G107" i="19"/>
  <c r="M81" i="19"/>
  <c r="L18" i="24" s="1"/>
  <c r="N89" i="19"/>
  <c r="M32" i="24" s="1"/>
  <c r="M100" i="19"/>
  <c r="L45" i="24" s="1"/>
  <c r="I39" i="19"/>
  <c r="H73" i="23" s="1"/>
  <c r="I14" i="19"/>
  <c r="I96" i="19"/>
  <c r="H22" i="24" s="1"/>
  <c r="L47" i="19"/>
  <c r="K80" i="23" s="1"/>
  <c r="K91" i="19"/>
  <c r="J34" i="24" s="1"/>
  <c r="I17" i="19"/>
  <c r="H25" i="23" s="1"/>
  <c r="I68" i="19"/>
  <c r="J79" i="19"/>
  <c r="O96" i="19"/>
  <c r="N22" i="24" s="1"/>
  <c r="K9" i="19"/>
  <c r="J10" i="23" s="1"/>
  <c r="K48" i="19"/>
  <c r="J81" i="23" s="1"/>
  <c r="K104" i="19"/>
  <c r="J50" i="24" s="1"/>
  <c r="G13" i="19"/>
  <c r="I21" i="19"/>
  <c r="H36" i="23" s="1"/>
  <c r="I38" i="19"/>
  <c r="H72" i="23" s="1"/>
  <c r="I50" i="19"/>
  <c r="H83" i="23" s="1"/>
  <c r="I57" i="19"/>
  <c r="L11" i="19"/>
  <c r="K12" i="23" s="1"/>
  <c r="K27" i="19"/>
  <c r="K33" i="19"/>
  <c r="L44" i="19"/>
  <c r="K77" i="23" s="1"/>
  <c r="L50" i="19"/>
  <c r="K83" i="23" s="1"/>
  <c r="K75" i="19"/>
  <c r="J11" i="24" s="1"/>
  <c r="K81" i="19"/>
  <c r="J18" i="24" s="1"/>
  <c r="I88" i="19"/>
  <c r="H31" i="24" s="1"/>
  <c r="I95" i="19"/>
  <c r="K101" i="19"/>
  <c r="K107" i="19"/>
  <c r="N81" i="19"/>
  <c r="M18" i="24" s="1"/>
  <c r="N90" i="19"/>
  <c r="M33" i="24" s="1"/>
  <c r="N100" i="19"/>
  <c r="M45" i="24" s="1"/>
  <c r="I33" i="19"/>
  <c r="K89" i="19"/>
  <c r="J32" i="24" s="1"/>
  <c r="I16" i="19"/>
  <c r="H204" i="6" s="1"/>
  <c r="L13" i="19"/>
  <c r="K96" i="19"/>
  <c r="J22" i="24" s="1"/>
  <c r="M94" i="19"/>
  <c r="L44" i="24" s="1"/>
  <c r="K21" i="19"/>
  <c r="J36" i="23" s="1"/>
  <c r="N94" i="19"/>
  <c r="M44" i="24" s="1"/>
  <c r="K30" i="19"/>
  <c r="K85" i="19"/>
  <c r="N104" i="19"/>
  <c r="M50" i="24" s="1"/>
  <c r="M30" i="19"/>
  <c r="H13" i="19"/>
  <c r="I22" i="19"/>
  <c r="H40" i="23" s="1"/>
  <c r="M11" i="19"/>
  <c r="L12" i="23" s="1"/>
  <c r="K18" i="19"/>
  <c r="J38" i="23" s="1"/>
  <c r="L27" i="19"/>
  <c r="L33" i="19"/>
  <c r="M44" i="19"/>
  <c r="L77" i="23" s="1"/>
  <c r="M50" i="19"/>
  <c r="L83" i="23" s="1"/>
  <c r="K76" i="19"/>
  <c r="J12" i="24" s="1"/>
  <c r="G82" i="19"/>
  <c r="J88" i="19"/>
  <c r="I31" i="24" s="1"/>
  <c r="J95" i="19"/>
  <c r="N74" i="19"/>
  <c r="M82" i="19"/>
  <c r="L19" i="24" s="1"/>
  <c r="N91" i="19"/>
  <c r="M34" i="24" s="1"/>
  <c r="M101" i="19"/>
  <c r="N14" i="19"/>
  <c r="N30" i="19"/>
  <c r="N50" i="19"/>
  <c r="M83" i="23" s="1"/>
  <c r="H74" i="19"/>
  <c r="H90" i="19"/>
  <c r="G33" i="24" s="1"/>
  <c r="H106" i="19"/>
  <c r="G52" i="24" s="1"/>
  <c r="G10" i="19"/>
  <c r="F11" i="23" s="1"/>
  <c r="G14" i="19"/>
  <c r="F30" i="23" s="1"/>
  <c r="G18" i="19"/>
  <c r="F38" i="23" s="1"/>
  <c r="G22" i="19"/>
  <c r="F40" i="23" s="1"/>
  <c r="G29" i="19"/>
  <c r="F54" i="23" s="1"/>
  <c r="G33" i="19"/>
  <c r="G38" i="19"/>
  <c r="F72" i="23" s="1"/>
  <c r="G45" i="19"/>
  <c r="G49" i="19"/>
  <c r="F82" i="23" s="1"/>
  <c r="M15" i="19"/>
  <c r="L20" i="23" s="1"/>
  <c r="N18" i="19"/>
  <c r="M38" i="23" s="1"/>
  <c r="M34" i="19"/>
  <c r="N38" i="19"/>
  <c r="M72" i="23" s="1"/>
  <c r="M55" i="19"/>
  <c r="L87" i="23" s="1"/>
  <c r="N58" i="19"/>
  <c r="M88" i="23" s="1"/>
  <c r="I77" i="19"/>
  <c r="H13" i="24" s="1"/>
  <c r="I85" i="19"/>
  <c r="I93" i="19"/>
  <c r="H36" i="24" s="1"/>
  <c r="I101" i="19"/>
  <c r="O76" i="19"/>
  <c r="N12" i="24" s="1"/>
  <c r="O92" i="19"/>
  <c r="N35" i="24" s="1"/>
  <c r="H10" i="19"/>
  <c r="G11" i="23" s="1"/>
  <c r="H14" i="19"/>
  <c r="H18" i="19"/>
  <c r="G38" i="23" s="1"/>
  <c r="H22" i="19"/>
  <c r="G40" i="23" s="1"/>
  <c r="H29" i="19"/>
  <c r="G54" i="23" s="1"/>
  <c r="H33" i="19"/>
  <c r="H38" i="19"/>
  <c r="G72" i="23" s="1"/>
  <c r="H45" i="19"/>
  <c r="H49" i="19"/>
  <c r="G82" i="23" s="1"/>
  <c r="L9" i="19"/>
  <c r="K10" i="23" s="1"/>
  <c r="M12" i="19"/>
  <c r="L13" i="23" s="1"/>
  <c r="N15" i="19"/>
  <c r="M20" i="23" s="1"/>
  <c r="K22" i="19"/>
  <c r="J40" i="23" s="1"/>
  <c r="L28" i="19"/>
  <c r="K50" i="23" s="1"/>
  <c r="M31" i="19"/>
  <c r="L63" i="23" s="1"/>
  <c r="N34" i="19"/>
  <c r="K45" i="19"/>
  <c r="L48" i="19"/>
  <c r="K81" i="23" s="1"/>
  <c r="M51" i="19"/>
  <c r="L84" i="23" s="1"/>
  <c r="N55" i="19"/>
  <c r="M87" i="23" s="1"/>
  <c r="J77" i="19"/>
  <c r="I13" i="24" s="1"/>
  <c r="H80" i="19"/>
  <c r="G17" i="24" s="1"/>
  <c r="J85" i="19"/>
  <c r="H88" i="19"/>
  <c r="G31" i="24" s="1"/>
  <c r="J93" i="19"/>
  <c r="I36" i="24" s="1"/>
  <c r="H96" i="19"/>
  <c r="G22" i="24" s="1"/>
  <c r="J101" i="19"/>
  <c r="H104" i="19"/>
  <c r="G50" i="24" s="1"/>
  <c r="N82" i="19"/>
  <c r="M19" i="24" s="1"/>
  <c r="O87" i="19"/>
  <c r="N30" i="24" s="1"/>
  <c r="M93" i="19"/>
  <c r="L36" i="24" s="1"/>
  <c r="N98" i="19"/>
  <c r="M42" i="24" s="1"/>
  <c r="O103" i="19"/>
  <c r="J115" i="19"/>
  <c r="I111" i="25" s="1"/>
  <c r="K115" i="19"/>
  <c r="J111" i="25" s="1"/>
  <c r="O93" i="19"/>
  <c r="N36" i="24" s="1"/>
  <c r="M99" i="19"/>
  <c r="L43" i="24" s="1"/>
  <c r="H113" i="19"/>
  <c r="G106" i="25" s="1"/>
  <c r="K111" i="25"/>
  <c r="N12" i="19"/>
  <c r="M13" i="23" s="1"/>
  <c r="N31" i="19"/>
  <c r="M63" i="23" s="1"/>
  <c r="N51" i="19"/>
  <c r="M84" i="23" s="1"/>
  <c r="H83" i="19"/>
  <c r="G130" i="23" s="1"/>
  <c r="H91" i="19"/>
  <c r="G34" i="24" s="1"/>
  <c r="H107" i="19"/>
  <c r="G11" i="19"/>
  <c r="F12" i="23" s="1"/>
  <c r="G15" i="19"/>
  <c r="F20" i="23" s="1"/>
  <c r="G19" i="19"/>
  <c r="F39" i="23" s="1"/>
  <c r="G26" i="19"/>
  <c r="F47" i="23" s="1"/>
  <c r="G30" i="19"/>
  <c r="F59" i="23" s="1"/>
  <c r="G39" i="19"/>
  <c r="F73" i="23" s="1"/>
  <c r="G46" i="19"/>
  <c r="F79" i="23" s="1"/>
  <c r="G50" i="19"/>
  <c r="F83" i="23" s="1"/>
  <c r="G66" i="19"/>
  <c r="N22" i="19"/>
  <c r="M40" i="23" s="1"/>
  <c r="M39" i="19"/>
  <c r="L73" i="23" s="1"/>
  <c r="N45" i="19"/>
  <c r="M66" i="19"/>
  <c r="I75" i="19"/>
  <c r="H11" i="24" s="1"/>
  <c r="I83" i="19"/>
  <c r="H130" i="23" s="1"/>
  <c r="I91" i="19"/>
  <c r="H34" i="24" s="1"/>
  <c r="I99" i="19"/>
  <c r="H43" i="24" s="1"/>
  <c r="I107" i="19"/>
  <c r="O88" i="19"/>
  <c r="N31" i="24" s="1"/>
  <c r="O104" i="19"/>
  <c r="N50" i="24" s="1"/>
  <c r="I113" i="19"/>
  <c r="H106" i="25" s="1"/>
  <c r="G116" i="19"/>
  <c r="H11" i="19"/>
  <c r="G12" i="23" s="1"/>
  <c r="H15" i="19"/>
  <c r="G20" i="23" s="1"/>
  <c r="H19" i="19"/>
  <c r="G39" i="23" s="1"/>
  <c r="H26" i="19"/>
  <c r="G47" i="23" s="1"/>
  <c r="H30" i="19"/>
  <c r="H39" i="19"/>
  <c r="G73" i="23" s="1"/>
  <c r="H46" i="19"/>
  <c r="G79" i="23" s="1"/>
  <c r="H50" i="19"/>
  <c r="G83" i="23" s="1"/>
  <c r="H66" i="19"/>
  <c r="K10" i="19"/>
  <c r="J11" i="23" s="1"/>
  <c r="M16" i="19"/>
  <c r="N19" i="19"/>
  <c r="M39" i="23" s="1"/>
  <c r="K29" i="19"/>
  <c r="J54" i="23" s="1"/>
  <c r="M35" i="19"/>
  <c r="N39" i="19"/>
  <c r="M73" i="23" s="1"/>
  <c r="K49" i="19"/>
  <c r="J82" i="23" s="1"/>
  <c r="N66" i="19"/>
  <c r="J75" i="19"/>
  <c r="I11" i="24" s="1"/>
  <c r="H78" i="19"/>
  <c r="G14" i="24" s="1"/>
  <c r="J83" i="19"/>
  <c r="I130" i="23" s="1"/>
  <c r="H86" i="19"/>
  <c r="J91" i="19"/>
  <c r="I34" i="24" s="1"/>
  <c r="H94" i="19"/>
  <c r="G44" i="24" s="1"/>
  <c r="J99" i="19"/>
  <c r="I43" i="24" s="1"/>
  <c r="H102" i="19"/>
  <c r="G23" i="24" s="1"/>
  <c r="J107" i="19"/>
  <c r="O83" i="19"/>
  <c r="N130" i="23" s="1"/>
  <c r="M89" i="19"/>
  <c r="L32" i="24" s="1"/>
  <c r="O99" i="19"/>
  <c r="N43" i="24" s="1"/>
  <c r="M105" i="19"/>
  <c r="L51" i="24" s="1"/>
  <c r="J113" i="19"/>
  <c r="I106" i="25" s="1"/>
  <c r="H116" i="19"/>
  <c r="K113" i="19"/>
  <c r="J106" i="25" s="1"/>
  <c r="I116" i="19"/>
  <c r="G9" i="19"/>
  <c r="F10" i="23" s="1"/>
  <c r="H75" i="19"/>
  <c r="G11" i="24" s="1"/>
  <c r="M13" i="19"/>
  <c r="M32" i="19"/>
  <c r="N35" i="19"/>
  <c r="M52" i="19"/>
  <c r="L85" i="23" s="1"/>
  <c r="I86" i="19"/>
  <c r="O94" i="19"/>
  <c r="N44" i="24" s="1"/>
  <c r="I83" i="23"/>
  <c r="J66" i="19"/>
  <c r="M10" i="19"/>
  <c r="L11" i="23" s="1"/>
  <c r="N13" i="19"/>
  <c r="K20" i="19"/>
  <c r="M29" i="19"/>
  <c r="N32" i="19"/>
  <c r="K41" i="19"/>
  <c r="J75" i="23" s="1"/>
  <c r="M49" i="19"/>
  <c r="L82" i="23" s="1"/>
  <c r="N52" i="19"/>
  <c r="M85" i="23" s="1"/>
  <c r="J78" i="19"/>
  <c r="I14" i="24" s="1"/>
  <c r="H81" i="19"/>
  <c r="G18" i="24" s="1"/>
  <c r="J86" i="19"/>
  <c r="H89" i="19"/>
  <c r="G32" i="24" s="1"/>
  <c r="J94" i="19"/>
  <c r="I44" i="24" s="1"/>
  <c r="H97" i="19"/>
  <c r="G41" i="24" s="1"/>
  <c r="J102" i="19"/>
  <c r="I23" i="24" s="1"/>
  <c r="H105" i="19"/>
  <c r="G51" i="24" s="1"/>
  <c r="M79" i="19"/>
  <c r="O89" i="19"/>
  <c r="N32" i="24" s="1"/>
  <c r="M95" i="19"/>
  <c r="O105" i="19"/>
  <c r="N51" i="24" s="1"/>
  <c r="K106" i="25"/>
  <c r="J116" i="19"/>
  <c r="N16" i="19"/>
  <c r="I78" i="19"/>
  <c r="H14" i="24" s="1"/>
  <c r="I94" i="19"/>
  <c r="H44" i="24" s="1"/>
  <c r="I102" i="19"/>
  <c r="H23" i="24" s="1"/>
  <c r="K67" i="19"/>
  <c r="J138" i="25" s="1"/>
  <c r="J139" i="25" s="1"/>
  <c r="G12" i="19"/>
  <c r="F13" i="23" s="1"/>
  <c r="G16" i="19"/>
  <c r="F204" i="6" s="1"/>
  <c r="G20" i="19"/>
  <c r="G31" i="19"/>
  <c r="F63" i="23" s="1"/>
  <c r="G41" i="19"/>
  <c r="F75" i="23" s="1"/>
  <c r="G47" i="19"/>
  <c r="F80" i="23" s="1"/>
  <c r="G51" i="19"/>
  <c r="F84" i="23" s="1"/>
  <c r="G56" i="19"/>
  <c r="N10" i="19"/>
  <c r="M11" i="23" s="1"/>
  <c r="K17" i="19"/>
  <c r="J25" i="23" s="1"/>
  <c r="L20" i="19"/>
  <c r="M26" i="19"/>
  <c r="N29" i="19"/>
  <c r="K37" i="19"/>
  <c r="J71" i="23" s="1"/>
  <c r="L41" i="19"/>
  <c r="K75" i="23" s="1"/>
  <c r="M46" i="19"/>
  <c r="L79" i="23" s="1"/>
  <c r="N49" i="19"/>
  <c r="M82" i="23" s="1"/>
  <c r="G76" i="19"/>
  <c r="K78" i="19"/>
  <c r="J14" i="24" s="1"/>
  <c r="I81" i="19"/>
  <c r="H18" i="24" s="1"/>
  <c r="G84" i="19"/>
  <c r="F126" i="25" s="1"/>
  <c r="K86" i="19"/>
  <c r="I89" i="19"/>
  <c r="H32" i="24" s="1"/>
  <c r="G92" i="19"/>
  <c r="K94" i="19"/>
  <c r="J44" i="24" s="1"/>
  <c r="I97" i="19"/>
  <c r="H41" i="24" s="1"/>
  <c r="I105" i="19"/>
  <c r="H51" i="24" s="1"/>
  <c r="M74" i="19"/>
  <c r="N79" i="19"/>
  <c r="O84" i="19"/>
  <c r="M90" i="19"/>
  <c r="L33" i="24" s="1"/>
  <c r="O100" i="19"/>
  <c r="N45" i="24" s="1"/>
  <c r="M106" i="19"/>
  <c r="L52" i="24" s="1"/>
  <c r="G114" i="19"/>
  <c r="K116" i="19"/>
  <c r="N9" i="19"/>
  <c r="M10" i="23" s="1"/>
  <c r="N28" i="19"/>
  <c r="N48" i="19"/>
  <c r="M81" i="23" s="1"/>
  <c r="H99" i="19"/>
  <c r="G43" i="24" s="1"/>
  <c r="H12" i="19"/>
  <c r="G13" i="23" s="1"/>
  <c r="H16" i="19"/>
  <c r="G204" i="6" s="1"/>
  <c r="H20" i="19"/>
  <c r="H31" i="19"/>
  <c r="G63" i="23" s="1"/>
  <c r="H41" i="19"/>
  <c r="G75" i="23" s="1"/>
  <c r="H47" i="19"/>
  <c r="G80" i="23" s="1"/>
  <c r="H51" i="19"/>
  <c r="G84" i="23" s="1"/>
  <c r="H56" i="19"/>
  <c r="M20" i="19"/>
  <c r="N26" i="19"/>
  <c r="M41" i="19"/>
  <c r="L75" i="23" s="1"/>
  <c r="N46" i="19"/>
  <c r="M79" i="23" s="1"/>
  <c r="M67" i="19"/>
  <c r="L138" i="25" s="1"/>
  <c r="L139" i="25" s="1"/>
  <c r="H76" i="19"/>
  <c r="G12" i="24" s="1"/>
  <c r="J81" i="19"/>
  <c r="I18" i="24" s="1"/>
  <c r="H84" i="19"/>
  <c r="J89" i="19"/>
  <c r="I32" i="24" s="1"/>
  <c r="H92" i="19"/>
  <c r="G35" i="24" s="1"/>
  <c r="J97" i="19"/>
  <c r="I41" i="24" s="1"/>
  <c r="H100" i="19"/>
  <c r="G45" i="24" s="1"/>
  <c r="J105" i="19"/>
  <c r="I51" i="24" s="1"/>
  <c r="O79" i="19"/>
  <c r="O95" i="19"/>
  <c r="H114" i="19"/>
  <c r="N67" i="19"/>
  <c r="M138" i="25" s="1"/>
  <c r="M139" i="25" s="1"/>
  <c r="I76" i="19"/>
  <c r="H12" i="24" s="1"/>
  <c r="I84" i="19"/>
  <c r="I92" i="19"/>
  <c r="H35" i="24" s="1"/>
  <c r="I100" i="19"/>
  <c r="H45" i="24" s="1"/>
  <c r="O74" i="19"/>
  <c r="M80" i="19"/>
  <c r="L17" i="24" s="1"/>
  <c r="O90" i="19"/>
  <c r="N33" i="24" s="1"/>
  <c r="M96" i="19"/>
  <c r="L22" i="24" s="1"/>
  <c r="O106" i="19"/>
  <c r="N52" i="24" s="1"/>
  <c r="I114" i="19"/>
  <c r="G117" i="19"/>
  <c r="M17" i="19"/>
  <c r="L25" i="23" s="1"/>
  <c r="N20" i="19"/>
  <c r="M37" i="19"/>
  <c r="L71" i="23" s="1"/>
  <c r="N41" i="19"/>
  <c r="M75" i="23" s="1"/>
  <c r="I75" i="23"/>
  <c r="J67" i="19"/>
  <c r="I138" i="25" s="1"/>
  <c r="I139" i="25" s="1"/>
  <c r="M14" i="19"/>
  <c r="N17" i="19"/>
  <c r="M25" i="23" s="1"/>
  <c r="M33" i="19"/>
  <c r="M687" i="19" s="1"/>
  <c r="N37" i="19"/>
  <c r="M71" i="23" s="1"/>
  <c r="K47" i="19"/>
  <c r="J80" i="23" s="1"/>
  <c r="M53" i="19"/>
  <c r="L86" i="23" s="1"/>
  <c r="J76" i="19"/>
  <c r="I12" i="24" s="1"/>
  <c r="H79" i="19"/>
  <c r="J84" i="19"/>
  <c r="H87" i="19"/>
  <c r="G30" i="24" s="1"/>
  <c r="J92" i="19"/>
  <c r="I35" i="24" s="1"/>
  <c r="H95" i="19"/>
  <c r="J100" i="19"/>
  <c r="I45" i="24" s="1"/>
  <c r="H103" i="19"/>
  <c r="O85" i="19"/>
  <c r="M91" i="19"/>
  <c r="L34" i="24" s="1"/>
  <c r="O101" i="19"/>
  <c r="M107" i="19"/>
  <c r="J114" i="19"/>
  <c r="H117" i="19"/>
  <c r="K114" i="19"/>
  <c r="I117" i="19"/>
  <c r="O107" i="19"/>
  <c r="I74" i="19"/>
  <c r="N33" i="19"/>
  <c r="N687" i="19" s="1"/>
  <c r="N53" i="19"/>
  <c r="M86" i="23" s="1"/>
  <c r="N11" i="19"/>
  <c r="M12" i="23" s="1"/>
  <c r="H82" i="19"/>
  <c r="G19" i="24" s="1"/>
  <c r="H98" i="19"/>
  <c r="G42" i="24" s="1"/>
  <c r="N27" i="19"/>
  <c r="N47" i="19"/>
  <c r="M80" i="23" s="1"/>
  <c r="I82" i="19"/>
  <c r="H19" i="24" s="1"/>
  <c r="I90" i="19"/>
  <c r="H33" i="24" s="1"/>
  <c r="I98" i="19"/>
  <c r="H42" i="24" s="1"/>
  <c r="I10" i="23"/>
  <c r="K12" i="19"/>
  <c r="J13" i="23" s="1"/>
  <c r="M18" i="19"/>
  <c r="L38" i="23" s="1"/>
  <c r="N21" i="19"/>
  <c r="M36" i="23" s="1"/>
  <c r="K31" i="19"/>
  <c r="J63" i="23" s="1"/>
  <c r="M38" i="19"/>
  <c r="L72" i="23" s="1"/>
  <c r="N44" i="19"/>
  <c r="M77" i="23" s="1"/>
  <c r="J74" i="19"/>
  <c r="H77" i="19"/>
  <c r="G13" i="24" s="1"/>
  <c r="J82" i="19"/>
  <c r="I19" i="24" s="1"/>
  <c r="H85" i="19"/>
  <c r="J90" i="19"/>
  <c r="I33" i="24" s="1"/>
  <c r="H93" i="19"/>
  <c r="G36" i="24" s="1"/>
  <c r="J98" i="19"/>
  <c r="I42" i="24" s="1"/>
  <c r="O81" i="19"/>
  <c r="N18" i="24" s="1"/>
  <c r="M87" i="19"/>
  <c r="L30" i="24" s="1"/>
  <c r="X186" i="25" l="1"/>
  <c r="Z186" i="25"/>
  <c r="Y186" i="25"/>
  <c r="Z236" i="23"/>
  <c r="Y236" i="23"/>
  <c r="N113" i="23"/>
  <c r="L79" i="25"/>
  <c r="L99" i="25"/>
  <c r="AA259" i="6"/>
  <c r="AA139" i="6"/>
  <c r="N52" i="23"/>
  <c r="O637" i="19"/>
  <c r="O638" i="19" s="1"/>
  <c r="J64" i="23"/>
  <c r="K687" i="19"/>
  <c r="K64" i="23"/>
  <c r="K62" i="23" s="1"/>
  <c r="L687" i="19"/>
  <c r="G64" i="23"/>
  <c r="G62" i="23" s="1"/>
  <c r="H687" i="19"/>
  <c r="H64" i="23"/>
  <c r="H62" i="23" s="1"/>
  <c r="I687" i="19"/>
  <c r="I64" i="23"/>
  <c r="I62" i="23" s="1"/>
  <c r="J687" i="19"/>
  <c r="F64" i="23"/>
  <c r="G687" i="19"/>
  <c r="H170" i="23"/>
  <c r="G89" i="6"/>
  <c r="J60" i="19"/>
  <c r="J42" i="19"/>
  <c r="I77" i="23"/>
  <c r="O29" i="24"/>
  <c r="O181" i="6"/>
  <c r="O180" i="6" s="1"/>
  <c r="O182" i="6" s="1"/>
  <c r="O52" i="24"/>
  <c r="O10" i="24"/>
  <c r="O105" i="25"/>
  <c r="O107" i="25" s="1"/>
  <c r="O108" i="25" s="1"/>
  <c r="O110" i="25"/>
  <c r="O112" i="25" s="1"/>
  <c r="O113" i="25" s="1"/>
  <c r="O21" i="24"/>
  <c r="O65" i="24"/>
  <c r="O126" i="25"/>
  <c r="O128" i="25" s="1"/>
  <c r="O40" i="24"/>
  <c r="O39" i="24" s="1"/>
  <c r="O48" i="24" s="1"/>
  <c r="O42" i="19"/>
  <c r="O60" i="19"/>
  <c r="N71" i="6" s="1"/>
  <c r="M89" i="6"/>
  <c r="K29" i="24"/>
  <c r="L46" i="25"/>
  <c r="H89" i="6"/>
  <c r="F89" i="6"/>
  <c r="F179" i="23"/>
  <c r="G70" i="23"/>
  <c r="K89" i="6"/>
  <c r="F95" i="6"/>
  <c r="I70" i="23"/>
  <c r="X26" i="25"/>
  <c r="X19" i="25"/>
  <c r="L27" i="25"/>
  <c r="X27" i="25" s="1"/>
  <c r="G95" i="6"/>
  <c r="X11" i="25"/>
  <c r="Q133" i="6"/>
  <c r="X14" i="25"/>
  <c r="X13" i="25"/>
  <c r="X20" i="25"/>
  <c r="X12" i="25"/>
  <c r="O37" i="23"/>
  <c r="X23" i="25"/>
  <c r="I170" i="23"/>
  <c r="X15" i="25"/>
  <c r="J89" i="6"/>
  <c r="N29" i="24"/>
  <c r="N128" i="23"/>
  <c r="N105" i="25"/>
  <c r="N107" i="25" s="1"/>
  <c r="N108" i="25" s="1"/>
  <c r="N127" i="23"/>
  <c r="N10" i="24"/>
  <c r="J179" i="6"/>
  <c r="K253" i="6"/>
  <c r="J131" i="23"/>
  <c r="F120" i="23"/>
  <c r="F16" i="23"/>
  <c r="G108" i="6"/>
  <c r="I120" i="23"/>
  <c r="I16" i="23"/>
  <c r="H70" i="23"/>
  <c r="H37" i="23"/>
  <c r="K96" i="6"/>
  <c r="I120" i="6"/>
  <c r="I109" i="6" s="1"/>
  <c r="F108" i="6"/>
  <c r="X16" i="25"/>
  <c r="N105" i="23"/>
  <c r="G184" i="6"/>
  <c r="G78" i="23"/>
  <c r="H60" i="19"/>
  <c r="G122" i="6" s="1"/>
  <c r="N95" i="6"/>
  <c r="M96" i="6"/>
  <c r="L141" i="25"/>
  <c r="J105" i="25"/>
  <c r="J128" i="23"/>
  <c r="J10" i="24"/>
  <c r="J127" i="23"/>
  <c r="I29" i="24"/>
  <c r="L120" i="6"/>
  <c r="L109" i="6" s="1"/>
  <c r="F96" i="6"/>
  <c r="O139" i="23"/>
  <c r="I105" i="25"/>
  <c r="I10" i="24"/>
  <c r="I128" i="23"/>
  <c r="I127" i="23"/>
  <c r="M105" i="25"/>
  <c r="M107" i="25" s="1"/>
  <c r="M108" i="25" s="1"/>
  <c r="M127" i="23"/>
  <c r="M10" i="24"/>
  <c r="M128" i="23"/>
  <c r="G252" i="6"/>
  <c r="G183" i="6"/>
  <c r="G16" i="24"/>
  <c r="G129" i="23"/>
  <c r="G40" i="24"/>
  <c r="G39" i="24" s="1"/>
  <c r="G126" i="25"/>
  <c r="H21" i="24"/>
  <c r="H110" i="25"/>
  <c r="G253" i="6"/>
  <c r="F179" i="6"/>
  <c r="F131" i="23"/>
  <c r="F105" i="25"/>
  <c r="F127" i="23"/>
  <c r="F128" i="23"/>
  <c r="J16" i="24"/>
  <c r="J129" i="23"/>
  <c r="H16" i="23"/>
  <c r="H120" i="23"/>
  <c r="I95" i="6"/>
  <c r="X22" i="25"/>
  <c r="O78" i="23"/>
  <c r="O76" i="23" s="1"/>
  <c r="O198" i="23" s="1"/>
  <c r="O143" i="23"/>
  <c r="H203" i="6"/>
  <c r="H35" i="23"/>
  <c r="H34" i="23" s="1"/>
  <c r="G16" i="23"/>
  <c r="G120" i="23"/>
  <c r="F184" i="6"/>
  <c r="G60" i="19"/>
  <c r="F122" i="6" s="1"/>
  <c r="F78" i="23"/>
  <c r="G59" i="23"/>
  <c r="G177" i="23" s="1"/>
  <c r="F178" i="23"/>
  <c r="I21" i="24"/>
  <c r="I110" i="25"/>
  <c r="H29" i="24"/>
  <c r="J95" i="6"/>
  <c r="I96" i="6"/>
  <c r="H108" i="6"/>
  <c r="O64" i="23"/>
  <c r="O62" i="23" s="1"/>
  <c r="K108" i="6"/>
  <c r="J29" i="24"/>
  <c r="G203" i="6"/>
  <c r="G35" i="23"/>
  <c r="G34" i="23" s="1"/>
  <c r="M253" i="6"/>
  <c r="M254" i="6" s="1"/>
  <c r="L179" i="6"/>
  <c r="L131" i="23"/>
  <c r="L182" i="24"/>
  <c r="I59" i="23"/>
  <c r="I177" i="23" s="1"/>
  <c r="G123" i="23"/>
  <c r="G179" i="23"/>
  <c r="I37" i="23"/>
  <c r="J126" i="25"/>
  <c r="J40" i="24"/>
  <c r="N96" i="6"/>
  <c r="N89" i="6"/>
  <c r="M120" i="6"/>
  <c r="M109" i="6" s="1"/>
  <c r="J120" i="6"/>
  <c r="J109" i="6" s="1"/>
  <c r="I89" i="6"/>
  <c r="H120" i="6"/>
  <c r="H109" i="6" s="1"/>
  <c r="O10" i="23"/>
  <c r="O70" i="23"/>
  <c r="G21" i="24"/>
  <c r="G110" i="25"/>
  <c r="N126" i="25"/>
  <c r="N40" i="24"/>
  <c r="N39" i="24" s="1"/>
  <c r="N48" i="24" s="1"/>
  <c r="H127" i="23"/>
  <c r="H105" i="25"/>
  <c r="H128" i="23"/>
  <c r="H10" i="24"/>
  <c r="H59" i="23"/>
  <c r="H177" i="23" s="1"/>
  <c r="J96" i="6"/>
  <c r="L105" i="25"/>
  <c r="L107" i="25" s="1"/>
  <c r="L108" i="25" s="1"/>
  <c r="L127" i="23"/>
  <c r="L128" i="23"/>
  <c r="L10" i="24"/>
  <c r="G96" i="6"/>
  <c r="I179" i="23"/>
  <c r="I123" i="23"/>
  <c r="I16" i="24"/>
  <c r="I129" i="23"/>
  <c r="I60" i="19"/>
  <c r="H184" i="6"/>
  <c r="H78" i="23"/>
  <c r="M22" i="24"/>
  <c r="M26" i="24" s="1"/>
  <c r="L24" i="24"/>
  <c r="N108" i="6"/>
  <c r="K120" i="6"/>
  <c r="K109" i="6" s="1"/>
  <c r="G120" i="6"/>
  <c r="G109" i="6" s="1"/>
  <c r="X21" i="25"/>
  <c r="O47" i="23"/>
  <c r="O142" i="23" s="1"/>
  <c r="P627" i="19"/>
  <c r="O204" i="6"/>
  <c r="O29" i="23"/>
  <c r="O15" i="23" s="1"/>
  <c r="F203" i="6"/>
  <c r="F35" i="23"/>
  <c r="H16" i="24"/>
  <c r="H129" i="23"/>
  <c r="N166" i="23"/>
  <c r="N122" i="23"/>
  <c r="N168" i="23"/>
  <c r="M108" i="6"/>
  <c r="M29" i="24"/>
  <c r="H183" i="6"/>
  <c r="H252" i="6"/>
  <c r="I35" i="23"/>
  <c r="I34" i="23" s="1"/>
  <c r="I203" i="6"/>
  <c r="L110" i="25"/>
  <c r="L112" i="25" s="1"/>
  <c r="L113" i="25" s="1"/>
  <c r="L21" i="24"/>
  <c r="L62" i="24" s="1"/>
  <c r="M725" i="19"/>
  <c r="K126" i="25"/>
  <c r="K40" i="24"/>
  <c r="I71" i="6"/>
  <c r="I184" i="6"/>
  <c r="I78" i="23"/>
  <c r="M126" i="25"/>
  <c r="M40" i="24"/>
  <c r="M39" i="24" s="1"/>
  <c r="M48" i="24" s="1"/>
  <c r="L89" i="6"/>
  <c r="F120" i="6"/>
  <c r="O35" i="23"/>
  <c r="O34" i="23" s="1"/>
  <c r="O203" i="6"/>
  <c r="F252" i="6"/>
  <c r="F183" i="6"/>
  <c r="N253" i="6"/>
  <c r="N254" i="6" s="1"/>
  <c r="M182" i="24"/>
  <c r="M131" i="23"/>
  <c r="M179" i="6"/>
  <c r="H253" i="6"/>
  <c r="G179" i="6"/>
  <c r="G131" i="23"/>
  <c r="I126" i="25"/>
  <c r="I40" i="24"/>
  <c r="G37" i="23"/>
  <c r="H126" i="25"/>
  <c r="H40" i="24"/>
  <c r="L29" i="24"/>
  <c r="I104" i="23"/>
  <c r="N104" i="23"/>
  <c r="L126" i="25"/>
  <c r="L40" i="24"/>
  <c r="L39" i="24" s="1"/>
  <c r="L48" i="24" s="1"/>
  <c r="I108" i="6"/>
  <c r="F170" i="23"/>
  <c r="O170" i="23"/>
  <c r="K105" i="25"/>
  <c r="K128" i="23"/>
  <c r="K10" i="24"/>
  <c r="K127" i="23"/>
  <c r="I253" i="6"/>
  <c r="H131" i="23"/>
  <c r="H179" i="6"/>
  <c r="P653" i="19"/>
  <c r="O59" i="23"/>
  <c r="O177" i="23" s="1"/>
  <c r="M16" i="24"/>
  <c r="M129" i="23"/>
  <c r="J21" i="24"/>
  <c r="J110" i="25"/>
  <c r="L95" i="6"/>
  <c r="O253" i="6"/>
  <c r="O254" i="6" s="1"/>
  <c r="N179" i="6"/>
  <c r="N182" i="24"/>
  <c r="N131" i="23"/>
  <c r="N110" i="25"/>
  <c r="N112" i="25" s="1"/>
  <c r="N113" i="25" s="1"/>
  <c r="N21" i="24"/>
  <c r="N62" i="24" s="1"/>
  <c r="L16" i="24"/>
  <c r="L129" i="23"/>
  <c r="J253" i="6"/>
  <c r="I179" i="6"/>
  <c r="I131" i="23"/>
  <c r="I105" i="23"/>
  <c r="N120" i="6"/>
  <c r="N109" i="6" s="1"/>
  <c r="M95" i="6"/>
  <c r="J108" i="6"/>
  <c r="H96" i="6"/>
  <c r="G105" i="25"/>
  <c r="G128" i="23"/>
  <c r="G127" i="23"/>
  <c r="G10" i="24"/>
  <c r="L96" i="6"/>
  <c r="K129" i="23"/>
  <c r="K16" i="24"/>
  <c r="K110" i="25"/>
  <c r="K21" i="24"/>
  <c r="N16" i="24"/>
  <c r="N129" i="23"/>
  <c r="K179" i="6"/>
  <c r="L253" i="6"/>
  <c r="L254" i="6" s="1"/>
  <c r="K131" i="23"/>
  <c r="H179" i="23"/>
  <c r="H123" i="23"/>
  <c r="L108" i="6"/>
  <c r="K95" i="6"/>
  <c r="H95" i="6"/>
  <c r="O50" i="23"/>
  <c r="P638" i="19"/>
  <c r="N167" i="23"/>
  <c r="M105" i="23"/>
  <c r="M70" i="23"/>
  <c r="L37" i="23"/>
  <c r="L70" i="23"/>
  <c r="N37" i="23"/>
  <c r="J170" i="23"/>
  <c r="J37" i="23"/>
  <c r="J179" i="23"/>
  <c r="J123" i="23"/>
  <c r="M59" i="23"/>
  <c r="N653" i="19"/>
  <c r="O627" i="19"/>
  <c r="N47" i="23"/>
  <c r="N9" i="23"/>
  <c r="N141" i="23"/>
  <c r="M60" i="19"/>
  <c r="L78" i="23"/>
  <c r="L76" i="23" s="1"/>
  <c r="L198" i="23" s="1"/>
  <c r="L184" i="6"/>
  <c r="J70" i="23"/>
  <c r="N204" i="6"/>
  <c r="N29" i="23"/>
  <c r="L16" i="23"/>
  <c r="L120" i="23"/>
  <c r="L293" i="24" s="1"/>
  <c r="L204" i="6"/>
  <c r="L29" i="23"/>
  <c r="M37" i="23"/>
  <c r="N481" i="19"/>
  <c r="N107" i="23"/>
  <c r="N291" i="24" s="1"/>
  <c r="L105" i="23"/>
  <c r="N70" i="23"/>
  <c r="L60" i="19"/>
  <c r="K78" i="23"/>
  <c r="K76" i="23" s="1"/>
  <c r="K198" i="23" s="1"/>
  <c r="K184" i="6"/>
  <c r="O184" i="6"/>
  <c r="N184" i="6"/>
  <c r="N78" i="23"/>
  <c r="N76" i="23" s="1"/>
  <c r="N198" i="23" s="1"/>
  <c r="M64" i="23"/>
  <c r="M62" i="23" s="1"/>
  <c r="N652" i="19"/>
  <c r="M54" i="23"/>
  <c r="K37" i="23"/>
  <c r="M35" i="23"/>
  <c r="M34" i="23" s="1"/>
  <c r="M203" i="6"/>
  <c r="O652" i="19"/>
  <c r="N54" i="23"/>
  <c r="M104" i="23"/>
  <c r="M627" i="19"/>
  <c r="L47" i="23"/>
  <c r="K60" i="19"/>
  <c r="J78" i="23"/>
  <c r="J184" i="6"/>
  <c r="L107" i="23"/>
  <c r="K104" i="23"/>
  <c r="J104" i="23"/>
  <c r="N35" i="23"/>
  <c r="N34" i="23" s="1"/>
  <c r="N203" i="6"/>
  <c r="K203" i="6"/>
  <c r="K35" i="23"/>
  <c r="K34" i="23" s="1"/>
  <c r="L59" i="23"/>
  <c r="L177" i="23" s="1"/>
  <c r="M653" i="19"/>
  <c r="K204" i="6"/>
  <c r="K29" i="23"/>
  <c r="L64" i="23"/>
  <c r="L62" i="23" s="1"/>
  <c r="L35" i="23"/>
  <c r="L34" i="23" s="1"/>
  <c r="L203" i="6"/>
  <c r="M652" i="19"/>
  <c r="L54" i="23"/>
  <c r="J203" i="6"/>
  <c r="J35" i="23"/>
  <c r="J34" i="23" s="1"/>
  <c r="M16" i="23"/>
  <c r="M120" i="23"/>
  <c r="M293" i="24" s="1"/>
  <c r="K105" i="23"/>
  <c r="J105" i="23"/>
  <c r="M204" i="6"/>
  <c r="M29" i="23"/>
  <c r="N60" i="19"/>
  <c r="M184" i="6"/>
  <c r="M78" i="23"/>
  <c r="N59" i="23"/>
  <c r="N177" i="23" s="1"/>
  <c r="O653" i="19"/>
  <c r="M638" i="19"/>
  <c r="L50" i="23"/>
  <c r="N64" i="23"/>
  <c r="N62" i="23" s="1"/>
  <c r="N627" i="19"/>
  <c r="M47" i="23"/>
  <c r="J62" i="23"/>
  <c r="N16" i="23"/>
  <c r="N120" i="23"/>
  <c r="N293" i="24" s="1"/>
  <c r="K59" i="23"/>
  <c r="K177" i="23" s="1"/>
  <c r="N50" i="23"/>
  <c r="K170" i="23"/>
  <c r="J16" i="23"/>
  <c r="J120" i="23"/>
  <c r="N638" i="19"/>
  <c r="M50" i="23"/>
  <c r="J59" i="23"/>
  <c r="J177" i="23" s="1"/>
  <c r="L104" i="23"/>
  <c r="K16" i="23"/>
  <c r="K120" i="23"/>
  <c r="M481" i="19"/>
  <c r="M107" i="23"/>
  <c r="M291" i="24" s="1"/>
  <c r="M141" i="23"/>
  <c r="K123" i="23"/>
  <c r="K179" i="23"/>
  <c r="L141" i="23"/>
  <c r="L9" i="23"/>
  <c r="K70" i="23"/>
  <c r="O139" i="6"/>
  <c r="O200" i="6"/>
  <c r="AA25" i="25"/>
  <c r="M65" i="24"/>
  <c r="G24" i="19"/>
  <c r="L65" i="24"/>
  <c r="M66" i="24"/>
  <c r="N65" i="24"/>
  <c r="L66" i="24"/>
  <c r="O481" i="19"/>
  <c r="N66" i="24"/>
  <c r="M724" i="19"/>
  <c r="AK102" i="6"/>
  <c r="AL102" i="6"/>
  <c r="AH113" i="6"/>
  <c r="AE87" i="6"/>
  <c r="AE118" i="6"/>
  <c r="AK107" i="6"/>
  <c r="AL107" i="6"/>
  <c r="AK85" i="6"/>
  <c r="AL85" i="6"/>
  <c r="AK115" i="6"/>
  <c r="AL115" i="6"/>
  <c r="AJ113" i="6"/>
  <c r="AJ99" i="6"/>
  <c r="AJ92" i="6"/>
  <c r="AI119" i="6"/>
  <c r="AI87" i="6"/>
  <c r="AH116" i="6"/>
  <c r="AF86" i="6"/>
  <c r="AF111" i="6"/>
  <c r="AE90" i="6"/>
  <c r="AD98" i="6"/>
  <c r="J24" i="19"/>
  <c r="AK105" i="6"/>
  <c r="AL105" i="6"/>
  <c r="AK111" i="6"/>
  <c r="AL111" i="6"/>
  <c r="AJ93" i="6"/>
  <c r="AI113" i="6"/>
  <c r="AI102" i="6"/>
  <c r="AH90" i="6"/>
  <c r="AH84" i="6"/>
  <c r="AH83" i="6"/>
  <c r="AH100" i="6"/>
  <c r="AG103" i="6"/>
  <c r="AG82" i="6"/>
  <c r="AF100" i="6"/>
  <c r="AF91" i="6"/>
  <c r="AE85" i="6"/>
  <c r="AE100" i="6"/>
  <c r="AE105" i="6"/>
  <c r="AE119" i="6"/>
  <c r="AD111" i="6"/>
  <c r="AD115" i="6"/>
  <c r="AD102" i="6"/>
  <c r="AK112" i="6"/>
  <c r="AL112" i="6"/>
  <c r="AH103" i="6"/>
  <c r="H24" i="19"/>
  <c r="AI86" i="6"/>
  <c r="AG111" i="6"/>
  <c r="AI93" i="6"/>
  <c r="AD112" i="6"/>
  <c r="AI106" i="6"/>
  <c r="AF107" i="6"/>
  <c r="AH111" i="6"/>
  <c r="L181" i="6"/>
  <c r="L180" i="6" s="1"/>
  <c r="AK113" i="6"/>
  <c r="AL113" i="6"/>
  <c r="AK110" i="6"/>
  <c r="AL110" i="6"/>
  <c r="AJ82" i="6"/>
  <c r="AJ107" i="6"/>
  <c r="AI82" i="6"/>
  <c r="AI105" i="6"/>
  <c r="AI85" i="6"/>
  <c r="AH81" i="6"/>
  <c r="AH112" i="6"/>
  <c r="AH98" i="6"/>
  <c r="AG93" i="6"/>
  <c r="AF92" i="6"/>
  <c r="AF104" i="6"/>
  <c r="AF106" i="6"/>
  <c r="AE116" i="6"/>
  <c r="AD117" i="6"/>
  <c r="AD93" i="6"/>
  <c r="AD81" i="6"/>
  <c r="AL8" i="6"/>
  <c r="AL78" i="6" s="1"/>
  <c r="AA78" i="6"/>
  <c r="AJ85" i="6"/>
  <c r="AG119" i="6"/>
  <c r="AG115" i="6"/>
  <c r="AI110" i="6"/>
  <c r="AF84" i="6"/>
  <c r="AD110" i="6"/>
  <c r="AJ94" i="6"/>
  <c r="AH117" i="6"/>
  <c r="AJ118" i="6"/>
  <c r="AH99" i="6"/>
  <c r="AF119" i="6"/>
  <c r="AI107" i="6"/>
  <c r="AH82" i="6"/>
  <c r="AD90" i="6"/>
  <c r="AJ98" i="6"/>
  <c r="AI112" i="6"/>
  <c r="AE104" i="6"/>
  <c r="AD103" i="6"/>
  <c r="L24" i="19"/>
  <c r="AL119" i="6"/>
  <c r="AK119" i="6"/>
  <c r="AK117" i="6"/>
  <c r="AL117" i="6"/>
  <c r="AJ117" i="6"/>
  <c r="AJ111" i="6"/>
  <c r="AI111" i="6"/>
  <c r="AI117" i="6"/>
  <c r="AI103" i="6"/>
  <c r="AH119" i="6"/>
  <c r="AH91" i="6"/>
  <c r="AH92" i="6"/>
  <c r="AH104" i="6"/>
  <c r="AG90" i="6"/>
  <c r="AG106" i="6"/>
  <c r="AF102" i="6"/>
  <c r="AF113" i="6"/>
  <c r="AF98" i="6"/>
  <c r="AE94" i="6"/>
  <c r="AD86" i="6"/>
  <c r="AD87" i="6"/>
  <c r="AG98" i="6"/>
  <c r="AF105" i="6"/>
  <c r="AE83" i="6"/>
  <c r="K24" i="19"/>
  <c r="AJ115" i="6"/>
  <c r="AF112" i="6"/>
  <c r="AD116" i="6"/>
  <c r="M24" i="19"/>
  <c r="AE93" i="6"/>
  <c r="I24" i="19"/>
  <c r="AF99" i="6"/>
  <c r="AK82" i="6"/>
  <c r="AL82" i="6"/>
  <c r="AF93" i="6"/>
  <c r="AE92" i="6"/>
  <c r="AL93" i="6"/>
  <c r="AK93" i="6"/>
  <c r="AJ90" i="6"/>
  <c r="AJ106" i="6"/>
  <c r="AJ86" i="6"/>
  <c r="AJ102" i="6"/>
  <c r="AI83" i="6"/>
  <c r="AI81" i="6"/>
  <c r="AI115" i="6"/>
  <c r="AG94" i="6"/>
  <c r="AG117" i="6"/>
  <c r="AG113" i="6"/>
  <c r="AF81" i="6"/>
  <c r="AD85" i="6"/>
  <c r="AD104" i="6"/>
  <c r="AD105" i="6"/>
  <c r="AJ119" i="6"/>
  <c r="AH110" i="6"/>
  <c r="AJ105" i="6"/>
  <c r="AH94" i="6"/>
  <c r="AJ103" i="6"/>
  <c r="AH105" i="6"/>
  <c r="AK83" i="6"/>
  <c r="AL83" i="6"/>
  <c r="AI99" i="6"/>
  <c r="AG116" i="6"/>
  <c r="AG81" i="6"/>
  <c r="AD106" i="6"/>
  <c r="AJ116" i="6"/>
  <c r="AE112" i="6"/>
  <c r="AK104" i="6"/>
  <c r="AL104" i="6"/>
  <c r="AK87" i="6"/>
  <c r="AL87" i="6"/>
  <c r="AL84" i="6"/>
  <c r="AK84" i="6"/>
  <c r="AJ87" i="6"/>
  <c r="AI118" i="6"/>
  <c r="AH107" i="6"/>
  <c r="AG105" i="6"/>
  <c r="AG85" i="6"/>
  <c r="AG91" i="6"/>
  <c r="AF87" i="6"/>
  <c r="AF90" i="6"/>
  <c r="AF118" i="6"/>
  <c r="AE84" i="6"/>
  <c r="AE103" i="6"/>
  <c r="AE82" i="6"/>
  <c r="AE81" i="6"/>
  <c r="AD94" i="6"/>
  <c r="AD107" i="6"/>
  <c r="AD113" i="6"/>
  <c r="AD119" i="6"/>
  <c r="AG107" i="6"/>
  <c r="AE98" i="6"/>
  <c r="AJ81" i="6"/>
  <c r="AE110" i="6"/>
  <c r="AF82" i="6"/>
  <c r="AG102" i="6"/>
  <c r="AE86" i="6"/>
  <c r="AF110" i="6"/>
  <c r="AD118" i="6"/>
  <c r="N181" i="6"/>
  <c r="N180" i="6" s="1"/>
  <c r="O24" i="19"/>
  <c r="AK99" i="6"/>
  <c r="AL99" i="6"/>
  <c r="AK92" i="6"/>
  <c r="AL92" i="6"/>
  <c r="AJ100" i="6"/>
  <c r="AI104" i="6"/>
  <c r="AH102" i="6"/>
  <c r="AH86" i="6"/>
  <c r="AG87" i="6"/>
  <c r="AG104" i="6"/>
  <c r="AF117" i="6"/>
  <c r="AE115" i="6"/>
  <c r="AE91" i="6"/>
  <c r="AD99" i="6"/>
  <c r="AD83" i="6"/>
  <c r="AD84" i="6"/>
  <c r="O121" i="6"/>
  <c r="O123" i="6" s="1"/>
  <c r="AA79" i="6"/>
  <c r="AA121" i="6" s="1"/>
  <c r="AL103" i="6"/>
  <c r="AK103" i="6"/>
  <c r="AI91" i="6"/>
  <c r="AK94" i="6"/>
  <c r="AL94" i="6"/>
  <c r="AG118" i="6"/>
  <c r="AK91" i="6"/>
  <c r="AL91" i="6"/>
  <c r="AI92" i="6"/>
  <c r="AG83" i="6"/>
  <c r="N24" i="19"/>
  <c r="AJ110" i="6"/>
  <c r="AL98" i="6"/>
  <c r="AK98" i="6"/>
  <c r="AI90" i="6"/>
  <c r="AG100" i="6"/>
  <c r="AE106" i="6"/>
  <c r="AJ112" i="6"/>
  <c r="AG112" i="6"/>
  <c r="AL116" i="6"/>
  <c r="AK116" i="6"/>
  <c r="AK106" i="6"/>
  <c r="AL106" i="6"/>
  <c r="AJ91" i="6"/>
  <c r="AI116" i="6"/>
  <c r="AH118" i="6"/>
  <c r="AH85" i="6"/>
  <c r="AH93" i="6"/>
  <c r="AG92" i="6"/>
  <c r="AG84" i="6"/>
  <c r="AF116" i="6"/>
  <c r="AE117" i="6"/>
  <c r="AE99" i="6"/>
  <c r="AD100" i="6"/>
  <c r="AK118" i="6"/>
  <c r="AL118" i="6"/>
  <c r="AI100" i="6"/>
  <c r="AF115" i="6"/>
  <c r="AK86" i="6"/>
  <c r="AL86" i="6"/>
  <c r="AJ83" i="6"/>
  <c r="AH87" i="6"/>
  <c r="AG99" i="6"/>
  <c r="AJ104" i="6"/>
  <c r="AH115" i="6"/>
  <c r="AF85" i="6"/>
  <c r="AE113" i="6"/>
  <c r="AG86" i="6"/>
  <c r="AI94" i="6"/>
  <c r="AF83" i="6"/>
  <c r="AK90" i="6"/>
  <c r="AL90" i="6"/>
  <c r="AK81" i="6"/>
  <c r="AL81" i="6"/>
  <c r="AK100" i="6"/>
  <c r="AL100" i="6"/>
  <c r="AJ84" i="6"/>
  <c r="AI84" i="6"/>
  <c r="AI98" i="6"/>
  <c r="AH106" i="6"/>
  <c r="AG110" i="6"/>
  <c r="AF103" i="6"/>
  <c r="AF94" i="6"/>
  <c r="AE102" i="6"/>
  <c r="AE111" i="6"/>
  <c r="AE107" i="6"/>
  <c r="AD82" i="6"/>
  <c r="AD91" i="6"/>
  <c r="AD92" i="6"/>
  <c r="AL70" i="6"/>
  <c r="O78" i="6"/>
  <c r="O178" i="6"/>
  <c r="O251" i="6"/>
  <c r="AA70" i="6"/>
  <c r="Z33" i="6"/>
  <c r="G42" i="19"/>
  <c r="L42" i="19"/>
  <c r="K42" i="19"/>
  <c r="I42" i="19"/>
  <c r="H42" i="19"/>
  <c r="M42" i="19"/>
  <c r="N42" i="19"/>
  <c r="J61" i="19" l="1"/>
  <c r="O185" i="6"/>
  <c r="O188" i="6" s="1"/>
  <c r="O64" i="24"/>
  <c r="O63" i="24" s="1"/>
  <c r="O37" i="24"/>
  <c r="O62" i="24"/>
  <c r="O26" i="24"/>
  <c r="O61" i="24"/>
  <c r="O20" i="24"/>
  <c r="O288" i="24"/>
  <c r="O173" i="24"/>
  <c r="O175" i="24" s="1"/>
  <c r="AJ89" i="6"/>
  <c r="AG89" i="6"/>
  <c r="AJ96" i="6"/>
  <c r="H178" i="23"/>
  <c r="X17" i="25"/>
  <c r="I122" i="6"/>
  <c r="X24" i="25"/>
  <c r="K20" i="24"/>
  <c r="N26" i="24"/>
  <c r="H20" i="24"/>
  <c r="M24" i="25"/>
  <c r="F71" i="6"/>
  <c r="G114" i="23"/>
  <c r="I103" i="23"/>
  <c r="O179" i="23"/>
  <c r="O90" i="23"/>
  <c r="O199" i="23" s="1"/>
  <c r="O202" i="23" s="1"/>
  <c r="N20" i="24"/>
  <c r="L26" i="24"/>
  <c r="I114" i="23"/>
  <c r="H71" i="6"/>
  <c r="G178" i="23"/>
  <c r="L20" i="24"/>
  <c r="O9" i="23"/>
  <c r="O141" i="23"/>
  <c r="J20" i="24"/>
  <c r="O119" i="23"/>
  <c r="O294" i="24" s="1"/>
  <c r="O185" i="24" s="1"/>
  <c r="O132" i="6"/>
  <c r="M20" i="24"/>
  <c r="O178" i="23"/>
  <c r="I178" i="23"/>
  <c r="H114" i="23"/>
  <c r="G71" i="6"/>
  <c r="N169" i="23"/>
  <c r="N170" i="23" s="1"/>
  <c r="H122" i="6"/>
  <c r="F119" i="23"/>
  <c r="F294" i="24" s="1"/>
  <c r="F132" i="6"/>
  <c r="F134" i="6" s="1"/>
  <c r="O71" i="6"/>
  <c r="O122" i="6"/>
  <c r="I20" i="24"/>
  <c r="I119" i="23"/>
  <c r="I294" i="24" s="1"/>
  <c r="I132" i="6"/>
  <c r="I134" i="6" s="1"/>
  <c r="H119" i="23"/>
  <c r="H294" i="24" s="1"/>
  <c r="I99" i="23"/>
  <c r="H132" i="6"/>
  <c r="H134" i="6" s="1"/>
  <c r="L15" i="23"/>
  <c r="L42" i="23" s="1"/>
  <c r="X35" i="23" s="1"/>
  <c r="G99" i="23"/>
  <c r="H99" i="23"/>
  <c r="G132" i="6"/>
  <c r="G134" i="6" s="1"/>
  <c r="G119" i="23"/>
  <c r="G294" i="24" s="1"/>
  <c r="L146" i="23"/>
  <c r="K90" i="23"/>
  <c r="K199" i="23" s="1"/>
  <c r="K178" i="23"/>
  <c r="M110" i="23"/>
  <c r="L103" i="23"/>
  <c r="K15" i="23"/>
  <c r="K139" i="23"/>
  <c r="M71" i="6"/>
  <c r="N114" i="23"/>
  <c r="N290" i="24" s="1"/>
  <c r="N132" i="6"/>
  <c r="N134" i="6" s="1"/>
  <c r="N119" i="23"/>
  <c r="N294" i="24" s="1"/>
  <c r="N185" i="24" s="1"/>
  <c r="L170" i="23"/>
  <c r="M15" i="23"/>
  <c r="J71" i="6"/>
  <c r="J114" i="23"/>
  <c r="K114" i="23"/>
  <c r="M103" i="23"/>
  <c r="L142" i="23"/>
  <c r="L139" i="23"/>
  <c r="N142" i="23"/>
  <c r="N139" i="23"/>
  <c r="N15" i="23"/>
  <c r="N42" i="23" s="1"/>
  <c r="L179" i="23"/>
  <c r="L123" i="23"/>
  <c r="M109" i="23"/>
  <c r="L90" i="23"/>
  <c r="L199" i="23" s="1"/>
  <c r="M119" i="23"/>
  <c r="M294" i="24" s="1"/>
  <c r="M185" i="24" s="1"/>
  <c r="N99" i="23"/>
  <c r="N289" i="24" s="1"/>
  <c r="M132" i="6"/>
  <c r="M134" i="6" s="1"/>
  <c r="J178" i="23"/>
  <c r="K119" i="23"/>
  <c r="K294" i="24" s="1"/>
  <c r="L99" i="23"/>
  <c r="L289" i="24" s="1"/>
  <c r="K132" i="6"/>
  <c r="K134" i="6" s="1"/>
  <c r="L145" i="23"/>
  <c r="N110" i="23"/>
  <c r="M179" i="23"/>
  <c r="N109" i="23"/>
  <c r="M123" i="23"/>
  <c r="N178" i="23"/>
  <c r="N112" i="23"/>
  <c r="M112" i="23"/>
  <c r="N103" i="23"/>
  <c r="M142" i="23"/>
  <c r="M139" i="23"/>
  <c r="K71" i="6"/>
  <c r="L114" i="23"/>
  <c r="L290" i="24" s="1"/>
  <c r="L71" i="6"/>
  <c r="M114" i="23"/>
  <c r="M290" i="24" s="1"/>
  <c r="K103" i="23"/>
  <c r="J103" i="23"/>
  <c r="M76" i="23"/>
  <c r="M178" i="23"/>
  <c r="N111" i="23"/>
  <c r="M170" i="23"/>
  <c r="N146" i="23"/>
  <c r="N145" i="23"/>
  <c r="J119" i="23"/>
  <c r="J294" i="24" s="1"/>
  <c r="J132" i="6"/>
  <c r="J134" i="6" s="1"/>
  <c r="K99" i="23"/>
  <c r="J99" i="23"/>
  <c r="M177" i="23"/>
  <c r="L119" i="23"/>
  <c r="L294" i="24" s="1"/>
  <c r="L185" i="24" s="1"/>
  <c r="M99" i="23"/>
  <c r="M289" i="24" s="1"/>
  <c r="M276" i="24" s="1"/>
  <c r="L132" i="6"/>
  <c r="L134" i="6" s="1"/>
  <c r="M111" i="23"/>
  <c r="L143" i="23"/>
  <c r="L178" i="23"/>
  <c r="N123" i="23"/>
  <c r="N179" i="23"/>
  <c r="N90" i="23"/>
  <c r="N199" i="23" s="1"/>
  <c r="N202" i="23" s="1"/>
  <c r="M747" i="19"/>
  <c r="L86" i="24"/>
  <c r="M702" i="19"/>
  <c r="L182" i="6"/>
  <c r="L185" i="6" s="1"/>
  <c r="L188" i="6" s="1"/>
  <c r="L288" i="24"/>
  <c r="L61" i="24"/>
  <c r="L60" i="24" s="1"/>
  <c r="L37" i="24"/>
  <c r="L64" i="24"/>
  <c r="L122" i="6"/>
  <c r="M122" i="6"/>
  <c r="M37" i="24"/>
  <c r="M64" i="24"/>
  <c r="M63" i="24" s="1"/>
  <c r="N288" i="24"/>
  <c r="N61" i="24"/>
  <c r="N60" i="24" s="1"/>
  <c r="N173" i="24"/>
  <c r="N37" i="24"/>
  <c r="N64" i="24"/>
  <c r="N63" i="24" s="1"/>
  <c r="O289" i="24"/>
  <c r="O276" i="24" s="1"/>
  <c r="K122" i="6"/>
  <c r="N182" i="6"/>
  <c r="N185" i="6" s="1"/>
  <c r="N188" i="6" s="1"/>
  <c r="N122" i="6"/>
  <c r="O290" i="24"/>
  <c r="M288" i="24"/>
  <c r="M61" i="24"/>
  <c r="M60" i="24" s="1"/>
  <c r="M173" i="24"/>
  <c r="AH120" i="6"/>
  <c r="AH89" i="6"/>
  <c r="AE96" i="6"/>
  <c r="H97" i="6"/>
  <c r="AE108" i="6"/>
  <c r="AK120" i="6"/>
  <c r="AL120" i="6"/>
  <c r="AI120" i="6"/>
  <c r="M97" i="6"/>
  <c r="AJ108" i="6"/>
  <c r="AK89" i="6"/>
  <c r="AL89" i="6"/>
  <c r="AF96" i="6"/>
  <c r="AF120" i="6"/>
  <c r="AF95" i="6"/>
  <c r="AK95" i="6"/>
  <c r="AL95" i="6"/>
  <c r="AE120" i="6"/>
  <c r="AE95" i="6"/>
  <c r="F97" i="6"/>
  <c r="G97" i="6"/>
  <c r="AD108" i="6"/>
  <c r="F109" i="6"/>
  <c r="AE89" i="6"/>
  <c r="J97" i="6"/>
  <c r="AG108" i="6"/>
  <c r="AH96" i="6"/>
  <c r="AG120" i="6"/>
  <c r="AH95" i="6"/>
  <c r="AI96" i="6"/>
  <c r="AL96" i="6"/>
  <c r="AK96" i="6"/>
  <c r="AF89" i="6"/>
  <c r="AD96" i="6"/>
  <c r="I97" i="6"/>
  <c r="AF108" i="6"/>
  <c r="AI95" i="6"/>
  <c r="M80" i="6"/>
  <c r="AJ95" i="6"/>
  <c r="N97" i="6"/>
  <c r="AK108" i="6"/>
  <c r="AL108" i="6"/>
  <c r="AG95" i="6"/>
  <c r="L97" i="6"/>
  <c r="AI108" i="6"/>
  <c r="AD89" i="6"/>
  <c r="AD120" i="6"/>
  <c r="AD95" i="6"/>
  <c r="AG96" i="6"/>
  <c r="AI89" i="6"/>
  <c r="K97" i="6"/>
  <c r="AH108" i="6"/>
  <c r="AJ120" i="6"/>
  <c r="F80" i="6"/>
  <c r="K80" i="6"/>
  <c r="J80" i="6"/>
  <c r="G80" i="6"/>
  <c r="L80" i="6"/>
  <c r="N80" i="6"/>
  <c r="H80" i="6"/>
  <c r="I80" i="6"/>
  <c r="K61" i="19"/>
  <c r="J122" i="6"/>
  <c r="I61" i="19"/>
  <c r="O61" i="19"/>
  <c r="O62" i="19" s="1"/>
  <c r="M61" i="19"/>
  <c r="M62" i="19" s="1"/>
  <c r="H61" i="19"/>
  <c r="N61" i="19"/>
  <c r="N62" i="19" s="1"/>
  <c r="L61" i="19"/>
  <c r="F59" i="24"/>
  <c r="B344" i="30"/>
  <c r="J361" i="19"/>
  <c r="J366" i="19"/>
  <c r="J382" i="19"/>
  <c r="J408" i="19"/>
  <c r="J417" i="19"/>
  <c r="J423" i="19"/>
  <c r="J430" i="19"/>
  <c r="J442" i="19"/>
  <c r="J448" i="19"/>
  <c r="E470" i="30"/>
  <c r="E369" i="30"/>
  <c r="E365" i="30"/>
  <c r="E344" i="30"/>
  <c r="F470" i="30"/>
  <c r="F369" i="30"/>
  <c r="F344" i="30"/>
  <c r="F365" i="30"/>
  <c r="N203" i="23" l="1"/>
  <c r="L203" i="23"/>
  <c r="M90" i="23"/>
  <c r="Y83" i="23" s="1"/>
  <c r="M198" i="23"/>
  <c r="K203" i="23"/>
  <c r="O203" i="23"/>
  <c r="M78" i="25"/>
  <c r="M98" i="25"/>
  <c r="O60" i="24"/>
  <c r="O67" i="24" s="1"/>
  <c r="O70" i="24" s="1"/>
  <c r="O27" i="24"/>
  <c r="O49" i="24" s="1"/>
  <c r="O53" i="24" s="1"/>
  <c r="O180" i="24" s="1"/>
  <c r="O298" i="24"/>
  <c r="L276" i="24"/>
  <c r="W89" i="23"/>
  <c r="W69" i="23"/>
  <c r="X25" i="25"/>
  <c r="Z70" i="23"/>
  <c r="Z69" i="23"/>
  <c r="AA76" i="23"/>
  <c r="AA69" i="23"/>
  <c r="X62" i="23"/>
  <c r="X69" i="23"/>
  <c r="O181" i="23"/>
  <c r="O187" i="23" s="1"/>
  <c r="O146" i="23"/>
  <c r="O42" i="23"/>
  <c r="AA9" i="23" s="1"/>
  <c r="O145" i="23"/>
  <c r="L25" i="24"/>
  <c r="M17" i="25"/>
  <c r="M91" i="25" s="1"/>
  <c r="M121" i="23"/>
  <c r="M143" i="23" s="1"/>
  <c r="M100" i="23"/>
  <c r="M45" i="25"/>
  <c r="AA89" i="23"/>
  <c r="AA71" i="23"/>
  <c r="AA84" i="23"/>
  <c r="AA47" i="23"/>
  <c r="AA53" i="23"/>
  <c r="AA80" i="23"/>
  <c r="AA52" i="23"/>
  <c r="AA55" i="23"/>
  <c r="AA50" i="23"/>
  <c r="AA78" i="23"/>
  <c r="AA65" i="23"/>
  <c r="AA77" i="23"/>
  <c r="AA67" i="23"/>
  <c r="AA68" i="23"/>
  <c r="AA86" i="23"/>
  <c r="AA72" i="23"/>
  <c r="AA79" i="23"/>
  <c r="AA63" i="23"/>
  <c r="O209" i="23"/>
  <c r="AA81" i="23"/>
  <c r="AA57" i="23"/>
  <c r="AA64" i="23"/>
  <c r="AA59" i="23"/>
  <c r="AA70" i="23"/>
  <c r="AA83" i="23"/>
  <c r="AA51" i="23"/>
  <c r="AA75" i="23"/>
  <c r="AA85" i="23"/>
  <c r="AA62" i="23"/>
  <c r="AA48" i="23"/>
  <c r="O91" i="23"/>
  <c r="AA82" i="23"/>
  <c r="AA74" i="23"/>
  <c r="AA87" i="23"/>
  <c r="AA88" i="23"/>
  <c r="AA66" i="23"/>
  <c r="AA61" i="23"/>
  <c r="AA56" i="23"/>
  <c r="AA54" i="23"/>
  <c r="AA49" i="23"/>
  <c r="AA60" i="23"/>
  <c r="AA73" i="23"/>
  <c r="I17" i="25"/>
  <c r="O130" i="6"/>
  <c r="O134" i="6"/>
  <c r="O148" i="23"/>
  <c r="L181" i="23"/>
  <c r="L186" i="23" s="1"/>
  <c r="X59" i="23"/>
  <c r="Z59" i="23"/>
  <c r="L91" i="23"/>
  <c r="W74" i="23"/>
  <c r="K91" i="23"/>
  <c r="K124" i="23"/>
  <c r="Z76" i="23"/>
  <c r="N181" i="23"/>
  <c r="N185" i="23" s="1"/>
  <c r="Y88" i="23"/>
  <c r="M124" i="23"/>
  <c r="Y75" i="23"/>
  <c r="Y61" i="23"/>
  <c r="Y82" i="23"/>
  <c r="Y81" i="23"/>
  <c r="M209" i="23"/>
  <c r="Z13" i="23"/>
  <c r="Z11" i="23"/>
  <c r="Z14" i="23"/>
  <c r="Z17" i="23"/>
  <c r="N137" i="23"/>
  <c r="Z35" i="23"/>
  <c r="Z41" i="23"/>
  <c r="Z24" i="23"/>
  <c r="Z36" i="23"/>
  <c r="Z22" i="23"/>
  <c r="Z30" i="23"/>
  <c r="Z29" i="23"/>
  <c r="Z10" i="23"/>
  <c r="Z27" i="23"/>
  <c r="Z16" i="23"/>
  <c r="Z31" i="23"/>
  <c r="Z34" i="23"/>
  <c r="Z26" i="23"/>
  <c r="N149" i="23"/>
  <c r="Z28" i="23"/>
  <c r="N43" i="23"/>
  <c r="Z23" i="23"/>
  <c r="Z20" i="23"/>
  <c r="Z12" i="23"/>
  <c r="Z19" i="23"/>
  <c r="Z38" i="23"/>
  <c r="N136" i="23"/>
  <c r="Z37" i="23"/>
  <c r="Z21" i="23"/>
  <c r="Z40" i="23"/>
  <c r="Z32" i="23"/>
  <c r="Z39" i="23"/>
  <c r="Z18" i="23"/>
  <c r="Z25" i="23"/>
  <c r="Z9" i="23"/>
  <c r="Z61" i="23"/>
  <c r="N124" i="23"/>
  <c r="Z86" i="23"/>
  <c r="Z51" i="23"/>
  <c r="Z48" i="23"/>
  <c r="Z73" i="23"/>
  <c r="Z66" i="23"/>
  <c r="Z85" i="23"/>
  <c r="Z83" i="23"/>
  <c r="Z52" i="23"/>
  <c r="Z57" i="23"/>
  <c r="Z79" i="23"/>
  <c r="Z55" i="23"/>
  <c r="Z80" i="23"/>
  <c r="Z53" i="23"/>
  <c r="Z63" i="23"/>
  <c r="Z56" i="23"/>
  <c r="Z49" i="23"/>
  <c r="Z60" i="23"/>
  <c r="Z68" i="23"/>
  <c r="Z81" i="23"/>
  <c r="Z84" i="23"/>
  <c r="Z71" i="23"/>
  <c r="Z77" i="23"/>
  <c r="N209" i="23"/>
  <c r="Z88" i="23"/>
  <c r="Z47" i="23"/>
  <c r="Z67" i="23"/>
  <c r="Z54" i="23"/>
  <c r="Z74" i="23"/>
  <c r="Z82" i="23"/>
  <c r="Z72" i="23"/>
  <c r="Z89" i="23"/>
  <c r="Z65" i="23"/>
  <c r="Z87" i="23"/>
  <c r="Z75" i="23"/>
  <c r="Z64" i="23"/>
  <c r="Z78" i="23"/>
  <c r="Z50" i="23"/>
  <c r="X89" i="23"/>
  <c r="X81" i="23"/>
  <c r="X49" i="23"/>
  <c r="X65" i="23"/>
  <c r="X83" i="23"/>
  <c r="X64" i="23"/>
  <c r="X87" i="23"/>
  <c r="X60" i="23"/>
  <c r="X76" i="23"/>
  <c r="X47" i="23"/>
  <c r="X61" i="23"/>
  <c r="X86" i="23"/>
  <c r="X72" i="23"/>
  <c r="L124" i="23"/>
  <c r="X67" i="23"/>
  <c r="X66" i="23"/>
  <c r="X51" i="23"/>
  <c r="X80" i="23"/>
  <c r="X78" i="23"/>
  <c r="X55" i="23"/>
  <c r="X63" i="23"/>
  <c r="X68" i="23"/>
  <c r="X73" i="23"/>
  <c r="X54" i="23"/>
  <c r="X56" i="23"/>
  <c r="X77" i="23"/>
  <c r="X70" i="23"/>
  <c r="X48" i="23"/>
  <c r="X84" i="23"/>
  <c r="X74" i="23"/>
  <c r="X88" i="23"/>
  <c r="X79" i="23"/>
  <c r="X53" i="23"/>
  <c r="X82" i="23"/>
  <c r="X57" i="23"/>
  <c r="X85" i="23"/>
  <c r="L209" i="23"/>
  <c r="X71" i="23"/>
  <c r="X75" i="23"/>
  <c r="X52" i="23"/>
  <c r="X50" i="23"/>
  <c r="X34" i="23"/>
  <c r="M115" i="23"/>
  <c r="M292" i="24" s="1"/>
  <c r="M174" i="24" s="1"/>
  <c r="M175" i="24" s="1"/>
  <c r="N91" i="23"/>
  <c r="N115" i="23"/>
  <c r="N292" i="24" s="1"/>
  <c r="N174" i="24" s="1"/>
  <c r="N175" i="24" s="1"/>
  <c r="L148" i="23"/>
  <c r="X15" i="23"/>
  <c r="N148" i="23"/>
  <c r="Z15" i="23"/>
  <c r="X9" i="23"/>
  <c r="X27" i="23"/>
  <c r="X32" i="23"/>
  <c r="X29" i="23"/>
  <c r="X39" i="23"/>
  <c r="X36" i="23"/>
  <c r="L137" i="23"/>
  <c r="X23" i="23"/>
  <c r="X21" i="23"/>
  <c r="X40" i="23"/>
  <c r="X19" i="23"/>
  <c r="X25" i="23"/>
  <c r="X16" i="23"/>
  <c r="X30" i="23"/>
  <c r="X38" i="23"/>
  <c r="X22" i="23"/>
  <c r="X17" i="23"/>
  <c r="X41" i="23"/>
  <c r="L136" i="23"/>
  <c r="X24" i="23"/>
  <c r="X26" i="23"/>
  <c r="X31" i="23"/>
  <c r="X13" i="23"/>
  <c r="X10" i="23"/>
  <c r="X14" i="23"/>
  <c r="X20" i="23"/>
  <c r="X12" i="23"/>
  <c r="X37" i="23"/>
  <c r="X28" i="23"/>
  <c r="L149" i="23"/>
  <c r="X11" i="23"/>
  <c r="X18" i="23"/>
  <c r="Z62" i="23"/>
  <c r="Y76" i="23"/>
  <c r="M181" i="23"/>
  <c r="M186" i="23" s="1"/>
  <c r="L43" i="23"/>
  <c r="R15" i="24"/>
  <c r="R12" i="24"/>
  <c r="R11" i="24"/>
  <c r="R10" i="24"/>
  <c r="R13" i="24"/>
  <c r="R18" i="24"/>
  <c r="R17" i="24"/>
  <c r="R23" i="24"/>
  <c r="R14" i="24"/>
  <c r="R21" i="24"/>
  <c r="N276" i="24"/>
  <c r="R22" i="24"/>
  <c r="R16" i="24"/>
  <c r="R19" i="24"/>
  <c r="R20" i="24"/>
  <c r="M748" i="19"/>
  <c r="M749" i="19" s="1"/>
  <c r="L272" i="24"/>
  <c r="L142" i="25"/>
  <c r="L63" i="24"/>
  <c r="L67" i="24" s="1"/>
  <c r="L70" i="24" s="1"/>
  <c r="L27" i="24"/>
  <c r="L49" i="24" s="1"/>
  <c r="L53" i="24" s="1"/>
  <c r="L54" i="24" s="1"/>
  <c r="J443" i="19"/>
  <c r="N273" i="24"/>
  <c r="N270" i="24"/>
  <c r="R46" i="24"/>
  <c r="M273" i="24"/>
  <c r="M270" i="24"/>
  <c r="O273" i="24"/>
  <c r="O270" i="24"/>
  <c r="L273" i="24"/>
  <c r="L270" i="24"/>
  <c r="N274" i="24"/>
  <c r="M269" i="24"/>
  <c r="M274" i="24"/>
  <c r="O274" i="24"/>
  <c r="L269" i="24"/>
  <c r="L274" i="24"/>
  <c r="N67" i="24"/>
  <c r="N70" i="24" s="1"/>
  <c r="L255" i="24"/>
  <c r="M268" i="24"/>
  <c r="O271" i="24"/>
  <c r="O176" i="24"/>
  <c r="O272" i="24"/>
  <c r="O267" i="24"/>
  <c r="O275" i="24"/>
  <c r="O266" i="24"/>
  <c r="O264" i="24"/>
  <c r="O277" i="24" s="1"/>
  <c r="O265" i="24"/>
  <c r="O269" i="24"/>
  <c r="O268" i="24"/>
  <c r="R29" i="24"/>
  <c r="M67" i="24"/>
  <c r="M254" i="24"/>
  <c r="R48" i="24"/>
  <c r="N269" i="24"/>
  <c r="N268" i="24"/>
  <c r="R37" i="24"/>
  <c r="R39" i="24"/>
  <c r="L268" i="24"/>
  <c r="N254" i="24"/>
  <c r="L298" i="24"/>
  <c r="L264" i="24"/>
  <c r="L176" i="24"/>
  <c r="N298" i="24"/>
  <c r="N176" i="24"/>
  <c r="N264" i="24"/>
  <c r="R52" i="24"/>
  <c r="M27" i="24"/>
  <c r="M49" i="24" s="1"/>
  <c r="M53" i="24" s="1"/>
  <c r="M54" i="24" s="1"/>
  <c r="M298" i="24"/>
  <c r="M264" i="24"/>
  <c r="M176" i="24"/>
  <c r="M267" i="24"/>
  <c r="M271" i="24"/>
  <c r="M272" i="24"/>
  <c r="M255" i="24"/>
  <c r="M265" i="24"/>
  <c r="M266" i="24"/>
  <c r="M275" i="24"/>
  <c r="N271" i="24"/>
  <c r="N272" i="24"/>
  <c r="R47" i="24"/>
  <c r="N255" i="24"/>
  <c r="R38" i="24"/>
  <c r="R28" i="24"/>
  <c r="R41" i="24"/>
  <c r="R31" i="24"/>
  <c r="N267" i="24"/>
  <c r="R44" i="24"/>
  <c r="R30" i="24"/>
  <c r="R45" i="24"/>
  <c r="R32" i="24"/>
  <c r="N275" i="24"/>
  <c r="N265" i="24"/>
  <c r="R33" i="24"/>
  <c r="R35" i="24"/>
  <c r="R36" i="24"/>
  <c r="R51" i="24"/>
  <c r="R50" i="24"/>
  <c r="N266" i="24"/>
  <c r="R40" i="24"/>
  <c r="R43" i="24"/>
  <c r="R42" i="24"/>
  <c r="R34" i="24"/>
  <c r="L267" i="24"/>
  <c r="L271" i="24"/>
  <c r="L265" i="24"/>
  <c r="L275" i="24"/>
  <c r="L266" i="24"/>
  <c r="R26" i="24"/>
  <c r="N27" i="24"/>
  <c r="L254" i="24"/>
  <c r="AH80" i="6"/>
  <c r="AD80" i="6"/>
  <c r="AJ97" i="6"/>
  <c r="AG109" i="6"/>
  <c r="AE97" i="6"/>
  <c r="AD97" i="6"/>
  <c r="AD109" i="6"/>
  <c r="AK97" i="6"/>
  <c r="AL97" i="6"/>
  <c r="AK109" i="6"/>
  <c r="AL109" i="6"/>
  <c r="AJ80" i="6"/>
  <c r="AF109" i="6"/>
  <c r="AI109" i="6"/>
  <c r="M79" i="6"/>
  <c r="AJ109" i="6"/>
  <c r="AI80" i="6"/>
  <c r="AE109" i="6"/>
  <c r="AG80" i="6"/>
  <c r="AF97" i="6"/>
  <c r="AF80" i="6"/>
  <c r="AI97" i="6"/>
  <c r="AH109" i="6"/>
  <c r="AE80" i="6"/>
  <c r="AG97" i="6"/>
  <c r="AK80" i="6"/>
  <c r="AL80" i="6"/>
  <c r="AH97" i="6"/>
  <c r="H79" i="6"/>
  <c r="G79" i="6"/>
  <c r="J79" i="6"/>
  <c r="I79" i="6"/>
  <c r="N79" i="6"/>
  <c r="L79" i="6"/>
  <c r="K79" i="6"/>
  <c r="F79" i="6"/>
  <c r="J383" i="19"/>
  <c r="E278" i="30"/>
  <c r="F278" i="30"/>
  <c r="F248" i="30"/>
  <c r="Y48" i="23" l="1"/>
  <c r="Y51" i="23"/>
  <c r="Y79" i="23"/>
  <c r="Y85" i="23"/>
  <c r="Y78" i="23"/>
  <c r="Y68" i="23"/>
  <c r="Y62" i="23"/>
  <c r="Y50" i="23"/>
  <c r="Y72" i="23"/>
  <c r="M148" i="23"/>
  <c r="Y47" i="23"/>
  <c r="M91" i="23"/>
  <c r="Y71" i="23"/>
  <c r="Y65" i="23"/>
  <c r="Y52" i="23"/>
  <c r="Y87" i="23"/>
  <c r="Y53" i="23"/>
  <c r="Y64" i="23"/>
  <c r="Y74" i="23"/>
  <c r="Y49" i="23"/>
  <c r="Y80" i="23"/>
  <c r="Y63" i="23"/>
  <c r="Y56" i="23"/>
  <c r="Y54" i="23"/>
  <c r="Y57" i="23"/>
  <c r="Y59" i="23"/>
  <c r="Y86" i="23"/>
  <c r="Y84" i="23"/>
  <c r="Y89" i="23"/>
  <c r="Y55" i="23"/>
  <c r="Y60" i="23"/>
  <c r="Y66" i="23"/>
  <c r="Y77" i="23"/>
  <c r="Y70" i="23"/>
  <c r="Y73" i="23"/>
  <c r="Y67" i="23"/>
  <c r="Y69" i="23"/>
  <c r="M199" i="23"/>
  <c r="M202" i="23" s="1"/>
  <c r="M203" i="23"/>
  <c r="O179" i="24"/>
  <c r="O278" i="24" s="1"/>
  <c r="O54" i="24"/>
  <c r="O182" i="24"/>
  <c r="O55" i="24"/>
  <c r="O186" i="23"/>
  <c r="O185" i="23"/>
  <c r="AA90" i="23"/>
  <c r="O184" i="23"/>
  <c r="M38" i="25"/>
  <c r="M25" i="25"/>
  <c r="M99" i="25" s="1"/>
  <c r="M71" i="25"/>
  <c r="I38" i="25"/>
  <c r="I91" i="25"/>
  <c r="I31" i="23"/>
  <c r="M127" i="25"/>
  <c r="M128" i="25" s="1"/>
  <c r="M295" i="24"/>
  <c r="J384" i="19"/>
  <c r="I140" i="6"/>
  <c r="O136" i="23"/>
  <c r="AA31" i="23"/>
  <c r="AA19" i="23"/>
  <c r="AA36" i="23"/>
  <c r="AA27" i="23"/>
  <c r="AA24" i="23"/>
  <c r="AA40" i="23"/>
  <c r="AA17" i="23"/>
  <c r="AA18" i="23"/>
  <c r="AA12" i="23"/>
  <c r="AA15" i="23"/>
  <c r="O137" i="23"/>
  <c r="AA16" i="23"/>
  <c r="AA11" i="23"/>
  <c r="O149" i="23"/>
  <c r="AA39" i="23"/>
  <c r="AA10" i="23"/>
  <c r="AA38" i="23"/>
  <c r="AA13" i="23"/>
  <c r="AA30" i="23"/>
  <c r="AA29" i="23"/>
  <c r="AA28" i="23"/>
  <c r="AA23" i="23"/>
  <c r="AA22" i="23"/>
  <c r="AA25" i="23"/>
  <c r="AA41" i="23"/>
  <c r="AA14" i="23"/>
  <c r="AA21" i="23"/>
  <c r="AA26" i="23"/>
  <c r="AA37" i="23"/>
  <c r="AA20" i="23"/>
  <c r="O138" i="23"/>
  <c r="AA32" i="23"/>
  <c r="AA35" i="23"/>
  <c r="O43" i="23"/>
  <c r="AA34" i="23"/>
  <c r="L184" i="23"/>
  <c r="M184" i="23"/>
  <c r="L185" i="23"/>
  <c r="L187" i="23"/>
  <c r="N186" i="23"/>
  <c r="N184" i="23"/>
  <c r="N187" i="23"/>
  <c r="X42" i="23"/>
  <c r="X90" i="23"/>
  <c r="Z42" i="23"/>
  <c r="Z90" i="23"/>
  <c r="M185" i="23"/>
  <c r="M187" i="23"/>
  <c r="M277" i="24"/>
  <c r="L99" i="24"/>
  <c r="N277" i="24"/>
  <c r="L277" i="24"/>
  <c r="O69" i="24"/>
  <c r="L55" i="24"/>
  <c r="L180" i="24"/>
  <c r="L179" i="24"/>
  <c r="L253" i="24"/>
  <c r="L256" i="24" s="1"/>
  <c r="M69" i="24"/>
  <c r="O220" i="24"/>
  <c r="N220" i="24"/>
  <c r="M70" i="24"/>
  <c r="M253" i="24"/>
  <c r="M256" i="24" s="1"/>
  <c r="M180" i="24"/>
  <c r="M179" i="24"/>
  <c r="M55" i="24"/>
  <c r="R27" i="24"/>
  <c r="N49" i="24"/>
  <c r="N69" i="24"/>
  <c r="I121" i="6"/>
  <c r="I123" i="6" s="1"/>
  <c r="AF79" i="6"/>
  <c r="G121" i="6"/>
  <c r="AD79" i="6"/>
  <c r="H121" i="6"/>
  <c r="AE79" i="6"/>
  <c r="F121" i="6"/>
  <c r="J121" i="6"/>
  <c r="AG79" i="6"/>
  <c r="M121" i="6"/>
  <c r="M123" i="6" s="1"/>
  <c r="AJ79" i="6"/>
  <c r="K121" i="6"/>
  <c r="AH79" i="6"/>
  <c r="L121" i="6"/>
  <c r="L123" i="6" s="1"/>
  <c r="AI79" i="6"/>
  <c r="N121" i="6"/>
  <c r="AK79" i="6"/>
  <c r="AL79" i="6"/>
  <c r="Y90" i="23" l="1"/>
  <c r="O188" i="23"/>
  <c r="L188" i="23"/>
  <c r="AA42" i="23"/>
  <c r="M79" i="25"/>
  <c r="M27" i="25"/>
  <c r="Y27" i="25" s="1"/>
  <c r="Y14" i="25"/>
  <c r="Y20" i="25"/>
  <c r="Y11" i="25"/>
  <c r="Y15" i="25"/>
  <c r="Y13" i="25"/>
  <c r="Y19" i="25"/>
  <c r="Y26" i="25"/>
  <c r="Y16" i="25"/>
  <c r="M46" i="25"/>
  <c r="Y22" i="25"/>
  <c r="Y23" i="25"/>
  <c r="Y21" i="25"/>
  <c r="Y12" i="25"/>
  <c r="I155" i="6"/>
  <c r="I154" i="6"/>
  <c r="U79" i="6"/>
  <c r="M14" i="23"/>
  <c r="M30" i="23"/>
  <c r="N188" i="23"/>
  <c r="M188" i="23"/>
  <c r="R79" i="6"/>
  <c r="F123" i="6"/>
  <c r="X79" i="6"/>
  <c r="V79" i="6"/>
  <c r="J123" i="6"/>
  <c r="Z79" i="6"/>
  <c r="N123" i="6"/>
  <c r="W79" i="6"/>
  <c r="K123" i="6"/>
  <c r="T79" i="6"/>
  <c r="H123" i="6"/>
  <c r="S79" i="6"/>
  <c r="G123" i="6"/>
  <c r="L143" i="25"/>
  <c r="L278" i="24"/>
  <c r="L257" i="24"/>
  <c r="M278" i="24"/>
  <c r="M257" i="24"/>
  <c r="N53" i="24"/>
  <c r="N54" i="24" s="1"/>
  <c r="R49" i="24"/>
  <c r="Y101" i="6"/>
  <c r="AJ121" i="6"/>
  <c r="Y88" i="6"/>
  <c r="Y114" i="6"/>
  <c r="Y118" i="6"/>
  <c r="Y91" i="6"/>
  <c r="Y104" i="6"/>
  <c r="Y112" i="6"/>
  <c r="Y83" i="6"/>
  <c r="Y106" i="6"/>
  <c r="Y86" i="6"/>
  <c r="Y105" i="6"/>
  <c r="Y98" i="6"/>
  <c r="Y99" i="6"/>
  <c r="Y82" i="6"/>
  <c r="Y119" i="6"/>
  <c r="Y87" i="6"/>
  <c r="Y84" i="6"/>
  <c r="Y93" i="6"/>
  <c r="Y116" i="6"/>
  <c r="Y107" i="6"/>
  <c r="Y117" i="6"/>
  <c r="Y113" i="6"/>
  <c r="Y85" i="6"/>
  <c r="Y102" i="6"/>
  <c r="Y96" i="6"/>
  <c r="Y89" i="6"/>
  <c r="Y100" i="6"/>
  <c r="Y110" i="6"/>
  <c r="Y90" i="6"/>
  <c r="Y92" i="6"/>
  <c r="Y111" i="6"/>
  <c r="Y103" i="6"/>
  <c r="Y94" i="6"/>
  <c r="Y115" i="6"/>
  <c r="Y81" i="6"/>
  <c r="Y120" i="6"/>
  <c r="Y95" i="6"/>
  <c r="Y108" i="6"/>
  <c r="Y109" i="6"/>
  <c r="Y80" i="6"/>
  <c r="Y97" i="6"/>
  <c r="AG121" i="6"/>
  <c r="V114" i="6"/>
  <c r="V101" i="6"/>
  <c r="V88" i="6"/>
  <c r="V111" i="6"/>
  <c r="V83" i="6"/>
  <c r="V92" i="6"/>
  <c r="V107" i="6"/>
  <c r="V103" i="6"/>
  <c r="V105" i="6"/>
  <c r="V119" i="6"/>
  <c r="V116" i="6"/>
  <c r="V99" i="6"/>
  <c r="V82" i="6"/>
  <c r="V98" i="6"/>
  <c r="V85" i="6"/>
  <c r="V102" i="6"/>
  <c r="V117" i="6"/>
  <c r="V113" i="6"/>
  <c r="V93" i="6"/>
  <c r="V115" i="6"/>
  <c r="V91" i="6"/>
  <c r="V112" i="6"/>
  <c r="V110" i="6"/>
  <c r="V87" i="6"/>
  <c r="V100" i="6"/>
  <c r="V90" i="6"/>
  <c r="V81" i="6"/>
  <c r="V118" i="6"/>
  <c r="V106" i="6"/>
  <c r="V104" i="6"/>
  <c r="V94" i="6"/>
  <c r="V89" i="6"/>
  <c r="V84" i="6"/>
  <c r="V86" i="6"/>
  <c r="V95" i="6"/>
  <c r="V120" i="6"/>
  <c r="V108" i="6"/>
  <c r="V96" i="6"/>
  <c r="V80" i="6"/>
  <c r="V97" i="6"/>
  <c r="V109" i="6"/>
  <c r="R88" i="6"/>
  <c r="R114" i="6"/>
  <c r="R101" i="6"/>
  <c r="R102" i="6"/>
  <c r="R119" i="6"/>
  <c r="R90" i="6"/>
  <c r="R118" i="6"/>
  <c r="R115" i="6"/>
  <c r="R92" i="6"/>
  <c r="R112" i="6"/>
  <c r="R94" i="6"/>
  <c r="R85" i="6"/>
  <c r="R98" i="6"/>
  <c r="R86" i="6"/>
  <c r="R110" i="6"/>
  <c r="R100" i="6"/>
  <c r="R99" i="6"/>
  <c r="R117" i="6"/>
  <c r="R113" i="6"/>
  <c r="R83" i="6"/>
  <c r="R103" i="6"/>
  <c r="R104" i="6"/>
  <c r="R91" i="6"/>
  <c r="R81" i="6"/>
  <c r="R82" i="6"/>
  <c r="R116" i="6"/>
  <c r="R106" i="6"/>
  <c r="R107" i="6"/>
  <c r="R105" i="6"/>
  <c r="R111" i="6"/>
  <c r="R84" i="6"/>
  <c r="R87" i="6"/>
  <c r="R93" i="6"/>
  <c r="R96" i="6"/>
  <c r="R108" i="6"/>
  <c r="R89" i="6"/>
  <c r="R95" i="6"/>
  <c r="R120" i="6"/>
  <c r="R109" i="6"/>
  <c r="R80" i="6"/>
  <c r="R97" i="6"/>
  <c r="Z101" i="6"/>
  <c r="Z114" i="6"/>
  <c r="AK121" i="6"/>
  <c r="Z88" i="6"/>
  <c r="Z107" i="6"/>
  <c r="Z99" i="6"/>
  <c r="Z118" i="6"/>
  <c r="Z111" i="6"/>
  <c r="Z117" i="6"/>
  <c r="Z94" i="6"/>
  <c r="Z90" i="6"/>
  <c r="Z84" i="6"/>
  <c r="Z92" i="6"/>
  <c r="Z82" i="6"/>
  <c r="Z116" i="6"/>
  <c r="Z105" i="6"/>
  <c r="Z102" i="6"/>
  <c r="Z85" i="6"/>
  <c r="Z104" i="6"/>
  <c r="Z119" i="6"/>
  <c r="Z98" i="6"/>
  <c r="Z100" i="6"/>
  <c r="Z110" i="6"/>
  <c r="Z87" i="6"/>
  <c r="Z103" i="6"/>
  <c r="Z106" i="6"/>
  <c r="Z115" i="6"/>
  <c r="Z83" i="6"/>
  <c r="Z112" i="6"/>
  <c r="Z113" i="6"/>
  <c r="Z93" i="6"/>
  <c r="Z86" i="6"/>
  <c r="Z81" i="6"/>
  <c r="Z91" i="6"/>
  <c r="Z120" i="6"/>
  <c r="Z95" i="6"/>
  <c r="Z89" i="6"/>
  <c r="AL121" i="6"/>
  <c r="Z108" i="6"/>
  <c r="Z96" i="6"/>
  <c r="Z97" i="6"/>
  <c r="Z80" i="6"/>
  <c r="Z109" i="6"/>
  <c r="AE121" i="6"/>
  <c r="T114" i="6"/>
  <c r="T88" i="6"/>
  <c r="T101" i="6"/>
  <c r="T119" i="6"/>
  <c r="T94" i="6"/>
  <c r="T112" i="6"/>
  <c r="T103" i="6"/>
  <c r="T110" i="6"/>
  <c r="T92" i="6"/>
  <c r="T106" i="6"/>
  <c r="T117" i="6"/>
  <c r="T99" i="6"/>
  <c r="T118" i="6"/>
  <c r="T84" i="6"/>
  <c r="T113" i="6"/>
  <c r="T102" i="6"/>
  <c r="T82" i="6"/>
  <c r="T81" i="6"/>
  <c r="T90" i="6"/>
  <c r="T98" i="6"/>
  <c r="T105" i="6"/>
  <c r="T115" i="6"/>
  <c r="T107" i="6"/>
  <c r="T116" i="6"/>
  <c r="T100" i="6"/>
  <c r="T104" i="6"/>
  <c r="T93" i="6"/>
  <c r="T86" i="6"/>
  <c r="T91" i="6"/>
  <c r="T87" i="6"/>
  <c r="T85" i="6"/>
  <c r="T83" i="6"/>
  <c r="T111" i="6"/>
  <c r="T120" i="6"/>
  <c r="T108" i="6"/>
  <c r="T95" i="6"/>
  <c r="T96" i="6"/>
  <c r="T89" i="6"/>
  <c r="T80" i="6"/>
  <c r="T109" i="6"/>
  <c r="T97" i="6"/>
  <c r="X114" i="6"/>
  <c r="X101" i="6"/>
  <c r="X88" i="6"/>
  <c r="AI121" i="6"/>
  <c r="X82" i="6"/>
  <c r="X92" i="6"/>
  <c r="X98" i="6"/>
  <c r="X110" i="6"/>
  <c r="X95" i="6"/>
  <c r="X83" i="6"/>
  <c r="X100" i="6"/>
  <c r="X87" i="6"/>
  <c r="X93" i="6"/>
  <c r="X105" i="6"/>
  <c r="X99" i="6"/>
  <c r="X91" i="6"/>
  <c r="X116" i="6"/>
  <c r="X81" i="6"/>
  <c r="X119" i="6"/>
  <c r="X84" i="6"/>
  <c r="X112" i="6"/>
  <c r="X106" i="6"/>
  <c r="X85" i="6"/>
  <c r="X115" i="6"/>
  <c r="X117" i="6"/>
  <c r="X86" i="6"/>
  <c r="X118" i="6"/>
  <c r="X113" i="6"/>
  <c r="X111" i="6"/>
  <c r="X102" i="6"/>
  <c r="X107" i="6"/>
  <c r="X104" i="6"/>
  <c r="X103" i="6"/>
  <c r="X90" i="6"/>
  <c r="X94" i="6"/>
  <c r="X89" i="6"/>
  <c r="X96" i="6"/>
  <c r="X108" i="6"/>
  <c r="X120" i="6"/>
  <c r="X97" i="6"/>
  <c r="X80" i="6"/>
  <c r="X109" i="6"/>
  <c r="AD121" i="6"/>
  <c r="S114" i="6"/>
  <c r="S101" i="6"/>
  <c r="S88" i="6"/>
  <c r="S111" i="6"/>
  <c r="S86" i="6"/>
  <c r="S116" i="6"/>
  <c r="S104" i="6"/>
  <c r="S82" i="6"/>
  <c r="S91" i="6"/>
  <c r="S98" i="6"/>
  <c r="S113" i="6"/>
  <c r="S84" i="6"/>
  <c r="S105" i="6"/>
  <c r="S118" i="6"/>
  <c r="S85" i="6"/>
  <c r="S115" i="6"/>
  <c r="S112" i="6"/>
  <c r="S87" i="6"/>
  <c r="S93" i="6"/>
  <c r="S102" i="6"/>
  <c r="S110" i="6"/>
  <c r="S100" i="6"/>
  <c r="S92" i="6"/>
  <c r="S99" i="6"/>
  <c r="S81" i="6"/>
  <c r="S90" i="6"/>
  <c r="S94" i="6"/>
  <c r="S103" i="6"/>
  <c r="S107" i="6"/>
  <c r="S117" i="6"/>
  <c r="S106" i="6"/>
  <c r="S83" i="6"/>
  <c r="S119" i="6"/>
  <c r="S108" i="6"/>
  <c r="S120" i="6"/>
  <c r="S95" i="6"/>
  <c r="S89" i="6"/>
  <c r="S96" i="6"/>
  <c r="S97" i="6"/>
  <c r="S80" i="6"/>
  <c r="S109" i="6"/>
  <c r="AH121" i="6"/>
  <c r="W114" i="6"/>
  <c r="W101" i="6"/>
  <c r="W88" i="6"/>
  <c r="W100" i="6"/>
  <c r="W111" i="6"/>
  <c r="W115" i="6"/>
  <c r="W90" i="6"/>
  <c r="W87" i="6"/>
  <c r="W83" i="6"/>
  <c r="W93" i="6"/>
  <c r="W117" i="6"/>
  <c r="W84" i="6"/>
  <c r="W99" i="6"/>
  <c r="W92" i="6"/>
  <c r="W94" i="6"/>
  <c r="W106" i="6"/>
  <c r="W98" i="6"/>
  <c r="W116" i="6"/>
  <c r="W112" i="6"/>
  <c r="W82" i="6"/>
  <c r="W91" i="6"/>
  <c r="W107" i="6"/>
  <c r="W104" i="6"/>
  <c r="W110" i="6"/>
  <c r="W118" i="6"/>
  <c r="W102" i="6"/>
  <c r="W86" i="6"/>
  <c r="W113" i="6"/>
  <c r="W103" i="6"/>
  <c r="W81" i="6"/>
  <c r="W85" i="6"/>
  <c r="W105" i="6"/>
  <c r="W119" i="6"/>
  <c r="W108" i="6"/>
  <c r="W120" i="6"/>
  <c r="W96" i="6"/>
  <c r="W89" i="6"/>
  <c r="W95" i="6"/>
  <c r="W80" i="6"/>
  <c r="W109" i="6"/>
  <c r="W97" i="6"/>
  <c r="Y79" i="6"/>
  <c r="AF121" i="6"/>
  <c r="U114" i="6"/>
  <c r="U88" i="6"/>
  <c r="U101" i="6"/>
  <c r="U83" i="6"/>
  <c r="U82" i="6"/>
  <c r="U90" i="6"/>
  <c r="U107" i="6"/>
  <c r="U104" i="6"/>
  <c r="U117" i="6"/>
  <c r="U85" i="6"/>
  <c r="U94" i="6"/>
  <c r="U84" i="6"/>
  <c r="U99" i="6"/>
  <c r="U113" i="6"/>
  <c r="U118" i="6"/>
  <c r="U106" i="6"/>
  <c r="U112" i="6"/>
  <c r="U86" i="6"/>
  <c r="U119" i="6"/>
  <c r="U98" i="6"/>
  <c r="U100" i="6"/>
  <c r="U115" i="6"/>
  <c r="U81" i="6"/>
  <c r="U93" i="6"/>
  <c r="U105" i="6"/>
  <c r="U103" i="6"/>
  <c r="U91" i="6"/>
  <c r="U102" i="6"/>
  <c r="U111" i="6"/>
  <c r="U87" i="6"/>
  <c r="U110" i="6"/>
  <c r="U116" i="6"/>
  <c r="U92" i="6"/>
  <c r="U96" i="6"/>
  <c r="U89" i="6"/>
  <c r="U108" i="6"/>
  <c r="U120" i="6"/>
  <c r="U95" i="6"/>
  <c r="U97" i="6"/>
  <c r="U109" i="6"/>
  <c r="U80" i="6"/>
  <c r="B169" i="25"/>
  <c r="L596" i="19"/>
  <c r="K596" i="19"/>
  <c r="J596" i="19"/>
  <c r="I596" i="19"/>
  <c r="B217" i="25" l="1"/>
  <c r="U121" i="6"/>
  <c r="Z121" i="6"/>
  <c r="Y24" i="25"/>
  <c r="Y17" i="25"/>
  <c r="N102" i="23"/>
  <c r="N296" i="24" s="1"/>
  <c r="M9" i="23"/>
  <c r="W121" i="6"/>
  <c r="X121" i="6"/>
  <c r="R121" i="6"/>
  <c r="T121" i="6"/>
  <c r="S121" i="6"/>
  <c r="V121" i="6"/>
  <c r="N253" i="24"/>
  <c r="N256" i="24" s="1"/>
  <c r="N179" i="24"/>
  <c r="N278" i="24" s="1"/>
  <c r="R53" i="24"/>
  <c r="N180" i="24"/>
  <c r="N55" i="24"/>
  <c r="Y121" i="6"/>
  <c r="D369" i="30"/>
  <c r="C369" i="30"/>
  <c r="B369" i="30"/>
  <c r="D365" i="30"/>
  <c r="C365" i="30"/>
  <c r="B365" i="30"/>
  <c r="D344" i="30"/>
  <c r="C344" i="30"/>
  <c r="B470" i="30"/>
  <c r="C470" i="30"/>
  <c r="H596" i="19"/>
  <c r="Y25" i="25" l="1"/>
  <c r="M145" i="23"/>
  <c r="M42" i="23"/>
  <c r="Y9" i="23" s="1"/>
  <c r="M146" i="23"/>
  <c r="N257" i="24"/>
  <c r="K576" i="19"/>
  <c r="J576" i="19"/>
  <c r="J637" i="19"/>
  <c r="H24" i="25"/>
  <c r="G24" i="25"/>
  <c r="J24" i="25"/>
  <c r="K24" i="25"/>
  <c r="Y24" i="23" l="1"/>
  <c r="Y15" i="23"/>
  <c r="Y13" i="23"/>
  <c r="Y41" i="23"/>
  <c r="Y36" i="23"/>
  <c r="Y21" i="23"/>
  <c r="Y29" i="23"/>
  <c r="Y12" i="23"/>
  <c r="Y26" i="23"/>
  <c r="M136" i="23"/>
  <c r="Y23" i="23"/>
  <c r="Y40" i="23"/>
  <c r="Y17" i="23"/>
  <c r="Y18" i="23"/>
  <c r="Y31" i="23"/>
  <c r="M43" i="23"/>
  <c r="Y28" i="23"/>
  <c r="M137" i="23"/>
  <c r="Y16" i="23"/>
  <c r="Y39" i="23"/>
  <c r="Y34" i="23"/>
  <c r="M149" i="23"/>
  <c r="Y32" i="23"/>
  <c r="Y27" i="23"/>
  <c r="Y10" i="23"/>
  <c r="Y19" i="23"/>
  <c r="Y25" i="23"/>
  <c r="Y37" i="23"/>
  <c r="Y38" i="23"/>
  <c r="Y20" i="23"/>
  <c r="Y11" i="23"/>
  <c r="Y35" i="23"/>
  <c r="Y22" i="23"/>
  <c r="Y14" i="23"/>
  <c r="Y30" i="23"/>
  <c r="K45" i="25"/>
  <c r="K98" i="25"/>
  <c r="J45" i="25"/>
  <c r="J98" i="25"/>
  <c r="I24" i="25"/>
  <c r="I121" i="23"/>
  <c r="G98" i="25"/>
  <c r="G45" i="25"/>
  <c r="H45" i="25"/>
  <c r="H98" i="25"/>
  <c r="K382" i="19"/>
  <c r="Y42" i="23" l="1"/>
  <c r="I45" i="25"/>
  <c r="I98" i="25"/>
  <c r="D470" i="30"/>
  <c r="B192" i="30" l="1"/>
  <c r="F252" i="30" l="1"/>
  <c r="E299" i="30"/>
  <c r="E248" i="30"/>
  <c r="D299" i="30"/>
  <c r="D238" i="30"/>
  <c r="C278" i="30"/>
  <c r="C177" i="30"/>
  <c r="C40" i="28"/>
  <c r="C45" i="28" s="1"/>
  <c r="C28" i="28"/>
  <c r="C192" i="30" l="1"/>
  <c r="B60" i="30"/>
  <c r="K383" i="19" l="1"/>
  <c r="L382" i="19"/>
  <c r="K384" i="19" l="1"/>
  <c r="J140" i="6"/>
  <c r="H382" i="19"/>
  <c r="H383" i="19" s="1"/>
  <c r="I382" i="19"/>
  <c r="I383" i="19" s="1"/>
  <c r="F42" i="19"/>
  <c r="I384" i="19" l="1"/>
  <c r="H140" i="6"/>
  <c r="J155" i="6"/>
  <c r="J154" i="6"/>
  <c r="P154" i="6" s="1"/>
  <c r="H384" i="19"/>
  <c r="G140" i="6"/>
  <c r="G155" i="6" s="1"/>
  <c r="L110" i="23"/>
  <c r="H155" i="6" l="1"/>
  <c r="H154" i="6"/>
  <c r="F201" i="24"/>
  <c r="F200" i="24"/>
  <c r="F199" i="24"/>
  <c r="F198" i="24"/>
  <c r="F197" i="24"/>
  <c r="F207" i="24"/>
  <c r="F206" i="24"/>
  <c r="F205" i="24"/>
  <c r="F204" i="24"/>
  <c r="J206" i="24"/>
  <c r="I206" i="24"/>
  <c r="H206" i="24"/>
  <c r="G206" i="24"/>
  <c r="H205" i="24"/>
  <c r="J201" i="24"/>
  <c r="I201" i="24"/>
  <c r="H201" i="24"/>
  <c r="G201" i="24"/>
  <c r="J200" i="24"/>
  <c r="I200" i="24"/>
  <c r="H200" i="24"/>
  <c r="G200" i="24"/>
  <c r="J199" i="24"/>
  <c r="I199" i="24"/>
  <c r="H199" i="24"/>
  <c r="G199" i="24"/>
  <c r="J198" i="24"/>
  <c r="I198" i="24"/>
  <c r="H198" i="24"/>
  <c r="G198" i="24"/>
  <c r="J197" i="24"/>
  <c r="I197" i="24"/>
  <c r="H197" i="24"/>
  <c r="G197" i="24"/>
  <c r="K201" i="24"/>
  <c r="K200" i="24"/>
  <c r="K199" i="24"/>
  <c r="K198" i="24"/>
  <c r="K197" i="24"/>
  <c r="K206" i="24"/>
  <c r="I205" i="24" l="1"/>
  <c r="K205" i="24"/>
  <c r="G205" i="24"/>
  <c r="J205" i="24"/>
  <c r="N166" i="6"/>
  <c r="M166" i="6"/>
  <c r="L166" i="6"/>
  <c r="K166" i="6"/>
  <c r="J166" i="6"/>
  <c r="I166" i="6"/>
  <c r="H166" i="6"/>
  <c r="G166" i="6"/>
  <c r="N165" i="6"/>
  <c r="M165" i="6"/>
  <c r="L165" i="6"/>
  <c r="K165" i="6"/>
  <c r="J165" i="6"/>
  <c r="I165" i="6"/>
  <c r="H165" i="6"/>
  <c r="G165" i="6"/>
  <c r="N164" i="6"/>
  <c r="M164" i="6"/>
  <c r="L164" i="6"/>
  <c r="K164" i="6"/>
  <c r="J164" i="6"/>
  <c r="I164" i="6"/>
  <c r="H164" i="6"/>
  <c r="G164" i="6"/>
  <c r="F161" i="6"/>
  <c r="G161" i="6"/>
  <c r="H161" i="6"/>
  <c r="I161" i="6"/>
  <c r="J161" i="6"/>
  <c r="K161" i="6"/>
  <c r="L161" i="6"/>
  <c r="L408" i="19"/>
  <c r="K408" i="19"/>
  <c r="I408" i="19"/>
  <c r="H408" i="19"/>
  <c r="N160" i="6"/>
  <c r="M160" i="6"/>
  <c r="L160" i="6"/>
  <c r="K160" i="6"/>
  <c r="J160" i="6"/>
  <c r="I160" i="6"/>
  <c r="H160" i="6"/>
  <c r="G160" i="6"/>
  <c r="G158" i="6"/>
  <c r="G159" i="6"/>
  <c r="Q160" i="6" l="1"/>
  <c r="M167" i="6"/>
  <c r="M173" i="6" s="1"/>
  <c r="H167" i="6"/>
  <c r="H173" i="6" s="1"/>
  <c r="I167" i="6"/>
  <c r="I173" i="6" s="1"/>
  <c r="J167" i="6"/>
  <c r="J173" i="6" s="1"/>
  <c r="K167" i="6"/>
  <c r="K173" i="6" s="1"/>
  <c r="G167" i="6"/>
  <c r="G173" i="6" s="1"/>
  <c r="N167" i="6"/>
  <c r="N173" i="6" s="1"/>
  <c r="L167" i="6"/>
  <c r="L173" i="6" s="1"/>
  <c r="AD60" i="6"/>
  <c r="AD63" i="6" l="1"/>
  <c r="AD39" i="6"/>
  <c r="AD24" i="6"/>
  <c r="AD58" i="6"/>
  <c r="AD68" i="6"/>
  <c r="AD28" i="6"/>
  <c r="G172" i="6"/>
  <c r="G171" i="6"/>
  <c r="AG28" i="6"/>
  <c r="AH58" i="6"/>
  <c r="AE28" i="6"/>
  <c r="AF58" i="6"/>
  <c r="AH28" i="6"/>
  <c r="AE58" i="6"/>
  <c r="AF28" i="6"/>
  <c r="AG58" i="6"/>
  <c r="H158" i="6"/>
  <c r="H171" i="6" s="1"/>
  <c r="I158" i="6"/>
  <c r="I171" i="6" s="1"/>
  <c r="J158" i="6"/>
  <c r="J171" i="6" s="1"/>
  <c r="H159" i="6"/>
  <c r="H172" i="6" s="1"/>
  <c r="I159" i="6"/>
  <c r="I172" i="6" s="1"/>
  <c r="J159" i="6"/>
  <c r="J172" i="6" s="1"/>
  <c r="J46" i="26" l="1"/>
  <c r="K46" i="26"/>
  <c r="L46" i="26"/>
  <c r="M46" i="26"/>
  <c r="N46" i="26"/>
  <c r="J47" i="26"/>
  <c r="K47" i="26"/>
  <c r="L47" i="26"/>
  <c r="M47" i="26"/>
  <c r="N47" i="26"/>
  <c r="O47" i="26"/>
  <c r="O46" i="26"/>
  <c r="B299" i="30" l="1"/>
  <c r="C299" i="30"/>
  <c r="F299" i="30"/>
  <c r="B278" i="30"/>
  <c r="G202" i="24" s="1"/>
  <c r="H202" i="24"/>
  <c r="D278" i="30"/>
  <c r="I202" i="24" s="1"/>
  <c r="J202" i="24"/>
  <c r="K202" i="24"/>
  <c r="B266" i="30"/>
  <c r="G196" i="24" s="1"/>
  <c r="C266" i="30"/>
  <c r="H196" i="24" s="1"/>
  <c r="D266" i="30"/>
  <c r="I196" i="24" s="1"/>
  <c r="E266" i="30"/>
  <c r="J196" i="24" s="1"/>
  <c r="F266" i="30"/>
  <c r="K196" i="24" s="1"/>
  <c r="B252" i="30"/>
  <c r="G195" i="24" s="1"/>
  <c r="C252" i="30"/>
  <c r="H195" i="24" s="1"/>
  <c r="D252" i="30"/>
  <c r="I195" i="24" s="1"/>
  <c r="E252" i="30"/>
  <c r="J195" i="24" s="1"/>
  <c r="K195" i="24"/>
  <c r="B248" i="30"/>
  <c r="G194" i="24" s="1"/>
  <c r="C248" i="30"/>
  <c r="H194" i="24" s="1"/>
  <c r="D248" i="30"/>
  <c r="I194" i="24" s="1"/>
  <c r="J194" i="24"/>
  <c r="K194" i="24"/>
  <c r="B238" i="30"/>
  <c r="C238" i="30"/>
  <c r="E238" i="30"/>
  <c r="F238" i="30"/>
  <c r="D192" i="30"/>
  <c r="E192" i="30"/>
  <c r="F192" i="30"/>
  <c r="I24" i="24" l="1"/>
  <c r="I193" i="24"/>
  <c r="I203" i="24" s="1"/>
  <c r="J193" i="24"/>
  <c r="J203" i="24" s="1"/>
  <c r="J24" i="24"/>
  <c r="H193" i="24"/>
  <c r="H203" i="24" s="1"/>
  <c r="H24" i="24"/>
  <c r="K193" i="24"/>
  <c r="K203" i="24" s="1"/>
  <c r="K24" i="24"/>
  <c r="G24" i="24"/>
  <c r="G193" i="24"/>
  <c r="I204" i="24"/>
  <c r="J747" i="19"/>
  <c r="I207" i="24" s="1"/>
  <c r="F217" i="30"/>
  <c r="E217" i="30"/>
  <c r="D217" i="30"/>
  <c r="C217" i="30"/>
  <c r="B217" i="30"/>
  <c r="F212" i="30"/>
  <c r="E212" i="30"/>
  <c r="D212" i="30"/>
  <c r="C212" i="30"/>
  <c r="B212" i="30"/>
  <c r="F207" i="30"/>
  <c r="E207" i="30"/>
  <c r="D207" i="30"/>
  <c r="C207" i="30"/>
  <c r="B207" i="30"/>
  <c r="F202" i="30"/>
  <c r="E202" i="30"/>
  <c r="D202" i="30"/>
  <c r="C202" i="30"/>
  <c r="B202" i="30"/>
  <c r="F197" i="30"/>
  <c r="E197" i="30"/>
  <c r="D197" i="30"/>
  <c r="C197" i="30"/>
  <c r="B197" i="30"/>
  <c r="F182" i="30"/>
  <c r="E182" i="30"/>
  <c r="D182" i="30"/>
  <c r="C182" i="30"/>
  <c r="B182" i="30"/>
  <c r="F177" i="30"/>
  <c r="E177" i="30"/>
  <c r="D177" i="30"/>
  <c r="B177" i="30"/>
  <c r="B167" i="30"/>
  <c r="H709" i="19" s="1"/>
  <c r="G46" i="24" s="1"/>
  <c r="C167" i="30"/>
  <c r="I709" i="19" s="1"/>
  <c r="H46" i="24" s="1"/>
  <c r="D167" i="30"/>
  <c r="J709" i="19" s="1"/>
  <c r="I46" i="24" s="1"/>
  <c r="E167" i="30"/>
  <c r="K709" i="19" s="1"/>
  <c r="J46" i="24" s="1"/>
  <c r="F167" i="30"/>
  <c r="L709" i="19" s="1"/>
  <c r="K46" i="24" s="1"/>
  <c r="E172" i="30"/>
  <c r="D172" i="30"/>
  <c r="C172" i="30"/>
  <c r="B172" i="30"/>
  <c r="F172" i="30"/>
  <c r="I208" i="24" l="1"/>
  <c r="K119" i="24"/>
  <c r="K80" i="24"/>
  <c r="G84" i="24"/>
  <c r="G123" i="24"/>
  <c r="G117" i="24"/>
  <c r="G78" i="24"/>
  <c r="H83" i="24"/>
  <c r="H122" i="24"/>
  <c r="G204" i="24"/>
  <c r="J119" i="24"/>
  <c r="J80" i="24"/>
  <c r="H120" i="24"/>
  <c r="H81" i="24"/>
  <c r="H141" i="25"/>
  <c r="I123" i="24"/>
  <c r="I84" i="24"/>
  <c r="K116" i="24"/>
  <c r="K77" i="24"/>
  <c r="G85" i="24"/>
  <c r="G124" i="24"/>
  <c r="J83" i="24"/>
  <c r="J122" i="24"/>
  <c r="H123" i="24"/>
  <c r="H84" i="24"/>
  <c r="I117" i="24"/>
  <c r="I78" i="24"/>
  <c r="K84" i="24"/>
  <c r="K123" i="24"/>
  <c r="J117" i="24"/>
  <c r="J78" i="24"/>
  <c r="K117" i="24"/>
  <c r="K78" i="24"/>
  <c r="H124" i="24"/>
  <c r="H85" i="24"/>
  <c r="G80" i="24"/>
  <c r="G119" i="24"/>
  <c r="K747" i="19"/>
  <c r="J207" i="24" s="1"/>
  <c r="J204" i="24"/>
  <c r="H80" i="24"/>
  <c r="H119" i="24"/>
  <c r="K83" i="24"/>
  <c r="K122" i="24"/>
  <c r="I25" i="24"/>
  <c r="H117" i="24"/>
  <c r="H78" i="24"/>
  <c r="I141" i="25"/>
  <c r="I81" i="24"/>
  <c r="I120" i="24"/>
  <c r="J123" i="24"/>
  <c r="J84" i="24"/>
  <c r="G116" i="24"/>
  <c r="G77" i="24"/>
  <c r="J141" i="25"/>
  <c r="J120" i="24"/>
  <c r="J81" i="24"/>
  <c r="H116" i="24"/>
  <c r="H77" i="24"/>
  <c r="K141" i="25"/>
  <c r="K120" i="24"/>
  <c r="K81" i="24"/>
  <c r="I116" i="24"/>
  <c r="I77" i="24"/>
  <c r="G82" i="24"/>
  <c r="G121" i="24"/>
  <c r="J77" i="24"/>
  <c r="J116" i="24"/>
  <c r="G118" i="24"/>
  <c r="G79" i="24"/>
  <c r="H121" i="24"/>
  <c r="H82" i="24"/>
  <c r="I124" i="24"/>
  <c r="I85" i="24"/>
  <c r="G83" i="24"/>
  <c r="G122" i="24"/>
  <c r="I83" i="24"/>
  <c r="I122" i="24"/>
  <c r="I80" i="24"/>
  <c r="I119" i="24"/>
  <c r="I747" i="19"/>
  <c r="H207" i="24" s="1"/>
  <c r="H204" i="24"/>
  <c r="G81" i="24"/>
  <c r="G120" i="24"/>
  <c r="G141" i="25"/>
  <c r="H79" i="24"/>
  <c r="H118" i="24"/>
  <c r="I121" i="24"/>
  <c r="I82" i="24"/>
  <c r="J124" i="24"/>
  <c r="J85" i="24"/>
  <c r="K79" i="24"/>
  <c r="K118" i="24"/>
  <c r="I79" i="24"/>
  <c r="I118" i="24"/>
  <c r="J82" i="24"/>
  <c r="J121" i="24"/>
  <c r="K124" i="24"/>
  <c r="K85" i="24"/>
  <c r="I209" i="24"/>
  <c r="J79" i="24"/>
  <c r="J118" i="24"/>
  <c r="K121" i="24"/>
  <c r="K82" i="24"/>
  <c r="K204" i="24"/>
  <c r="H747" i="19"/>
  <c r="G207" i="24" s="1"/>
  <c r="J748" i="19"/>
  <c r="J749" i="19" s="1"/>
  <c r="L747" i="19"/>
  <c r="K207" i="24" s="1"/>
  <c r="G697" i="19"/>
  <c r="F697" i="19"/>
  <c r="K725" i="19"/>
  <c r="J725" i="19"/>
  <c r="I725" i="19"/>
  <c r="H725" i="19"/>
  <c r="G725" i="19"/>
  <c r="F725" i="19"/>
  <c r="L725" i="19"/>
  <c r="K724" i="19"/>
  <c r="J724" i="19"/>
  <c r="I724" i="19"/>
  <c r="H724" i="19"/>
  <c r="G724" i="19"/>
  <c r="F724" i="19"/>
  <c r="L724" i="19"/>
  <c r="F100" i="30"/>
  <c r="E100" i="30"/>
  <c r="D100" i="30"/>
  <c r="C100" i="30"/>
  <c r="B100" i="30"/>
  <c r="K748" i="19" l="1"/>
  <c r="K749" i="19" s="1"/>
  <c r="I748" i="19"/>
  <c r="I749" i="19" s="1"/>
  <c r="J25" i="24"/>
  <c r="K208" i="24"/>
  <c r="K209" i="24" s="1"/>
  <c r="J208" i="24"/>
  <c r="J209" i="24" s="1"/>
  <c r="K25" i="24"/>
  <c r="H25" i="24"/>
  <c r="G25" i="24"/>
  <c r="H208" i="24"/>
  <c r="H209" i="24" s="1"/>
  <c r="H748" i="19"/>
  <c r="H749" i="19" s="1"/>
  <c r="L748" i="19"/>
  <c r="G86" i="24"/>
  <c r="G94" i="24" s="1"/>
  <c r="G142" i="25" s="1"/>
  <c r="K86" i="24"/>
  <c r="K93" i="24" s="1"/>
  <c r="H86" i="24"/>
  <c r="H94" i="24" s="1"/>
  <c r="H142" i="25" s="1"/>
  <c r="I86" i="24"/>
  <c r="I91" i="24" s="1"/>
  <c r="J86" i="24"/>
  <c r="J92" i="24" s="1"/>
  <c r="C60" i="30"/>
  <c r="B74" i="30"/>
  <c r="F74" i="30"/>
  <c r="B98" i="30"/>
  <c r="F98" i="30"/>
  <c r="F60" i="30"/>
  <c r="E60" i="30"/>
  <c r="E74" i="30"/>
  <c r="C98" i="30"/>
  <c r="D98" i="30"/>
  <c r="C74" i="30"/>
  <c r="E98" i="30"/>
  <c r="D60" i="30"/>
  <c r="D74" i="30"/>
  <c r="G95" i="24" l="1"/>
  <c r="G98" i="24"/>
  <c r="I697" i="19"/>
  <c r="H112" i="24" s="1"/>
  <c r="G96" i="24"/>
  <c r="H697" i="19"/>
  <c r="G112" i="24" s="1"/>
  <c r="G92" i="24"/>
  <c r="G97" i="24"/>
  <c r="G90" i="24"/>
  <c r="G91" i="24"/>
  <c r="G93" i="24"/>
  <c r="K697" i="19"/>
  <c r="J112" i="24" s="1"/>
  <c r="J697" i="19"/>
  <c r="I112" i="24" s="1"/>
  <c r="L697" i="19"/>
  <c r="K112" i="24" s="1"/>
  <c r="I93" i="24"/>
  <c r="I94" i="24"/>
  <c r="I142" i="25" s="1"/>
  <c r="I90" i="24"/>
  <c r="I98" i="24"/>
  <c r="I96" i="24"/>
  <c r="I97" i="24"/>
  <c r="I92" i="24"/>
  <c r="H96" i="24"/>
  <c r="H90" i="24"/>
  <c r="H93" i="24"/>
  <c r="H95" i="24"/>
  <c r="H92" i="24"/>
  <c r="H91" i="24"/>
  <c r="H97" i="24"/>
  <c r="H98" i="24"/>
  <c r="K95" i="24"/>
  <c r="K98" i="24"/>
  <c r="K94" i="24"/>
  <c r="K142" i="25" s="1"/>
  <c r="K90" i="24"/>
  <c r="K91" i="24"/>
  <c r="K96" i="24"/>
  <c r="K92" i="24"/>
  <c r="K97" i="24"/>
  <c r="J97" i="24"/>
  <c r="J98" i="24"/>
  <c r="J91" i="24"/>
  <c r="J90" i="24"/>
  <c r="J94" i="24"/>
  <c r="J142" i="25" s="1"/>
  <c r="J93" i="24"/>
  <c r="J96" i="24"/>
  <c r="J95" i="24"/>
  <c r="I95" i="24"/>
  <c r="J109" i="24" l="1"/>
  <c r="G110" i="24"/>
  <c r="J110" i="24"/>
  <c r="H109" i="24"/>
  <c r="H111" i="24"/>
  <c r="G109" i="24"/>
  <c r="I111" i="24"/>
  <c r="K109" i="24"/>
  <c r="K110" i="24"/>
  <c r="H110" i="24"/>
  <c r="K111" i="24"/>
  <c r="J111" i="24"/>
  <c r="I110" i="24"/>
  <c r="I109" i="24"/>
  <c r="G111" i="24"/>
  <c r="L111" i="23"/>
  <c r="H199" i="26" l="1"/>
  <c r="I199" i="26"/>
  <c r="J199" i="26"/>
  <c r="K199" i="26"/>
  <c r="L199" i="26"/>
  <c r="M199" i="26"/>
  <c r="N199" i="26"/>
  <c r="O199" i="26"/>
  <c r="P199" i="26"/>
  <c r="Q199" i="26"/>
  <c r="R199" i="26"/>
  <c r="S199" i="26"/>
  <c r="T199" i="26"/>
  <c r="G199" i="26"/>
  <c r="H164" i="26"/>
  <c r="I164" i="26"/>
  <c r="J164" i="26"/>
  <c r="K164" i="26"/>
  <c r="N164" i="26"/>
  <c r="O164" i="26"/>
  <c r="P164" i="26"/>
  <c r="Q164" i="26"/>
  <c r="R164" i="26"/>
  <c r="S164" i="26"/>
  <c r="T164" i="26"/>
  <c r="G164" i="26"/>
  <c r="AZ16" i="24" l="1"/>
  <c r="AZ24" i="24"/>
  <c r="AZ29" i="24"/>
  <c r="AZ37" i="24" s="1"/>
  <c r="AZ21" i="24"/>
  <c r="AZ10" i="24"/>
  <c r="AZ25" i="24"/>
  <c r="AZ39" i="24"/>
  <c r="AZ50" i="24"/>
  <c r="AZ45" i="24"/>
  <c r="BD10" i="24"/>
  <c r="BD16" i="24"/>
  <c r="BC29" i="24"/>
  <c r="BB10" i="24"/>
  <c r="BA10" i="24"/>
  <c r="BD21" i="24"/>
  <c r="BA50" i="24"/>
  <c r="BC21" i="24"/>
  <c r="BA24" i="24"/>
  <c r="BB25" i="24"/>
  <c r="BA29" i="24"/>
  <c r="BB24" i="24"/>
  <c r="BB16" i="24"/>
  <c r="BD29" i="24"/>
  <c r="BD45" i="24"/>
  <c r="BA39" i="24"/>
  <c r="BD24" i="24"/>
  <c r="BA25" i="24"/>
  <c r="BC25" i="24"/>
  <c r="BA16" i="24"/>
  <c r="BC39" i="24"/>
  <c r="BD25" i="24"/>
  <c r="BA45" i="24"/>
  <c r="BC10" i="24"/>
  <c r="BC24" i="24"/>
  <c r="BB29" i="24"/>
  <c r="BB21" i="24"/>
  <c r="BC45" i="24"/>
  <c r="BC50" i="24"/>
  <c r="BA21" i="24"/>
  <c r="BC16" i="24"/>
  <c r="BD39" i="24"/>
  <c r="BD50" i="24"/>
  <c r="BB39" i="24"/>
  <c r="BB50" i="24"/>
  <c r="BB45" i="24"/>
  <c r="BC289" i="24"/>
  <c r="BC294" i="24"/>
  <c r="BB294" i="24"/>
  <c r="BC290" i="24"/>
  <c r="BD300" i="24"/>
  <c r="BB291" i="24"/>
  <c r="BD292" i="24"/>
  <c r="BC300" i="24"/>
  <c r="BA294" i="24"/>
  <c r="BD290" i="24"/>
  <c r="BB300" i="24"/>
  <c r="BB293" i="24"/>
  <c r="BA292" i="24"/>
  <c r="BA300" i="24"/>
  <c r="BA291" i="24"/>
  <c r="BC293" i="24"/>
  <c r="BA289" i="24"/>
  <c r="BB289" i="24"/>
  <c r="BD293" i="24"/>
  <c r="BA293" i="24"/>
  <c r="BD291" i="24"/>
  <c r="BD289" i="24"/>
  <c r="BA290" i="24"/>
  <c r="BB290" i="24"/>
  <c r="BB292" i="24"/>
  <c r="BB174" i="24" s="1"/>
  <c r="BD294" i="24"/>
  <c r="BC292" i="24"/>
  <c r="BC291" i="24"/>
  <c r="N75" i="26"/>
  <c r="O75" i="26" s="1"/>
  <c r="P75" i="26" s="1"/>
  <c r="Q75" i="26" s="1"/>
  <c r="R75" i="26" s="1"/>
  <c r="S75" i="26" s="1"/>
  <c r="T75" i="26" s="1"/>
  <c r="U75" i="26" s="1"/>
  <c r="V75" i="26" s="1"/>
  <c r="H70" i="26"/>
  <c r="I70" i="26"/>
  <c r="J70" i="26"/>
  <c r="K70" i="26"/>
  <c r="L70" i="26"/>
  <c r="M70" i="26"/>
  <c r="N70" i="26"/>
  <c r="O70" i="26"/>
  <c r="P70" i="26"/>
  <c r="Q70" i="26"/>
  <c r="G70" i="26"/>
  <c r="BD185" i="24" l="1"/>
  <c r="BA275" i="24"/>
  <c r="BB23" i="24"/>
  <c r="BB26" i="24" s="1"/>
  <c r="BN26" i="24" s="1"/>
  <c r="BP16" i="24"/>
  <c r="BC174" i="24"/>
  <c r="AZ23" i="24"/>
  <c r="AZ26" i="24" s="1"/>
  <c r="BC173" i="24"/>
  <c r="BN23" i="24"/>
  <c r="BD23" i="24"/>
  <c r="BP23" i="24" s="1"/>
  <c r="BC23" i="24"/>
  <c r="BO23" i="24" s="1"/>
  <c r="BA23" i="24"/>
  <c r="BM23" i="24" s="1"/>
  <c r="BC48" i="24"/>
  <c r="BO48" i="24" s="1"/>
  <c r="BO39" i="24"/>
  <c r="BC269" i="24"/>
  <c r="BM16" i="24"/>
  <c r="BN50" i="24"/>
  <c r="BB275" i="24"/>
  <c r="BB48" i="24"/>
  <c r="BN48" i="24" s="1"/>
  <c r="BN39" i="24"/>
  <c r="BB269" i="24"/>
  <c r="BP50" i="24"/>
  <c r="BD275" i="24"/>
  <c r="BO16" i="24"/>
  <c r="BC265" i="24"/>
  <c r="BC266" i="24"/>
  <c r="BO22" i="24"/>
  <c r="BC255" i="24"/>
  <c r="BD215" i="24"/>
  <c r="BD267" i="24"/>
  <c r="BP24" i="24"/>
  <c r="BA48" i="24"/>
  <c r="BM48" i="24" s="1"/>
  <c r="BA269" i="24"/>
  <c r="BM39" i="24"/>
  <c r="BD37" i="24"/>
  <c r="BD64" i="24"/>
  <c r="BD63" i="24" s="1"/>
  <c r="BN16" i="24"/>
  <c r="BC273" i="24"/>
  <c r="BO45" i="24"/>
  <c r="BN24" i="24"/>
  <c r="BB267" i="24"/>
  <c r="BB215" i="24"/>
  <c r="AZ288" i="24"/>
  <c r="BD62" i="24"/>
  <c r="BP21" i="24"/>
  <c r="BD265" i="24"/>
  <c r="BB288" i="24"/>
  <c r="BB254" i="24" s="1"/>
  <c r="BB61" i="24"/>
  <c r="BN10" i="24"/>
  <c r="BC272" i="24"/>
  <c r="BO25" i="24"/>
  <c r="BA174" i="24"/>
  <c r="BD288" i="24"/>
  <c r="BD254" i="24" s="1"/>
  <c r="BD61" i="24"/>
  <c r="BP10" i="24"/>
  <c r="AZ48" i="24"/>
  <c r="BD174" i="24"/>
  <c r="BB62" i="24"/>
  <c r="BN21" i="24"/>
  <c r="BB265" i="24"/>
  <c r="BA37" i="24"/>
  <c r="BA64" i="24"/>
  <c r="BA63" i="24" s="1"/>
  <c r="BM29" i="24"/>
  <c r="BA273" i="24"/>
  <c r="BM45" i="24"/>
  <c r="BP25" i="24"/>
  <c r="BD272" i="24"/>
  <c r="BB273" i="24"/>
  <c r="BN45" i="24"/>
  <c r="BD48" i="24"/>
  <c r="BP48" i="24" s="1"/>
  <c r="BP39" i="24"/>
  <c r="BD269" i="24"/>
  <c r="BO50" i="24"/>
  <c r="BC275" i="24"/>
  <c r="BP29" i="24"/>
  <c r="BD266" i="24"/>
  <c r="BD255" i="24"/>
  <c r="BP22" i="24"/>
  <c r="BB173" i="24"/>
  <c r="BB175" i="24" s="1"/>
  <c r="BB37" i="24"/>
  <c r="BB64" i="24"/>
  <c r="BB63" i="24" s="1"/>
  <c r="BN29" i="24"/>
  <c r="BB272" i="24"/>
  <c r="BM50" i="24"/>
  <c r="BM22" i="24"/>
  <c r="BA266" i="24"/>
  <c r="BA255" i="24"/>
  <c r="BC185" i="24"/>
  <c r="BC64" i="24"/>
  <c r="BC63" i="24" s="1"/>
  <c r="BC37" i="24"/>
  <c r="BO29" i="24"/>
  <c r="BA272" i="24"/>
  <c r="BM25" i="24"/>
  <c r="BD20" i="24"/>
  <c r="BB185" i="24"/>
  <c r="BD273" i="24"/>
  <c r="BP45" i="24"/>
  <c r="BD173" i="24"/>
  <c r="BO24" i="24"/>
  <c r="BC267" i="24"/>
  <c r="BC215" i="24"/>
  <c r="BM24" i="24"/>
  <c r="BA267" i="24"/>
  <c r="BA215" i="24"/>
  <c r="BN25" i="24"/>
  <c r="BB266" i="24"/>
  <c r="BB255" i="24"/>
  <c r="BN22" i="24"/>
  <c r="BA61" i="24"/>
  <c r="BA288" i="24"/>
  <c r="BA254" i="24" s="1"/>
  <c r="BM10" i="24"/>
  <c r="BA173" i="24"/>
  <c r="BA62" i="24"/>
  <c r="BM21" i="24"/>
  <c r="BA265" i="24"/>
  <c r="BA185" i="24"/>
  <c r="BC288" i="24"/>
  <c r="BC254" i="24" s="1"/>
  <c r="BC61" i="24"/>
  <c r="BO10" i="24"/>
  <c r="BC62" i="24"/>
  <c r="BO21" i="24"/>
  <c r="AZ20" i="24"/>
  <c r="BB20" i="24"/>
  <c r="BC20" i="24"/>
  <c r="BA20" i="24"/>
  <c r="T94" i="26"/>
  <c r="S94" i="26"/>
  <c r="R94" i="26"/>
  <c r="Q94" i="26"/>
  <c r="P94" i="26"/>
  <c r="O94" i="26"/>
  <c r="N94" i="26"/>
  <c r="M94" i="26"/>
  <c r="L94" i="26"/>
  <c r="K94" i="26"/>
  <c r="J94" i="26"/>
  <c r="H94" i="26"/>
  <c r="I94" i="26"/>
  <c r="G94" i="26"/>
  <c r="H87" i="26"/>
  <c r="I87" i="26"/>
  <c r="J87" i="26"/>
  <c r="K87" i="26"/>
  <c r="L87" i="26"/>
  <c r="M87" i="26"/>
  <c r="N87" i="26"/>
  <c r="O87" i="26"/>
  <c r="P87" i="26"/>
  <c r="Q87" i="26"/>
  <c r="R87" i="26"/>
  <c r="S87" i="26"/>
  <c r="T87" i="26"/>
  <c r="G87" i="26"/>
  <c r="BC26" i="24" l="1"/>
  <c r="BD26" i="24"/>
  <c r="BA26" i="24"/>
  <c r="BP26" i="24"/>
  <c r="BC175" i="24"/>
  <c r="BO26" i="24"/>
  <c r="BM26" i="24"/>
  <c r="L302" i="24"/>
  <c r="L183" i="24" s="1"/>
  <c r="N302" i="24"/>
  <c r="N183" i="24" s="1"/>
  <c r="M302" i="24"/>
  <c r="M183" i="24" s="1"/>
  <c r="O302" i="24"/>
  <c r="O183" i="24" s="1"/>
  <c r="F302" i="24"/>
  <c r="BD176" i="24"/>
  <c r="BC60" i="24"/>
  <c r="BC67" i="24" s="1"/>
  <c r="BD214" i="24"/>
  <c r="BD264" i="24"/>
  <c r="BD60" i="24"/>
  <c r="BD67" i="24" s="1"/>
  <c r="BD70" i="24" s="1"/>
  <c r="BD175" i="24"/>
  <c r="BA175" i="24"/>
  <c r="BN37" i="24"/>
  <c r="BB268" i="24"/>
  <c r="BB60" i="24"/>
  <c r="BB67" i="24" s="1"/>
  <c r="AZ302" i="24"/>
  <c r="BB302" i="24"/>
  <c r="BD302" i="24"/>
  <c r="BA302" i="24"/>
  <c r="BC302" i="24"/>
  <c r="BP20" i="24"/>
  <c r="BA60" i="24"/>
  <c r="BA67" i="24" s="1"/>
  <c r="BA70" i="24" s="1"/>
  <c r="BA268" i="24"/>
  <c r="BM37" i="24"/>
  <c r="BP37" i="24"/>
  <c r="BD268" i="24"/>
  <c r="BO37" i="24"/>
  <c r="BC268" i="24"/>
  <c r="BB27" i="24"/>
  <c r="BB264" i="24"/>
  <c r="BN20" i="24"/>
  <c r="BB176" i="24"/>
  <c r="BB214" i="24"/>
  <c r="BA264" i="24"/>
  <c r="BM20" i="24"/>
  <c r="BA176" i="24"/>
  <c r="BA214" i="24"/>
  <c r="BC27" i="24"/>
  <c r="BC264" i="24"/>
  <c r="BO20" i="24"/>
  <c r="BC176" i="24"/>
  <c r="BC214" i="24"/>
  <c r="AC302" i="24"/>
  <c r="AD302" i="24"/>
  <c r="AE302" i="24"/>
  <c r="AB302" i="24"/>
  <c r="AE50" i="24"/>
  <c r="AB45" i="24"/>
  <c r="AD40" i="24"/>
  <c r="AB37" i="24"/>
  <c r="AD28" i="24"/>
  <c r="AB25" i="24"/>
  <c r="AD19" i="24"/>
  <c r="AB16" i="24"/>
  <c r="AD10" i="24"/>
  <c r="AC29" i="24"/>
  <c r="AE14" i="24"/>
  <c r="AC51" i="24"/>
  <c r="AD14" i="24"/>
  <c r="AE27" i="24"/>
  <c r="AC14" i="24"/>
  <c r="AE49" i="24"/>
  <c r="AD50" i="24"/>
  <c r="AE43" i="24"/>
  <c r="AC40" i="24"/>
  <c r="AE35" i="24"/>
  <c r="AC28" i="24"/>
  <c r="AE22" i="24"/>
  <c r="AC19" i="24"/>
  <c r="AE13" i="24"/>
  <c r="AC10" i="24"/>
  <c r="AC20" i="24"/>
  <c r="AC44" i="24"/>
  <c r="AE18" i="24"/>
  <c r="AB44" i="24"/>
  <c r="AD18" i="24"/>
  <c r="AE53" i="24"/>
  <c r="AC50" i="24"/>
  <c r="AD43" i="24"/>
  <c r="AB40" i="24"/>
  <c r="AD35" i="24"/>
  <c r="AB28" i="24"/>
  <c r="AD22" i="24"/>
  <c r="AB19" i="24"/>
  <c r="AD13" i="24"/>
  <c r="AB10" i="24"/>
  <c r="AB51" i="24"/>
  <c r="AC36" i="24"/>
  <c r="AB36" i="24"/>
  <c r="AD53" i="24"/>
  <c r="AB50" i="24"/>
  <c r="AE48" i="24"/>
  <c r="AC43" i="24"/>
  <c r="AE38" i="24"/>
  <c r="AC35" i="24"/>
  <c r="AE26" i="24"/>
  <c r="AC22" i="24"/>
  <c r="AE17" i="24"/>
  <c r="AC13" i="24"/>
  <c r="AC41" i="24"/>
  <c r="AB41" i="24"/>
  <c r="AB29" i="24"/>
  <c r="AD24" i="24"/>
  <c r="AB11" i="24"/>
  <c r="AC24" i="24"/>
  <c r="AB14" i="24"/>
  <c r="AC53" i="24"/>
  <c r="AD48" i="24"/>
  <c r="AB43" i="24"/>
  <c r="AD38" i="24"/>
  <c r="AB35" i="24"/>
  <c r="AD26" i="24"/>
  <c r="AB22" i="24"/>
  <c r="AD17" i="24"/>
  <c r="AB13" i="24"/>
  <c r="AD51" i="24"/>
  <c r="AE24" i="24"/>
  <c r="AC11" i="24"/>
  <c r="AB20" i="24"/>
  <c r="AB53" i="24"/>
  <c r="AC48" i="24"/>
  <c r="AE41" i="24"/>
  <c r="AC38" i="24"/>
  <c r="AE29" i="24"/>
  <c r="AC26" i="24"/>
  <c r="AE20" i="24"/>
  <c r="AC17" i="24"/>
  <c r="AE11" i="24"/>
  <c r="AD36" i="24"/>
  <c r="AE39" i="24"/>
  <c r="AD27" i="24"/>
  <c r="AE51" i="24"/>
  <c r="AB48" i="24"/>
  <c r="AD41" i="24"/>
  <c r="AB38" i="24"/>
  <c r="AD29" i="24"/>
  <c r="AB26" i="24"/>
  <c r="AD20" i="24"/>
  <c r="AB17" i="24"/>
  <c r="AD11" i="24"/>
  <c r="AE44" i="24"/>
  <c r="AE36" i="24"/>
  <c r="AD44" i="24"/>
  <c r="AD39" i="24"/>
  <c r="AB24" i="24"/>
  <c r="AB49" i="24"/>
  <c r="AB42" i="24"/>
  <c r="AC37" i="24"/>
  <c r="AC27" i="24"/>
  <c r="AD21" i="24"/>
  <c r="AE16" i="24"/>
  <c r="AB52" i="24"/>
  <c r="AD25" i="24"/>
  <c r="AE42" i="24"/>
  <c r="AD49" i="24"/>
  <c r="AC42" i="24"/>
  <c r="AB27" i="24"/>
  <c r="AC21" i="24"/>
  <c r="AD16" i="24"/>
  <c r="AE10" i="24"/>
  <c r="AD52" i="24"/>
  <c r="AE34" i="24"/>
  <c r="AC39" i="24"/>
  <c r="AE12" i="24"/>
  <c r="AB34" i="24"/>
  <c r="AD12" i="24"/>
  <c r="AC12" i="24"/>
  <c r="AB12" i="24"/>
  <c r="AB21" i="24"/>
  <c r="AC16" i="24"/>
  <c r="AD45" i="24"/>
  <c r="AC45" i="24"/>
  <c r="AE25" i="24"/>
  <c r="AC34" i="24"/>
  <c r="AE37" i="24"/>
  <c r="AE28" i="24"/>
  <c r="AE52" i="24"/>
  <c r="AE45" i="24"/>
  <c r="AC52" i="24"/>
  <c r="AC25" i="24"/>
  <c r="AB18" i="24"/>
  <c r="AE40" i="24"/>
  <c r="AD34" i="24"/>
  <c r="AB39" i="24"/>
  <c r="AE19" i="24"/>
  <c r="AC18" i="24"/>
  <c r="AD42" i="24"/>
  <c r="AC49" i="24"/>
  <c r="AE21" i="24"/>
  <c r="AD37" i="24"/>
  <c r="K39" i="26"/>
  <c r="L39" i="26"/>
  <c r="M39" i="26"/>
  <c r="N39" i="26"/>
  <c r="O39" i="26"/>
  <c r="P39" i="26"/>
  <c r="Q39" i="26"/>
  <c r="J39" i="26"/>
  <c r="J38" i="26"/>
  <c r="K38" i="26"/>
  <c r="AB38" i="26" s="1"/>
  <c r="L38" i="26"/>
  <c r="AC38" i="26" s="1"/>
  <c r="M38" i="26"/>
  <c r="AD38" i="26" s="1"/>
  <c r="N38" i="26"/>
  <c r="AE38" i="26" s="1"/>
  <c r="O38" i="26"/>
  <c r="AF38" i="26" s="1"/>
  <c r="P38" i="26"/>
  <c r="AG38" i="26" s="1"/>
  <c r="Q38" i="26"/>
  <c r="AH38" i="26" s="1"/>
  <c r="R38" i="26"/>
  <c r="AI38" i="26" s="1"/>
  <c r="S38" i="26"/>
  <c r="AJ38" i="26" s="1"/>
  <c r="T38" i="26"/>
  <c r="AK38" i="26" s="1"/>
  <c r="Q22" i="26"/>
  <c r="BD27" i="24" l="1"/>
  <c r="BA27" i="24"/>
  <c r="BB277" i="24"/>
  <c r="BB278" i="24" s="1"/>
  <c r="AB23" i="24"/>
  <c r="AC23" i="24"/>
  <c r="BD221" i="24"/>
  <c r="AE23" i="24"/>
  <c r="BD277" i="24"/>
  <c r="BD278" i="24" s="1"/>
  <c r="BB69" i="24"/>
  <c r="BD220" i="24"/>
  <c r="AD23" i="24"/>
  <c r="BB221" i="24"/>
  <c r="BC70" i="24"/>
  <c r="BC69" i="24"/>
  <c r="BB220" i="24"/>
  <c r="BB70" i="24"/>
  <c r="BC277" i="24"/>
  <c r="BC278" i="24" s="1"/>
  <c r="AA38" i="26"/>
  <c r="O295" i="6"/>
  <c r="O292" i="6"/>
  <c r="O291" i="6"/>
  <c r="O289" i="6"/>
  <c r="O294" i="6"/>
  <c r="O296" i="6"/>
  <c r="O293" i="6"/>
  <c r="O290" i="6"/>
  <c r="N295" i="6"/>
  <c r="J293" i="6"/>
  <c r="L293" i="6"/>
  <c r="M295" i="6"/>
  <c r="L294" i="6"/>
  <c r="N294" i="6"/>
  <c r="J290" i="6"/>
  <c r="L290" i="6"/>
  <c r="K294" i="6"/>
  <c r="M289" i="6"/>
  <c r="L289" i="6"/>
  <c r="K292" i="6"/>
  <c r="K295" i="6"/>
  <c r="M290" i="6"/>
  <c r="N292" i="6"/>
  <c r="J295" i="6"/>
  <c r="L295" i="6"/>
  <c r="M292" i="6"/>
  <c r="L291" i="6"/>
  <c r="N289" i="6"/>
  <c r="J292" i="6"/>
  <c r="K290" i="6"/>
  <c r="N291" i="6"/>
  <c r="J294" i="6"/>
  <c r="K296" i="6"/>
  <c r="M294" i="6"/>
  <c r="K291" i="6"/>
  <c r="N296" i="6"/>
  <c r="J291" i="6"/>
  <c r="K289" i="6"/>
  <c r="N290" i="6"/>
  <c r="L292" i="6"/>
  <c r="L296" i="6"/>
  <c r="N293" i="6"/>
  <c r="J289" i="6"/>
  <c r="K293" i="6"/>
  <c r="J296" i="6"/>
  <c r="M296" i="6"/>
  <c r="M291" i="6"/>
  <c r="M293" i="6"/>
  <c r="BA277" i="24"/>
  <c r="BA278" i="24" s="1"/>
  <c r="BD69" i="24"/>
  <c r="BA49" i="24"/>
  <c r="BM27" i="24"/>
  <c r="BC221" i="24"/>
  <c r="BC220" i="24"/>
  <c r="BC49" i="24"/>
  <c r="BO27" i="24"/>
  <c r="BB49" i="24"/>
  <c r="BN27" i="24"/>
  <c r="AD66" i="24"/>
  <c r="AD64" i="24"/>
  <c r="AE62" i="24"/>
  <c r="AE298" i="24"/>
  <c r="AC66" i="24"/>
  <c r="AC62" i="24"/>
  <c r="AE65" i="24"/>
  <c r="AB66" i="24"/>
  <c r="AE61" i="24"/>
  <c r="AE288" i="24"/>
  <c r="AE253" i="24" s="1"/>
  <c r="AC65" i="24"/>
  <c r="AE64" i="24"/>
  <c r="AC214" i="24"/>
  <c r="AC288" i="24"/>
  <c r="AC253" i="24" s="1"/>
  <c r="AC61" i="24"/>
  <c r="AC298" i="24"/>
  <c r="AB214" i="24"/>
  <c r="AE214" i="24"/>
  <c r="AB65" i="24"/>
  <c r="AD298" i="24"/>
  <c r="AC64" i="24"/>
  <c r="AE66" i="24"/>
  <c r="AB298" i="24"/>
  <c r="AB62" i="24"/>
  <c r="AB288" i="24"/>
  <c r="AB253" i="24" s="1"/>
  <c r="AB61" i="24"/>
  <c r="AD214" i="24"/>
  <c r="AD288" i="24"/>
  <c r="AD253" i="24" s="1"/>
  <c r="AD61" i="24"/>
  <c r="AD62" i="24"/>
  <c r="AD65" i="24"/>
  <c r="AB64" i="24"/>
  <c r="AD39" i="26"/>
  <c r="M40" i="26"/>
  <c r="AD40" i="26" s="1"/>
  <c r="AD46" i="26"/>
  <c r="AD47" i="26"/>
  <c r="O40" i="26"/>
  <c r="AF40" i="26" s="1"/>
  <c r="AF39" i="26"/>
  <c r="AF46" i="26"/>
  <c r="AF47" i="26"/>
  <c r="K40" i="26"/>
  <c r="AB40" i="26" s="1"/>
  <c r="AB39" i="26"/>
  <c r="AB47" i="26"/>
  <c r="AB46" i="26"/>
  <c r="AC39" i="26"/>
  <c r="L40" i="26"/>
  <c r="AC40" i="26" s="1"/>
  <c r="AC46" i="26"/>
  <c r="AC47" i="26"/>
  <c r="N40" i="26"/>
  <c r="AE40" i="26" s="1"/>
  <c r="AE39" i="26"/>
  <c r="AE46" i="26"/>
  <c r="AE47" i="26"/>
  <c r="AH40" i="26"/>
  <c r="AH45" i="26"/>
  <c r="AH47" i="26"/>
  <c r="AH44" i="26"/>
  <c r="AH42" i="26"/>
  <c r="AH39" i="26"/>
  <c r="AH43" i="26"/>
  <c r="AH46" i="26"/>
  <c r="AH41" i="26"/>
  <c r="AA39" i="26"/>
  <c r="J40" i="26"/>
  <c r="AA40" i="26" s="1"/>
  <c r="AA46" i="26"/>
  <c r="AA47" i="26"/>
  <c r="AG41" i="26"/>
  <c r="AG40" i="26"/>
  <c r="AG39" i="26"/>
  <c r="AG43" i="26"/>
  <c r="AG47" i="26"/>
  <c r="AG45" i="26"/>
  <c r="AG46" i="26"/>
  <c r="AG44" i="26"/>
  <c r="AG42" i="26"/>
  <c r="Q15" i="26"/>
  <c r="Q19" i="26" s="1"/>
  <c r="BP27" i="24" l="1"/>
  <c r="BD49" i="24"/>
  <c r="Q58" i="26"/>
  <c r="Q63" i="26" s="1"/>
  <c r="Q65" i="26" s="1"/>
  <c r="K148" i="25"/>
  <c r="K288" i="6"/>
  <c r="M288" i="6"/>
  <c r="AB60" i="24"/>
  <c r="O288" i="6"/>
  <c r="AA294" i="6" s="1"/>
  <c r="N288" i="6"/>
  <c r="L288" i="6"/>
  <c r="AE221" i="24"/>
  <c r="AD60" i="24"/>
  <c r="AE60" i="24"/>
  <c r="BC53" i="24"/>
  <c r="BC183" i="24" s="1"/>
  <c r="BC182" i="24" s="1"/>
  <c r="BO49" i="24"/>
  <c r="AC60" i="24"/>
  <c r="AB63" i="24"/>
  <c r="BA53" i="24"/>
  <c r="BA183" i="24" s="1"/>
  <c r="BA182" i="24" s="1"/>
  <c r="BM49" i="24"/>
  <c r="AD221" i="24"/>
  <c r="BB53" i="24"/>
  <c r="BB183" i="24" s="1"/>
  <c r="BB182" i="24" s="1"/>
  <c r="BN49" i="24"/>
  <c r="AD63" i="24"/>
  <c r="AC63" i="24"/>
  <c r="AE63" i="24"/>
  <c r="F181" i="6"/>
  <c r="G181" i="6"/>
  <c r="H181" i="6"/>
  <c r="I181" i="6"/>
  <c r="AA295" i="6" l="1"/>
  <c r="AA296" i="6"/>
  <c r="AA291" i="6"/>
  <c r="AA290" i="6"/>
  <c r="AA289" i="6"/>
  <c r="AA288" i="6" s="1"/>
  <c r="AA293" i="6"/>
  <c r="AA292" i="6"/>
  <c r="Q288" i="6"/>
  <c r="BD53" i="24"/>
  <c r="BP49" i="24"/>
  <c r="AB67" i="24"/>
  <c r="AB70" i="24" s="1"/>
  <c r="AD67" i="24"/>
  <c r="AD70" i="24" s="1"/>
  <c r="BC54" i="24"/>
  <c r="BO53" i="24"/>
  <c r="BC253" i="24"/>
  <c r="BC256" i="24" s="1"/>
  <c r="BC179" i="24"/>
  <c r="BC180" i="24"/>
  <c r="BA54" i="24"/>
  <c r="BA179" i="24"/>
  <c r="BA253" i="24"/>
  <c r="BA256" i="24" s="1"/>
  <c r="BM53" i="24"/>
  <c r="BA180" i="24"/>
  <c r="BB54" i="24"/>
  <c r="BB179" i="24"/>
  <c r="BB253" i="24"/>
  <c r="BB256" i="24" s="1"/>
  <c r="BN53" i="24"/>
  <c r="BB180" i="24"/>
  <c r="AE67" i="24"/>
  <c r="AE69" i="24" s="1"/>
  <c r="AC67" i="24"/>
  <c r="N161" i="6"/>
  <c r="M161" i="6"/>
  <c r="BD183" i="24" l="1"/>
  <c r="BD182" i="24" s="1"/>
  <c r="BD180" i="24"/>
  <c r="BD54" i="24"/>
  <c r="BD179" i="24"/>
  <c r="BP53" i="24"/>
  <c r="BD253" i="24"/>
  <c r="BD256" i="24" s="1"/>
  <c r="BA257" i="24"/>
  <c r="BC257" i="24"/>
  <c r="BB257" i="24"/>
  <c r="AC69" i="24"/>
  <c r="AD69" i="24"/>
  <c r="AE70" i="24"/>
  <c r="AC70" i="24"/>
  <c r="BD257" i="24" l="1"/>
  <c r="F159" i="23"/>
  <c r="G159" i="23"/>
  <c r="H159" i="23"/>
  <c r="I159" i="23"/>
  <c r="J159" i="23"/>
  <c r="F160" i="23"/>
  <c r="G160" i="23"/>
  <c r="H160" i="23"/>
  <c r="I160" i="23"/>
  <c r="J160" i="23"/>
  <c r="K160" i="23"/>
  <c r="K159" i="23"/>
  <c r="K158" i="23"/>
  <c r="J158" i="23"/>
  <c r="I158" i="23"/>
  <c r="H158" i="23"/>
  <c r="G158" i="23"/>
  <c r="F158" i="23"/>
  <c r="K157" i="23"/>
  <c r="J157" i="23"/>
  <c r="I157" i="23"/>
  <c r="H157" i="23"/>
  <c r="G157" i="23"/>
  <c r="F157" i="23"/>
  <c r="J156" i="23"/>
  <c r="I156" i="23"/>
  <c r="H156" i="23"/>
  <c r="G156" i="23"/>
  <c r="F156" i="23"/>
  <c r="K156" i="23"/>
  <c r="F159" i="25" l="1"/>
  <c r="G159" i="25"/>
  <c r="H159" i="25"/>
  <c r="I159" i="25"/>
  <c r="J159" i="25"/>
  <c r="F160" i="25"/>
  <c r="G160" i="25"/>
  <c r="H160" i="25"/>
  <c r="I160" i="25"/>
  <c r="J160" i="25"/>
  <c r="F161" i="25"/>
  <c r="G161" i="25"/>
  <c r="H161" i="25"/>
  <c r="I161" i="25"/>
  <c r="J161" i="25"/>
  <c r="F162" i="25"/>
  <c r="G162" i="25"/>
  <c r="H162" i="25"/>
  <c r="I162" i="25"/>
  <c r="J162" i="25"/>
  <c r="K162" i="25"/>
  <c r="K161" i="25"/>
  <c r="K160" i="25"/>
  <c r="K159" i="25"/>
  <c r="G112" i="25" l="1"/>
  <c r="G113" i="25" s="1"/>
  <c r="F112" i="25"/>
  <c r="F113" i="25" s="1"/>
  <c r="J107" i="25"/>
  <c r="J108" i="25" s="1"/>
  <c r="F107" i="25"/>
  <c r="F108" i="25" s="1"/>
  <c r="G107" i="25"/>
  <c r="G108" i="25" s="1"/>
  <c r="I112" i="25"/>
  <c r="I113" i="25" s="1"/>
  <c r="J112" i="25"/>
  <c r="J113" i="25" s="1"/>
  <c r="K112" i="25"/>
  <c r="K113" i="25" s="1"/>
  <c r="H112" i="25"/>
  <c r="H113" i="25" s="1"/>
  <c r="H107" i="25"/>
  <c r="H108" i="25" s="1"/>
  <c r="I107" i="25"/>
  <c r="I108" i="25" s="1"/>
  <c r="K107" i="25"/>
  <c r="K108" i="25" s="1"/>
  <c r="K714" i="19" l="1"/>
  <c r="J714" i="19"/>
  <c r="I714" i="19"/>
  <c r="H714" i="19"/>
  <c r="G714" i="19"/>
  <c r="F714" i="19"/>
  <c r="L714" i="19"/>
  <c r="K699" i="19"/>
  <c r="J114" i="24" s="1"/>
  <c r="J699" i="19"/>
  <c r="I114" i="24" s="1"/>
  <c r="I699" i="19"/>
  <c r="H114" i="24" s="1"/>
  <c r="H699" i="19"/>
  <c r="G114" i="24" s="1"/>
  <c r="G699" i="19"/>
  <c r="F699" i="19"/>
  <c r="K698" i="19"/>
  <c r="J113" i="24" s="1"/>
  <c r="J698" i="19"/>
  <c r="I113" i="24" s="1"/>
  <c r="I698" i="19"/>
  <c r="H113" i="24" s="1"/>
  <c r="H698" i="19"/>
  <c r="G113" i="24" s="1"/>
  <c r="G698" i="19"/>
  <c r="F698" i="19"/>
  <c r="L699" i="19"/>
  <c r="K114" i="24" s="1"/>
  <c r="L698" i="19"/>
  <c r="K113" i="24" s="1"/>
  <c r="K693" i="19"/>
  <c r="J108" i="24" s="1"/>
  <c r="J693" i="19"/>
  <c r="I108" i="24" s="1"/>
  <c r="I693" i="19"/>
  <c r="H108" i="24" s="1"/>
  <c r="H693" i="19"/>
  <c r="G108" i="24" s="1"/>
  <c r="G693" i="19"/>
  <c r="F693" i="19"/>
  <c r="L693" i="19"/>
  <c r="K108" i="24" s="1"/>
  <c r="K692" i="19"/>
  <c r="J692" i="19"/>
  <c r="I692" i="19"/>
  <c r="H692" i="19"/>
  <c r="G692" i="19"/>
  <c r="F692" i="19"/>
  <c r="L692" i="19"/>
  <c r="F150" i="23"/>
  <c r="F58" i="25"/>
  <c r="F57" i="25"/>
  <c r="F59" i="25" s="1"/>
  <c r="F54" i="25"/>
  <c r="F53" i="25"/>
  <c r="F55" i="25" s="1"/>
  <c r="J203" i="25"/>
  <c r="J205" i="25" s="1"/>
  <c r="I203" i="25"/>
  <c r="I205" i="25" s="1"/>
  <c r="H203" i="25"/>
  <c r="H205" i="25" s="1"/>
  <c r="G203" i="25"/>
  <c r="G205" i="25" s="1"/>
  <c r="F203" i="25"/>
  <c r="F205" i="25" s="1"/>
  <c r="K203" i="25"/>
  <c r="K205" i="25" s="1"/>
  <c r="K491" i="19"/>
  <c r="J491" i="19"/>
  <c r="I491" i="19"/>
  <c r="H491" i="19"/>
  <c r="G491" i="19"/>
  <c r="F491" i="19"/>
  <c r="L491" i="19"/>
  <c r="L512" i="19"/>
  <c r="K512" i="19"/>
  <c r="J512" i="19"/>
  <c r="I512" i="19"/>
  <c r="H512" i="19"/>
  <c r="F512" i="19"/>
  <c r="L505" i="19"/>
  <c r="K505" i="19"/>
  <c r="J57" i="25" s="1"/>
  <c r="J505" i="19"/>
  <c r="I57" i="25" s="1"/>
  <c r="I59" i="25" s="1"/>
  <c r="I505" i="19"/>
  <c r="H58" i="25" s="1"/>
  <c r="H505" i="19"/>
  <c r="G58" i="25" s="1"/>
  <c r="L498" i="19"/>
  <c r="K498" i="19"/>
  <c r="J498" i="19"/>
  <c r="I498" i="19"/>
  <c r="H498" i="19"/>
  <c r="G54" i="25" s="1"/>
  <c r="K57" i="25" l="1"/>
  <c r="K58" i="25"/>
  <c r="L701" i="19"/>
  <c r="H701" i="19"/>
  <c r="K701" i="19"/>
  <c r="I701" i="19"/>
  <c r="G701" i="19"/>
  <c r="F701" i="19"/>
  <c r="F702" i="19" s="1"/>
  <c r="J701" i="19"/>
  <c r="J702" i="19" s="1"/>
  <c r="K514" i="19"/>
  <c r="H60" i="25"/>
  <c r="H150" i="23" s="1"/>
  <c r="K60" i="25"/>
  <c r="K150" i="23" s="1"/>
  <c r="J53" i="25"/>
  <c r="I58" i="25"/>
  <c r="J60" i="25"/>
  <c r="J150" i="23" s="1"/>
  <c r="J514" i="19"/>
  <c r="K53" i="25"/>
  <c r="G53" i="25"/>
  <c r="G55" i="25" s="1"/>
  <c r="I54" i="25"/>
  <c r="H57" i="25"/>
  <c r="H59" i="25" s="1"/>
  <c r="J58" i="25"/>
  <c r="J59" i="25" s="1"/>
  <c r="G60" i="25"/>
  <c r="G150" i="23" s="1"/>
  <c r="H54" i="25"/>
  <c r="G57" i="25"/>
  <c r="G59" i="25" s="1"/>
  <c r="K54" i="25"/>
  <c r="H53" i="25"/>
  <c r="H55" i="25" s="1"/>
  <c r="J54" i="25"/>
  <c r="K59" i="25"/>
  <c r="I53" i="25"/>
  <c r="I55" i="25" s="1"/>
  <c r="I60" i="25"/>
  <c r="I150" i="23" s="1"/>
  <c r="H514" i="19"/>
  <c r="L514" i="19"/>
  <c r="I514" i="19"/>
  <c r="F202" i="24"/>
  <c r="F196" i="24"/>
  <c r="F195" i="24"/>
  <c r="F194" i="24"/>
  <c r="F193" i="24"/>
  <c r="J55" i="25" l="1"/>
  <c r="K55" i="25"/>
  <c r="F203" i="24"/>
  <c r="G203" i="24"/>
  <c r="I702" i="19"/>
  <c r="H702" i="19"/>
  <c r="K702" i="19"/>
  <c r="L702" i="19"/>
  <c r="G702" i="19"/>
  <c r="L112" i="23" l="1"/>
  <c r="F177" i="23" l="1"/>
  <c r="AD40" i="6" l="1"/>
  <c r="AZ65" i="24"/>
  <c r="AZ66" i="24"/>
  <c r="B233" i="23"/>
  <c r="B232" i="23"/>
  <c r="B231" i="23"/>
  <c r="B230" i="23"/>
  <c r="B229" i="23"/>
  <c r="B228" i="23"/>
  <c r="B227" i="23"/>
  <c r="B226" i="23"/>
  <c r="B225" i="23"/>
  <c r="B224" i="23"/>
  <c r="B223" i="23"/>
  <c r="B222" i="23"/>
  <c r="B221" i="23"/>
  <c r="B220" i="23"/>
  <c r="B219" i="23"/>
  <c r="B218" i="23"/>
  <c r="E536" i="19"/>
  <c r="E535" i="19"/>
  <c r="E534" i="19"/>
  <c r="E530" i="19"/>
  <c r="E529" i="19"/>
  <c r="E528" i="19"/>
  <c r="E527" i="19"/>
  <c r="E524" i="19"/>
  <c r="E523" i="19"/>
  <c r="E522" i="19"/>
  <c r="E521" i="19"/>
  <c r="P26" i="26" l="1"/>
  <c r="P35" i="26" s="1"/>
  <c r="P22" i="26"/>
  <c r="P15" i="26"/>
  <c r="P19" i="26" s="1"/>
  <c r="P58" i="26" l="1"/>
  <c r="P63" i="26" s="1"/>
  <c r="P65" i="26" s="1"/>
  <c r="J148" i="25"/>
  <c r="AF49" i="6"/>
  <c r="AY65" i="24"/>
  <c r="AY66" i="24"/>
  <c r="T69" i="26"/>
  <c r="S69" i="26"/>
  <c r="R69" i="26"/>
  <c r="Q69" i="26"/>
  <c r="P69" i="26"/>
  <c r="O69" i="26"/>
  <c r="N69" i="26"/>
  <c r="M69" i="26"/>
  <c r="L69" i="26"/>
  <c r="K69" i="26"/>
  <c r="J69" i="26"/>
  <c r="I69" i="26"/>
  <c r="H69" i="26"/>
  <c r="G69" i="26"/>
  <c r="H57" i="26"/>
  <c r="I57" i="26"/>
  <c r="J57" i="26"/>
  <c r="K57" i="26"/>
  <c r="L57" i="26"/>
  <c r="M57" i="26"/>
  <c r="N57" i="26"/>
  <c r="O57" i="26"/>
  <c r="P57" i="26"/>
  <c r="Q57" i="26"/>
  <c r="R57" i="26"/>
  <c r="S57" i="26"/>
  <c r="T57" i="26"/>
  <c r="G57" i="26"/>
  <c r="O22" i="26"/>
  <c r="O26" i="26"/>
  <c r="O35" i="26" s="1"/>
  <c r="O15" i="26"/>
  <c r="O19" i="26" s="1"/>
  <c r="L749" i="19"/>
  <c r="L730" i="19"/>
  <c r="K730" i="19"/>
  <c r="J730" i="19"/>
  <c r="I730" i="19"/>
  <c r="H730" i="19"/>
  <c r="G730" i="19"/>
  <c r="J293" i="24"/>
  <c r="I293" i="24"/>
  <c r="H293" i="24"/>
  <c r="G293" i="24"/>
  <c r="F293" i="24"/>
  <c r="K293" i="24"/>
  <c r="AX66" i="24"/>
  <c r="AW66" i="24"/>
  <c r="AV66" i="24"/>
  <c r="AU66" i="24"/>
  <c r="AX65" i="24"/>
  <c r="AW65" i="24"/>
  <c r="AV65" i="24"/>
  <c r="AU65" i="24"/>
  <c r="F296" i="24"/>
  <c r="F295" i="24"/>
  <c r="F292" i="24"/>
  <c r="F291" i="24"/>
  <c r="F290" i="24"/>
  <c r="F289" i="24"/>
  <c r="L109" i="23"/>
  <c r="L115" i="23" s="1"/>
  <c r="L292" i="24" s="1"/>
  <c r="L174" i="24" s="1"/>
  <c r="AF59" i="6"/>
  <c r="AE59" i="6"/>
  <c r="AF38" i="6"/>
  <c r="AE38" i="6"/>
  <c r="AF20" i="6"/>
  <c r="AE20" i="6"/>
  <c r="F300" i="24"/>
  <c r="G300" i="24"/>
  <c r="G182" i="24" s="1"/>
  <c r="J181" i="6"/>
  <c r="K181" i="6"/>
  <c r="G14" i="23"/>
  <c r="G9" i="23" s="1"/>
  <c r="G32" i="23"/>
  <c r="E419" i="19"/>
  <c r="AF30" i="22"/>
  <c r="AG30" i="22"/>
  <c r="T30" i="22"/>
  <c r="U30" i="22"/>
  <c r="AF21" i="22"/>
  <c r="AG21" i="22"/>
  <c r="T21" i="22"/>
  <c r="U21" i="22"/>
  <c r="E54" i="21"/>
  <c r="E170" i="18"/>
  <c r="I167" i="18"/>
  <c r="E158" i="18"/>
  <c r="E157" i="18"/>
  <c r="E156" i="18"/>
  <c r="E155" i="18"/>
  <c r="E154" i="18"/>
  <c r="E153" i="18"/>
  <c r="E172" i="18" s="1"/>
  <c r="E152" i="18"/>
  <c r="E171" i="18"/>
  <c r="E151" i="18"/>
  <c r="E150" i="18"/>
  <c r="E149" i="18"/>
  <c r="E168" i="18" s="1"/>
  <c r="E148" i="18"/>
  <c r="E167" i="18" s="1"/>
  <c r="E147" i="18"/>
  <c r="K158" i="18"/>
  <c r="J158" i="18"/>
  <c r="I158" i="18"/>
  <c r="H158" i="18"/>
  <c r="G158" i="18"/>
  <c r="F158" i="18"/>
  <c r="K157" i="18"/>
  <c r="J157" i="18"/>
  <c r="I157" i="18"/>
  <c r="H157" i="18"/>
  <c r="G157" i="18"/>
  <c r="F157" i="18"/>
  <c r="K156" i="18"/>
  <c r="J156" i="18"/>
  <c r="I156" i="18"/>
  <c r="H156" i="18"/>
  <c r="G156" i="18"/>
  <c r="F156" i="18"/>
  <c r="K155" i="18"/>
  <c r="J155" i="18"/>
  <c r="I155" i="18"/>
  <c r="H155" i="18"/>
  <c r="G155" i="18"/>
  <c r="F155" i="18"/>
  <c r="K154" i="18"/>
  <c r="J154" i="18"/>
  <c r="I154" i="18"/>
  <c r="H154" i="18"/>
  <c r="G154" i="18"/>
  <c r="F154" i="18"/>
  <c r="K153" i="18"/>
  <c r="K172" i="18" s="1"/>
  <c r="J153" i="18"/>
  <c r="I153" i="18"/>
  <c r="I172" i="18" s="1"/>
  <c r="H153" i="18"/>
  <c r="G153" i="18"/>
  <c r="G172" i="18" s="1"/>
  <c r="F153" i="18"/>
  <c r="F172" i="18" s="1"/>
  <c r="K152" i="18"/>
  <c r="J152" i="18"/>
  <c r="J171" i="18" s="1"/>
  <c r="I152" i="18"/>
  <c r="I171" i="18" s="1"/>
  <c r="H152" i="18"/>
  <c r="G152" i="18"/>
  <c r="F152" i="18"/>
  <c r="K151" i="18"/>
  <c r="J151" i="18"/>
  <c r="J170" i="18" s="1"/>
  <c r="I151" i="18"/>
  <c r="I170" i="18" s="1"/>
  <c r="H151" i="18"/>
  <c r="G151" i="18"/>
  <c r="G170" i="18"/>
  <c r="F151" i="18"/>
  <c r="K150" i="18"/>
  <c r="K169" i="18" s="1"/>
  <c r="J150" i="18"/>
  <c r="J169" i="18" s="1"/>
  <c r="I150" i="18"/>
  <c r="H150" i="18"/>
  <c r="H169" i="18" s="1"/>
  <c r="G150" i="18"/>
  <c r="G169" i="18" s="1"/>
  <c r="F150" i="18"/>
  <c r="F169" i="18" s="1"/>
  <c r="K149" i="18"/>
  <c r="K168" i="18" s="1"/>
  <c r="J149" i="18"/>
  <c r="I149" i="18"/>
  <c r="I168" i="18"/>
  <c r="H149" i="18"/>
  <c r="G149" i="18"/>
  <c r="G168" i="18" s="1"/>
  <c r="F149" i="18"/>
  <c r="F168" i="18"/>
  <c r="K148" i="18"/>
  <c r="J148" i="18"/>
  <c r="J167" i="18" s="1"/>
  <c r="I148" i="18"/>
  <c r="H148" i="18"/>
  <c r="G148" i="18"/>
  <c r="G167" i="18" s="1"/>
  <c r="F148" i="18"/>
  <c r="J147" i="18"/>
  <c r="I147" i="18"/>
  <c r="H147" i="18"/>
  <c r="G147" i="18"/>
  <c r="F147" i="18"/>
  <c r="K147" i="18"/>
  <c r="B158" i="18"/>
  <c r="B157" i="18"/>
  <c r="B156" i="18"/>
  <c r="B155" i="18"/>
  <c r="B154" i="18"/>
  <c r="B153" i="18"/>
  <c r="B152" i="18"/>
  <c r="B151" i="18"/>
  <c r="B150" i="18"/>
  <c r="B149" i="18"/>
  <c r="B148" i="18"/>
  <c r="B147" i="18"/>
  <c r="F171" i="18"/>
  <c r="F167" i="18"/>
  <c r="I169" i="18"/>
  <c r="G171" i="18"/>
  <c r="K171" i="18"/>
  <c r="E486" i="17"/>
  <c r="F486" i="17"/>
  <c r="G486" i="17"/>
  <c r="H486" i="17"/>
  <c r="I486" i="17"/>
  <c r="J486" i="17"/>
  <c r="K486" i="17"/>
  <c r="E454" i="17"/>
  <c r="F454" i="17"/>
  <c r="G454" i="17"/>
  <c r="H454" i="17"/>
  <c r="I454" i="17"/>
  <c r="J454" i="17"/>
  <c r="K454" i="17"/>
  <c r="E441" i="17"/>
  <c r="F441" i="17"/>
  <c r="G441" i="17"/>
  <c r="H441" i="17"/>
  <c r="I441" i="17"/>
  <c r="J441" i="17"/>
  <c r="K441" i="17"/>
  <c r="E376" i="17"/>
  <c r="F376" i="17"/>
  <c r="G376" i="17"/>
  <c r="H376" i="17"/>
  <c r="I376" i="17"/>
  <c r="J376" i="17"/>
  <c r="K376" i="17"/>
  <c r="E366" i="17"/>
  <c r="F366" i="17"/>
  <c r="G366" i="17"/>
  <c r="H366" i="17"/>
  <c r="I366" i="17"/>
  <c r="J366" i="17"/>
  <c r="K366" i="17"/>
  <c r="E348" i="17"/>
  <c r="F348" i="17"/>
  <c r="G348" i="17"/>
  <c r="H348" i="17"/>
  <c r="I348" i="17"/>
  <c r="J348" i="17"/>
  <c r="K348" i="17"/>
  <c r="E332" i="17"/>
  <c r="F332" i="17"/>
  <c r="G332" i="17"/>
  <c r="H332" i="17"/>
  <c r="I332" i="17"/>
  <c r="J332" i="17"/>
  <c r="K332" i="17"/>
  <c r="E324" i="17"/>
  <c r="F324" i="17"/>
  <c r="G324" i="17"/>
  <c r="H324" i="17"/>
  <c r="I324" i="17"/>
  <c r="J324" i="17"/>
  <c r="K324" i="17"/>
  <c r="E314" i="17"/>
  <c r="F314" i="17"/>
  <c r="G314" i="17"/>
  <c r="H314" i="17"/>
  <c r="I314" i="17"/>
  <c r="J314" i="17"/>
  <c r="K314" i="17"/>
  <c r="E302" i="17"/>
  <c r="F302" i="17"/>
  <c r="G302" i="17"/>
  <c r="H302" i="17"/>
  <c r="I302" i="17"/>
  <c r="J302" i="17"/>
  <c r="K302" i="17"/>
  <c r="E290" i="17"/>
  <c r="F290" i="17"/>
  <c r="G290" i="17"/>
  <c r="H290" i="17"/>
  <c r="I290" i="17"/>
  <c r="J290" i="17"/>
  <c r="K290" i="17"/>
  <c r="E280" i="17"/>
  <c r="F280" i="17"/>
  <c r="G280" i="17"/>
  <c r="H280" i="17"/>
  <c r="I280" i="17"/>
  <c r="J280" i="17"/>
  <c r="K280" i="17"/>
  <c r="E258" i="17"/>
  <c r="F258" i="17"/>
  <c r="G258" i="17"/>
  <c r="H258" i="17"/>
  <c r="I258" i="17"/>
  <c r="J258" i="17"/>
  <c r="K258" i="17"/>
  <c r="E237" i="17"/>
  <c r="F237" i="17"/>
  <c r="G237" i="17"/>
  <c r="H237" i="17"/>
  <c r="I237" i="17"/>
  <c r="J237" i="17"/>
  <c r="K237" i="17"/>
  <c r="E217" i="17"/>
  <c r="F217" i="17"/>
  <c r="G217" i="17"/>
  <c r="H217" i="17"/>
  <c r="I217" i="17"/>
  <c r="J217" i="17"/>
  <c r="K217" i="17"/>
  <c r="E207" i="17"/>
  <c r="F207" i="17"/>
  <c r="G207" i="17"/>
  <c r="H207" i="17"/>
  <c r="I207" i="17"/>
  <c r="J207" i="17"/>
  <c r="K207" i="17"/>
  <c r="E185" i="17"/>
  <c r="F185" i="17"/>
  <c r="G185" i="17"/>
  <c r="H185" i="17"/>
  <c r="I185" i="17"/>
  <c r="J185" i="17"/>
  <c r="K185" i="17"/>
  <c r="E167" i="17"/>
  <c r="F167" i="17"/>
  <c r="G167" i="17"/>
  <c r="H167" i="17"/>
  <c r="I167" i="17"/>
  <c r="J167" i="17"/>
  <c r="K167" i="17"/>
  <c r="E146" i="17"/>
  <c r="F146" i="17"/>
  <c r="G146" i="17"/>
  <c r="H146" i="17"/>
  <c r="I146" i="17"/>
  <c r="J146" i="17"/>
  <c r="K146" i="17"/>
  <c r="E138" i="17"/>
  <c r="F138" i="17"/>
  <c r="G138" i="17"/>
  <c r="H138" i="17"/>
  <c r="I138" i="17"/>
  <c r="J138" i="17"/>
  <c r="K138" i="17"/>
  <c r="E132" i="17"/>
  <c r="F132" i="17"/>
  <c r="G132" i="17"/>
  <c r="H132" i="17"/>
  <c r="I132" i="17"/>
  <c r="J132" i="17"/>
  <c r="K132" i="17"/>
  <c r="E100" i="17"/>
  <c r="F100" i="17"/>
  <c r="G100" i="17"/>
  <c r="H100" i="17"/>
  <c r="I100" i="17"/>
  <c r="J100" i="17"/>
  <c r="K100" i="17"/>
  <c r="E55" i="17"/>
  <c r="F55" i="17"/>
  <c r="G55" i="17"/>
  <c r="H55" i="17"/>
  <c r="I55" i="17"/>
  <c r="J55" i="17"/>
  <c r="K55" i="17"/>
  <c r="F115" i="20"/>
  <c r="G115" i="20"/>
  <c r="H115" i="20"/>
  <c r="I115" i="20"/>
  <c r="J115" i="20"/>
  <c r="K115" i="20"/>
  <c r="F110" i="20"/>
  <c r="G110" i="20"/>
  <c r="H110" i="20"/>
  <c r="I110" i="20"/>
  <c r="J110" i="20"/>
  <c r="K110" i="20"/>
  <c r="E119" i="17"/>
  <c r="F119" i="17"/>
  <c r="G119" i="17"/>
  <c r="H119" i="17"/>
  <c r="I119" i="17"/>
  <c r="J119" i="17"/>
  <c r="K119" i="17"/>
  <c r="AP44" i="20"/>
  <c r="AP47" i="20"/>
  <c r="AP32" i="20"/>
  <c r="AP35" i="20"/>
  <c r="AP36" i="20"/>
  <c r="AP24" i="20"/>
  <c r="AP25" i="20"/>
  <c r="AP26" i="20"/>
  <c r="AP16" i="20"/>
  <c r="AP10" i="20"/>
  <c r="AI99" i="20"/>
  <c r="AG35" i="22" s="1"/>
  <c r="AI101" i="20"/>
  <c r="AG37" i="22" s="1"/>
  <c r="AI85" i="20"/>
  <c r="AG23" i="22" s="1"/>
  <c r="AI86" i="20"/>
  <c r="AG24" i="22" s="1"/>
  <c r="AI57" i="20"/>
  <c r="AI45" i="20"/>
  <c r="AI98" i="20" s="1"/>
  <c r="AG34" i="22" s="1"/>
  <c r="AI37" i="20"/>
  <c r="AP37" i="20" s="1"/>
  <c r="AI29" i="20"/>
  <c r="AP29" i="20" s="1"/>
  <c r="AI23" i="20"/>
  <c r="AI73" i="20" s="1"/>
  <c r="AG14" i="22" s="1"/>
  <c r="AI69" i="20"/>
  <c r="AG10" i="22" s="1"/>
  <c r="AI138" i="20"/>
  <c r="AB44" i="20"/>
  <c r="AB47" i="20"/>
  <c r="AB32" i="20"/>
  <c r="AB35" i="20"/>
  <c r="AB36" i="20"/>
  <c r="AB24" i="20"/>
  <c r="AB25" i="20"/>
  <c r="AB26" i="20"/>
  <c r="AB16" i="20"/>
  <c r="AB10" i="20"/>
  <c r="T136" i="20"/>
  <c r="U136" i="20" s="1"/>
  <c r="U99" i="20"/>
  <c r="U35" i="22" s="1"/>
  <c r="U85" i="20"/>
  <c r="U23" i="22" s="1"/>
  <c r="U86" i="20"/>
  <c r="U24" i="22" s="1"/>
  <c r="U57" i="20"/>
  <c r="AB57" i="20" s="1"/>
  <c r="U45" i="20"/>
  <c r="U98" i="20" s="1"/>
  <c r="U34" i="22" s="1"/>
  <c r="U37" i="20"/>
  <c r="AB37" i="20" s="1"/>
  <c r="U29" i="20"/>
  <c r="U96" i="20" s="1"/>
  <c r="U32" i="22" s="1"/>
  <c r="U23" i="20"/>
  <c r="U95" i="20" s="1"/>
  <c r="U31" i="22" s="1"/>
  <c r="AI68" i="20"/>
  <c r="AI83" i="20"/>
  <c r="AI94" i="20"/>
  <c r="AI125" i="20"/>
  <c r="AP8" i="20"/>
  <c r="AB8" i="20"/>
  <c r="U125" i="20"/>
  <c r="U68" i="20"/>
  <c r="U83" i="20"/>
  <c r="U94" i="20"/>
  <c r="U69" i="20"/>
  <c r="U10" i="22" s="1"/>
  <c r="AB23" i="20"/>
  <c r="AB45" i="20"/>
  <c r="AI95" i="20"/>
  <c r="AG31" i="22" s="1"/>
  <c r="AP23" i="20"/>
  <c r="AP57" i="20"/>
  <c r="N26" i="26"/>
  <c r="N35" i="26" s="1"/>
  <c r="N22" i="26"/>
  <c r="N15" i="26"/>
  <c r="N19" i="26" s="1"/>
  <c r="F112" i="19"/>
  <c r="F30" i="21"/>
  <c r="G30" i="21"/>
  <c r="H30" i="21"/>
  <c r="I30" i="21"/>
  <c r="J30" i="21"/>
  <c r="K30" i="21"/>
  <c r="K29" i="21"/>
  <c r="J29" i="21"/>
  <c r="I29" i="21"/>
  <c r="H29" i="21"/>
  <c r="G29" i="21"/>
  <c r="F29" i="21"/>
  <c r="E29" i="21"/>
  <c r="K28" i="21"/>
  <c r="J28" i="21"/>
  <c r="I28" i="21"/>
  <c r="H28" i="21"/>
  <c r="G28" i="21"/>
  <c r="F28" i="21"/>
  <c r="E28" i="21"/>
  <c r="K27" i="21"/>
  <c r="J27" i="21"/>
  <c r="I27" i="21"/>
  <c r="H27" i="21"/>
  <c r="G27" i="21"/>
  <c r="F27" i="21"/>
  <c r="E27" i="21"/>
  <c r="B30" i="21"/>
  <c r="B29" i="21"/>
  <c r="B28" i="21"/>
  <c r="B27" i="21"/>
  <c r="E211" i="17"/>
  <c r="E30" i="21" s="1"/>
  <c r="K212" i="17"/>
  <c r="K213" i="17" s="1"/>
  <c r="J212" i="17"/>
  <c r="J213" i="17" s="1"/>
  <c r="I212" i="17"/>
  <c r="I213" i="17" s="1"/>
  <c r="H212" i="17"/>
  <c r="H213" i="17" s="1"/>
  <c r="G212" i="17"/>
  <c r="G213" i="17" s="1"/>
  <c r="F212" i="17"/>
  <c r="F213" i="17" s="1"/>
  <c r="G681" i="19"/>
  <c r="H681" i="19"/>
  <c r="I681" i="19"/>
  <c r="J681" i="19"/>
  <c r="K681" i="19"/>
  <c r="L681" i="19"/>
  <c r="F681" i="19"/>
  <c r="G657" i="19"/>
  <c r="H657" i="19"/>
  <c r="I657" i="19"/>
  <c r="J657" i="19"/>
  <c r="K657" i="19"/>
  <c r="L657" i="19"/>
  <c r="F657" i="19"/>
  <c r="G643" i="19"/>
  <c r="H643" i="19"/>
  <c r="I643" i="19"/>
  <c r="J643" i="19"/>
  <c r="K643" i="19"/>
  <c r="L643" i="19"/>
  <c r="S643" i="19" s="1"/>
  <c r="F643" i="19"/>
  <c r="G632" i="19"/>
  <c r="H632" i="19"/>
  <c r="I632" i="19"/>
  <c r="J632" i="19"/>
  <c r="K632" i="19"/>
  <c r="L632" i="19"/>
  <c r="F632" i="19"/>
  <c r="G623" i="19"/>
  <c r="H623" i="19"/>
  <c r="I623" i="19"/>
  <c r="J623" i="19"/>
  <c r="K623" i="19"/>
  <c r="L623" i="19"/>
  <c r="F623" i="19"/>
  <c r="G603" i="19"/>
  <c r="H603" i="19"/>
  <c r="I603" i="19"/>
  <c r="J603" i="19"/>
  <c r="K603" i="19"/>
  <c r="L603" i="19"/>
  <c r="F603" i="19"/>
  <c r="G582" i="19"/>
  <c r="H582" i="19"/>
  <c r="I582" i="19"/>
  <c r="J582" i="19"/>
  <c r="K582" i="19"/>
  <c r="L582" i="19"/>
  <c r="F582" i="19"/>
  <c r="G557" i="19"/>
  <c r="H557" i="19"/>
  <c r="I557" i="19"/>
  <c r="J557" i="19"/>
  <c r="K557" i="19"/>
  <c r="L557" i="19"/>
  <c r="F557" i="19"/>
  <c r="G543" i="19"/>
  <c r="H543" i="19"/>
  <c r="I543" i="19"/>
  <c r="J543" i="19"/>
  <c r="K543" i="19"/>
  <c r="L543" i="19"/>
  <c r="F543" i="19"/>
  <c r="G519" i="19"/>
  <c r="H519" i="19"/>
  <c r="I519" i="19"/>
  <c r="J519" i="19"/>
  <c r="K519" i="19"/>
  <c r="L519" i="19"/>
  <c r="F519" i="19"/>
  <c r="H448" i="19"/>
  <c r="I448" i="19"/>
  <c r="K448" i="19"/>
  <c r="L448" i="19"/>
  <c r="F448" i="19"/>
  <c r="G430" i="19"/>
  <c r="H430" i="19"/>
  <c r="I430" i="19"/>
  <c r="K430" i="19"/>
  <c r="L430" i="19"/>
  <c r="F430" i="19"/>
  <c r="F73" i="19"/>
  <c r="AH138" i="20"/>
  <c r="AH128" i="20"/>
  <c r="AH127" i="20"/>
  <c r="AO44" i="20" s="1"/>
  <c r="AH125" i="20"/>
  <c r="AH94" i="20"/>
  <c r="AH83" i="20"/>
  <c r="AH68" i="20"/>
  <c r="AA47" i="20"/>
  <c r="AA10" i="20"/>
  <c r="AA16" i="20"/>
  <c r="AA24" i="20"/>
  <c r="AA25" i="20"/>
  <c r="AA26" i="20"/>
  <c r="AA32" i="20"/>
  <c r="AA35" i="20"/>
  <c r="AA36" i="20"/>
  <c r="AA44" i="20"/>
  <c r="T125" i="20"/>
  <c r="T94" i="20"/>
  <c r="T99" i="20"/>
  <c r="T35" i="22" s="1"/>
  <c r="T83" i="20"/>
  <c r="T85" i="20"/>
  <c r="T23" i="22" s="1"/>
  <c r="T86" i="20"/>
  <c r="T24" i="22" s="1"/>
  <c r="T68" i="20"/>
  <c r="T57" i="20"/>
  <c r="AA57" i="20" s="1"/>
  <c r="T45" i="20"/>
  <c r="T98" i="20" s="1"/>
  <c r="T34" i="22" s="1"/>
  <c r="T37" i="20"/>
  <c r="T29" i="20"/>
  <c r="AA29" i="20" s="1"/>
  <c r="T23" i="20"/>
  <c r="T95" i="20" s="1"/>
  <c r="T31" i="22" s="1"/>
  <c r="AO8" i="20"/>
  <c r="AA8" i="20"/>
  <c r="AO36" i="20"/>
  <c r="AH45" i="20"/>
  <c r="AO45" i="20" s="1"/>
  <c r="AH37" i="20"/>
  <c r="AO37" i="20" s="1"/>
  <c r="G143" i="22"/>
  <c r="H143" i="22"/>
  <c r="I143" i="22"/>
  <c r="J143" i="22"/>
  <c r="AD143" i="22" s="1"/>
  <c r="K143" i="22"/>
  <c r="AE143" i="22" s="1"/>
  <c r="F143" i="22"/>
  <c r="G138" i="20"/>
  <c r="H138" i="20"/>
  <c r="I138" i="20"/>
  <c r="AE138" i="20" s="1"/>
  <c r="J138" i="20"/>
  <c r="AF138" i="20" s="1"/>
  <c r="K138" i="20"/>
  <c r="AG138" i="20" s="1"/>
  <c r="F138" i="20"/>
  <c r="F60" i="19"/>
  <c r="F171" i="19"/>
  <c r="F392" i="19"/>
  <c r="G423" i="19"/>
  <c r="H423" i="19"/>
  <c r="I423" i="19"/>
  <c r="K423" i="19"/>
  <c r="L423" i="19"/>
  <c r="F423" i="19"/>
  <c r="G417" i="19"/>
  <c r="H417" i="19"/>
  <c r="I417" i="19"/>
  <c r="K417" i="19"/>
  <c r="L417" i="19"/>
  <c r="F417" i="19"/>
  <c r="M22" i="26"/>
  <c r="M26" i="26"/>
  <c r="M35" i="26" s="1"/>
  <c r="M15" i="26"/>
  <c r="M19" i="26" s="1"/>
  <c r="L383" i="19"/>
  <c r="L366" i="19"/>
  <c r="K366" i="19"/>
  <c r="I366" i="19"/>
  <c r="H366" i="19"/>
  <c r="G366" i="19"/>
  <c r="F366" i="19"/>
  <c r="F361" i="19"/>
  <c r="N159" i="6"/>
  <c r="M159" i="6"/>
  <c r="L159" i="6"/>
  <c r="N158" i="6"/>
  <c r="N171" i="6" s="1"/>
  <c r="M158" i="6"/>
  <c r="M171" i="6" s="1"/>
  <c r="L158" i="6"/>
  <c r="L171" i="6" s="1"/>
  <c r="Z259" i="6"/>
  <c r="Y8" i="6"/>
  <c r="X8" i="6"/>
  <c r="X78" i="6" s="1"/>
  <c r="N130" i="6"/>
  <c r="M130" i="6"/>
  <c r="L130" i="6"/>
  <c r="N8" i="6"/>
  <c r="M8" i="6"/>
  <c r="L8" i="6"/>
  <c r="M51" i="26"/>
  <c r="N51" i="26"/>
  <c r="O51" i="26"/>
  <c r="P51" i="26"/>
  <c r="Q51" i="26"/>
  <c r="R51" i="26"/>
  <c r="S51" i="26"/>
  <c r="T51" i="26"/>
  <c r="M25" i="26"/>
  <c r="N25" i="26"/>
  <c r="O25" i="26"/>
  <c r="P25" i="26"/>
  <c r="Q25" i="26"/>
  <c r="R25" i="26"/>
  <c r="S25" i="26"/>
  <c r="T25" i="26"/>
  <c r="M14" i="26"/>
  <c r="N14" i="26"/>
  <c r="O14" i="26"/>
  <c r="P14" i="26"/>
  <c r="Q14" i="26"/>
  <c r="R14" i="26"/>
  <c r="S14" i="26"/>
  <c r="T14" i="26"/>
  <c r="H51" i="26"/>
  <c r="I51" i="26"/>
  <c r="J51" i="26"/>
  <c r="K51" i="26"/>
  <c r="L51" i="26"/>
  <c r="G51" i="26"/>
  <c r="H25" i="26"/>
  <c r="I25" i="26"/>
  <c r="J25" i="26"/>
  <c r="K25" i="26"/>
  <c r="L25" i="26"/>
  <c r="G25" i="26"/>
  <c r="J58" i="26"/>
  <c r="J63" i="26" s="1"/>
  <c r="J65" i="26" s="1"/>
  <c r="L26" i="26"/>
  <c r="L35" i="26" s="1"/>
  <c r="K26" i="26"/>
  <c r="K35" i="26" s="1"/>
  <c r="J26" i="26"/>
  <c r="J35" i="26" s="1"/>
  <c r="L22" i="26"/>
  <c r="K22" i="26"/>
  <c r="J22" i="26"/>
  <c r="L15" i="26"/>
  <c r="L19" i="26" s="1"/>
  <c r="L58" i="26" s="1"/>
  <c r="L63" i="26" s="1"/>
  <c r="L65" i="26" s="1"/>
  <c r="K15" i="26"/>
  <c r="K19" i="26" s="1"/>
  <c r="K58" i="26" s="1"/>
  <c r="K63" i="26" s="1"/>
  <c r="K65" i="26" s="1"/>
  <c r="J15" i="26"/>
  <c r="J18" i="26" s="1"/>
  <c r="I58" i="26"/>
  <c r="I63" i="26" s="1"/>
  <c r="I65" i="26" s="1"/>
  <c r="H58" i="26"/>
  <c r="H63" i="26" s="1"/>
  <c r="H65" i="26" s="1"/>
  <c r="G58" i="26"/>
  <c r="G63" i="26" s="1"/>
  <c r="G65" i="26" s="1"/>
  <c r="I22" i="26"/>
  <c r="H22" i="26"/>
  <c r="G22" i="26"/>
  <c r="I15" i="26"/>
  <c r="I18" i="26" s="1"/>
  <c r="H15" i="26"/>
  <c r="H18" i="26" s="1"/>
  <c r="G15" i="26"/>
  <c r="G18" i="26" s="1"/>
  <c r="L14" i="26"/>
  <c r="K14" i="26"/>
  <c r="J14" i="26"/>
  <c r="I14" i="26"/>
  <c r="H14" i="26"/>
  <c r="G14" i="26"/>
  <c r="E7" i="26"/>
  <c r="C95" i="25"/>
  <c r="C19" i="25"/>
  <c r="C93" i="25" s="1"/>
  <c r="C35" i="25"/>
  <c r="C11" i="25"/>
  <c r="C67" i="25" s="1"/>
  <c r="R8" i="25"/>
  <c r="S8" i="25"/>
  <c r="S168" i="25" s="1"/>
  <c r="T8" i="25"/>
  <c r="T168" i="25" s="1"/>
  <c r="U8" i="25"/>
  <c r="U168" i="25" s="1"/>
  <c r="V8" i="25"/>
  <c r="V168" i="25" s="1"/>
  <c r="W8" i="25"/>
  <c r="W168" i="25" s="1"/>
  <c r="Q8" i="25"/>
  <c r="F8" i="25"/>
  <c r="F146" i="25" s="1"/>
  <c r="G8" i="25"/>
  <c r="G146" i="25" s="1"/>
  <c r="H8" i="25"/>
  <c r="I8" i="25"/>
  <c r="J8" i="25"/>
  <c r="J146" i="25" s="1"/>
  <c r="K8" i="25"/>
  <c r="K146" i="25" s="1"/>
  <c r="D4" i="25"/>
  <c r="D3" i="25"/>
  <c r="C44" i="25"/>
  <c r="C77" i="25"/>
  <c r="K300" i="24"/>
  <c r="K182" i="24" s="1"/>
  <c r="J300" i="24"/>
  <c r="J182" i="24" s="1"/>
  <c r="I300" i="24"/>
  <c r="I182" i="24" s="1"/>
  <c r="H300" i="24"/>
  <c r="H182" i="24" s="1"/>
  <c r="K26" i="24"/>
  <c r="J26" i="24"/>
  <c r="I26" i="24"/>
  <c r="H26" i="24"/>
  <c r="G26" i="24"/>
  <c r="AU8" i="24"/>
  <c r="G8" i="24"/>
  <c r="AV8" i="24" s="1"/>
  <c r="H8" i="24"/>
  <c r="I8" i="24"/>
  <c r="J8" i="24"/>
  <c r="AY8" i="24" s="1"/>
  <c r="D4" i="24"/>
  <c r="D3" i="24"/>
  <c r="B234" i="23"/>
  <c r="B217" i="23"/>
  <c r="E124" i="18"/>
  <c r="F124" i="18"/>
  <c r="G124" i="18"/>
  <c r="G81" i="22" s="1"/>
  <c r="E125" i="18"/>
  <c r="E82" i="22" s="1"/>
  <c r="F125" i="18"/>
  <c r="F82" i="22" s="1"/>
  <c r="G125" i="18"/>
  <c r="G82" i="22" s="1"/>
  <c r="C75" i="23"/>
  <c r="C73" i="23"/>
  <c r="C72" i="23"/>
  <c r="C71" i="23"/>
  <c r="B50" i="23"/>
  <c r="C110" i="23" s="1"/>
  <c r="F37" i="23"/>
  <c r="W8" i="23"/>
  <c r="V8" i="23"/>
  <c r="V216" i="23" s="1"/>
  <c r="U8" i="23"/>
  <c r="U242" i="23" s="1"/>
  <c r="T8" i="23"/>
  <c r="S8" i="23"/>
  <c r="S46" i="23" s="1"/>
  <c r="R8" i="23"/>
  <c r="R46" i="23" s="1"/>
  <c r="Q216" i="23"/>
  <c r="J8" i="23"/>
  <c r="I8" i="23"/>
  <c r="H8" i="23"/>
  <c r="G8" i="23"/>
  <c r="F8" i="23"/>
  <c r="D4" i="23"/>
  <c r="D3" i="23"/>
  <c r="C114" i="23"/>
  <c r="C102" i="23"/>
  <c r="C99" i="23"/>
  <c r="C112" i="23"/>
  <c r="B54" i="23"/>
  <c r="C111" i="23" s="1"/>
  <c r="C109" i="23"/>
  <c r="C105" i="23"/>
  <c r="C104" i="23"/>
  <c r="C103" i="23"/>
  <c r="K644" i="19"/>
  <c r="J644" i="19"/>
  <c r="I644" i="19"/>
  <c r="H644" i="19"/>
  <c r="G644" i="19"/>
  <c r="F644" i="19"/>
  <c r="L644" i="19"/>
  <c r="I616" i="19"/>
  <c r="I618" i="19" s="1"/>
  <c r="I619" i="19" s="1"/>
  <c r="H616" i="19"/>
  <c r="H618" i="19" s="1"/>
  <c r="H619" i="19" s="1"/>
  <c r="G616" i="19"/>
  <c r="G618" i="19" s="1"/>
  <c r="G619" i="19" s="1"/>
  <c r="F616" i="19"/>
  <c r="F618" i="19" s="1"/>
  <c r="F619" i="19" s="1"/>
  <c r="L616" i="19"/>
  <c r="L618" i="19" s="1"/>
  <c r="K616" i="19"/>
  <c r="K618" i="19" s="1"/>
  <c r="K619" i="19" s="1"/>
  <c r="J616" i="19"/>
  <c r="J618" i="19" s="1"/>
  <c r="J619" i="19" s="1"/>
  <c r="I598" i="19"/>
  <c r="I599" i="19" s="1"/>
  <c r="H14" i="23"/>
  <c r="F479" i="19"/>
  <c r="I14" i="23"/>
  <c r="F547" i="19"/>
  <c r="J78" i="25"/>
  <c r="I78" i="25"/>
  <c r="H78" i="25"/>
  <c r="G78" i="25"/>
  <c r="K78" i="25"/>
  <c r="F537" i="19"/>
  <c r="F686" i="19"/>
  <c r="F687" i="19" s="1"/>
  <c r="J676" i="19"/>
  <c r="I676" i="19"/>
  <c r="I677" i="19" s="1"/>
  <c r="H676" i="19"/>
  <c r="G676" i="19"/>
  <c r="G677" i="19" s="1"/>
  <c r="F676" i="19"/>
  <c r="F677" i="19" s="1"/>
  <c r="K648" i="19"/>
  <c r="K653" i="19" s="1"/>
  <c r="J648" i="19"/>
  <c r="J653" i="19" s="1"/>
  <c r="I648" i="19"/>
  <c r="I653" i="19" s="1"/>
  <c r="H648" i="19"/>
  <c r="H653" i="19" s="1"/>
  <c r="G648" i="19"/>
  <c r="F648" i="19"/>
  <c r="L648" i="19"/>
  <c r="L626" i="19"/>
  <c r="L627" i="19" s="1"/>
  <c r="K626" i="19"/>
  <c r="K627" i="19" s="1"/>
  <c r="J626" i="19"/>
  <c r="J627" i="19" s="1"/>
  <c r="I626" i="19"/>
  <c r="I627" i="19" s="1"/>
  <c r="H626" i="19"/>
  <c r="H627" i="19" s="1"/>
  <c r="G626" i="19"/>
  <c r="G627" i="19" s="1"/>
  <c r="F626" i="19"/>
  <c r="F627" i="19" s="1"/>
  <c r="K598" i="19"/>
  <c r="K599" i="19" s="1"/>
  <c r="J598" i="19"/>
  <c r="J599" i="19" s="1"/>
  <c r="H598" i="19"/>
  <c r="H599" i="19" s="1"/>
  <c r="G596" i="19"/>
  <c r="G598" i="19" s="1"/>
  <c r="G599" i="19" s="1"/>
  <c r="F596" i="19"/>
  <c r="F598" i="19" s="1"/>
  <c r="F599" i="19" s="1"/>
  <c r="L598" i="19"/>
  <c r="L599" i="19" s="1"/>
  <c r="J14" i="23"/>
  <c r="F281" i="17"/>
  <c r="G281" i="17"/>
  <c r="H281" i="17"/>
  <c r="I281" i="17"/>
  <c r="J281" i="17"/>
  <c r="K281" i="17"/>
  <c r="D2" i="25"/>
  <c r="D2" i="23"/>
  <c r="D2" i="24"/>
  <c r="K92" i="22"/>
  <c r="J92" i="22"/>
  <c r="I92" i="22"/>
  <c r="H92" i="22"/>
  <c r="G92" i="22"/>
  <c r="F92" i="22"/>
  <c r="E92" i="22"/>
  <c r="K91" i="22"/>
  <c r="J91" i="22"/>
  <c r="I91" i="22"/>
  <c r="H91" i="22"/>
  <c r="G91" i="22"/>
  <c r="F91" i="22"/>
  <c r="E91" i="22"/>
  <c r="K90" i="22"/>
  <c r="J90" i="22"/>
  <c r="I90" i="22"/>
  <c r="H90" i="22"/>
  <c r="G90" i="22"/>
  <c r="F90" i="22"/>
  <c r="E90" i="22"/>
  <c r="K74" i="22"/>
  <c r="J74" i="22"/>
  <c r="I74" i="22"/>
  <c r="H74" i="22"/>
  <c r="G74" i="22"/>
  <c r="F74" i="22"/>
  <c r="E74" i="22"/>
  <c r="K73" i="22"/>
  <c r="J73" i="22"/>
  <c r="I73" i="22"/>
  <c r="H73" i="22"/>
  <c r="G73" i="22"/>
  <c r="F73" i="22"/>
  <c r="E73" i="22"/>
  <c r="K72" i="22"/>
  <c r="J72" i="22"/>
  <c r="I72" i="22"/>
  <c r="H72" i="22"/>
  <c r="G72" i="22"/>
  <c r="F72" i="22"/>
  <c r="E72" i="22"/>
  <c r="K71" i="22"/>
  <c r="J71" i="22"/>
  <c r="I71" i="22"/>
  <c r="H71" i="22"/>
  <c r="G71" i="22"/>
  <c r="F71" i="22"/>
  <c r="E71" i="22"/>
  <c r="F54" i="22"/>
  <c r="G54" i="22"/>
  <c r="H54" i="22"/>
  <c r="I54" i="22"/>
  <c r="J54" i="22"/>
  <c r="K54" i="22"/>
  <c r="E54" i="22"/>
  <c r="F53" i="22"/>
  <c r="G53" i="22"/>
  <c r="H53" i="22"/>
  <c r="I53" i="22"/>
  <c r="J53" i="22"/>
  <c r="K53" i="22"/>
  <c r="E53" i="22"/>
  <c r="F52" i="22"/>
  <c r="G52" i="22"/>
  <c r="H52" i="22"/>
  <c r="J52" i="22"/>
  <c r="K52" i="22"/>
  <c r="E52" i="22"/>
  <c r="AC143" i="22"/>
  <c r="S143" i="22"/>
  <c r="R143" i="22"/>
  <c r="Q143" i="22"/>
  <c r="K141" i="22"/>
  <c r="J141" i="22"/>
  <c r="I141" i="22"/>
  <c r="H141" i="22"/>
  <c r="G141" i="22"/>
  <c r="F141" i="22"/>
  <c r="AE131" i="22"/>
  <c r="AD131" i="22"/>
  <c r="AC131" i="22"/>
  <c r="S131" i="22"/>
  <c r="R131" i="22"/>
  <c r="Q131" i="22"/>
  <c r="AE130" i="22"/>
  <c r="AD130" i="22"/>
  <c r="AC130" i="22"/>
  <c r="S130" i="22"/>
  <c r="R130" i="22"/>
  <c r="Q130" i="22"/>
  <c r="AE30" i="22"/>
  <c r="AD30" i="22"/>
  <c r="AC30" i="22"/>
  <c r="S30" i="22"/>
  <c r="R30" i="22"/>
  <c r="Q30" i="22"/>
  <c r="AE21" i="22"/>
  <c r="AD21" i="22"/>
  <c r="AC21" i="22"/>
  <c r="S21" i="22"/>
  <c r="R21" i="22"/>
  <c r="Q21" i="22"/>
  <c r="K131" i="22"/>
  <c r="J131" i="22"/>
  <c r="I131" i="22"/>
  <c r="H131" i="22"/>
  <c r="G131" i="22"/>
  <c r="F131" i="22"/>
  <c r="AL8" i="22"/>
  <c r="AK8" i="22"/>
  <c r="AJ8" i="22"/>
  <c r="Z8" i="22"/>
  <c r="Y8" i="22"/>
  <c r="X8" i="22"/>
  <c r="K8" i="22"/>
  <c r="K21" i="22" s="1"/>
  <c r="J8" i="22"/>
  <c r="J121" i="22" s="1"/>
  <c r="I8" i="22"/>
  <c r="H8" i="22"/>
  <c r="H21" i="22" s="1"/>
  <c r="G8" i="22"/>
  <c r="G121" i="22" s="1"/>
  <c r="F8" i="22"/>
  <c r="F121" i="22" s="1"/>
  <c r="E8" i="22"/>
  <c r="E121" i="22" s="1"/>
  <c r="D4" i="22"/>
  <c r="D3" i="22"/>
  <c r="D2" i="22"/>
  <c r="K99" i="21"/>
  <c r="J99" i="21"/>
  <c r="I99" i="21"/>
  <c r="H99" i="21"/>
  <c r="G99" i="21"/>
  <c r="F99" i="21"/>
  <c r="E99" i="21"/>
  <c r="K98" i="21"/>
  <c r="J98" i="21"/>
  <c r="I98" i="21"/>
  <c r="H98" i="21"/>
  <c r="G98" i="21"/>
  <c r="F98" i="21"/>
  <c r="E98" i="21"/>
  <c r="K97" i="21"/>
  <c r="J97" i="21"/>
  <c r="I97" i="21"/>
  <c r="H97" i="21"/>
  <c r="G97" i="21"/>
  <c r="F97" i="21"/>
  <c r="E97" i="21"/>
  <c r="K96" i="21"/>
  <c r="J96" i="21"/>
  <c r="I96" i="21"/>
  <c r="H96" i="21"/>
  <c r="G96" i="21"/>
  <c r="F96" i="21"/>
  <c r="E96" i="21"/>
  <c r="K95" i="21"/>
  <c r="J95" i="21"/>
  <c r="I95" i="21"/>
  <c r="H95" i="21"/>
  <c r="G95" i="21"/>
  <c r="F95" i="21"/>
  <c r="E95" i="21"/>
  <c r="K94" i="21"/>
  <c r="J94" i="21"/>
  <c r="I94" i="21"/>
  <c r="H94" i="21"/>
  <c r="G94" i="21"/>
  <c r="F94" i="21"/>
  <c r="E94" i="21"/>
  <c r="K93" i="21"/>
  <c r="J93" i="21"/>
  <c r="I93" i="21"/>
  <c r="H93" i="21"/>
  <c r="G93" i="21"/>
  <c r="F93" i="21"/>
  <c r="E93" i="21"/>
  <c r="K92" i="21"/>
  <c r="J92" i="21"/>
  <c r="I92" i="21"/>
  <c r="I112" i="21" s="1"/>
  <c r="H92" i="21"/>
  <c r="H112" i="21" s="1"/>
  <c r="G92" i="21"/>
  <c r="G112" i="21" s="1"/>
  <c r="F92" i="21"/>
  <c r="F112" i="21"/>
  <c r="E92" i="21"/>
  <c r="E112" i="21" s="1"/>
  <c r="K91" i="21"/>
  <c r="K111" i="21" s="1"/>
  <c r="J91" i="21"/>
  <c r="I91" i="21"/>
  <c r="I111" i="21" s="1"/>
  <c r="H91" i="21"/>
  <c r="H111" i="21" s="1"/>
  <c r="G91" i="21"/>
  <c r="F91" i="21"/>
  <c r="F111" i="21" s="1"/>
  <c r="E91" i="21"/>
  <c r="E111" i="21" s="1"/>
  <c r="K90" i="21"/>
  <c r="J90" i="21"/>
  <c r="J110" i="21" s="1"/>
  <c r="I90" i="21"/>
  <c r="I110" i="21" s="1"/>
  <c r="H90" i="21"/>
  <c r="G90" i="21"/>
  <c r="G110" i="21" s="1"/>
  <c r="F90" i="21"/>
  <c r="F110" i="21"/>
  <c r="E90" i="21"/>
  <c r="E110" i="21" s="1"/>
  <c r="K89" i="21"/>
  <c r="K109" i="21" s="1"/>
  <c r="J89" i="21"/>
  <c r="J109" i="21" s="1"/>
  <c r="I89" i="21"/>
  <c r="H89" i="21"/>
  <c r="H109" i="21" s="1"/>
  <c r="G89" i="21"/>
  <c r="G109" i="21"/>
  <c r="F89" i="21"/>
  <c r="F109" i="21" s="1"/>
  <c r="E89" i="21"/>
  <c r="E109" i="21"/>
  <c r="K88" i="21"/>
  <c r="K108" i="21" s="1"/>
  <c r="J88" i="21"/>
  <c r="I88" i="21"/>
  <c r="I108" i="21" s="1"/>
  <c r="H88" i="21"/>
  <c r="H108" i="21"/>
  <c r="G88" i="21"/>
  <c r="G108" i="21" s="1"/>
  <c r="F88" i="21"/>
  <c r="F108" i="21" s="1"/>
  <c r="E88" i="21"/>
  <c r="E108" i="21" s="1"/>
  <c r="K87" i="21"/>
  <c r="J87" i="21"/>
  <c r="I87" i="21"/>
  <c r="H87" i="21"/>
  <c r="G87" i="21"/>
  <c r="F87" i="21"/>
  <c r="E87" i="21"/>
  <c r="K86" i="21"/>
  <c r="K107" i="21" s="1"/>
  <c r="J86" i="21"/>
  <c r="I86" i="21"/>
  <c r="I107" i="21" s="1"/>
  <c r="H86" i="21"/>
  <c r="H107" i="21" s="1"/>
  <c r="G86" i="21"/>
  <c r="G107" i="21" s="1"/>
  <c r="F86" i="21"/>
  <c r="E86" i="21"/>
  <c r="E107" i="21" s="1"/>
  <c r="G273" i="17"/>
  <c r="G265" i="17"/>
  <c r="H273" i="17"/>
  <c r="H265" i="17"/>
  <c r="H275" i="17"/>
  <c r="I265" i="17"/>
  <c r="I275" i="17" s="1"/>
  <c r="F275" i="17"/>
  <c r="E275" i="17"/>
  <c r="K273" i="17"/>
  <c r="J265" i="17"/>
  <c r="J275" i="17" s="1"/>
  <c r="K265" i="17"/>
  <c r="K102" i="22"/>
  <c r="F102" i="22"/>
  <c r="E102" i="22"/>
  <c r="I113" i="21"/>
  <c r="E80" i="22"/>
  <c r="F30" i="22"/>
  <c r="E21" i="22"/>
  <c r="G268" i="17"/>
  <c r="G267" i="17"/>
  <c r="F264" i="17"/>
  <c r="G261" i="17"/>
  <c r="G260" i="17"/>
  <c r="G264" i="17" s="1"/>
  <c r="H261" i="17"/>
  <c r="H260" i="17"/>
  <c r="H264" i="17"/>
  <c r="H274" i="17" s="1"/>
  <c r="I261" i="17"/>
  <c r="I260" i="17"/>
  <c r="K268" i="17"/>
  <c r="K69" i="21" s="1"/>
  <c r="J268" i="17"/>
  <c r="J272" i="17" s="1"/>
  <c r="J261" i="17"/>
  <c r="J260" i="17"/>
  <c r="J264" i="17" s="1"/>
  <c r="K261" i="17"/>
  <c r="K260" i="17"/>
  <c r="F272" i="17"/>
  <c r="I272" i="17"/>
  <c r="H272" i="17"/>
  <c r="E272" i="17"/>
  <c r="E264" i="17"/>
  <c r="F24" i="21"/>
  <c r="G24" i="21"/>
  <c r="H24" i="21"/>
  <c r="I24" i="21"/>
  <c r="J24" i="21"/>
  <c r="K24" i="21"/>
  <c r="E24" i="21"/>
  <c r="K21" i="21"/>
  <c r="K46" i="21" s="1"/>
  <c r="J21" i="21"/>
  <c r="J46" i="21" s="1"/>
  <c r="I21" i="21"/>
  <c r="I72" i="21" s="1"/>
  <c r="H21" i="21"/>
  <c r="K20" i="21"/>
  <c r="K45" i="21" s="1"/>
  <c r="J20" i="21"/>
  <c r="J45" i="21" s="1"/>
  <c r="I20" i="21"/>
  <c r="H20" i="21"/>
  <c r="H71" i="21" s="1"/>
  <c r="G20" i="21"/>
  <c r="G71" i="21" s="1"/>
  <c r="F20" i="21"/>
  <c r="F45" i="21"/>
  <c r="E20" i="21"/>
  <c r="E45" i="21" s="1"/>
  <c r="K19" i="21"/>
  <c r="K44" i="21" s="1"/>
  <c r="J19" i="21"/>
  <c r="I19" i="21"/>
  <c r="H19" i="21"/>
  <c r="H70" i="21" s="1"/>
  <c r="G19" i="21"/>
  <c r="G70" i="21" s="1"/>
  <c r="F19" i="21"/>
  <c r="F44" i="21" s="1"/>
  <c r="E19" i="21"/>
  <c r="E44" i="21" s="1"/>
  <c r="K18" i="21"/>
  <c r="J18" i="21"/>
  <c r="I18" i="21"/>
  <c r="I43" i="21" s="1"/>
  <c r="H18" i="21"/>
  <c r="G18" i="21"/>
  <c r="G43" i="21" s="1"/>
  <c r="F18" i="21"/>
  <c r="F43" i="21" s="1"/>
  <c r="E18" i="21"/>
  <c r="E43" i="21"/>
  <c r="K17" i="21"/>
  <c r="K42" i="21" s="1"/>
  <c r="J17" i="21"/>
  <c r="J68" i="21" s="1"/>
  <c r="I17" i="21"/>
  <c r="I42" i="21" s="1"/>
  <c r="H17" i="21"/>
  <c r="H68" i="21" s="1"/>
  <c r="G17" i="21"/>
  <c r="F17" i="21"/>
  <c r="F42" i="21" s="1"/>
  <c r="E17" i="21"/>
  <c r="E42" i="21" s="1"/>
  <c r="K14" i="21"/>
  <c r="K39" i="21" s="1"/>
  <c r="J14" i="21"/>
  <c r="I14" i="21"/>
  <c r="H14" i="21"/>
  <c r="H65" i="21" s="1"/>
  <c r="G14" i="21"/>
  <c r="F14" i="21"/>
  <c r="F39" i="21" s="1"/>
  <c r="E14" i="21"/>
  <c r="E39" i="21" s="1"/>
  <c r="K13" i="21"/>
  <c r="K64" i="21" s="1"/>
  <c r="J13" i="21"/>
  <c r="I13" i="21"/>
  <c r="I64" i="21" s="1"/>
  <c r="H13" i="21"/>
  <c r="G13" i="21"/>
  <c r="G64" i="21" s="1"/>
  <c r="F13" i="21"/>
  <c r="F38" i="21" s="1"/>
  <c r="E13" i="21"/>
  <c r="E38" i="21" s="1"/>
  <c r="K12" i="21"/>
  <c r="K37" i="21" s="1"/>
  <c r="J12" i="21"/>
  <c r="J37" i="21" s="1"/>
  <c r="I12" i="21"/>
  <c r="H12" i="21"/>
  <c r="G12" i="21"/>
  <c r="F12" i="21"/>
  <c r="E12" i="21"/>
  <c r="E37" i="21" s="1"/>
  <c r="K11" i="21"/>
  <c r="K62" i="21" s="1"/>
  <c r="J11" i="21"/>
  <c r="J36" i="21" s="1"/>
  <c r="I11" i="21"/>
  <c r="I62" i="21" s="1"/>
  <c r="H11" i="21"/>
  <c r="H36" i="21" s="1"/>
  <c r="G11" i="21"/>
  <c r="G36" i="21" s="1"/>
  <c r="F11" i="21"/>
  <c r="F36" i="21" s="1"/>
  <c r="E11" i="21"/>
  <c r="C18" i="21"/>
  <c r="C43" i="21" s="1"/>
  <c r="C19" i="21"/>
  <c r="C44" i="21" s="1"/>
  <c r="C20" i="21"/>
  <c r="C21" i="21"/>
  <c r="C46" i="21" s="1"/>
  <c r="C17" i="21"/>
  <c r="C42" i="21" s="1"/>
  <c r="C12" i="21"/>
  <c r="C63" i="21" s="1"/>
  <c r="C13" i="21"/>
  <c r="C14" i="21"/>
  <c r="C65" i="21" s="1"/>
  <c r="C11" i="21"/>
  <c r="C36" i="21" s="1"/>
  <c r="S8" i="21"/>
  <c r="S85" i="21" s="1"/>
  <c r="R8" i="21"/>
  <c r="Q8" i="21"/>
  <c r="Q106" i="21" s="1"/>
  <c r="P8" i="21"/>
  <c r="P85" i="21" s="1"/>
  <c r="O8" i="21"/>
  <c r="N8" i="21"/>
  <c r="M8" i="21"/>
  <c r="K8" i="21"/>
  <c r="K79" i="21" s="1"/>
  <c r="J8" i="21"/>
  <c r="J106" i="21" s="1"/>
  <c r="I8" i="21"/>
  <c r="H8" i="21"/>
  <c r="H60" i="21" s="1"/>
  <c r="G8" i="21"/>
  <c r="G53" i="21" s="1"/>
  <c r="F8" i="21"/>
  <c r="F34" i="21" s="1"/>
  <c r="E8" i="21"/>
  <c r="D7" i="21"/>
  <c r="D4" i="21"/>
  <c r="D3" i="21"/>
  <c r="D2" i="21"/>
  <c r="G115" i="18"/>
  <c r="H115" i="18"/>
  <c r="I115" i="18"/>
  <c r="J115" i="18"/>
  <c r="K115" i="18"/>
  <c r="G116" i="18"/>
  <c r="H116" i="18"/>
  <c r="I116" i="18"/>
  <c r="J116" i="18"/>
  <c r="K116" i="18"/>
  <c r="F116" i="18"/>
  <c r="F115" i="18"/>
  <c r="C90" i="18"/>
  <c r="AF101" i="20"/>
  <c r="AD37" i="22" s="1"/>
  <c r="AG101" i="20"/>
  <c r="AE37" i="22"/>
  <c r="AE101" i="20"/>
  <c r="AC37" i="22" s="1"/>
  <c r="AG86" i="20"/>
  <c r="AE24" i="22" s="1"/>
  <c r="AN16" i="20"/>
  <c r="AE99" i="20"/>
  <c r="AC35" i="22" s="1"/>
  <c r="AN47" i="20"/>
  <c r="AG37" i="20"/>
  <c r="AG97" i="20" s="1"/>
  <c r="AE33" i="22" s="1"/>
  <c r="AE37" i="20"/>
  <c r="AE97" i="20" s="1"/>
  <c r="AC33" i="22" s="1"/>
  <c r="AE29" i="20"/>
  <c r="AE96" i="20" s="1"/>
  <c r="AC32" i="22" s="1"/>
  <c r="AF126" i="20"/>
  <c r="AF85" i="20" s="1"/>
  <c r="AD23" i="22" s="1"/>
  <c r="AN26" i="20"/>
  <c r="AF23" i="20"/>
  <c r="AF73" i="20" s="1"/>
  <c r="AD14" i="22" s="1"/>
  <c r="AM10" i="20"/>
  <c r="AG126" i="20"/>
  <c r="AG85" i="20" s="1"/>
  <c r="AE23" i="22" s="1"/>
  <c r="AG125" i="20"/>
  <c r="AF125" i="20"/>
  <c r="AE125" i="20"/>
  <c r="AG99" i="20"/>
  <c r="AE35" i="22" s="1"/>
  <c r="AF99" i="20"/>
  <c r="AD35" i="22" s="1"/>
  <c r="AG94" i="20"/>
  <c r="AF94" i="20"/>
  <c r="AE94" i="20"/>
  <c r="AF86" i="20"/>
  <c r="AD24" i="22" s="1"/>
  <c r="AG83" i="20"/>
  <c r="AF83" i="20"/>
  <c r="AE83" i="20"/>
  <c r="AG68" i="20"/>
  <c r="AF68" i="20"/>
  <c r="AE68" i="20"/>
  <c r="AG57" i="20"/>
  <c r="AN57" i="20" s="1"/>
  <c r="AF57" i="20"/>
  <c r="AM57" i="20" s="1"/>
  <c r="AE57" i="20"/>
  <c r="AL57" i="20" s="1"/>
  <c r="AM47" i="20"/>
  <c r="AG45" i="20"/>
  <c r="AN45" i="20" s="1"/>
  <c r="AF45" i="20"/>
  <c r="AE45" i="20"/>
  <c r="AE98" i="20" s="1"/>
  <c r="AC34" i="22" s="1"/>
  <c r="AN44" i="20"/>
  <c r="AM44" i="20"/>
  <c r="AF37" i="20"/>
  <c r="AM37" i="20" s="1"/>
  <c r="AF97" i="20"/>
  <c r="AD33" i="22" s="1"/>
  <c r="AN36" i="20"/>
  <c r="AM36" i="20"/>
  <c r="AN35" i="20"/>
  <c r="AM35" i="20"/>
  <c r="AN32" i="20"/>
  <c r="AM32" i="20"/>
  <c r="AG29" i="20"/>
  <c r="AG96" i="20" s="1"/>
  <c r="AE32" i="22" s="1"/>
  <c r="AF29" i="20"/>
  <c r="AM29" i="20" s="1"/>
  <c r="AM26" i="20"/>
  <c r="AN25" i="20"/>
  <c r="AM25" i="20"/>
  <c r="AN24" i="20"/>
  <c r="AM24" i="20"/>
  <c r="AG23" i="20"/>
  <c r="AG30" i="20" s="1"/>
  <c r="AG95" i="20"/>
  <c r="AE31" i="22" s="1"/>
  <c r="AE23" i="20"/>
  <c r="AE69" i="20" s="1"/>
  <c r="AC10" i="22" s="1"/>
  <c r="AM16" i="20"/>
  <c r="AN10" i="20"/>
  <c r="AN8" i="20"/>
  <c r="AM8" i="20"/>
  <c r="AL8" i="20"/>
  <c r="H53" i="21"/>
  <c r="G106" i="21"/>
  <c r="K106" i="21"/>
  <c r="F274" i="17"/>
  <c r="F276" i="17" s="1"/>
  <c r="O85" i="21"/>
  <c r="O106" i="21"/>
  <c r="J39" i="21"/>
  <c r="J65" i="21"/>
  <c r="G34" i="21"/>
  <c r="G85" i="21"/>
  <c r="G60" i="21"/>
  <c r="K85" i="21"/>
  <c r="I37" i="21"/>
  <c r="G39" i="21"/>
  <c r="G65" i="21"/>
  <c r="K65" i="21"/>
  <c r="G45" i="21"/>
  <c r="H34" i="21"/>
  <c r="I36" i="21"/>
  <c r="G38" i="21"/>
  <c r="H39" i="21"/>
  <c r="I68" i="21"/>
  <c r="J43" i="21"/>
  <c r="G44" i="21"/>
  <c r="H37" i="21"/>
  <c r="H43" i="21"/>
  <c r="H69" i="21"/>
  <c r="I70" i="21"/>
  <c r="H38" i="21"/>
  <c r="H64" i="21"/>
  <c r="J42" i="21"/>
  <c r="K43" i="21"/>
  <c r="H44" i="21"/>
  <c r="AL35" i="20"/>
  <c r="AE86" i="20"/>
  <c r="AC24" i="22" s="1"/>
  <c r="AL25" i="20"/>
  <c r="AL36" i="20"/>
  <c r="AL16" i="20"/>
  <c r="AL32" i="20"/>
  <c r="AL47" i="20"/>
  <c r="AL10" i="20"/>
  <c r="AL44" i="20"/>
  <c r="AL26" i="20"/>
  <c r="AL24" i="20"/>
  <c r="AN29" i="20"/>
  <c r="AE126" i="20"/>
  <c r="AE85" i="20"/>
  <c r="AC23" i="22" s="1"/>
  <c r="AG73" i="20"/>
  <c r="AE14" i="22" s="1"/>
  <c r="R99" i="20"/>
  <c r="R35" i="22" s="1"/>
  <c r="S99" i="20"/>
  <c r="S35" i="22"/>
  <c r="Z47" i="20"/>
  <c r="Y47" i="20"/>
  <c r="X47" i="20"/>
  <c r="Z44" i="20"/>
  <c r="Y44" i="20"/>
  <c r="X44" i="20"/>
  <c r="Z36" i="20"/>
  <c r="Y36" i="20"/>
  <c r="X36" i="20"/>
  <c r="Z35" i="20"/>
  <c r="Y35" i="20"/>
  <c r="X35" i="20"/>
  <c r="Z32" i="20"/>
  <c r="Y32" i="20"/>
  <c r="X32" i="20"/>
  <c r="Z26" i="20"/>
  <c r="Y26" i="20"/>
  <c r="X26" i="20"/>
  <c r="Z25" i="20"/>
  <c r="Y25" i="20"/>
  <c r="X25" i="20"/>
  <c r="Z24" i="20"/>
  <c r="Y24" i="20"/>
  <c r="X24" i="20"/>
  <c r="Z16" i="20"/>
  <c r="Y16" i="20"/>
  <c r="X16" i="20"/>
  <c r="Y10" i="20"/>
  <c r="Z10" i="20"/>
  <c r="X10" i="20"/>
  <c r="S68" i="20"/>
  <c r="R68" i="20"/>
  <c r="Q68" i="20"/>
  <c r="Q99" i="20"/>
  <c r="Q35" i="22" s="1"/>
  <c r="R86" i="20"/>
  <c r="R24" i="22" s="1"/>
  <c r="S86" i="20"/>
  <c r="S24" i="22" s="1"/>
  <c r="Q86" i="20"/>
  <c r="Q24" i="22" s="1"/>
  <c r="S94" i="20"/>
  <c r="R94" i="20"/>
  <c r="Q94" i="20"/>
  <c r="S83" i="20"/>
  <c r="R83" i="20"/>
  <c r="Q83" i="20"/>
  <c r="S126" i="20"/>
  <c r="S85" i="20" s="1"/>
  <c r="S23" i="22" s="1"/>
  <c r="R126" i="20"/>
  <c r="R85" i="20"/>
  <c r="R23" i="22" s="1"/>
  <c r="Q126" i="20"/>
  <c r="Q85" i="20" s="1"/>
  <c r="Q23" i="22" s="1"/>
  <c r="S125" i="20"/>
  <c r="R125" i="20"/>
  <c r="Q125" i="20"/>
  <c r="Y8" i="20"/>
  <c r="Z8" i="20"/>
  <c r="X8" i="20"/>
  <c r="R57" i="20"/>
  <c r="Y57" i="20" s="1"/>
  <c r="S57" i="20"/>
  <c r="Z57" i="20" s="1"/>
  <c r="Q57" i="20"/>
  <c r="X57" i="20" s="1"/>
  <c r="R45" i="20"/>
  <c r="Y45" i="20" s="1"/>
  <c r="S45" i="20"/>
  <c r="Q45" i="20"/>
  <c r="X45" i="20" s="1"/>
  <c r="R37" i="20"/>
  <c r="S37" i="20"/>
  <c r="S97" i="20"/>
  <c r="S33" i="22" s="1"/>
  <c r="Q37" i="20"/>
  <c r="Q97" i="20" s="1"/>
  <c r="Q33" i="22" s="1"/>
  <c r="R29" i="20"/>
  <c r="R96" i="20" s="1"/>
  <c r="R32" i="22" s="1"/>
  <c r="S29" i="20"/>
  <c r="Z29" i="20" s="1"/>
  <c r="Q29" i="20"/>
  <c r="Q96" i="20" s="1"/>
  <c r="Q32" i="22" s="1"/>
  <c r="R23" i="20"/>
  <c r="Y23" i="20" s="1"/>
  <c r="S23" i="20"/>
  <c r="Q23" i="20"/>
  <c r="Q95" i="20" s="1"/>
  <c r="Q31" i="22" s="1"/>
  <c r="G136" i="20"/>
  <c r="H136" i="20"/>
  <c r="I136" i="20"/>
  <c r="J136" i="20"/>
  <c r="K136" i="20"/>
  <c r="F136" i="20"/>
  <c r="G17" i="20"/>
  <c r="H17" i="20"/>
  <c r="I17" i="20"/>
  <c r="J17" i="20"/>
  <c r="K17" i="20"/>
  <c r="G18" i="20"/>
  <c r="H18" i="20"/>
  <c r="I18" i="20"/>
  <c r="J18" i="20"/>
  <c r="K18" i="20"/>
  <c r="G19" i="20"/>
  <c r="H19" i="20"/>
  <c r="I19" i="20"/>
  <c r="J19" i="20"/>
  <c r="K19" i="20"/>
  <c r="G20" i="20"/>
  <c r="H20" i="20"/>
  <c r="I20" i="20"/>
  <c r="J20" i="20"/>
  <c r="K20" i="20"/>
  <c r="G21" i="20"/>
  <c r="H21" i="20"/>
  <c r="I21" i="20"/>
  <c r="J21" i="20"/>
  <c r="K21" i="20"/>
  <c r="G22" i="20"/>
  <c r="H22" i="20"/>
  <c r="I22" i="20"/>
  <c r="J22" i="20"/>
  <c r="K22" i="20"/>
  <c r="F18" i="20"/>
  <c r="F19" i="20"/>
  <c r="F20" i="20"/>
  <c r="F21" i="20"/>
  <c r="F22" i="20"/>
  <c r="F17" i="20"/>
  <c r="G61" i="20"/>
  <c r="H61" i="20"/>
  <c r="I61" i="20"/>
  <c r="J61" i="20"/>
  <c r="K61" i="20"/>
  <c r="F61" i="20"/>
  <c r="G59" i="20"/>
  <c r="H59" i="20"/>
  <c r="I59" i="20"/>
  <c r="J59" i="20"/>
  <c r="K59" i="20"/>
  <c r="F59" i="20"/>
  <c r="G51" i="20"/>
  <c r="H51" i="20"/>
  <c r="I51" i="20"/>
  <c r="J51" i="20"/>
  <c r="K51" i="20"/>
  <c r="G52" i="20"/>
  <c r="H52" i="20"/>
  <c r="I52" i="20"/>
  <c r="J52" i="20"/>
  <c r="K52" i="20"/>
  <c r="G53" i="20"/>
  <c r="H53" i="20"/>
  <c r="I53" i="20"/>
  <c r="J53" i="20"/>
  <c r="K53" i="20"/>
  <c r="G54" i="20"/>
  <c r="H54" i="20"/>
  <c r="I54" i="20"/>
  <c r="J54" i="20"/>
  <c r="K54" i="20"/>
  <c r="G55" i="20"/>
  <c r="H55" i="20"/>
  <c r="I55" i="20"/>
  <c r="J55" i="20"/>
  <c r="K55" i="20"/>
  <c r="G56" i="20"/>
  <c r="H56" i="20"/>
  <c r="I56" i="20"/>
  <c r="J56" i="20"/>
  <c r="K56" i="20"/>
  <c r="F55" i="20"/>
  <c r="F56" i="20"/>
  <c r="F54" i="20"/>
  <c r="F53" i="20"/>
  <c r="F52" i="20"/>
  <c r="F51" i="20"/>
  <c r="G48" i="20"/>
  <c r="H48" i="20"/>
  <c r="I48" i="20"/>
  <c r="J48" i="20"/>
  <c r="K48" i="20"/>
  <c r="G49" i="20"/>
  <c r="H49" i="20"/>
  <c r="I49" i="20"/>
  <c r="J49" i="20"/>
  <c r="K49" i="20"/>
  <c r="G50" i="20"/>
  <c r="H50" i="20"/>
  <c r="I50" i="20"/>
  <c r="J50" i="20"/>
  <c r="K50" i="20"/>
  <c r="F50" i="20"/>
  <c r="F49" i="20"/>
  <c r="F48" i="20"/>
  <c r="G44" i="20"/>
  <c r="H44" i="20"/>
  <c r="I44" i="20"/>
  <c r="J44" i="20"/>
  <c r="K44" i="20"/>
  <c r="F44" i="20"/>
  <c r="G42" i="20"/>
  <c r="H42" i="20"/>
  <c r="I42" i="20"/>
  <c r="J42" i="20"/>
  <c r="K42" i="20"/>
  <c r="G43" i="20"/>
  <c r="H43" i="20"/>
  <c r="I43" i="20"/>
  <c r="J43" i="20"/>
  <c r="K43" i="20"/>
  <c r="F43" i="20"/>
  <c r="F42" i="20"/>
  <c r="G40" i="20"/>
  <c r="H40" i="20"/>
  <c r="I40" i="20"/>
  <c r="J40" i="20"/>
  <c r="K40" i="20"/>
  <c r="G41" i="20"/>
  <c r="H41" i="20"/>
  <c r="I41" i="20"/>
  <c r="J41" i="20"/>
  <c r="K41" i="20"/>
  <c r="F41" i="20"/>
  <c r="G39" i="20"/>
  <c r="H39" i="20"/>
  <c r="I39" i="20"/>
  <c r="J39" i="20"/>
  <c r="K39" i="20"/>
  <c r="F40" i="20"/>
  <c r="F39" i="20"/>
  <c r="G35" i="20"/>
  <c r="H35" i="20"/>
  <c r="I35" i="20"/>
  <c r="J35" i="20"/>
  <c r="K35" i="20"/>
  <c r="G36" i="20"/>
  <c r="H36" i="20"/>
  <c r="I36" i="20"/>
  <c r="J36" i="20"/>
  <c r="K36" i="20"/>
  <c r="F36" i="20"/>
  <c r="F35" i="20"/>
  <c r="G33" i="20"/>
  <c r="H33" i="20"/>
  <c r="I33" i="20"/>
  <c r="J33" i="20"/>
  <c r="J32" i="20" s="1"/>
  <c r="J37" i="20" s="1"/>
  <c r="K33" i="20"/>
  <c r="G34" i="20"/>
  <c r="H34" i="20"/>
  <c r="H32" i="20" s="1"/>
  <c r="H37" i="20" s="1"/>
  <c r="I34" i="20"/>
  <c r="J34" i="20"/>
  <c r="K34" i="20"/>
  <c r="F34" i="20"/>
  <c r="F33" i="20"/>
  <c r="C50" i="20"/>
  <c r="C49" i="20"/>
  <c r="C48" i="20"/>
  <c r="G27" i="20"/>
  <c r="H27" i="20"/>
  <c r="I27" i="20"/>
  <c r="J27" i="20"/>
  <c r="J26" i="20" s="1"/>
  <c r="K27" i="20"/>
  <c r="K26" i="20" s="1"/>
  <c r="G28" i="20"/>
  <c r="H28" i="20"/>
  <c r="H26" i="20" s="1"/>
  <c r="I28" i="20"/>
  <c r="I26" i="20" s="1"/>
  <c r="J28" i="20"/>
  <c r="K28" i="20"/>
  <c r="F28" i="20"/>
  <c r="F27" i="20"/>
  <c r="F26" i="20" s="1"/>
  <c r="G24" i="20"/>
  <c r="H24" i="20"/>
  <c r="H114" i="20" s="1"/>
  <c r="H116" i="20" s="1"/>
  <c r="H117" i="20" s="1"/>
  <c r="I24" i="20"/>
  <c r="I114" i="20" s="1"/>
  <c r="J24" i="20"/>
  <c r="J114" i="20"/>
  <c r="J116" i="20" s="1"/>
  <c r="J117" i="20" s="1"/>
  <c r="K24" i="20"/>
  <c r="G25" i="20"/>
  <c r="H25" i="20"/>
  <c r="I25" i="20"/>
  <c r="I29" i="20" s="1"/>
  <c r="J25" i="20"/>
  <c r="K25" i="20"/>
  <c r="F25" i="20"/>
  <c r="F24" i="20"/>
  <c r="G10" i="20"/>
  <c r="G109" i="20" s="1"/>
  <c r="G111" i="20" s="1"/>
  <c r="G112" i="20" s="1"/>
  <c r="H10" i="20"/>
  <c r="H126" i="20" s="1"/>
  <c r="H114" i="18" s="1"/>
  <c r="I10" i="20"/>
  <c r="I126" i="20" s="1"/>
  <c r="I114" i="18" s="1"/>
  <c r="J10" i="20"/>
  <c r="J126" i="20" s="1"/>
  <c r="J114" i="18" s="1"/>
  <c r="K10" i="20"/>
  <c r="G11" i="20"/>
  <c r="H11" i="20"/>
  <c r="I11" i="20"/>
  <c r="J11" i="20"/>
  <c r="K11" i="20"/>
  <c r="G12" i="20"/>
  <c r="H12" i="20"/>
  <c r="I12" i="20"/>
  <c r="J12" i="20"/>
  <c r="K12" i="20"/>
  <c r="G13" i="20"/>
  <c r="H13" i="20"/>
  <c r="I13" i="20"/>
  <c r="J13" i="20"/>
  <c r="K13" i="20"/>
  <c r="G14" i="20"/>
  <c r="H14" i="20"/>
  <c r="I14" i="20"/>
  <c r="J14" i="20"/>
  <c r="K14" i="20"/>
  <c r="G15" i="20"/>
  <c r="H15" i="20"/>
  <c r="I15" i="20"/>
  <c r="J15" i="20"/>
  <c r="K15" i="20"/>
  <c r="G16" i="20"/>
  <c r="H16" i="20"/>
  <c r="I16" i="20"/>
  <c r="J16" i="20"/>
  <c r="J23" i="20" s="1"/>
  <c r="K16" i="20"/>
  <c r="K23" i="20" s="1"/>
  <c r="F16" i="20"/>
  <c r="F15" i="20"/>
  <c r="F12" i="20"/>
  <c r="F13" i="20"/>
  <c r="F14" i="20"/>
  <c r="F11" i="20"/>
  <c r="F10" i="20"/>
  <c r="F109" i="20"/>
  <c r="C28" i="20"/>
  <c r="C27" i="20"/>
  <c r="C18" i="20"/>
  <c r="C19" i="20"/>
  <c r="C20" i="20"/>
  <c r="C21" i="20"/>
  <c r="C22" i="20"/>
  <c r="C17" i="20"/>
  <c r="C12" i="20"/>
  <c r="C13" i="20"/>
  <c r="C14" i="20"/>
  <c r="C11" i="20"/>
  <c r="J109" i="20"/>
  <c r="J111" i="20" s="1"/>
  <c r="J112" i="20" s="1"/>
  <c r="K109" i="20"/>
  <c r="K111" i="20" s="1"/>
  <c r="K112" i="20" s="1"/>
  <c r="S96" i="20"/>
  <c r="S32" i="22"/>
  <c r="Z37" i="20"/>
  <c r="E502" i="17"/>
  <c r="J502" i="17"/>
  <c r="J505" i="17" s="1"/>
  <c r="I502" i="17"/>
  <c r="I505" i="17" s="1"/>
  <c r="H502" i="17"/>
  <c r="H505" i="17" s="1"/>
  <c r="G502" i="17"/>
  <c r="G505" i="17" s="1"/>
  <c r="F502" i="17"/>
  <c r="F505" i="17" s="1"/>
  <c r="K502" i="17"/>
  <c r="K505" i="17" s="1"/>
  <c r="J493" i="17"/>
  <c r="J494" i="17" s="1"/>
  <c r="I493" i="17"/>
  <c r="I494" i="17" s="1"/>
  <c r="H493" i="17"/>
  <c r="H494" i="17" s="1"/>
  <c r="H504" i="17"/>
  <c r="G493" i="17"/>
  <c r="G494" i="17" s="1"/>
  <c r="G504" i="17" s="1"/>
  <c r="F493" i="17"/>
  <c r="F494" i="17" s="1"/>
  <c r="E493" i="17"/>
  <c r="E494" i="17"/>
  <c r="E503" i="17" s="1"/>
  <c r="K493" i="17"/>
  <c r="K494" i="17" s="1"/>
  <c r="K8" i="20"/>
  <c r="K108" i="20" s="1"/>
  <c r="J8" i="20"/>
  <c r="I8" i="20"/>
  <c r="H8" i="20"/>
  <c r="H125" i="20" s="1"/>
  <c r="G8" i="20"/>
  <c r="G108" i="20" s="1"/>
  <c r="F8" i="20"/>
  <c r="E8" i="20"/>
  <c r="E83" i="20" s="1"/>
  <c r="D7" i="20"/>
  <c r="D4" i="20"/>
  <c r="D3" i="20"/>
  <c r="D2" i="20"/>
  <c r="H361" i="19"/>
  <c r="I361" i="19"/>
  <c r="K361" i="19"/>
  <c r="L361" i="19"/>
  <c r="G361" i="19"/>
  <c r="S8" i="6"/>
  <c r="S78" i="6" s="1"/>
  <c r="T8" i="6"/>
  <c r="T78" i="6" s="1"/>
  <c r="I8" i="6"/>
  <c r="I200" i="6" s="1"/>
  <c r="W8" i="6"/>
  <c r="R8" i="6"/>
  <c r="I8" i="15"/>
  <c r="I81" i="15" s="1"/>
  <c r="Q8" i="15"/>
  <c r="Q81" i="15" s="1"/>
  <c r="K158" i="6"/>
  <c r="K171" i="6" s="1"/>
  <c r="K159" i="6"/>
  <c r="AH59" i="6"/>
  <c r="AG59" i="6"/>
  <c r="AH38" i="6"/>
  <c r="AG38" i="6"/>
  <c r="AH20" i="6"/>
  <c r="AG20" i="6"/>
  <c r="AF50" i="6"/>
  <c r="AF48" i="6"/>
  <c r="U8" i="15"/>
  <c r="G62" i="15" s="1"/>
  <c r="V8" i="15"/>
  <c r="H62" i="15" s="1"/>
  <c r="X8" i="15"/>
  <c r="J62" i="15" s="1"/>
  <c r="Y8" i="15"/>
  <c r="K62" i="15" s="1"/>
  <c r="T8" i="15"/>
  <c r="N8" i="15"/>
  <c r="N81" i="15" s="1"/>
  <c r="O8" i="15"/>
  <c r="O81" i="15" s="1"/>
  <c r="R8" i="15"/>
  <c r="R81" i="15" s="1"/>
  <c r="M8" i="15"/>
  <c r="M81" i="15" s="1"/>
  <c r="G8" i="15"/>
  <c r="G91" i="15" s="1"/>
  <c r="H8" i="15"/>
  <c r="H81" i="15" s="1"/>
  <c r="K8" i="15"/>
  <c r="K81" i="15" s="1"/>
  <c r="F8" i="15"/>
  <c r="F91" i="15" s="1"/>
  <c r="G54" i="15"/>
  <c r="H54" i="15"/>
  <c r="I54" i="15"/>
  <c r="J54" i="15"/>
  <c r="F54" i="15"/>
  <c r="G49" i="15"/>
  <c r="H49" i="15"/>
  <c r="J49" i="15"/>
  <c r="F49" i="15"/>
  <c r="G34" i="15"/>
  <c r="H34" i="15"/>
  <c r="I34" i="15"/>
  <c r="J34" i="15"/>
  <c r="K34" i="15"/>
  <c r="G35" i="15"/>
  <c r="H35" i="15"/>
  <c r="I35" i="15"/>
  <c r="J35" i="15"/>
  <c r="K35" i="15"/>
  <c r="G36" i="15"/>
  <c r="H36" i="15"/>
  <c r="I36" i="15"/>
  <c r="J36" i="15"/>
  <c r="K36" i="15"/>
  <c r="G37" i="15"/>
  <c r="H37" i="15"/>
  <c r="I37" i="15"/>
  <c r="J37" i="15"/>
  <c r="K37" i="15"/>
  <c r="G38" i="15"/>
  <c r="H38" i="15"/>
  <c r="I38" i="15"/>
  <c r="J38" i="15"/>
  <c r="K38" i="15"/>
  <c r="F38" i="15"/>
  <c r="F37" i="15"/>
  <c r="F36" i="15"/>
  <c r="F35" i="15"/>
  <c r="F34" i="15"/>
  <c r="K32" i="15"/>
  <c r="J32" i="15"/>
  <c r="I32" i="15"/>
  <c r="H32" i="15"/>
  <c r="G32" i="15"/>
  <c r="K31" i="15"/>
  <c r="J31" i="15"/>
  <c r="I31" i="15"/>
  <c r="H31" i="15"/>
  <c r="G31" i="15"/>
  <c r="K30" i="15"/>
  <c r="J30" i="15"/>
  <c r="I30" i="15"/>
  <c r="H30" i="15"/>
  <c r="G30" i="15"/>
  <c r="K29" i="15"/>
  <c r="J29" i="15"/>
  <c r="I29" i="15"/>
  <c r="H29" i="15"/>
  <c r="G29" i="15"/>
  <c r="K28" i="15"/>
  <c r="J28" i="15"/>
  <c r="I28" i="15"/>
  <c r="H28" i="15"/>
  <c r="G28" i="15"/>
  <c r="K27" i="15"/>
  <c r="J27" i="15"/>
  <c r="I27" i="15"/>
  <c r="H27" i="15"/>
  <c r="G27" i="15"/>
  <c r="K26" i="15"/>
  <c r="J26" i="15"/>
  <c r="I26" i="15"/>
  <c r="H26" i="15"/>
  <c r="G26" i="15"/>
  <c r="K25" i="15"/>
  <c r="J25" i="15"/>
  <c r="I25" i="15"/>
  <c r="H25" i="15"/>
  <c r="G25" i="15"/>
  <c r="F32" i="15"/>
  <c r="F31" i="15"/>
  <c r="F30" i="15"/>
  <c r="F29" i="15"/>
  <c r="F28" i="15"/>
  <c r="F27" i="15"/>
  <c r="F26" i="15"/>
  <c r="F25" i="15"/>
  <c r="K17" i="15"/>
  <c r="K18" i="15"/>
  <c r="K19" i="15"/>
  <c r="K20" i="15"/>
  <c r="K21" i="15"/>
  <c r="K22" i="15"/>
  <c r="K23" i="15"/>
  <c r="J23" i="15"/>
  <c r="I23" i="15"/>
  <c r="H23" i="15"/>
  <c r="G23" i="15"/>
  <c r="J22" i="15"/>
  <c r="I22" i="15"/>
  <c r="H22" i="15"/>
  <c r="G22" i="15"/>
  <c r="J21" i="15"/>
  <c r="I21" i="15"/>
  <c r="H21" i="15"/>
  <c r="G21" i="15"/>
  <c r="J20" i="15"/>
  <c r="I20" i="15"/>
  <c r="H20" i="15"/>
  <c r="G20" i="15"/>
  <c r="J19" i="15"/>
  <c r="I19" i="15"/>
  <c r="H19" i="15"/>
  <c r="G19" i="15"/>
  <c r="J18" i="15"/>
  <c r="I18" i="15"/>
  <c r="H18" i="15"/>
  <c r="G18" i="15"/>
  <c r="J17" i="15"/>
  <c r="I17" i="15"/>
  <c r="H17" i="15"/>
  <c r="G17" i="15"/>
  <c r="J16" i="15"/>
  <c r="I16" i="15"/>
  <c r="H16" i="15"/>
  <c r="G16" i="15"/>
  <c r="J15" i="15"/>
  <c r="I15" i="15"/>
  <c r="H15" i="15"/>
  <c r="G15" i="15"/>
  <c r="J14" i="15"/>
  <c r="I14" i="15"/>
  <c r="H14" i="15"/>
  <c r="G14" i="15"/>
  <c r="J13" i="15"/>
  <c r="I13" i="15"/>
  <c r="H13" i="15"/>
  <c r="G13" i="15"/>
  <c r="J12" i="15"/>
  <c r="I12" i="15"/>
  <c r="H12" i="15"/>
  <c r="G12" i="15"/>
  <c r="J11" i="15"/>
  <c r="I11" i="15"/>
  <c r="H11" i="15"/>
  <c r="G11" i="15"/>
  <c r="J10" i="15"/>
  <c r="I10" i="15"/>
  <c r="H10" i="15"/>
  <c r="G10" i="15"/>
  <c r="F23" i="15"/>
  <c r="F22" i="15"/>
  <c r="F21" i="15"/>
  <c r="F20" i="15"/>
  <c r="F19" i="15"/>
  <c r="F18" i="15"/>
  <c r="F17" i="15"/>
  <c r="K16" i="15"/>
  <c r="K15" i="15"/>
  <c r="K14" i="15"/>
  <c r="K13" i="15"/>
  <c r="K12" i="15"/>
  <c r="K11" i="15"/>
  <c r="K10" i="15"/>
  <c r="F16" i="15"/>
  <c r="F15" i="15"/>
  <c r="F14" i="15"/>
  <c r="F13" i="15"/>
  <c r="F12" i="15"/>
  <c r="F11" i="15"/>
  <c r="F10" i="15"/>
  <c r="D7" i="15"/>
  <c r="D2" i="15"/>
  <c r="J108" i="20"/>
  <c r="E125" i="20"/>
  <c r="I125" i="20"/>
  <c r="I108" i="20"/>
  <c r="I52" i="22"/>
  <c r="J8" i="15"/>
  <c r="J81" i="15" s="1"/>
  <c r="P8" i="15"/>
  <c r="P81" i="15" s="1"/>
  <c r="W8" i="15"/>
  <c r="I62" i="15" s="1"/>
  <c r="I49" i="15"/>
  <c r="I83" i="20"/>
  <c r="I94" i="20"/>
  <c r="I68" i="20"/>
  <c r="J40" i="15"/>
  <c r="I40" i="15"/>
  <c r="H40" i="15"/>
  <c r="F40" i="15"/>
  <c r="L637" i="19"/>
  <c r="L638" i="19" s="1"/>
  <c r="K637" i="19"/>
  <c r="K638" i="19" s="1"/>
  <c r="J638" i="19"/>
  <c r="I637" i="19"/>
  <c r="I638" i="19" s="1"/>
  <c r="H637" i="19"/>
  <c r="H638" i="19" s="1"/>
  <c r="F637" i="19"/>
  <c r="F638" i="19" s="1"/>
  <c r="G637" i="19"/>
  <c r="G638" i="19" s="1"/>
  <c r="G576" i="19"/>
  <c r="F575" i="19"/>
  <c r="F576" i="19" s="1"/>
  <c r="K32" i="23"/>
  <c r="J32" i="23"/>
  <c r="K442" i="19"/>
  <c r="K443" i="19" s="1"/>
  <c r="I442" i="19"/>
  <c r="I443" i="19" s="1"/>
  <c r="H442" i="19"/>
  <c r="G442" i="19"/>
  <c r="G443" i="19" s="1"/>
  <c r="J460" i="17"/>
  <c r="J47" i="22" s="1"/>
  <c r="I460" i="17"/>
  <c r="I47" i="22" s="1"/>
  <c r="H460" i="17"/>
  <c r="H47" i="22"/>
  <c r="G460" i="17"/>
  <c r="G47" i="22" s="1"/>
  <c r="F460" i="17"/>
  <c r="F47" i="22" s="1"/>
  <c r="E460" i="17"/>
  <c r="E47" i="22" s="1"/>
  <c r="K460" i="17"/>
  <c r="K47" i="22" s="1"/>
  <c r="J457" i="17"/>
  <c r="J459" i="17" s="1"/>
  <c r="J46" i="22" s="1"/>
  <c r="I457" i="17"/>
  <c r="I459" i="17"/>
  <c r="I46" i="22" s="1"/>
  <c r="H457" i="17"/>
  <c r="H459" i="17" s="1"/>
  <c r="H46" i="22" s="1"/>
  <c r="G457" i="17"/>
  <c r="F457" i="17"/>
  <c r="F459" i="17"/>
  <c r="F46" i="22"/>
  <c r="E457" i="17"/>
  <c r="E459" i="17" s="1"/>
  <c r="E46" i="22" s="1"/>
  <c r="K457" i="17"/>
  <c r="K459" i="17" s="1"/>
  <c r="K46" i="22" s="1"/>
  <c r="G459" i="17"/>
  <c r="G46" i="22" s="1"/>
  <c r="F478" i="19"/>
  <c r="F442" i="19"/>
  <c r="F443" i="19" s="1"/>
  <c r="C103" i="18"/>
  <c r="C89" i="18"/>
  <c r="C88" i="18"/>
  <c r="C87" i="18"/>
  <c r="F70" i="18"/>
  <c r="G70" i="18"/>
  <c r="H70" i="18"/>
  <c r="I70" i="18"/>
  <c r="J70" i="18"/>
  <c r="K70" i="18"/>
  <c r="F71" i="18"/>
  <c r="G71" i="18"/>
  <c r="H71" i="18"/>
  <c r="I71" i="18"/>
  <c r="I69" i="18" s="1"/>
  <c r="J71" i="18"/>
  <c r="K71" i="18"/>
  <c r="F72" i="18"/>
  <c r="G72" i="18"/>
  <c r="H72" i="18"/>
  <c r="I72" i="18"/>
  <c r="J72" i="18"/>
  <c r="K72" i="18"/>
  <c r="F73" i="18"/>
  <c r="G73" i="18"/>
  <c r="H73" i="18"/>
  <c r="I73" i="18"/>
  <c r="J73" i="18"/>
  <c r="K73" i="18"/>
  <c r="F74" i="18"/>
  <c r="G74" i="18"/>
  <c r="H74" i="18"/>
  <c r="I74" i="18"/>
  <c r="J74" i="18"/>
  <c r="K74" i="18"/>
  <c r="F75" i="18"/>
  <c r="G75" i="18"/>
  <c r="H75" i="18"/>
  <c r="I75" i="18"/>
  <c r="J75" i="18"/>
  <c r="K75" i="18"/>
  <c r="F76" i="18"/>
  <c r="G76" i="18"/>
  <c r="H76" i="18"/>
  <c r="I76" i="18"/>
  <c r="J76" i="18"/>
  <c r="K76" i="18"/>
  <c r="F77" i="18"/>
  <c r="G77" i="18"/>
  <c r="H77" i="18"/>
  <c r="I77" i="18"/>
  <c r="J77" i="18"/>
  <c r="K77" i="18"/>
  <c r="E77" i="18"/>
  <c r="E71" i="18"/>
  <c r="E72" i="18"/>
  <c r="E73" i="18"/>
  <c r="E74" i="18"/>
  <c r="E75" i="18"/>
  <c r="E76" i="18"/>
  <c r="E70" i="18"/>
  <c r="F68" i="18"/>
  <c r="G68" i="18"/>
  <c r="H68" i="18"/>
  <c r="H102" i="18" s="1"/>
  <c r="I68" i="18"/>
  <c r="J68" i="18"/>
  <c r="K68" i="18"/>
  <c r="E68" i="18"/>
  <c r="F63" i="18"/>
  <c r="F101" i="18" s="1"/>
  <c r="G63" i="18"/>
  <c r="H101" i="18" s="1"/>
  <c r="H63" i="18"/>
  <c r="I63" i="18"/>
  <c r="I101" i="18" s="1"/>
  <c r="J63" i="18"/>
  <c r="J101" i="18" s="1"/>
  <c r="K63" i="18"/>
  <c r="F64" i="18"/>
  <c r="G64" i="18"/>
  <c r="H64" i="18"/>
  <c r="I64" i="18"/>
  <c r="J64" i="18"/>
  <c r="K64" i="18"/>
  <c r="F65" i="18"/>
  <c r="G65" i="18"/>
  <c r="H65" i="18"/>
  <c r="I65" i="18"/>
  <c r="J65" i="18"/>
  <c r="K65" i="18"/>
  <c r="F66" i="18"/>
  <c r="G66" i="18"/>
  <c r="H66" i="18"/>
  <c r="I66" i="18"/>
  <c r="J66" i="18"/>
  <c r="K66" i="18"/>
  <c r="F67" i="18"/>
  <c r="G67" i="18"/>
  <c r="H67" i="18"/>
  <c r="I67" i="18"/>
  <c r="J67" i="18"/>
  <c r="K67" i="18"/>
  <c r="E66" i="18"/>
  <c r="E67" i="18"/>
  <c r="E65" i="18"/>
  <c r="E64" i="18"/>
  <c r="E63" i="18"/>
  <c r="F58" i="18"/>
  <c r="F106" i="22"/>
  <c r="G58" i="18"/>
  <c r="H58" i="18"/>
  <c r="H106" i="22" s="1"/>
  <c r="I58" i="18"/>
  <c r="I106" i="22" s="1"/>
  <c r="J58" i="18"/>
  <c r="J106" i="22"/>
  <c r="K58" i="18"/>
  <c r="K106" i="22" s="1"/>
  <c r="F59" i="18"/>
  <c r="G59" i="18"/>
  <c r="H59" i="18"/>
  <c r="I59" i="18"/>
  <c r="J59" i="18"/>
  <c r="K59" i="18"/>
  <c r="F60" i="18"/>
  <c r="G60" i="18"/>
  <c r="H60" i="18"/>
  <c r="I60" i="18"/>
  <c r="J60" i="18"/>
  <c r="K60" i="18"/>
  <c r="F61" i="18"/>
  <c r="G61" i="18"/>
  <c r="H61" i="18"/>
  <c r="I61" i="18"/>
  <c r="J61" i="18"/>
  <c r="J57" i="18" s="1"/>
  <c r="K61" i="18"/>
  <c r="E59" i="18"/>
  <c r="E60" i="18"/>
  <c r="E61" i="18"/>
  <c r="E58" i="18"/>
  <c r="E106" i="22" s="1"/>
  <c r="F56" i="18"/>
  <c r="G56" i="18"/>
  <c r="H56" i="18"/>
  <c r="I56" i="18"/>
  <c r="J56" i="18"/>
  <c r="K56" i="18"/>
  <c r="E56" i="18"/>
  <c r="F53" i="18"/>
  <c r="G53" i="18"/>
  <c r="H53" i="18"/>
  <c r="I53" i="18"/>
  <c r="I52" i="18" s="1"/>
  <c r="J53" i="18"/>
  <c r="K53" i="18"/>
  <c r="F54" i="18"/>
  <c r="G54" i="18"/>
  <c r="H54" i="18"/>
  <c r="I54" i="18"/>
  <c r="J54" i="18"/>
  <c r="K54" i="18"/>
  <c r="E54" i="18"/>
  <c r="E53" i="18"/>
  <c r="I50" i="18"/>
  <c r="I49" i="18" s="1"/>
  <c r="I104" i="22" s="1"/>
  <c r="J50" i="18"/>
  <c r="K50" i="18"/>
  <c r="I51" i="18"/>
  <c r="J51" i="18"/>
  <c r="K51" i="18"/>
  <c r="K49" i="18" s="1"/>
  <c r="D54" i="18"/>
  <c r="D53" i="18"/>
  <c r="D51" i="18"/>
  <c r="D50" i="18"/>
  <c r="B48" i="18"/>
  <c r="C99" i="18" s="1"/>
  <c r="K47" i="18"/>
  <c r="J47" i="18"/>
  <c r="I47" i="18"/>
  <c r="H47" i="18"/>
  <c r="G47" i="18"/>
  <c r="F47" i="18"/>
  <c r="F45" i="18" s="1"/>
  <c r="E47" i="18"/>
  <c r="K46" i="18"/>
  <c r="J46" i="18"/>
  <c r="I46" i="18"/>
  <c r="H46" i="18"/>
  <c r="H45" i="18" s="1"/>
  <c r="G46" i="18"/>
  <c r="F46" i="18"/>
  <c r="E46" i="18"/>
  <c r="C47" i="18"/>
  <c r="C46" i="18"/>
  <c r="K44" i="18"/>
  <c r="J44" i="18"/>
  <c r="I44" i="18"/>
  <c r="H44" i="18"/>
  <c r="G44" i="18"/>
  <c r="F44" i="18"/>
  <c r="E44" i="18"/>
  <c r="K43" i="18"/>
  <c r="J43" i="18"/>
  <c r="I43" i="18"/>
  <c r="H43" i="18"/>
  <c r="H41" i="18" s="1"/>
  <c r="G43" i="18"/>
  <c r="F43" i="18"/>
  <c r="E43" i="18"/>
  <c r="K42" i="18"/>
  <c r="J42" i="18"/>
  <c r="I42" i="18"/>
  <c r="H42" i="18"/>
  <c r="G42" i="18"/>
  <c r="E42" i="18"/>
  <c r="C44" i="18"/>
  <c r="C43" i="18"/>
  <c r="C42" i="18"/>
  <c r="B45" i="18"/>
  <c r="C98" i="18"/>
  <c r="B41" i="18"/>
  <c r="C97" i="18"/>
  <c r="C77" i="18"/>
  <c r="C76" i="18"/>
  <c r="C75" i="18"/>
  <c r="C74" i="18"/>
  <c r="C73" i="18"/>
  <c r="C72" i="18"/>
  <c r="C71" i="18"/>
  <c r="C70" i="18"/>
  <c r="D61" i="18"/>
  <c r="D60" i="18"/>
  <c r="D59" i="18"/>
  <c r="D58" i="18"/>
  <c r="C57" i="18"/>
  <c r="C100" i="18"/>
  <c r="C67" i="18"/>
  <c r="C66" i="18"/>
  <c r="C65" i="18"/>
  <c r="C64" i="18"/>
  <c r="C63" i="18"/>
  <c r="C101" i="18" s="1"/>
  <c r="B68" i="18"/>
  <c r="C102" i="18" s="1"/>
  <c r="C56" i="18"/>
  <c r="E442" i="17"/>
  <c r="F442" i="17"/>
  <c r="F447" i="17" s="1"/>
  <c r="F448" i="17" s="1"/>
  <c r="F315" i="17"/>
  <c r="F319" i="17" s="1"/>
  <c r="F320" i="17" s="1"/>
  <c r="E337" i="17"/>
  <c r="E338" i="17"/>
  <c r="E51" i="18" s="1"/>
  <c r="F338" i="17"/>
  <c r="F51" i="18" s="1"/>
  <c r="F337" i="17"/>
  <c r="G442" i="17"/>
  <c r="H442" i="17"/>
  <c r="H447" i="17" s="1"/>
  <c r="H448" i="17" s="1"/>
  <c r="G338" i="17"/>
  <c r="G51" i="18"/>
  <c r="G337" i="17"/>
  <c r="G50" i="18" s="1"/>
  <c r="H338" i="17"/>
  <c r="H51" i="18" s="1"/>
  <c r="H337" i="17"/>
  <c r="H50" i="18" s="1"/>
  <c r="I446" i="17"/>
  <c r="I443" i="17" s="1"/>
  <c r="I447" i="17" s="1"/>
  <c r="I448" i="17" s="1"/>
  <c r="I361" i="17"/>
  <c r="I362" i="17" s="1"/>
  <c r="H361" i="17"/>
  <c r="H362" i="17" s="1"/>
  <c r="G361" i="17"/>
  <c r="G362" i="17"/>
  <c r="F361" i="17"/>
  <c r="F362" i="17"/>
  <c r="E361" i="17"/>
  <c r="E362" i="17"/>
  <c r="J319" i="17"/>
  <c r="J320" i="17" s="1"/>
  <c r="I319" i="17"/>
  <c r="I320" i="17" s="1"/>
  <c r="H319" i="17"/>
  <c r="H320" i="17" s="1"/>
  <c r="G319" i="17"/>
  <c r="G320" i="17" s="1"/>
  <c r="E319" i="17"/>
  <c r="E320" i="17" s="1"/>
  <c r="K319" i="17"/>
  <c r="K320" i="17" s="1"/>
  <c r="J446" i="17"/>
  <c r="J443" i="17"/>
  <c r="J447" i="17" s="1"/>
  <c r="J448" i="17" s="1"/>
  <c r="K446" i="17"/>
  <c r="K443" i="17" s="1"/>
  <c r="K447" i="17" s="1"/>
  <c r="K448" i="17" s="1"/>
  <c r="H443" i="17"/>
  <c r="F443" i="17"/>
  <c r="E443" i="17"/>
  <c r="J377" i="17"/>
  <c r="J381" i="17" s="1"/>
  <c r="I377" i="17"/>
  <c r="I381" i="17"/>
  <c r="H377" i="17"/>
  <c r="H381" i="17"/>
  <c r="G377" i="17"/>
  <c r="G381" i="17" s="1"/>
  <c r="K377" i="17"/>
  <c r="K381" i="17"/>
  <c r="K371" i="17"/>
  <c r="K372" i="17" s="1"/>
  <c r="J371" i="17"/>
  <c r="J372" i="17"/>
  <c r="I371" i="17"/>
  <c r="I372" i="17"/>
  <c r="H371" i="17"/>
  <c r="H372" i="17" s="1"/>
  <c r="G371" i="17"/>
  <c r="G372" i="17"/>
  <c r="F371" i="17"/>
  <c r="F372" i="17"/>
  <c r="E371" i="17"/>
  <c r="E372" i="17"/>
  <c r="J361" i="17"/>
  <c r="J362" i="17" s="1"/>
  <c r="K361" i="17"/>
  <c r="K362" i="17" s="1"/>
  <c r="E339" i="17"/>
  <c r="F339" i="17"/>
  <c r="G339" i="17"/>
  <c r="H339" i="17"/>
  <c r="I339" i="17"/>
  <c r="J339" i="17"/>
  <c r="K339" i="17"/>
  <c r="I336" i="17"/>
  <c r="J336" i="17"/>
  <c r="J342" i="17" s="1"/>
  <c r="J343" i="17" s="1"/>
  <c r="K336" i="17"/>
  <c r="K342" i="17" s="1"/>
  <c r="K343" i="17" s="1"/>
  <c r="E333" i="17"/>
  <c r="F333" i="17"/>
  <c r="G333" i="17"/>
  <c r="H333" i="17"/>
  <c r="I333" i="17"/>
  <c r="J333" i="17"/>
  <c r="K333" i="17"/>
  <c r="K327" i="17"/>
  <c r="K328" i="17"/>
  <c r="J327" i="17"/>
  <c r="J328" i="17" s="1"/>
  <c r="I327" i="17"/>
  <c r="I328" i="17" s="1"/>
  <c r="H327" i="17"/>
  <c r="H328" i="17" s="1"/>
  <c r="G327" i="17"/>
  <c r="G328" i="17" s="1"/>
  <c r="F327" i="17"/>
  <c r="F328" i="17" s="1"/>
  <c r="E327" i="17"/>
  <c r="E328" i="17"/>
  <c r="J52" i="18"/>
  <c r="J103" i="22" s="1"/>
  <c r="K45" i="18"/>
  <c r="H125" i="18"/>
  <c r="H82" i="22" s="1"/>
  <c r="I125" i="18"/>
  <c r="I82" i="22" s="1"/>
  <c r="J125" i="18"/>
  <c r="J82" i="22" s="1"/>
  <c r="K125" i="18"/>
  <c r="K82" i="22" s="1"/>
  <c r="F81" i="22"/>
  <c r="H124" i="18"/>
  <c r="H81" i="22"/>
  <c r="I124" i="18"/>
  <c r="I81" i="22"/>
  <c r="J124" i="18"/>
  <c r="J81" i="22" s="1"/>
  <c r="K124" i="18"/>
  <c r="K81" i="22"/>
  <c r="E81" i="22"/>
  <c r="F20" i="18"/>
  <c r="G20" i="18"/>
  <c r="H93" i="18" s="1"/>
  <c r="H20" i="18"/>
  <c r="I20" i="18"/>
  <c r="J20" i="18"/>
  <c r="K20" i="18"/>
  <c r="E20" i="18"/>
  <c r="F21" i="18"/>
  <c r="G21" i="18"/>
  <c r="H21" i="18"/>
  <c r="I21" i="18"/>
  <c r="J21" i="18"/>
  <c r="K21" i="18"/>
  <c r="F22" i="18"/>
  <c r="G22" i="18"/>
  <c r="H22" i="18"/>
  <c r="I22" i="18"/>
  <c r="J22" i="18"/>
  <c r="K22" i="18"/>
  <c r="E22" i="18"/>
  <c r="E21" i="18"/>
  <c r="D21" i="18"/>
  <c r="D22" i="18"/>
  <c r="F19" i="18"/>
  <c r="G19" i="18"/>
  <c r="H19" i="18"/>
  <c r="I19" i="18"/>
  <c r="J19" i="18"/>
  <c r="K19" i="18"/>
  <c r="E19" i="18"/>
  <c r="F18" i="18"/>
  <c r="G18" i="18"/>
  <c r="H18" i="18"/>
  <c r="I18" i="18"/>
  <c r="J18" i="18"/>
  <c r="K18" i="18"/>
  <c r="E18" i="18"/>
  <c r="F16" i="18"/>
  <c r="G16" i="18"/>
  <c r="H16" i="18"/>
  <c r="I16" i="18"/>
  <c r="J16" i="18"/>
  <c r="K16" i="18"/>
  <c r="D19" i="18"/>
  <c r="D16" i="18"/>
  <c r="H15" i="18"/>
  <c r="I15" i="18"/>
  <c r="J15" i="18"/>
  <c r="K15" i="18"/>
  <c r="E15" i="18"/>
  <c r="F33" i="18"/>
  <c r="G33" i="18"/>
  <c r="H33" i="18"/>
  <c r="I33" i="18"/>
  <c r="J33" i="18"/>
  <c r="K33" i="18"/>
  <c r="F34" i="18"/>
  <c r="G34" i="18"/>
  <c r="G32" i="18" s="1"/>
  <c r="H34" i="18"/>
  <c r="I34" i="18"/>
  <c r="J34" i="18"/>
  <c r="K34" i="18"/>
  <c r="F35" i="18"/>
  <c r="G35" i="18"/>
  <c r="H35" i="18"/>
  <c r="I35" i="18"/>
  <c r="J35" i="18"/>
  <c r="J32" i="18" s="1"/>
  <c r="K35" i="18"/>
  <c r="E35" i="18"/>
  <c r="E34" i="18"/>
  <c r="E33" i="18"/>
  <c r="F29" i="18"/>
  <c r="G29" i="18"/>
  <c r="H29" i="18"/>
  <c r="I29" i="18"/>
  <c r="J29" i="18"/>
  <c r="K29" i="18"/>
  <c r="F30" i="18"/>
  <c r="G30" i="18"/>
  <c r="H30" i="18"/>
  <c r="I30" i="18"/>
  <c r="J30" i="18"/>
  <c r="K30" i="18"/>
  <c r="F31" i="18"/>
  <c r="G31" i="18"/>
  <c r="H31" i="18"/>
  <c r="I31" i="18"/>
  <c r="J31" i="18"/>
  <c r="K31" i="18"/>
  <c r="E31" i="18"/>
  <c r="E30" i="18"/>
  <c r="E29" i="18"/>
  <c r="E28" i="18" s="1"/>
  <c r="C35" i="18"/>
  <c r="C34" i="18"/>
  <c r="C33" i="18"/>
  <c r="C31" i="18"/>
  <c r="C30" i="18"/>
  <c r="C29" i="18"/>
  <c r="C27" i="18"/>
  <c r="C26" i="18"/>
  <c r="D7" i="18"/>
  <c r="F23" i="18"/>
  <c r="G23" i="18"/>
  <c r="H94" i="18" s="1"/>
  <c r="H23" i="18"/>
  <c r="I23" i="18"/>
  <c r="J23" i="18"/>
  <c r="K23" i="18"/>
  <c r="F24" i="18"/>
  <c r="G24" i="18"/>
  <c r="H24" i="18"/>
  <c r="I24" i="18"/>
  <c r="J24" i="18"/>
  <c r="K24" i="18"/>
  <c r="F14" i="18"/>
  <c r="F13" i="18" s="1"/>
  <c r="G14" i="18"/>
  <c r="G13" i="18" s="1"/>
  <c r="H14" i="18"/>
  <c r="I14" i="18"/>
  <c r="J14" i="18"/>
  <c r="K91" i="18" s="1"/>
  <c r="K14" i="18"/>
  <c r="F17" i="18"/>
  <c r="G17" i="18"/>
  <c r="H17" i="18"/>
  <c r="I17" i="18"/>
  <c r="J17" i="18"/>
  <c r="K17" i="18"/>
  <c r="E24" i="18"/>
  <c r="E23" i="18"/>
  <c r="E17" i="18"/>
  <c r="F92" i="18" s="1"/>
  <c r="E14" i="18"/>
  <c r="C24" i="18"/>
  <c r="C23" i="18"/>
  <c r="C94" i="18" s="1"/>
  <c r="C20" i="18"/>
  <c r="C93" i="18" s="1"/>
  <c r="C17" i="18"/>
  <c r="C92" i="18" s="1"/>
  <c r="C14" i="18"/>
  <c r="C91" i="18"/>
  <c r="F10" i="18"/>
  <c r="G10" i="18"/>
  <c r="H10" i="18"/>
  <c r="I10" i="18"/>
  <c r="J10" i="18"/>
  <c r="J9" i="18" s="1"/>
  <c r="K10" i="18"/>
  <c r="F11" i="18"/>
  <c r="G11" i="18"/>
  <c r="H11" i="18"/>
  <c r="H9" i="18" s="1"/>
  <c r="I11" i="18"/>
  <c r="J11" i="18"/>
  <c r="K11" i="18"/>
  <c r="F12" i="18"/>
  <c r="G12" i="18"/>
  <c r="H12" i="18"/>
  <c r="I12" i="18"/>
  <c r="J12" i="18"/>
  <c r="K12" i="18"/>
  <c r="E12" i="18"/>
  <c r="F90" i="18" s="1"/>
  <c r="E11" i="18"/>
  <c r="E10" i="18"/>
  <c r="E9" i="18" s="1"/>
  <c r="E128" i="18" s="1"/>
  <c r="E85" i="22" s="1"/>
  <c r="C11" i="18"/>
  <c r="C10" i="18"/>
  <c r="N8" i="18"/>
  <c r="N40" i="18" s="1"/>
  <c r="O8" i="18"/>
  <c r="O166" i="18" s="1"/>
  <c r="P8" i="18"/>
  <c r="P40" i="18" s="1"/>
  <c r="Q8" i="18"/>
  <c r="Q40" i="18" s="1"/>
  <c r="R8" i="18"/>
  <c r="S8" i="18"/>
  <c r="S146" i="18" s="1"/>
  <c r="M8" i="18"/>
  <c r="F8" i="18"/>
  <c r="F146" i="18" s="1"/>
  <c r="G8" i="18"/>
  <c r="G146" i="18" s="1"/>
  <c r="H8" i="18"/>
  <c r="H146" i="18" s="1"/>
  <c r="I8" i="18"/>
  <c r="I166" i="18" s="1"/>
  <c r="J8" i="18"/>
  <c r="J146" i="18" s="1"/>
  <c r="K8" i="18"/>
  <c r="K166" i="18" s="1"/>
  <c r="E8" i="18"/>
  <c r="E146" i="18" s="1"/>
  <c r="H166" i="18"/>
  <c r="K146" i="18"/>
  <c r="R40" i="18"/>
  <c r="R146" i="18"/>
  <c r="R166" i="18"/>
  <c r="J166" i="18"/>
  <c r="Q146" i="18"/>
  <c r="F123" i="18"/>
  <c r="J133" i="18"/>
  <c r="H133" i="18"/>
  <c r="H123" i="18"/>
  <c r="K133" i="18"/>
  <c r="G94" i="18"/>
  <c r="K85" i="18"/>
  <c r="H40" i="18"/>
  <c r="H85" i="18"/>
  <c r="I32" i="18"/>
  <c r="K32" i="18"/>
  <c r="D4" i="18"/>
  <c r="D3" i="18"/>
  <c r="D2" i="18"/>
  <c r="J308" i="17"/>
  <c r="J309" i="17" s="1"/>
  <c r="I308" i="17"/>
  <c r="I309" i="17" s="1"/>
  <c r="H308" i="17"/>
  <c r="H309" i="17" s="1"/>
  <c r="G308" i="17"/>
  <c r="G309" i="17" s="1"/>
  <c r="F308" i="17"/>
  <c r="F309" i="17" s="1"/>
  <c r="E308" i="17"/>
  <c r="E309" i="17" s="1"/>
  <c r="K308" i="17"/>
  <c r="K309" i="17" s="1"/>
  <c r="K297" i="17"/>
  <c r="K298" i="17"/>
  <c r="J297" i="17"/>
  <c r="J298" i="17" s="1"/>
  <c r="I297" i="17"/>
  <c r="I298" i="17" s="1"/>
  <c r="H297" i="17"/>
  <c r="H298" i="17" s="1"/>
  <c r="G297" i="17"/>
  <c r="G298" i="17" s="1"/>
  <c r="F297" i="17"/>
  <c r="F298" i="17" s="1"/>
  <c r="E297" i="17"/>
  <c r="E298" i="17" s="1"/>
  <c r="E251" i="17"/>
  <c r="E252" i="17" s="1"/>
  <c r="F251" i="17"/>
  <c r="F252" i="17" s="1"/>
  <c r="E198" i="17"/>
  <c r="E21" i="21" s="1"/>
  <c r="F198" i="17"/>
  <c r="F21" i="21" s="1"/>
  <c r="G198" i="17"/>
  <c r="G199" i="17" s="1"/>
  <c r="F168" i="17"/>
  <c r="F174" i="17" s="1"/>
  <c r="J174" i="17"/>
  <c r="G174" i="17"/>
  <c r="G130" i="18" s="1"/>
  <c r="G87" i="22" s="1"/>
  <c r="E174" i="17"/>
  <c r="E180" i="17" s="1"/>
  <c r="E181" i="17" s="1"/>
  <c r="K174" i="17"/>
  <c r="E159" i="17"/>
  <c r="E157" i="17"/>
  <c r="E16" i="18"/>
  <c r="E158" i="17"/>
  <c r="F158" i="17"/>
  <c r="F156" i="17"/>
  <c r="F15" i="18"/>
  <c r="G156" i="17"/>
  <c r="G15" i="18" s="1"/>
  <c r="G251" i="17"/>
  <c r="G247" i="17"/>
  <c r="G252" i="17" s="1"/>
  <c r="G253" i="17" s="1"/>
  <c r="G254" i="17" s="1"/>
  <c r="G42" i="21"/>
  <c r="H251" i="17"/>
  <c r="H252" i="17" s="1"/>
  <c r="J252" i="17"/>
  <c r="K252" i="17"/>
  <c r="I251" i="17"/>
  <c r="I252" i="17" s="1"/>
  <c r="J243" i="17"/>
  <c r="I243" i="17"/>
  <c r="H243" i="17"/>
  <c r="H253" i="17" s="1"/>
  <c r="H254" i="17" s="1"/>
  <c r="G243" i="17"/>
  <c r="F243" i="17"/>
  <c r="E243" i="17"/>
  <c r="E26" i="18" s="1"/>
  <c r="K243" i="17"/>
  <c r="J199" i="17"/>
  <c r="J27" i="18" s="1"/>
  <c r="I199" i="17"/>
  <c r="H199" i="17"/>
  <c r="K199" i="17"/>
  <c r="K200" i="17" s="1"/>
  <c r="J191" i="17"/>
  <c r="J200" i="17" s="1"/>
  <c r="J202" i="17" s="1"/>
  <c r="I191" i="17"/>
  <c r="I26" i="18" s="1"/>
  <c r="H191" i="17"/>
  <c r="H26" i="18" s="1"/>
  <c r="G191" i="17"/>
  <c r="F191" i="17"/>
  <c r="F26" i="18" s="1"/>
  <c r="E191" i="17"/>
  <c r="K191" i="17"/>
  <c r="J179" i="17"/>
  <c r="I179" i="17"/>
  <c r="G179" i="17"/>
  <c r="F179" i="17"/>
  <c r="E179" i="17"/>
  <c r="K179" i="17"/>
  <c r="J176" i="17"/>
  <c r="J130" i="18" s="1"/>
  <c r="J87" i="22" s="1"/>
  <c r="I176" i="17"/>
  <c r="I130" i="18" s="1"/>
  <c r="I87" i="22" s="1"/>
  <c r="H176" i="17"/>
  <c r="G176" i="17"/>
  <c r="F176" i="17"/>
  <c r="E176" i="17"/>
  <c r="K176" i="17"/>
  <c r="K130" i="18" s="1"/>
  <c r="K87" i="22" s="1"/>
  <c r="H177" i="17"/>
  <c r="H179" i="17" s="1"/>
  <c r="H168" i="17"/>
  <c r="H174" i="17" s="1"/>
  <c r="I168" i="17"/>
  <c r="I174" i="17"/>
  <c r="J162" i="17"/>
  <c r="J163" i="17"/>
  <c r="I162" i="17"/>
  <c r="I163" i="17" s="1"/>
  <c r="H162" i="17"/>
  <c r="H163" i="17" s="1"/>
  <c r="K162" i="17"/>
  <c r="K163" i="17" s="1"/>
  <c r="J232" i="17"/>
  <c r="I232" i="17"/>
  <c r="H232" i="17"/>
  <c r="G232" i="17"/>
  <c r="F232" i="17"/>
  <c r="E232" i="17"/>
  <c r="K232" i="17"/>
  <c r="K26" i="18"/>
  <c r="E162" i="17"/>
  <c r="E163" i="17" s="1"/>
  <c r="K253" i="17"/>
  <c r="K254" i="17" s="1"/>
  <c r="E108" i="17"/>
  <c r="E109" i="17" s="1"/>
  <c r="E103" i="17"/>
  <c r="E76" i="17"/>
  <c r="E80" i="17"/>
  <c r="E83" i="17"/>
  <c r="E71" i="17"/>
  <c r="E65" i="17"/>
  <c r="F105" i="17"/>
  <c r="F109" i="17" s="1"/>
  <c r="G105" i="17"/>
  <c r="G109" i="17" s="1"/>
  <c r="G78" i="17"/>
  <c r="H109" i="17"/>
  <c r="I109" i="17"/>
  <c r="J109" i="17"/>
  <c r="K109" i="17"/>
  <c r="F78" i="17"/>
  <c r="H78" i="17"/>
  <c r="I78" i="17"/>
  <c r="J78" i="17"/>
  <c r="K78" i="17"/>
  <c r="E58" i="17"/>
  <c r="E60" i="17" s="1"/>
  <c r="F58" i="17"/>
  <c r="G58" i="17"/>
  <c r="G60" i="17" s="1"/>
  <c r="H58" i="17"/>
  <c r="H60" i="17" s="1"/>
  <c r="I58" i="17"/>
  <c r="I60" i="17" s="1"/>
  <c r="J58" i="17"/>
  <c r="J117" i="18" s="1"/>
  <c r="K58" i="17"/>
  <c r="K117" i="18" s="1"/>
  <c r="I46" i="17"/>
  <c r="I48" i="17"/>
  <c r="I37" i="17"/>
  <c r="I122" i="22" s="1"/>
  <c r="E46" i="17"/>
  <c r="E48" i="17" s="1"/>
  <c r="F46" i="17"/>
  <c r="F48" i="17" s="1"/>
  <c r="G46" i="17"/>
  <c r="G48" i="17" s="1"/>
  <c r="H46" i="17"/>
  <c r="H48" i="17" s="1"/>
  <c r="J46" i="17"/>
  <c r="J48" i="17"/>
  <c r="K46" i="17"/>
  <c r="K48" i="17" s="1"/>
  <c r="E37" i="17"/>
  <c r="E122" i="22" s="1"/>
  <c r="F37" i="17"/>
  <c r="F122" i="22" s="1"/>
  <c r="G37" i="17"/>
  <c r="G122" i="22" s="1"/>
  <c r="H37" i="17"/>
  <c r="H122" i="22" s="1"/>
  <c r="J37" i="17"/>
  <c r="J122" i="22" s="1"/>
  <c r="K37" i="17"/>
  <c r="K122" i="22" s="1"/>
  <c r="E24" i="17"/>
  <c r="F24" i="17"/>
  <c r="F48" i="22" s="1"/>
  <c r="G24" i="17"/>
  <c r="G48" i="22" s="1"/>
  <c r="H24" i="17"/>
  <c r="H48" i="22" s="1"/>
  <c r="I24" i="17"/>
  <c r="I48" i="22" s="1"/>
  <c r="J24" i="17"/>
  <c r="J48" i="22" s="1"/>
  <c r="K24" i="17"/>
  <c r="K48" i="22" s="1"/>
  <c r="H117" i="18"/>
  <c r="F60" i="17"/>
  <c r="F117" i="18"/>
  <c r="E78" i="17"/>
  <c r="G443" i="17"/>
  <c r="J677" i="19" l="1"/>
  <c r="K677" i="19"/>
  <c r="M656" i="19"/>
  <c r="L677" i="19"/>
  <c r="H677" i="19"/>
  <c r="G97" i="23"/>
  <c r="G196" i="23"/>
  <c r="I97" i="23"/>
  <c r="I107" i="23" s="1"/>
  <c r="I196" i="23"/>
  <c r="J97" i="23"/>
  <c r="J107" i="23" s="1"/>
  <c r="J196" i="23"/>
  <c r="F97" i="23"/>
  <c r="F196" i="23"/>
  <c r="F197" i="23" s="1"/>
  <c r="H97" i="23"/>
  <c r="H107" i="23" s="1"/>
  <c r="H196" i="23"/>
  <c r="O302" i="6"/>
  <c r="O304" i="6"/>
  <c r="O303" i="6"/>
  <c r="N304" i="6"/>
  <c r="N303" i="6"/>
  <c r="N302" i="6"/>
  <c r="H268" i="6"/>
  <c r="G268" i="6"/>
  <c r="J268" i="6"/>
  <c r="O269" i="6"/>
  <c r="G269" i="6"/>
  <c r="I268" i="6"/>
  <c r="M268" i="6"/>
  <c r="H269" i="6"/>
  <c r="I269" i="6"/>
  <c r="K268" i="6"/>
  <c r="F268" i="6"/>
  <c r="F269" i="6"/>
  <c r="K269" i="6"/>
  <c r="L269" i="6"/>
  <c r="N269" i="6"/>
  <c r="N268" i="6"/>
  <c r="M269" i="6"/>
  <c r="O268" i="6"/>
  <c r="J269" i="6"/>
  <c r="L268" i="6"/>
  <c r="L653" i="19"/>
  <c r="S649" i="19"/>
  <c r="S648" i="19"/>
  <c r="S650" i="19"/>
  <c r="S644" i="19"/>
  <c r="S646" i="19"/>
  <c r="S645" i="19"/>
  <c r="M58" i="26"/>
  <c r="M63" i="26" s="1"/>
  <c r="M65" i="26" s="1"/>
  <c r="G148" i="25"/>
  <c r="O58" i="26"/>
  <c r="O63" i="26" s="1"/>
  <c r="O65" i="26" s="1"/>
  <c r="I148" i="25"/>
  <c r="N58" i="26"/>
  <c r="N63" i="26" s="1"/>
  <c r="N65" i="26" s="1"/>
  <c r="H148" i="25"/>
  <c r="I576" i="19"/>
  <c r="I100" i="23"/>
  <c r="I127" i="25" s="1"/>
  <c r="H121" i="23"/>
  <c r="H143" i="23" s="1"/>
  <c r="H17" i="25"/>
  <c r="K100" i="23"/>
  <c r="K127" i="25" s="1"/>
  <c r="J121" i="23"/>
  <c r="J143" i="23" s="1"/>
  <c r="J17" i="25"/>
  <c r="J100" i="23"/>
  <c r="J127" i="25" s="1"/>
  <c r="L384" i="19"/>
  <c r="K17" i="25"/>
  <c r="L100" i="23"/>
  <c r="L127" i="25" s="1"/>
  <c r="L128" i="25" s="1"/>
  <c r="K121" i="23"/>
  <c r="K143" i="23" s="1"/>
  <c r="I32" i="23"/>
  <c r="I30" i="23" s="1"/>
  <c r="F55" i="15"/>
  <c r="I71" i="25"/>
  <c r="J9" i="23"/>
  <c r="J145" i="23" s="1"/>
  <c r="K14" i="23"/>
  <c r="J102" i="23"/>
  <c r="J296" i="24" s="1"/>
  <c r="I9" i="23"/>
  <c r="I145" i="23" s="1"/>
  <c r="H576" i="19"/>
  <c r="G17" i="25"/>
  <c r="G121" i="23"/>
  <c r="G143" i="23" s="1"/>
  <c r="H100" i="23"/>
  <c r="H127" i="25" s="1"/>
  <c r="I102" i="23"/>
  <c r="I296" i="24" s="1"/>
  <c r="H9" i="23"/>
  <c r="H145" i="23" s="1"/>
  <c r="I137" i="25"/>
  <c r="I146" i="25"/>
  <c r="H137" i="25"/>
  <c r="H146" i="25"/>
  <c r="O132" i="25"/>
  <c r="O131" i="25"/>
  <c r="N132" i="25"/>
  <c r="N131" i="25"/>
  <c r="L132" i="25"/>
  <c r="L131" i="25"/>
  <c r="M132" i="25"/>
  <c r="M131" i="25"/>
  <c r="K130" i="25"/>
  <c r="K137" i="25"/>
  <c r="G130" i="25"/>
  <c r="G137" i="25"/>
  <c r="F130" i="25"/>
  <c r="F137" i="25"/>
  <c r="J130" i="25"/>
  <c r="J137" i="25"/>
  <c r="I125" i="25"/>
  <c r="I130" i="25"/>
  <c r="H104" i="25"/>
  <c r="H130" i="25"/>
  <c r="N139" i="6"/>
  <c r="N200" i="6"/>
  <c r="L139" i="6"/>
  <c r="L200" i="6"/>
  <c r="M139" i="6"/>
  <c r="M200" i="6"/>
  <c r="J88" i="23"/>
  <c r="J23" i="23"/>
  <c r="J139" i="23" s="1"/>
  <c r="J29" i="23"/>
  <c r="J15" i="23" s="1"/>
  <c r="F29" i="23"/>
  <c r="F88" i="23"/>
  <c r="F76" i="23" s="1"/>
  <c r="F198" i="23" s="1"/>
  <c r="F23" i="23"/>
  <c r="F139" i="23" s="1"/>
  <c r="G23" i="23"/>
  <c r="G139" i="23" s="1"/>
  <c r="G29" i="23"/>
  <c r="G15" i="23" s="1"/>
  <c r="G88" i="23"/>
  <c r="H23" i="23"/>
  <c r="H139" i="23" s="1"/>
  <c r="H88" i="23"/>
  <c r="H29" i="23"/>
  <c r="H15" i="23" s="1"/>
  <c r="I23" i="23"/>
  <c r="I139" i="23" s="1"/>
  <c r="I29" i="23"/>
  <c r="I15" i="23" s="1"/>
  <c r="I88" i="23"/>
  <c r="K260" i="6"/>
  <c r="L263" i="6"/>
  <c r="J262" i="6"/>
  <c r="M261" i="6"/>
  <c r="L260" i="6"/>
  <c r="K262" i="6"/>
  <c r="K263" i="6"/>
  <c r="J263" i="6"/>
  <c r="F261" i="6"/>
  <c r="M262" i="6"/>
  <c r="M263" i="6"/>
  <c r="M260" i="6"/>
  <c r="I263" i="6"/>
  <c r="I262" i="6"/>
  <c r="I261" i="6"/>
  <c r="N262" i="6"/>
  <c r="H262" i="6"/>
  <c r="F262" i="6"/>
  <c r="H261" i="6"/>
  <c r="L262" i="6"/>
  <c r="N263" i="6"/>
  <c r="N260" i="6"/>
  <c r="F260" i="6"/>
  <c r="G263" i="6"/>
  <c r="N261" i="6"/>
  <c r="G260" i="6"/>
  <c r="G262" i="6"/>
  <c r="J260" i="6"/>
  <c r="K261" i="6"/>
  <c r="G261" i="6"/>
  <c r="F263" i="6"/>
  <c r="H263" i="6"/>
  <c r="H260" i="6"/>
  <c r="L261" i="6"/>
  <c r="I260" i="6"/>
  <c r="J261" i="6"/>
  <c r="AG29" i="6"/>
  <c r="W46" i="23"/>
  <c r="W242" i="23"/>
  <c r="AU287" i="24"/>
  <c r="AU16" i="24"/>
  <c r="AU50" i="24"/>
  <c r="AU45" i="24"/>
  <c r="AU21" i="24"/>
  <c r="AU24" i="24"/>
  <c r="AU25" i="24"/>
  <c r="AU39" i="24"/>
  <c r="AU302" i="24"/>
  <c r="AU29" i="24"/>
  <c r="AU10" i="24"/>
  <c r="AJ8" i="6"/>
  <c r="Y78" i="6"/>
  <c r="R259" i="6"/>
  <c r="R78" i="6"/>
  <c r="W139" i="6"/>
  <c r="W78" i="6"/>
  <c r="AY50" i="24"/>
  <c r="AY29" i="24"/>
  <c r="AY37" i="24" s="1"/>
  <c r="AY45" i="24"/>
  <c r="AY21" i="24"/>
  <c r="AY25" i="24"/>
  <c r="AY16" i="24"/>
  <c r="AY24" i="24"/>
  <c r="AY39" i="24"/>
  <c r="AY302" i="24"/>
  <c r="AY10" i="24"/>
  <c r="AV45" i="24"/>
  <c r="AV21" i="24"/>
  <c r="AV25" i="24"/>
  <c r="AV16" i="24"/>
  <c r="AV10" i="24"/>
  <c r="AV24" i="24"/>
  <c r="AV29" i="24"/>
  <c r="AV37" i="24" s="1"/>
  <c r="AV50" i="24"/>
  <c r="AV39" i="24"/>
  <c r="AV302" i="24"/>
  <c r="AE293" i="24"/>
  <c r="AE294" i="24"/>
  <c r="AC289" i="24"/>
  <c r="AO23" i="24" s="1"/>
  <c r="AB290" i="24"/>
  <c r="AB180" i="24" s="1"/>
  <c r="AB300" i="24"/>
  <c r="AB182" i="24" s="1"/>
  <c r="AB183" i="24" s="1"/>
  <c r="AB289" i="24"/>
  <c r="AN23" i="24" s="1"/>
  <c r="AC290" i="24"/>
  <c r="AC180" i="24" s="1"/>
  <c r="AC300" i="24"/>
  <c r="AC182" i="24" s="1"/>
  <c r="AC183" i="24" s="1"/>
  <c r="AD290" i="24"/>
  <c r="AD180" i="24" s="1"/>
  <c r="AB292" i="24"/>
  <c r="AB174" i="24" s="1"/>
  <c r="AD300" i="24"/>
  <c r="AD182" i="24" s="1"/>
  <c r="AD183" i="24" s="1"/>
  <c r="AE292" i="24"/>
  <c r="AE174" i="24" s="1"/>
  <c r="AE290" i="24"/>
  <c r="AE180" i="24" s="1"/>
  <c r="AC292" i="24"/>
  <c r="AC174" i="24" s="1"/>
  <c r="AE300" i="24"/>
  <c r="AE182" i="24" s="1"/>
  <c r="AE183" i="24" s="1"/>
  <c r="AC294" i="24"/>
  <c r="AD294" i="24"/>
  <c r="AD292" i="24"/>
  <c r="AD174" i="24" s="1"/>
  <c r="AB294" i="24"/>
  <c r="AB293" i="24"/>
  <c r="AB291" i="24"/>
  <c r="AB173" i="24" s="1"/>
  <c r="AC293" i="24"/>
  <c r="AD291" i="24"/>
  <c r="AD173" i="24" s="1"/>
  <c r="AD293" i="24"/>
  <c r="AD289" i="24"/>
  <c r="AP23" i="24" s="1"/>
  <c r="AE289" i="24"/>
  <c r="AQ23" i="24" s="1"/>
  <c r="AE291" i="24"/>
  <c r="AE173" i="24" s="1"/>
  <c r="AC291" i="24"/>
  <c r="AC173" i="24" s="1"/>
  <c r="AA8" i="24"/>
  <c r="K302" i="24" s="1"/>
  <c r="L178" i="6"/>
  <c r="L251" i="6"/>
  <c r="M78" i="6"/>
  <c r="M178" i="6"/>
  <c r="M251" i="6"/>
  <c r="L172" i="6"/>
  <c r="L190" i="6"/>
  <c r="AD25" i="6"/>
  <c r="AD18" i="6"/>
  <c r="AD12" i="6"/>
  <c r="AD26" i="6"/>
  <c r="AD19" i="6"/>
  <c r="AD51" i="6"/>
  <c r="N178" i="6"/>
  <c r="N251" i="6"/>
  <c r="M172" i="6"/>
  <c r="M190" i="6"/>
  <c r="AD56" i="6"/>
  <c r="N172" i="6"/>
  <c r="N190" i="6"/>
  <c r="AD55" i="6"/>
  <c r="AD66" i="6"/>
  <c r="AD35" i="6"/>
  <c r="AD64" i="6"/>
  <c r="AD57" i="6"/>
  <c r="AD49" i="6"/>
  <c r="AD53" i="6"/>
  <c r="AD29" i="6"/>
  <c r="AD23" i="6"/>
  <c r="AD54" i="6"/>
  <c r="AD67" i="6"/>
  <c r="AD41" i="6"/>
  <c r="AD16" i="6"/>
  <c r="AD43" i="6"/>
  <c r="AD50" i="6"/>
  <c r="AD13" i="6"/>
  <c r="AD21" i="6"/>
  <c r="AD69" i="6"/>
  <c r="AD30" i="6"/>
  <c r="AD31" i="6"/>
  <c r="AD48" i="6"/>
  <c r="AD52" i="6"/>
  <c r="AD61" i="6"/>
  <c r="AD15" i="6"/>
  <c r="AD34" i="6"/>
  <c r="AD44" i="6"/>
  <c r="AD14" i="6"/>
  <c r="AD22" i="6"/>
  <c r="AD42" i="6"/>
  <c r="AD36" i="6"/>
  <c r="AD46" i="6"/>
  <c r="AD37" i="6"/>
  <c r="AD47" i="6"/>
  <c r="AD62" i="6"/>
  <c r="N78" i="6"/>
  <c r="I139" i="6"/>
  <c r="I78" i="6"/>
  <c r="L78" i="6"/>
  <c r="Q85" i="21"/>
  <c r="O146" i="18"/>
  <c r="F91" i="18"/>
  <c r="F336" i="17"/>
  <c r="E49" i="17"/>
  <c r="E50" i="17" s="1"/>
  <c r="J123" i="18"/>
  <c r="O40" i="18"/>
  <c r="P106" i="21"/>
  <c r="F80" i="22"/>
  <c r="O156" i="18"/>
  <c r="G23" i="20"/>
  <c r="AG98" i="20"/>
  <c r="AE34" i="22" s="1"/>
  <c r="K272" i="17"/>
  <c r="G275" i="17"/>
  <c r="I49" i="17"/>
  <c r="I50" i="17" s="1"/>
  <c r="I47" i="20"/>
  <c r="AE30" i="20"/>
  <c r="AL30" i="20" s="1"/>
  <c r="C69" i="21"/>
  <c r="U73" i="20"/>
  <c r="U14" i="22" s="1"/>
  <c r="F46" i="21"/>
  <c r="E129" i="18"/>
  <c r="E86" i="22" s="1"/>
  <c r="J55" i="18"/>
  <c r="G68" i="20"/>
  <c r="E108" i="20"/>
  <c r="K32" i="20"/>
  <c r="K37" i="20" s="1"/>
  <c r="K53" i="21"/>
  <c r="J160" i="18"/>
  <c r="R150" i="18" s="1"/>
  <c r="I160" i="18"/>
  <c r="Q147" i="18" s="1"/>
  <c r="G162" i="17"/>
  <c r="G163" i="17" s="1"/>
  <c r="K40" i="18"/>
  <c r="I79" i="17"/>
  <c r="I85" i="17" s="1"/>
  <c r="I87" i="17" s="1"/>
  <c r="I89" i="17" s="1"/>
  <c r="J26" i="18"/>
  <c r="J25" i="18" s="1"/>
  <c r="F162" i="17"/>
  <c r="F163" i="17" s="1"/>
  <c r="J85" i="18"/>
  <c r="N166" i="18"/>
  <c r="I92" i="18"/>
  <c r="K94" i="18"/>
  <c r="H28" i="18"/>
  <c r="E62" i="18"/>
  <c r="F23" i="20"/>
  <c r="AL29" i="20"/>
  <c r="J60" i="21"/>
  <c r="J72" i="21"/>
  <c r="J53" i="21"/>
  <c r="H62" i="21"/>
  <c r="AI30" i="20"/>
  <c r="AP30" i="20" s="1"/>
  <c r="E113" i="21"/>
  <c r="AN23" i="20"/>
  <c r="C70" i="21"/>
  <c r="G160" i="18"/>
  <c r="O151" i="18" s="1"/>
  <c r="H79" i="17"/>
  <c r="H85" i="17" s="1"/>
  <c r="H87" i="17" s="1"/>
  <c r="H89" i="17" s="1"/>
  <c r="J40" i="18"/>
  <c r="N146" i="18"/>
  <c r="F32" i="18"/>
  <c r="H49" i="18"/>
  <c r="J69" i="18"/>
  <c r="H503" i="17"/>
  <c r="H109" i="20"/>
  <c r="H111" i="20" s="1"/>
  <c r="H112" i="20" s="1"/>
  <c r="G32" i="20"/>
  <c r="G37" i="20" s="1"/>
  <c r="J79" i="21"/>
  <c r="K68" i="21"/>
  <c r="E274" i="17"/>
  <c r="E276" i="17" s="1"/>
  <c r="H63" i="21"/>
  <c r="H113" i="21"/>
  <c r="U97" i="20"/>
  <c r="U33" i="22" s="1"/>
  <c r="I27" i="18"/>
  <c r="I25" i="18" s="1"/>
  <c r="J95" i="18" s="1"/>
  <c r="I90" i="18"/>
  <c r="G92" i="18"/>
  <c r="J28" i="18"/>
  <c r="F28" i="18"/>
  <c r="K101" i="18"/>
  <c r="H52" i="18"/>
  <c r="H103" i="22" s="1"/>
  <c r="E94" i="20"/>
  <c r="J85" i="21"/>
  <c r="F79" i="17"/>
  <c r="F85" i="17" s="1"/>
  <c r="F87" i="17" s="1"/>
  <c r="F89" i="17" s="1"/>
  <c r="J62" i="21"/>
  <c r="G79" i="17"/>
  <c r="G85" i="17" s="1"/>
  <c r="G87" i="17" s="1"/>
  <c r="G89" i="17" s="1"/>
  <c r="G9" i="18"/>
  <c r="G128" i="18" s="1"/>
  <c r="G85" i="22" s="1"/>
  <c r="I342" i="17"/>
  <c r="I343" i="17" s="1"/>
  <c r="G52" i="18"/>
  <c r="G103" i="22" s="1"/>
  <c r="H94" i="20"/>
  <c r="J34" i="21"/>
  <c r="K72" i="21"/>
  <c r="K180" i="17"/>
  <c r="K181" i="17" s="1"/>
  <c r="E68" i="20"/>
  <c r="G180" i="17"/>
  <c r="G181" i="17" s="1"/>
  <c r="I180" i="17"/>
  <c r="I181" i="17" s="1"/>
  <c r="G69" i="18"/>
  <c r="H83" i="20"/>
  <c r="K70" i="21"/>
  <c r="G15" i="21"/>
  <c r="G66" i="21" s="1"/>
  <c r="G64" i="22" s="1"/>
  <c r="AA45" i="20"/>
  <c r="F113" i="21"/>
  <c r="K60" i="17"/>
  <c r="K79" i="17" s="1"/>
  <c r="K85" i="17" s="1"/>
  <c r="K87" i="17" s="1"/>
  <c r="K89" i="17" s="1"/>
  <c r="K95" i="17" s="1"/>
  <c r="G91" i="18"/>
  <c r="F94" i="18"/>
  <c r="I46" i="21"/>
  <c r="I253" i="17"/>
  <c r="I254" i="17" s="1"/>
  <c r="K109" i="18"/>
  <c r="G83" i="20"/>
  <c r="I69" i="21"/>
  <c r="H15" i="21"/>
  <c r="H40" i="21" s="1"/>
  <c r="H59" i="22" s="1"/>
  <c r="AH98" i="20"/>
  <c r="AF34" i="22" s="1"/>
  <c r="AO35" i="20"/>
  <c r="G125" i="20"/>
  <c r="K34" i="21"/>
  <c r="H276" i="17"/>
  <c r="H80" i="21" s="1"/>
  <c r="H68" i="22" s="1"/>
  <c r="J253" i="17"/>
  <c r="J254" i="17" s="1"/>
  <c r="K123" i="18"/>
  <c r="I93" i="18"/>
  <c r="G336" i="17"/>
  <c r="G45" i="18"/>
  <c r="F32" i="20"/>
  <c r="F37" i="20" s="1"/>
  <c r="K264" i="17"/>
  <c r="K274" i="17" s="1"/>
  <c r="G272" i="17"/>
  <c r="G274" i="17" s="1"/>
  <c r="G276" i="17" s="1"/>
  <c r="G80" i="21" s="1"/>
  <c r="G68" i="22" s="1"/>
  <c r="K66" i="24"/>
  <c r="K128" i="24" s="1"/>
  <c r="H66" i="24"/>
  <c r="H128" i="24" s="1"/>
  <c r="G66" i="24"/>
  <c r="G128" i="24" s="1"/>
  <c r="I66" i="24"/>
  <c r="I128" i="24" s="1"/>
  <c r="J66" i="24"/>
  <c r="J128" i="24" s="1"/>
  <c r="J288" i="24"/>
  <c r="H288" i="24"/>
  <c r="I288" i="24"/>
  <c r="J120" i="25"/>
  <c r="H120" i="25"/>
  <c r="K120" i="25"/>
  <c r="G120" i="25"/>
  <c r="I120" i="25"/>
  <c r="AF46" i="6"/>
  <c r="AF47" i="6"/>
  <c r="H130" i="18"/>
  <c r="H87" i="22" s="1"/>
  <c r="H180" i="17"/>
  <c r="H181" i="17" s="1"/>
  <c r="G49" i="17"/>
  <c r="G50" i="17" s="1"/>
  <c r="G49" i="22"/>
  <c r="H128" i="18"/>
  <c r="H85" i="22" s="1"/>
  <c r="H129" i="18"/>
  <c r="H86" i="22" s="1"/>
  <c r="G27" i="18"/>
  <c r="J129" i="18"/>
  <c r="J86" i="22" s="1"/>
  <c r="J128" i="18"/>
  <c r="J85" i="22" s="1"/>
  <c r="F134" i="20"/>
  <c r="F139" i="22"/>
  <c r="AG58" i="20"/>
  <c r="AG60" i="20" s="1"/>
  <c r="AG62" i="20" s="1"/>
  <c r="AN30" i="20"/>
  <c r="O147" i="18"/>
  <c r="O157" i="18"/>
  <c r="O158" i="18"/>
  <c r="O152" i="18"/>
  <c r="O155" i="18"/>
  <c r="O154" i="18"/>
  <c r="O148" i="18"/>
  <c r="H27" i="18"/>
  <c r="H25" i="18" s="1"/>
  <c r="I503" i="17"/>
  <c r="I504" i="17"/>
  <c r="J203" i="17"/>
  <c r="J233" i="17"/>
  <c r="H118" i="18"/>
  <c r="H95" i="17"/>
  <c r="H101" i="17"/>
  <c r="H110" i="17" s="1"/>
  <c r="H114" i="17" s="1"/>
  <c r="G95" i="17"/>
  <c r="G118" i="18"/>
  <c r="G101" i="17"/>
  <c r="G110" i="17" s="1"/>
  <c r="G114" i="17" s="1"/>
  <c r="I139" i="22"/>
  <c r="I134" i="20"/>
  <c r="Q166" i="18"/>
  <c r="F50" i="18"/>
  <c r="F49" i="18" s="1"/>
  <c r="K102" i="18"/>
  <c r="AE95" i="20"/>
  <c r="AC31" i="22" s="1"/>
  <c r="J71" i="21"/>
  <c r="I155" i="23"/>
  <c r="AH86" i="20"/>
  <c r="AF24" i="22" s="1"/>
  <c r="I94" i="18"/>
  <c r="H45" i="20"/>
  <c r="G26" i="20"/>
  <c r="K38" i="21"/>
  <c r="C37" i="21"/>
  <c r="F133" i="18"/>
  <c r="H92" i="18"/>
  <c r="G155" i="23"/>
  <c r="K155" i="23"/>
  <c r="F199" i="17"/>
  <c r="F27" i="18" s="1"/>
  <c r="F25" i="18" s="1"/>
  <c r="F85" i="18"/>
  <c r="F166" i="18"/>
  <c r="I91" i="18"/>
  <c r="J60" i="17"/>
  <c r="J79" i="17" s="1"/>
  <c r="J85" i="17" s="1"/>
  <c r="J87" i="17" s="1"/>
  <c r="J89" i="17" s="1"/>
  <c r="J180" i="17"/>
  <c r="J181" i="17" s="1"/>
  <c r="F40" i="18"/>
  <c r="S40" i="18"/>
  <c r="H23" i="20"/>
  <c r="R98" i="20"/>
  <c r="R34" i="22" s="1"/>
  <c r="I116" i="20"/>
  <c r="I117" i="20" s="1"/>
  <c r="G47" i="20"/>
  <c r="G57" i="20" s="1"/>
  <c r="AG69" i="20"/>
  <c r="AE10" i="22" s="1"/>
  <c r="G69" i="21"/>
  <c r="F60" i="21"/>
  <c r="K63" i="21"/>
  <c r="E130" i="22"/>
  <c r="I254" i="6"/>
  <c r="H200" i="17"/>
  <c r="F22" i="21"/>
  <c r="F47" i="21" s="1"/>
  <c r="F60" i="22" s="1"/>
  <c r="G21" i="21"/>
  <c r="F9" i="18"/>
  <c r="F128" i="18" s="1"/>
  <c r="F85" i="22" s="1"/>
  <c r="G85" i="18"/>
  <c r="G123" i="18"/>
  <c r="H336" i="17"/>
  <c r="H342" i="17" s="1"/>
  <c r="H343" i="17" s="1"/>
  <c r="E55" i="18"/>
  <c r="H62" i="18"/>
  <c r="E69" i="18"/>
  <c r="X37" i="20"/>
  <c r="G45" i="20"/>
  <c r="F47" i="20"/>
  <c r="F57" i="20" s="1"/>
  <c r="AL37" i="20"/>
  <c r="AE73" i="20"/>
  <c r="AC14" i="22" s="1"/>
  <c r="F79" i="21"/>
  <c r="F53" i="21"/>
  <c r="G30" i="22"/>
  <c r="AI96" i="20"/>
  <c r="AG32" i="22" s="1"/>
  <c r="Q149" i="18"/>
  <c r="G80" i="22"/>
  <c r="H105" i="22"/>
  <c r="K69" i="18"/>
  <c r="K103" i="18" s="1"/>
  <c r="J155" i="23"/>
  <c r="F253" i="17"/>
  <c r="F254" i="17" s="1"/>
  <c r="I95" i="17"/>
  <c r="J49" i="22"/>
  <c r="G40" i="18"/>
  <c r="G133" i="18"/>
  <c r="G166" i="18"/>
  <c r="E166" i="18"/>
  <c r="I28" i="18"/>
  <c r="F42" i="18"/>
  <c r="K47" i="20"/>
  <c r="K57" i="20" s="1"/>
  <c r="F85" i="21"/>
  <c r="S106" i="21"/>
  <c r="F106" i="21"/>
  <c r="AF96" i="20"/>
  <c r="AD32" i="22" s="1"/>
  <c r="G254" i="6"/>
  <c r="G161" i="18"/>
  <c r="K125" i="20"/>
  <c r="J47" i="20"/>
  <c r="J57" i="20" s="1"/>
  <c r="G62" i="18"/>
  <c r="AI97" i="20"/>
  <c r="AG33" i="22" s="1"/>
  <c r="J94" i="18"/>
  <c r="K45" i="20"/>
  <c r="I200" i="17"/>
  <c r="K118" i="18"/>
  <c r="I117" i="18"/>
  <c r="G447" i="17"/>
  <c r="G448" i="17" s="1"/>
  <c r="H46" i="21"/>
  <c r="G200" i="17"/>
  <c r="E57" i="18"/>
  <c r="E52" i="18"/>
  <c r="E103" i="22" s="1"/>
  <c r="G503" i="17"/>
  <c r="C72" i="21"/>
  <c r="C62" i="21"/>
  <c r="H106" i="21"/>
  <c r="J130" i="22"/>
  <c r="G102" i="22"/>
  <c r="AO32" i="20"/>
  <c r="E212" i="17"/>
  <c r="E213" i="17" s="1"/>
  <c r="E79" i="17"/>
  <c r="E85" i="17" s="1"/>
  <c r="E87" i="17" s="1"/>
  <c r="E89" i="17" s="1"/>
  <c r="E32" i="18"/>
  <c r="E199" i="17"/>
  <c r="E200" i="17" s="1"/>
  <c r="I143" i="23"/>
  <c r="C68" i="21"/>
  <c r="E130" i="18"/>
  <c r="E87" i="22" s="1"/>
  <c r="E447" i="17"/>
  <c r="E448" i="17" s="1"/>
  <c r="I45" i="18"/>
  <c r="K52" i="18"/>
  <c r="K103" i="22" s="1"/>
  <c r="H68" i="20"/>
  <c r="K94" i="20"/>
  <c r="H47" i="20"/>
  <c r="H57" i="20" s="1"/>
  <c r="AN37" i="20"/>
  <c r="G63" i="21"/>
  <c r="H45" i="21"/>
  <c r="K71" i="21"/>
  <c r="J21" i="22"/>
  <c r="G45" i="22"/>
  <c r="M8" i="20"/>
  <c r="I57" i="20"/>
  <c r="F155" i="23"/>
  <c r="H155" i="23"/>
  <c r="G117" i="18"/>
  <c r="E13" i="18"/>
  <c r="J45" i="18"/>
  <c r="K98" i="18" s="1"/>
  <c r="K83" i="20"/>
  <c r="H108" i="20"/>
  <c r="AL23" i="20"/>
  <c r="G37" i="21"/>
  <c r="H79" i="21"/>
  <c r="K60" i="21"/>
  <c r="J102" i="22"/>
  <c r="E100" i="21"/>
  <c r="M95" i="21" s="1"/>
  <c r="AH97" i="20"/>
  <c r="AF33" i="22" s="1"/>
  <c r="T96" i="20"/>
  <c r="T32" i="22" s="1"/>
  <c r="O149" i="18"/>
  <c r="G21" i="22"/>
  <c r="Q98" i="20"/>
  <c r="Q34" i="22" s="1"/>
  <c r="F200" i="17"/>
  <c r="J49" i="17"/>
  <c r="J50" i="17" s="1"/>
  <c r="E49" i="22"/>
  <c r="J90" i="18"/>
  <c r="J134" i="20" s="1"/>
  <c r="J92" i="18"/>
  <c r="F57" i="18"/>
  <c r="F55" i="18" s="1"/>
  <c r="K68" i="20"/>
  <c r="G94" i="20"/>
  <c r="AL45" i="20"/>
  <c r="H85" i="21"/>
  <c r="G130" i="22"/>
  <c r="K275" i="17"/>
  <c r="K276" i="17" s="1"/>
  <c r="K80" i="21" s="1"/>
  <c r="K68" i="22" s="1"/>
  <c r="F8" i="6"/>
  <c r="J9" i="15"/>
  <c r="K190" i="6"/>
  <c r="K172" i="6"/>
  <c r="K651" i="19"/>
  <c r="K652" i="19" s="1"/>
  <c r="H142" i="23"/>
  <c r="AU213" i="24"/>
  <c r="M303" i="6"/>
  <c r="BH8" i="24"/>
  <c r="BK8" i="24"/>
  <c r="BG8" i="24"/>
  <c r="AW8" i="24"/>
  <c r="Y8" i="24"/>
  <c r="I302" i="24" s="1"/>
  <c r="AX8" i="24"/>
  <c r="AU263" i="24"/>
  <c r="AZ213" i="24"/>
  <c r="AZ263" i="24"/>
  <c r="W8" i="24"/>
  <c r="G302" i="24" s="1"/>
  <c r="G183" i="24" s="1"/>
  <c r="AU59" i="24"/>
  <c r="AU219" i="24"/>
  <c r="Z8" i="24"/>
  <c r="J302" i="24" s="1"/>
  <c r="V8" i="24"/>
  <c r="AU252" i="24"/>
  <c r="AU172" i="24"/>
  <c r="H133" i="24"/>
  <c r="X8" i="24"/>
  <c r="H302" i="24" s="1"/>
  <c r="J133" i="24"/>
  <c r="K133" i="24"/>
  <c r="G133" i="24"/>
  <c r="I86" i="15"/>
  <c r="K110" i="15"/>
  <c r="H92" i="15"/>
  <c r="K158" i="25"/>
  <c r="K104" i="25"/>
  <c r="G158" i="25"/>
  <c r="G104" i="25"/>
  <c r="J158" i="25"/>
  <c r="J104" i="25"/>
  <c r="F158" i="25"/>
  <c r="F104" i="25"/>
  <c r="I158" i="25"/>
  <c r="I104" i="25"/>
  <c r="I142" i="23"/>
  <c r="H168" i="25"/>
  <c r="H158" i="25"/>
  <c r="K51" i="25"/>
  <c r="K168" i="25"/>
  <c r="G51" i="25"/>
  <c r="G168" i="25"/>
  <c r="R215" i="25"/>
  <c r="R168" i="25"/>
  <c r="J51" i="25"/>
  <c r="J168" i="25"/>
  <c r="F51" i="25"/>
  <c r="F168" i="25"/>
  <c r="I51" i="25"/>
  <c r="I168" i="25"/>
  <c r="H176" i="23"/>
  <c r="H208" i="23"/>
  <c r="G176" i="23"/>
  <c r="G208" i="23"/>
  <c r="E208" i="23"/>
  <c r="I176" i="23"/>
  <c r="I208" i="23"/>
  <c r="F180" i="23"/>
  <c r="K176" i="23"/>
  <c r="K208" i="23"/>
  <c r="F208" i="23"/>
  <c r="F176" i="23"/>
  <c r="J208" i="23"/>
  <c r="J176" i="23"/>
  <c r="G141" i="23"/>
  <c r="H141" i="23"/>
  <c r="F142" i="23"/>
  <c r="J142" i="23"/>
  <c r="I141" i="23"/>
  <c r="G142" i="23"/>
  <c r="F143" i="23"/>
  <c r="J141" i="23"/>
  <c r="F141" i="23"/>
  <c r="F122" i="23"/>
  <c r="K165" i="23"/>
  <c r="K135" i="23"/>
  <c r="H135" i="23"/>
  <c r="H165" i="23"/>
  <c r="K141" i="23"/>
  <c r="I165" i="23"/>
  <c r="I135" i="23"/>
  <c r="K142" i="23"/>
  <c r="G165" i="23"/>
  <c r="G135" i="23"/>
  <c r="F135" i="23"/>
  <c r="F165" i="23"/>
  <c r="J165" i="23"/>
  <c r="J135" i="23"/>
  <c r="I242" i="23"/>
  <c r="H102" i="23"/>
  <c r="H296" i="24" s="1"/>
  <c r="F46" i="23"/>
  <c r="J216" i="23"/>
  <c r="AF19" i="6"/>
  <c r="AF31" i="6"/>
  <c r="I106" i="24"/>
  <c r="I133" i="24"/>
  <c r="G89" i="24"/>
  <c r="G106" i="24"/>
  <c r="J89" i="24"/>
  <c r="J106" i="24"/>
  <c r="K89" i="24"/>
  <c r="K106" i="24"/>
  <c r="H89" i="24"/>
  <c r="H106" i="24"/>
  <c r="K65" i="24"/>
  <c r="K127" i="24" s="1"/>
  <c r="J539" i="19"/>
  <c r="H651" i="19"/>
  <c r="H652" i="19" s="1"/>
  <c r="K62" i="24"/>
  <c r="H62" i="24"/>
  <c r="I76" i="24"/>
  <c r="I89" i="24"/>
  <c r="J99" i="24"/>
  <c r="I290" i="24"/>
  <c r="H62" i="19"/>
  <c r="L62" i="19"/>
  <c r="H213" i="24"/>
  <c r="H76" i="24"/>
  <c r="I62" i="19"/>
  <c r="F130" i="6"/>
  <c r="K213" i="24"/>
  <c r="K76" i="24"/>
  <c r="G213" i="24"/>
  <c r="G76" i="24"/>
  <c r="F61" i="19"/>
  <c r="F62" i="19" s="1"/>
  <c r="J213" i="24"/>
  <c r="J76" i="24"/>
  <c r="J44" i="15"/>
  <c r="J42" i="15" s="1"/>
  <c r="H198" i="25"/>
  <c r="H51" i="25"/>
  <c r="G119" i="25"/>
  <c r="G198" i="25"/>
  <c r="J215" i="25"/>
  <c r="J198" i="25"/>
  <c r="F215" i="25"/>
  <c r="F198" i="25"/>
  <c r="F128" i="25"/>
  <c r="K85" i="25"/>
  <c r="K198" i="25"/>
  <c r="I32" i="25"/>
  <c r="I198" i="25"/>
  <c r="K56" i="22"/>
  <c r="H289" i="24"/>
  <c r="E56" i="22"/>
  <c r="H130" i="6"/>
  <c r="U8" i="6"/>
  <c r="AF18" i="6"/>
  <c r="H44" i="15"/>
  <c r="H42" i="15" s="1"/>
  <c r="F651" i="19"/>
  <c r="F652" i="19" s="1"/>
  <c r="H56" i="22"/>
  <c r="K8" i="6"/>
  <c r="G208" i="24"/>
  <c r="H539" i="19"/>
  <c r="AE56" i="6"/>
  <c r="G9" i="15"/>
  <c r="G128" i="25"/>
  <c r="AE29" i="6"/>
  <c r="I192" i="24"/>
  <c r="I213" i="24"/>
  <c r="F192" i="24"/>
  <c r="E192" i="24"/>
  <c r="H59" i="24"/>
  <c r="H192" i="24"/>
  <c r="J172" i="24"/>
  <c r="J192" i="24"/>
  <c r="K219" i="24"/>
  <c r="K192" i="24"/>
  <c r="R192" i="24" s="1"/>
  <c r="G172" i="24"/>
  <c r="G192" i="24"/>
  <c r="I44" i="15"/>
  <c r="I42" i="15" s="1"/>
  <c r="I289" i="24"/>
  <c r="J289" i="24"/>
  <c r="K290" i="24"/>
  <c r="G651" i="19"/>
  <c r="G652" i="19" s="1"/>
  <c r="I56" i="22"/>
  <c r="F480" i="19"/>
  <c r="F481" i="19" s="1"/>
  <c r="I539" i="19"/>
  <c r="H55" i="15"/>
  <c r="I55" i="15"/>
  <c r="I130" i="6"/>
  <c r="L651" i="19"/>
  <c r="L652" i="19" s="1"/>
  <c r="I651" i="19"/>
  <c r="I652" i="19" s="1"/>
  <c r="U25" i="15"/>
  <c r="F49" i="17"/>
  <c r="F50" i="17" s="1"/>
  <c r="F49" i="22"/>
  <c r="G202" i="17"/>
  <c r="H88" i="18"/>
  <c r="K88" i="18"/>
  <c r="K202" i="17"/>
  <c r="F130" i="18"/>
  <c r="F87" i="22" s="1"/>
  <c r="F180" i="17"/>
  <c r="F181" i="17" s="1"/>
  <c r="H49" i="17"/>
  <c r="H50" i="17" s="1"/>
  <c r="H49" i="22"/>
  <c r="K104" i="22"/>
  <c r="K48" i="18"/>
  <c r="K49" i="22"/>
  <c r="K49" i="17"/>
  <c r="K50" i="17" s="1"/>
  <c r="E46" i="21"/>
  <c r="E22" i="21"/>
  <c r="E47" i="21" s="1"/>
  <c r="E60" i="22" s="1"/>
  <c r="E48" i="22"/>
  <c r="I49" i="22"/>
  <c r="E253" i="17"/>
  <c r="E254" i="17" s="1"/>
  <c r="G26" i="18"/>
  <c r="J139" i="22"/>
  <c r="F342" i="17"/>
  <c r="F343" i="17" s="1"/>
  <c r="G61" i="19"/>
  <c r="G62" i="19" s="1"/>
  <c r="Y37" i="20"/>
  <c r="R97" i="20"/>
  <c r="R33" i="22" s="1"/>
  <c r="F107" i="21"/>
  <c r="F100" i="21"/>
  <c r="N86" i="21" s="1"/>
  <c r="K27" i="18"/>
  <c r="J103" i="18"/>
  <c r="I146" i="18"/>
  <c r="I133" i="18"/>
  <c r="I40" i="18"/>
  <c r="I123" i="18"/>
  <c r="I85" i="18"/>
  <c r="M40" i="18"/>
  <c r="M166" i="18"/>
  <c r="M146" i="18"/>
  <c r="P166" i="18"/>
  <c r="P146" i="18"/>
  <c r="H90" i="18"/>
  <c r="G90" i="18"/>
  <c r="I9" i="18"/>
  <c r="I129" i="18" s="1"/>
  <c r="I86" i="22" s="1"/>
  <c r="K9" i="18"/>
  <c r="K92" i="18"/>
  <c r="K13" i="18"/>
  <c r="I13" i="18"/>
  <c r="J91" i="18"/>
  <c r="K28" i="18"/>
  <c r="G28" i="18"/>
  <c r="H32" i="18"/>
  <c r="K93" i="18"/>
  <c r="J93" i="18"/>
  <c r="J13" i="18"/>
  <c r="G93" i="18"/>
  <c r="F93" i="18"/>
  <c r="H98" i="18"/>
  <c r="G98" i="18"/>
  <c r="H109" i="18"/>
  <c r="K57" i="18"/>
  <c r="K100" i="18" s="1"/>
  <c r="G106" i="22"/>
  <c r="G57" i="18"/>
  <c r="I62" i="18"/>
  <c r="K62" i="18"/>
  <c r="F102" i="18"/>
  <c r="G102" i="18"/>
  <c r="H69" i="18"/>
  <c r="F69" i="18"/>
  <c r="J8" i="6"/>
  <c r="V8" i="6"/>
  <c r="F94" i="20"/>
  <c r="F125" i="20"/>
  <c r="F108" i="20"/>
  <c r="F68" i="20"/>
  <c r="F83" i="20"/>
  <c r="J83" i="20"/>
  <c r="J68" i="20"/>
  <c r="J125" i="20"/>
  <c r="J94" i="20"/>
  <c r="S73" i="20"/>
  <c r="S14" i="22" s="1"/>
  <c r="S69" i="20"/>
  <c r="S10" i="22" s="1"/>
  <c r="Z23" i="20"/>
  <c r="S30" i="20"/>
  <c r="S95" i="20"/>
  <c r="S31" i="22" s="1"/>
  <c r="H104" i="22"/>
  <c r="H48" i="18"/>
  <c r="E50" i="18"/>
  <c r="E109" i="18" s="1"/>
  <c r="E336" i="17"/>
  <c r="E342" i="17" s="1"/>
  <c r="E343" i="17" s="1"/>
  <c r="G110" i="18"/>
  <c r="G41" i="18"/>
  <c r="K41" i="18"/>
  <c r="K110" i="18"/>
  <c r="I110" i="18"/>
  <c r="I41" i="18"/>
  <c r="I97" i="18" s="1"/>
  <c r="H110" i="18"/>
  <c r="I98" i="18"/>
  <c r="J109" i="18"/>
  <c r="J49" i="18"/>
  <c r="I48" i="18"/>
  <c r="I103" i="22"/>
  <c r="F103" i="18"/>
  <c r="K114" i="20"/>
  <c r="K116" i="20" s="1"/>
  <c r="K117" i="20" s="1"/>
  <c r="K29" i="20"/>
  <c r="K126" i="20"/>
  <c r="J38" i="21"/>
  <c r="J64" i="21"/>
  <c r="F104" i="22"/>
  <c r="I109" i="18"/>
  <c r="AF98" i="20"/>
  <c r="AD34" i="22" s="1"/>
  <c r="AM45" i="20"/>
  <c r="E106" i="21"/>
  <c r="E53" i="21"/>
  <c r="E34" i="21"/>
  <c r="E85" i="21"/>
  <c r="E79" i="21"/>
  <c r="E60" i="21"/>
  <c r="I34" i="21"/>
  <c r="I85" i="21"/>
  <c r="I106" i="21"/>
  <c r="I79" i="21"/>
  <c r="I53" i="21"/>
  <c r="I60" i="21"/>
  <c r="N85" i="21"/>
  <c r="N106" i="21"/>
  <c r="R106" i="21"/>
  <c r="R85" i="21"/>
  <c r="C38" i="21"/>
  <c r="C64" i="21"/>
  <c r="C71" i="21"/>
  <c r="C45" i="21"/>
  <c r="F37" i="21"/>
  <c r="F15" i="21"/>
  <c r="J15" i="21"/>
  <c r="J63" i="21"/>
  <c r="I109" i="21"/>
  <c r="G109" i="18"/>
  <c r="G49" i="18"/>
  <c r="E41" i="18"/>
  <c r="E45" i="18"/>
  <c r="E110" i="18" s="1"/>
  <c r="I102" i="18"/>
  <c r="J102" i="18"/>
  <c r="F44" i="15"/>
  <c r="F42" i="15" s="1"/>
  <c r="G289" i="24"/>
  <c r="F56" i="22"/>
  <c r="J504" i="17"/>
  <c r="J503" i="17"/>
  <c r="J29" i="20"/>
  <c r="J30" i="20" s="1"/>
  <c r="J58" i="20" s="1"/>
  <c r="J60" i="20" s="1"/>
  <c r="J62" i="20" s="1"/>
  <c r="J73" i="20"/>
  <c r="J14" i="22" s="1"/>
  <c r="F114" i="20"/>
  <c r="F116" i="20" s="1"/>
  <c r="F117" i="20" s="1"/>
  <c r="F29" i="20"/>
  <c r="F30" i="20" s="1"/>
  <c r="F126" i="20"/>
  <c r="R95" i="20"/>
  <c r="R31" i="22" s="1"/>
  <c r="R30" i="20"/>
  <c r="R69" i="20"/>
  <c r="R10" i="22" s="1"/>
  <c r="R73" i="20"/>
  <c r="R14" i="22" s="1"/>
  <c r="AA37" i="20"/>
  <c r="T97" i="20"/>
  <c r="T33" i="22" s="1"/>
  <c r="E85" i="18"/>
  <c r="H91" i="18"/>
  <c r="K90" i="18"/>
  <c r="E123" i="18"/>
  <c r="S166" i="18"/>
  <c r="J41" i="18"/>
  <c r="F62" i="18"/>
  <c r="I57" i="18"/>
  <c r="J62" i="18"/>
  <c r="J130" i="6"/>
  <c r="G185" i="24"/>
  <c r="G44" i="15"/>
  <c r="G56" i="22"/>
  <c r="K289" i="24"/>
  <c r="J56" i="22"/>
  <c r="K62" i="19"/>
  <c r="G40" i="15"/>
  <c r="G130" i="6"/>
  <c r="G290" i="24"/>
  <c r="H290" i="24"/>
  <c r="K130" i="6"/>
  <c r="F504" i="17"/>
  <c r="F503" i="17"/>
  <c r="K73" i="20"/>
  <c r="K14" i="22" s="1"/>
  <c r="I45" i="20"/>
  <c r="S98" i="20"/>
  <c r="S34" i="22" s="1"/>
  <c r="Z45" i="20"/>
  <c r="H66" i="21"/>
  <c r="H64" i="22" s="1"/>
  <c r="J44" i="21"/>
  <c r="J70" i="21"/>
  <c r="G100" i="21"/>
  <c r="O91" i="21" s="1"/>
  <c r="G111" i="21"/>
  <c r="J112" i="21"/>
  <c r="J113" i="21"/>
  <c r="G113" i="21"/>
  <c r="K113" i="21"/>
  <c r="E115" i="21"/>
  <c r="M110" i="21" s="1"/>
  <c r="M87" i="21"/>
  <c r="M86" i="21"/>
  <c r="M93" i="21"/>
  <c r="M91" i="21"/>
  <c r="M89" i="21"/>
  <c r="M88" i="21"/>
  <c r="M92" i="21"/>
  <c r="I121" i="22"/>
  <c r="I80" i="22"/>
  <c r="I21" i="22"/>
  <c r="I130" i="22"/>
  <c r="I45" i="22"/>
  <c r="I102" i="22"/>
  <c r="I30" i="22"/>
  <c r="H13" i="18"/>
  <c r="E40" i="18"/>
  <c r="E133" i="18"/>
  <c r="G101" i="18"/>
  <c r="G342" i="17"/>
  <c r="G343" i="17" s="1"/>
  <c r="F109" i="18"/>
  <c r="F52" i="18"/>
  <c r="H57" i="18"/>
  <c r="H55" i="18" s="1"/>
  <c r="H32" i="23"/>
  <c r="F73" i="20"/>
  <c r="F14" i="22" s="1"/>
  <c r="K503" i="17"/>
  <c r="K504" i="17"/>
  <c r="M90" i="21"/>
  <c r="E36" i="21"/>
  <c r="E15" i="21"/>
  <c r="I38" i="21"/>
  <c r="I15" i="21"/>
  <c r="I39" i="21"/>
  <c r="I65" i="21"/>
  <c r="J69" i="21"/>
  <c r="J22" i="21"/>
  <c r="J108" i="21"/>
  <c r="H110" i="21"/>
  <c r="J62" i="19"/>
  <c r="I23" i="20"/>
  <c r="Y29" i="20"/>
  <c r="I109" i="20"/>
  <c r="I111" i="20" s="1"/>
  <c r="I112" i="20" s="1"/>
  <c r="I32" i="20"/>
  <c r="I37" i="20" s="1"/>
  <c r="Q73" i="20"/>
  <c r="Q14" i="22" s="1"/>
  <c r="X23" i="20"/>
  <c r="Q30" i="20"/>
  <c r="Q69" i="20"/>
  <c r="Q10" i="22" s="1"/>
  <c r="J274" i="17"/>
  <c r="J276" i="17" s="1"/>
  <c r="J80" i="21" s="1"/>
  <c r="J68" i="22" s="1"/>
  <c r="I44" i="21"/>
  <c r="I22" i="21"/>
  <c r="I45" i="21"/>
  <c r="I71" i="21"/>
  <c r="K110" i="21"/>
  <c r="J111" i="21"/>
  <c r="H121" i="22"/>
  <c r="H102" i="22"/>
  <c r="H130" i="22"/>
  <c r="H30" i="22"/>
  <c r="H80" i="22"/>
  <c r="H45" i="22"/>
  <c r="J290" i="24"/>
  <c r="F111" i="20"/>
  <c r="F112" i="20" s="1"/>
  <c r="H29" i="20"/>
  <c r="H73" i="20"/>
  <c r="H14" i="22" s="1"/>
  <c r="G114" i="20"/>
  <c r="G116" i="20" s="1"/>
  <c r="G117" i="20" s="1"/>
  <c r="G126" i="20"/>
  <c r="G29" i="20"/>
  <c r="F45" i="20"/>
  <c r="J45" i="20"/>
  <c r="AF69" i="20"/>
  <c r="AD10" i="22" s="1"/>
  <c r="AF30" i="20"/>
  <c r="AM23" i="20"/>
  <c r="AF95" i="20"/>
  <c r="AD31" i="22" s="1"/>
  <c r="H72" i="21"/>
  <c r="I264" i="17"/>
  <c r="I274" i="17" s="1"/>
  <c r="I276" i="17" s="1"/>
  <c r="I80" i="21" s="1"/>
  <c r="I68" i="22" s="1"/>
  <c r="I63" i="21"/>
  <c r="I100" i="21"/>
  <c r="Q99" i="21" s="1"/>
  <c r="H100" i="21"/>
  <c r="P95" i="21" s="1"/>
  <c r="X29" i="20"/>
  <c r="AE58" i="20"/>
  <c r="AE60" i="20" s="1"/>
  <c r="AE62" i="20" s="1"/>
  <c r="H22" i="21"/>
  <c r="H23" i="21" s="1"/>
  <c r="P21" i="21" s="1"/>
  <c r="C39" i="21"/>
  <c r="H42" i="21"/>
  <c r="G62" i="21"/>
  <c r="K36" i="21"/>
  <c r="K15" i="21"/>
  <c r="G68" i="21"/>
  <c r="K22" i="21"/>
  <c r="J107" i="21"/>
  <c r="J100" i="21"/>
  <c r="R93" i="21" s="1"/>
  <c r="R86" i="21"/>
  <c r="K112" i="21"/>
  <c r="S97" i="21"/>
  <c r="M99" i="21"/>
  <c r="F130" i="22"/>
  <c r="F45" i="22"/>
  <c r="J55" i="15"/>
  <c r="K539" i="19"/>
  <c r="M85" i="21"/>
  <c r="M106" i="21"/>
  <c r="F21" i="22"/>
  <c r="K100" i="21"/>
  <c r="S98" i="21" s="1"/>
  <c r="S87" i="21"/>
  <c r="K121" i="22"/>
  <c r="K80" i="22"/>
  <c r="K30" i="22"/>
  <c r="K130" i="22"/>
  <c r="K45" i="22"/>
  <c r="G79" i="21"/>
  <c r="E30" i="22"/>
  <c r="J30" i="22"/>
  <c r="E45" i="22"/>
  <c r="J80" i="22"/>
  <c r="J45" i="22"/>
  <c r="G55" i="15"/>
  <c r="J651" i="19"/>
  <c r="J652" i="19" s="1"/>
  <c r="T69" i="20"/>
  <c r="T10" i="22" s="1"/>
  <c r="T30" i="20"/>
  <c r="AA23" i="20"/>
  <c r="T73" i="20"/>
  <c r="T14" i="22" s="1"/>
  <c r="AB29" i="20"/>
  <c r="K160" i="18"/>
  <c r="K161" i="18" s="1"/>
  <c r="K167" i="18"/>
  <c r="H168" i="18"/>
  <c r="H170" i="18"/>
  <c r="AH25" i="20"/>
  <c r="G173" i="18"/>
  <c r="H167" i="18"/>
  <c r="H160" i="18"/>
  <c r="P154" i="18" s="1"/>
  <c r="F170" i="18"/>
  <c r="H172" i="18"/>
  <c r="F160" i="18"/>
  <c r="N151" i="18" s="1"/>
  <c r="H171" i="18"/>
  <c r="U30" i="20"/>
  <c r="R154" i="18"/>
  <c r="R149" i="18"/>
  <c r="J168" i="18"/>
  <c r="K170" i="18"/>
  <c r="J172" i="18"/>
  <c r="P158" i="18"/>
  <c r="E160" i="18"/>
  <c r="M147" i="18" s="1"/>
  <c r="E169" i="18"/>
  <c r="M150" i="18"/>
  <c r="G481" i="19"/>
  <c r="AP45" i="20"/>
  <c r="AG46" i="6"/>
  <c r="AG48" i="6"/>
  <c r="AF29" i="6"/>
  <c r="O150" i="18"/>
  <c r="O153" i="18"/>
  <c r="J185" i="24"/>
  <c r="AE46" i="6"/>
  <c r="AE47" i="6"/>
  <c r="AE48" i="6"/>
  <c r="AE49" i="6"/>
  <c r="AE50" i="6"/>
  <c r="U30" i="15"/>
  <c r="G69" i="15" s="1"/>
  <c r="AF64" i="6"/>
  <c r="Y259" i="6"/>
  <c r="F81" i="15"/>
  <c r="F105" i="15" s="1"/>
  <c r="U12" i="15"/>
  <c r="U16" i="15"/>
  <c r="U17" i="15"/>
  <c r="U21" i="15"/>
  <c r="G72" i="15" s="1"/>
  <c r="U26" i="15"/>
  <c r="W28" i="15"/>
  <c r="V34" i="15"/>
  <c r="AH51" i="6"/>
  <c r="AG56" i="6"/>
  <c r="R216" i="23"/>
  <c r="H103" i="23"/>
  <c r="G295" i="24"/>
  <c r="AG61" i="6"/>
  <c r="U13" i="15"/>
  <c r="U18" i="15"/>
  <c r="U22" i="15"/>
  <c r="V10" i="15"/>
  <c r="H67" i="15" s="1"/>
  <c r="V11" i="15"/>
  <c r="H68" i="15" s="1"/>
  <c r="V12" i="15"/>
  <c r="V13" i="15"/>
  <c r="V14" i="15"/>
  <c r="V15" i="15"/>
  <c r="V16" i="15"/>
  <c r="V17" i="15"/>
  <c r="V18" i="15"/>
  <c r="V19" i="15"/>
  <c r="V20" i="15"/>
  <c r="V21" i="15"/>
  <c r="H72" i="15" s="1"/>
  <c r="V22" i="15"/>
  <c r="V23" i="15"/>
  <c r="W25" i="15"/>
  <c r="V26" i="15"/>
  <c r="X28" i="15"/>
  <c r="W29" i="15"/>
  <c r="V30" i="15"/>
  <c r="H69" i="15" s="1"/>
  <c r="X32" i="15"/>
  <c r="W35" i="15"/>
  <c r="AH14" i="6"/>
  <c r="AH30" i="6"/>
  <c r="AH42" i="6"/>
  <c r="AF54" i="6"/>
  <c r="AH62" i="6"/>
  <c r="AG67" i="6"/>
  <c r="J59" i="24"/>
  <c r="F62" i="23"/>
  <c r="K91" i="15"/>
  <c r="U10" i="15"/>
  <c r="G67" i="15" s="1"/>
  <c r="U14" i="15"/>
  <c r="U19" i="15"/>
  <c r="J119" i="25"/>
  <c r="U11" i="15"/>
  <c r="G68" i="15" s="1"/>
  <c r="U15" i="15"/>
  <c r="U20" i="15"/>
  <c r="V25" i="15"/>
  <c r="X27" i="15"/>
  <c r="V29" i="15"/>
  <c r="X31" i="15"/>
  <c r="U34" i="15"/>
  <c r="W37" i="15"/>
  <c r="AH54" i="6"/>
  <c r="AH56" i="6"/>
  <c r="AG66" i="6"/>
  <c r="AH67" i="6"/>
  <c r="J287" i="24"/>
  <c r="G104" i="23"/>
  <c r="H46" i="23"/>
  <c r="I91" i="15"/>
  <c r="AG25" i="6"/>
  <c r="AF37" i="6"/>
  <c r="AF42" i="6"/>
  <c r="AH44" i="6"/>
  <c r="H61" i="24"/>
  <c r="G111" i="23"/>
  <c r="C42" i="25"/>
  <c r="K97" i="15"/>
  <c r="AG21" i="6"/>
  <c r="AG22" i="6"/>
  <c r="I46" i="23"/>
  <c r="V242" i="23"/>
  <c r="G145" i="23"/>
  <c r="G105" i="23"/>
  <c r="J104" i="15"/>
  <c r="J95" i="15"/>
  <c r="J110" i="15"/>
  <c r="J92" i="15"/>
  <c r="L92" i="15" s="1"/>
  <c r="J105" i="15"/>
  <c r="J83" i="15"/>
  <c r="J103" i="15"/>
  <c r="J93" i="15"/>
  <c r="J98" i="15"/>
  <c r="J86" i="15"/>
  <c r="J109" i="15"/>
  <c r="J99" i="15"/>
  <c r="J87" i="15"/>
  <c r="J96" i="15"/>
  <c r="J82" i="15"/>
  <c r="J97" i="15"/>
  <c r="J94" i="15"/>
  <c r="I45" i="6"/>
  <c r="J91" i="15"/>
  <c r="H105" i="23"/>
  <c r="V46" i="23"/>
  <c r="K263" i="24"/>
  <c r="K276" i="24" s="1"/>
  <c r="I61" i="24"/>
  <c r="K119" i="25"/>
  <c r="V215" i="25"/>
  <c r="I24" i="15"/>
  <c r="AG16" i="6"/>
  <c r="AF57" i="6"/>
  <c r="AF63" i="6"/>
  <c r="H111" i="23"/>
  <c r="K172" i="24"/>
  <c r="K215" i="25"/>
  <c r="U29" i="15"/>
  <c r="R242" i="23"/>
  <c r="G252" i="24"/>
  <c r="G59" i="24"/>
  <c r="G215" i="25"/>
  <c r="I110" i="23"/>
  <c r="I111" i="23"/>
  <c r="U27" i="15"/>
  <c r="H9" i="15"/>
  <c r="X10" i="15"/>
  <c r="J67" i="15" s="1"/>
  <c r="X13" i="15"/>
  <c r="X17" i="15"/>
  <c r="X21" i="15"/>
  <c r="J72" i="15" s="1"/>
  <c r="AF15" i="6"/>
  <c r="AF21" i="6"/>
  <c r="AF25" i="6"/>
  <c r="AF39" i="6"/>
  <c r="AF43" i="6"/>
  <c r="AH64" i="6"/>
  <c r="J252" i="24"/>
  <c r="K32" i="25"/>
  <c r="G32" i="25"/>
  <c r="G125" i="25"/>
  <c r="AF62" i="6"/>
  <c r="K109" i="23"/>
  <c r="U31" i="15"/>
  <c r="H110" i="15"/>
  <c r="AG26" i="6"/>
  <c r="AG35" i="6"/>
  <c r="AG44" i="6"/>
  <c r="AF68" i="6"/>
  <c r="S216" i="23"/>
  <c r="J263" i="24"/>
  <c r="J276" i="24" s="1"/>
  <c r="J219" i="24"/>
  <c r="K65" i="25"/>
  <c r="G65" i="25"/>
  <c r="C75" i="25"/>
  <c r="K125" i="25"/>
  <c r="G85" i="25"/>
  <c r="Y139" i="6"/>
  <c r="AG12" i="6"/>
  <c r="AG63" i="6"/>
  <c r="AG62" i="6"/>
  <c r="AG60" i="6"/>
  <c r="J242" i="23"/>
  <c r="F287" i="24"/>
  <c r="K45" i="6"/>
  <c r="H95" i="15"/>
  <c r="K103" i="15"/>
  <c r="W11" i="15"/>
  <c r="I68" i="15" s="1"/>
  <c r="W12" i="15"/>
  <c r="W15" i="15"/>
  <c r="W22" i="15"/>
  <c r="F24" i="15"/>
  <c r="K24" i="15"/>
  <c r="X29" i="15"/>
  <c r="X30" i="15"/>
  <c r="J69" i="15" s="1"/>
  <c r="V31" i="15"/>
  <c r="V32" i="15"/>
  <c r="AF56" i="6"/>
  <c r="AF67" i="6"/>
  <c r="W216" i="23"/>
  <c r="S242" i="23"/>
  <c r="F216" i="23"/>
  <c r="I62" i="24"/>
  <c r="F119" i="25"/>
  <c r="C40" i="25"/>
  <c r="AE23" i="6"/>
  <c r="AE30" i="6"/>
  <c r="AE41" i="6"/>
  <c r="AE55" i="6"/>
  <c r="J109" i="23"/>
  <c r="F123" i="23"/>
  <c r="H104" i="15"/>
  <c r="K94" i="15"/>
  <c r="AH63" i="6"/>
  <c r="I251" i="6"/>
  <c r="AG54" i="6"/>
  <c r="G109" i="23"/>
  <c r="J46" i="23"/>
  <c r="F242" i="23"/>
  <c r="K287" i="24"/>
  <c r="G48" i="24"/>
  <c r="C73" i="25"/>
  <c r="K83" i="15"/>
  <c r="K104" i="15"/>
  <c r="H185" i="24"/>
  <c r="X35" i="15"/>
  <c r="AH55" i="6"/>
  <c r="AG42" i="6"/>
  <c r="AH19" i="6"/>
  <c r="AF24" i="6"/>
  <c r="AH25" i="6"/>
  <c r="AH36" i="6"/>
  <c r="AH41" i="6"/>
  <c r="AF52" i="6"/>
  <c r="U46" i="23"/>
  <c r="K252" i="24"/>
  <c r="G219" i="24"/>
  <c r="I65" i="24"/>
  <c r="I127" i="24" s="1"/>
  <c r="AE37" i="6"/>
  <c r="K87" i="15"/>
  <c r="K99" i="15"/>
  <c r="K82" i="15"/>
  <c r="K96" i="15"/>
  <c r="K185" i="24"/>
  <c r="AH60" i="6"/>
  <c r="AH31" i="6"/>
  <c r="AG57" i="6"/>
  <c r="AG41" i="6"/>
  <c r="I178" i="6"/>
  <c r="W32" i="15"/>
  <c r="U38" i="15"/>
  <c r="V38" i="15"/>
  <c r="X36" i="15"/>
  <c r="U35" i="15"/>
  <c r="W34" i="15"/>
  <c r="AF13" i="6"/>
  <c r="AH13" i="6"/>
  <c r="K33" i="6"/>
  <c r="K216" i="23"/>
  <c r="AH53" i="6"/>
  <c r="F17" i="6"/>
  <c r="AE22" i="6"/>
  <c r="AE40" i="6"/>
  <c r="AE44" i="6"/>
  <c r="AE54" i="6"/>
  <c r="AE60" i="6"/>
  <c r="AE64" i="6"/>
  <c r="AE69" i="6"/>
  <c r="K93" i="15"/>
  <c r="K109" i="15"/>
  <c r="K86" i="15"/>
  <c r="K98" i="15"/>
  <c r="W31" i="15"/>
  <c r="AH12" i="6"/>
  <c r="G81" i="15"/>
  <c r="G95" i="15" s="1"/>
  <c r="AF23" i="6"/>
  <c r="AG24" i="6"/>
  <c r="AF36" i="6"/>
  <c r="AF41" i="6"/>
  <c r="AF61" i="6"/>
  <c r="AF66" i="6"/>
  <c r="K110" i="23"/>
  <c r="H172" i="24"/>
  <c r="J39" i="24"/>
  <c r="J48" i="24" s="1"/>
  <c r="K254" i="6"/>
  <c r="K95" i="15"/>
  <c r="K105" i="15"/>
  <c r="K92" i="15"/>
  <c r="AH69" i="6"/>
  <c r="AH52" i="6"/>
  <c r="AH34" i="6"/>
  <c r="AG52" i="6"/>
  <c r="AG18" i="6"/>
  <c r="V37" i="15"/>
  <c r="W36" i="15"/>
  <c r="AH16" i="6"/>
  <c r="AH66" i="6"/>
  <c r="H252" i="24"/>
  <c r="AH29" i="6"/>
  <c r="I95" i="15"/>
  <c r="X12" i="15"/>
  <c r="G242" i="23"/>
  <c r="G216" i="23"/>
  <c r="G46" i="23"/>
  <c r="K107" i="23"/>
  <c r="K242" i="23"/>
  <c r="K46" i="23"/>
  <c r="T216" i="23"/>
  <c r="T242" i="23"/>
  <c r="G103" i="23"/>
  <c r="G112" i="23"/>
  <c r="AI8" i="6"/>
  <c r="X259" i="6"/>
  <c r="X139" i="6"/>
  <c r="I109" i="23"/>
  <c r="H109" i="23"/>
  <c r="AG37" i="6"/>
  <c r="S215" i="25"/>
  <c r="F236" i="23"/>
  <c r="F237" i="23" s="1"/>
  <c r="H112" i="23"/>
  <c r="H119" i="25"/>
  <c r="H85" i="25"/>
  <c r="C89" i="25"/>
  <c r="C69" i="25"/>
  <c r="C36" i="25"/>
  <c r="G186" i="25"/>
  <c r="K186" i="25"/>
  <c r="AK8" i="6"/>
  <c r="Z139" i="6"/>
  <c r="G102" i="23"/>
  <c r="G296" i="24" s="1"/>
  <c r="F9" i="23"/>
  <c r="F145" i="23" s="1"/>
  <c r="J110" i="23"/>
  <c r="J111" i="23"/>
  <c r="K111" i="23"/>
  <c r="U37" i="15"/>
  <c r="W38" i="15"/>
  <c r="J33" i="15"/>
  <c r="K33" i="15"/>
  <c r="V35" i="15"/>
  <c r="X34" i="15"/>
  <c r="AF12" i="6"/>
  <c r="AG15" i="6"/>
  <c r="AF60" i="6"/>
  <c r="I236" i="23"/>
  <c r="I237" i="23" s="1"/>
  <c r="J236" i="23"/>
  <c r="J237" i="23" s="1"/>
  <c r="AE15" i="6"/>
  <c r="AE21" i="6"/>
  <c r="AE25" i="6"/>
  <c r="H33" i="6"/>
  <c r="AE39" i="6"/>
  <c r="AE43" i="6"/>
  <c r="AE53" i="6"/>
  <c r="AE57" i="6"/>
  <c r="AE63" i="6"/>
  <c r="H254" i="6"/>
  <c r="J254" i="6"/>
  <c r="AF16" i="6"/>
  <c r="AF26" i="6"/>
  <c r="AF40" i="6"/>
  <c r="F70" i="23"/>
  <c r="AE13" i="6"/>
  <c r="AE51" i="6"/>
  <c r="AE61" i="6"/>
  <c r="AF22" i="6"/>
  <c r="AF35" i="6"/>
  <c r="AF44" i="6"/>
  <c r="J65" i="24"/>
  <c r="J127" i="24" s="1"/>
  <c r="H39" i="24"/>
  <c r="H48" i="24" s="1"/>
  <c r="AE12" i="6"/>
  <c r="AE16" i="6"/>
  <c r="AE26" i="6"/>
  <c r="AE35" i="6"/>
  <c r="AH21" i="6"/>
  <c r="AF14" i="6"/>
  <c r="AH26" i="6"/>
  <c r="AF30" i="6"/>
  <c r="AG30" i="6"/>
  <c r="AG31" i="6"/>
  <c r="AF51" i="6"/>
  <c r="AG51" i="6"/>
  <c r="AF55" i="6"/>
  <c r="AG55" i="6"/>
  <c r="AH57" i="6"/>
  <c r="AG64" i="6"/>
  <c r="AH68" i="6"/>
  <c r="AG68" i="6"/>
  <c r="AH23" i="6"/>
  <c r="AG23" i="6"/>
  <c r="AG50" i="6"/>
  <c r="AH50" i="6"/>
  <c r="AH48" i="6"/>
  <c r="AG14" i="6"/>
  <c r="H24" i="15"/>
  <c r="H103" i="15"/>
  <c r="H93" i="15"/>
  <c r="H98" i="15"/>
  <c r="H86" i="15"/>
  <c r="H109" i="15"/>
  <c r="H99" i="15"/>
  <c r="H87" i="15"/>
  <c r="H96" i="15"/>
  <c r="H82" i="15"/>
  <c r="H105" i="15"/>
  <c r="H97" i="15"/>
  <c r="H83" i="15"/>
  <c r="H94" i="15"/>
  <c r="AH22" i="6"/>
  <c r="AH39" i="6"/>
  <c r="AG40" i="6"/>
  <c r="AH40" i="6"/>
  <c r="AF34" i="6"/>
  <c r="I33" i="6"/>
  <c r="AG43" i="6"/>
  <c r="AH43" i="6"/>
  <c r="AH46" i="6"/>
  <c r="AG47" i="6"/>
  <c r="AH47" i="6"/>
  <c r="AH49" i="6"/>
  <c r="AG49" i="6"/>
  <c r="AG34" i="6"/>
  <c r="I110" i="15"/>
  <c r="I109" i="15"/>
  <c r="I87" i="15"/>
  <c r="I98" i="15"/>
  <c r="I104" i="15"/>
  <c r="I94" i="15"/>
  <c r="I99" i="15"/>
  <c r="R272" i="6"/>
  <c r="AC8" i="6"/>
  <c r="W16" i="15"/>
  <c r="X16" i="15"/>
  <c r="X18" i="15"/>
  <c r="W18" i="15"/>
  <c r="X19" i="15"/>
  <c r="W19" i="15"/>
  <c r="W20" i="15"/>
  <c r="X20" i="15"/>
  <c r="J24" i="15"/>
  <c r="X25" i="15"/>
  <c r="W26" i="15"/>
  <c r="X26" i="15"/>
  <c r="W27" i="15"/>
  <c r="V27" i="15"/>
  <c r="J33" i="6"/>
  <c r="AH37" i="6"/>
  <c r="AH61" i="6"/>
  <c r="AF69" i="6"/>
  <c r="AG69" i="6"/>
  <c r="W259" i="6"/>
  <c r="AH8" i="6"/>
  <c r="AH24" i="6"/>
  <c r="AG39" i="6"/>
  <c r="AG13" i="6"/>
  <c r="AH18" i="6"/>
  <c r="AG36" i="6"/>
  <c r="H91" i="15"/>
  <c r="AG19" i="6"/>
  <c r="AH35" i="6"/>
  <c r="AH15" i="6"/>
  <c r="G110" i="23"/>
  <c r="H110" i="23"/>
  <c r="C90" i="25"/>
  <c r="C37" i="25"/>
  <c r="C70" i="25"/>
  <c r="I186" i="25"/>
  <c r="G288" i="24"/>
  <c r="K288" i="24"/>
  <c r="C87" i="25"/>
  <c r="C34" i="25"/>
  <c r="AG53" i="6"/>
  <c r="AF53" i="6"/>
  <c r="H45" i="6"/>
  <c r="AE68" i="6"/>
  <c r="K236" i="23"/>
  <c r="K237" i="23" s="1"/>
  <c r="G236" i="23"/>
  <c r="G237" i="23" s="1"/>
  <c r="T215" i="25"/>
  <c r="F186" i="25"/>
  <c r="F187" i="25" s="1"/>
  <c r="AE34" i="6"/>
  <c r="H104" i="23"/>
  <c r="H236" i="23"/>
  <c r="H237" i="23" s="1"/>
  <c r="E85" i="25"/>
  <c r="H125" i="25"/>
  <c r="H65" i="25"/>
  <c r="H215" i="25"/>
  <c r="H32" i="25"/>
  <c r="W215" i="25"/>
  <c r="J186" i="25"/>
  <c r="F34" i="23"/>
  <c r="F11" i="6"/>
  <c r="K9" i="15"/>
  <c r="U28" i="15"/>
  <c r="C88" i="25"/>
  <c r="C68" i="25"/>
  <c r="U215" i="25"/>
  <c r="C96" i="25"/>
  <c r="C76" i="25"/>
  <c r="C43" i="25"/>
  <c r="I215" i="25"/>
  <c r="I85" i="25"/>
  <c r="I119" i="25"/>
  <c r="I65" i="25"/>
  <c r="C94" i="25"/>
  <c r="C74" i="25"/>
  <c r="C41" i="25"/>
  <c r="H186" i="25"/>
  <c r="G62" i="24"/>
  <c r="G65" i="24"/>
  <c r="G127" i="24" s="1"/>
  <c r="AE18" i="6"/>
  <c r="AE14" i="6"/>
  <c r="AE19" i="6"/>
  <c r="AE24" i="6"/>
  <c r="AE31" i="6"/>
  <c r="F33" i="6"/>
  <c r="AE36" i="6"/>
  <c r="G33" i="6"/>
  <c r="AE42" i="6"/>
  <c r="AE52" i="6"/>
  <c r="AE62" i="6"/>
  <c r="AE66" i="6"/>
  <c r="AE67" i="6"/>
  <c r="F65" i="6"/>
  <c r="G29" i="24"/>
  <c r="G37" i="24" s="1"/>
  <c r="H443" i="19"/>
  <c r="I93" i="15"/>
  <c r="I103" i="15"/>
  <c r="I82" i="15"/>
  <c r="I96" i="15"/>
  <c r="I33" i="15"/>
  <c r="G24" i="15"/>
  <c r="I9" i="15"/>
  <c r="W30" i="15"/>
  <c r="I69" i="15" s="1"/>
  <c r="W14" i="15"/>
  <c r="V36" i="15"/>
  <c r="X23" i="15"/>
  <c r="X15" i="15"/>
  <c r="X11" i="15"/>
  <c r="J68" i="15" s="1"/>
  <c r="U32" i="15"/>
  <c r="U36" i="15"/>
  <c r="W23" i="15"/>
  <c r="W13" i="15"/>
  <c r="F9" i="15"/>
  <c r="F33" i="15"/>
  <c r="G33" i="15"/>
  <c r="H33" i="15"/>
  <c r="W10" i="15"/>
  <c r="I67" i="15" s="1"/>
  <c r="U23" i="15"/>
  <c r="X38" i="15"/>
  <c r="V28" i="15"/>
  <c r="X22" i="15"/>
  <c r="X14" i="15"/>
  <c r="X37" i="15"/>
  <c r="W21" i="15"/>
  <c r="I72" i="15" s="1"/>
  <c r="W17" i="15"/>
  <c r="I83" i="15"/>
  <c r="I97" i="15"/>
  <c r="I105" i="15"/>
  <c r="I92" i="15"/>
  <c r="F32" i="25"/>
  <c r="F125" i="25"/>
  <c r="F65" i="25"/>
  <c r="F85" i="25"/>
  <c r="S139" i="6"/>
  <c r="S259" i="6"/>
  <c r="AD8" i="6"/>
  <c r="S272" i="6"/>
  <c r="G8" i="6"/>
  <c r="G263" i="24"/>
  <c r="G276" i="24" s="1"/>
  <c r="G287" i="24"/>
  <c r="T259" i="6"/>
  <c r="T272" i="6"/>
  <c r="AE8" i="6"/>
  <c r="T139" i="6"/>
  <c r="T46" i="23"/>
  <c r="H216" i="23"/>
  <c r="H8" i="6"/>
  <c r="H242" i="23"/>
  <c r="I216" i="23"/>
  <c r="U216" i="23"/>
  <c r="J32" i="25"/>
  <c r="J125" i="25"/>
  <c r="J65" i="25"/>
  <c r="J85" i="25"/>
  <c r="H263" i="24"/>
  <c r="H276" i="24" s="1"/>
  <c r="K61" i="24"/>
  <c r="G61" i="24"/>
  <c r="H219" i="24"/>
  <c r="H65" i="24"/>
  <c r="H127" i="24" s="1"/>
  <c r="H287" i="24"/>
  <c r="K37" i="24"/>
  <c r="I185" i="24"/>
  <c r="G20" i="24"/>
  <c r="I39" i="24"/>
  <c r="I48" i="24" s="1"/>
  <c r="K39" i="24"/>
  <c r="K48" i="24" s="1"/>
  <c r="I287" i="24"/>
  <c r="I263" i="24"/>
  <c r="I276" i="24" s="1"/>
  <c r="I252" i="24"/>
  <c r="F288" i="24"/>
  <c r="J61" i="24"/>
  <c r="K214" i="24"/>
  <c r="J62" i="24"/>
  <c r="I172" i="24"/>
  <c r="I219" i="24"/>
  <c r="I59" i="24"/>
  <c r="J220" i="25" l="1"/>
  <c r="J221" i="25"/>
  <c r="J219" i="25"/>
  <c r="J222" i="25"/>
  <c r="J218" i="25"/>
  <c r="J216" i="25"/>
  <c r="J217" i="25"/>
  <c r="H221" i="25"/>
  <c r="H220" i="25"/>
  <c r="H222" i="25"/>
  <c r="H219" i="25"/>
  <c r="H218" i="25"/>
  <c r="H216" i="25"/>
  <c r="H217" i="25"/>
  <c r="L219" i="25"/>
  <c r="M222" i="25"/>
  <c r="L218" i="25"/>
  <c r="L220" i="25"/>
  <c r="N219" i="25"/>
  <c r="N216" i="25"/>
  <c r="M219" i="25"/>
  <c r="O216" i="25"/>
  <c r="O219" i="25"/>
  <c r="O218" i="25"/>
  <c r="M221" i="25"/>
  <c r="M216" i="25"/>
  <c r="O222" i="25"/>
  <c r="O220" i="25"/>
  <c r="N222" i="25"/>
  <c r="L216" i="25"/>
  <c r="L222" i="25"/>
  <c r="N218" i="25"/>
  <c r="N220" i="25"/>
  <c r="L221" i="25"/>
  <c r="M218" i="25"/>
  <c r="M220" i="25"/>
  <c r="N221" i="25"/>
  <c r="O221" i="25"/>
  <c r="O217" i="25"/>
  <c r="N217" i="25"/>
  <c r="M217" i="25"/>
  <c r="L217" i="25"/>
  <c r="I220" i="25"/>
  <c r="I221" i="25"/>
  <c r="I219" i="25"/>
  <c r="I222" i="25"/>
  <c r="I218" i="25"/>
  <c r="I216" i="25"/>
  <c r="I223" i="25" s="1"/>
  <c r="I217" i="25"/>
  <c r="K220" i="25"/>
  <c r="K221" i="25"/>
  <c r="K218" i="25"/>
  <c r="K222" i="25"/>
  <c r="K219" i="25"/>
  <c r="K216" i="25"/>
  <c r="K217" i="25"/>
  <c r="F221" i="25"/>
  <c r="F220" i="25"/>
  <c r="F222" i="25"/>
  <c r="F218" i="25"/>
  <c r="F219" i="25"/>
  <c r="F216" i="25"/>
  <c r="F217" i="25"/>
  <c r="O244" i="23"/>
  <c r="N244" i="23"/>
  <c r="K245" i="23"/>
  <c r="H245" i="23"/>
  <c r="M244" i="23"/>
  <c r="J245" i="23"/>
  <c r="N245" i="23"/>
  <c r="J244" i="23"/>
  <c r="M245" i="23"/>
  <c r="I245" i="23"/>
  <c r="O466" i="19"/>
  <c r="K552" i="19"/>
  <c r="J205" i="6"/>
  <c r="H552" i="19"/>
  <c r="G205" i="6"/>
  <c r="K244" i="23"/>
  <c r="O245" i="23"/>
  <c r="I552" i="19"/>
  <c r="H205" i="6"/>
  <c r="I205" i="6"/>
  <c r="J552" i="19"/>
  <c r="I244" i="23"/>
  <c r="H244" i="23"/>
  <c r="M663" i="19"/>
  <c r="L222" i="23" s="1"/>
  <c r="M660" i="19"/>
  <c r="L219" i="23" s="1"/>
  <c r="M662" i="19"/>
  <c r="L221" i="23" s="1"/>
  <c r="L245" i="23" s="1"/>
  <c r="M670" i="19"/>
  <c r="L229" i="23" s="1"/>
  <c r="M659" i="19"/>
  <c r="M669" i="19"/>
  <c r="L228" i="23" s="1"/>
  <c r="M668" i="19"/>
  <c r="L227" i="23" s="1"/>
  <c r="M667" i="19"/>
  <c r="L226" i="23" s="1"/>
  <c r="M666" i="19"/>
  <c r="L225" i="23" s="1"/>
  <c r="M665" i="19"/>
  <c r="L224" i="23" s="1"/>
  <c r="M664" i="19"/>
  <c r="L223" i="23" s="1"/>
  <c r="M661" i="19"/>
  <c r="L220" i="23" s="1"/>
  <c r="H197" i="23"/>
  <c r="H202" i="23"/>
  <c r="J197" i="23"/>
  <c r="J202" i="23"/>
  <c r="I197" i="23"/>
  <c r="I202" i="23"/>
  <c r="G202" i="23"/>
  <c r="G197" i="23"/>
  <c r="J295" i="24"/>
  <c r="N270" i="6"/>
  <c r="AV23" i="24"/>
  <c r="AV26" i="24" s="1"/>
  <c r="O270" i="6"/>
  <c r="Q304" i="6"/>
  <c r="O456" i="19"/>
  <c r="O468" i="19"/>
  <c r="N24" i="25"/>
  <c r="N98" i="25" s="1"/>
  <c r="K295" i="24"/>
  <c r="K38" i="25"/>
  <c r="K71" i="25"/>
  <c r="K91" i="25"/>
  <c r="L102" i="23"/>
  <c r="L296" i="24" s="1"/>
  <c r="K9" i="23"/>
  <c r="K145" i="23" s="1"/>
  <c r="K101" i="23"/>
  <c r="J31" i="23"/>
  <c r="J30" i="23" s="1"/>
  <c r="J42" i="23" s="1"/>
  <c r="J91" i="25"/>
  <c r="J38" i="25"/>
  <c r="J71" i="25"/>
  <c r="H76" i="23"/>
  <c r="L101" i="23"/>
  <c r="K31" i="23"/>
  <c r="K30" i="23" s="1"/>
  <c r="K102" i="23"/>
  <c r="K296" i="24" s="1"/>
  <c r="H101" i="23"/>
  <c r="G31" i="23"/>
  <c r="G30" i="23" s="1"/>
  <c r="G71" i="25"/>
  <c r="G38" i="25"/>
  <c r="G91" i="25"/>
  <c r="K155" i="6"/>
  <c r="H91" i="25"/>
  <c r="H71" i="25"/>
  <c r="H38" i="25"/>
  <c r="L295" i="24"/>
  <c r="I101" i="23"/>
  <c r="H31" i="23"/>
  <c r="H30" i="23" s="1"/>
  <c r="I76" i="23"/>
  <c r="G76" i="23"/>
  <c r="J101" i="23"/>
  <c r="J76" i="23"/>
  <c r="AU23" i="24"/>
  <c r="AU26" i="24" s="1"/>
  <c r="K131" i="25"/>
  <c r="K132" i="25"/>
  <c r="J132" i="25"/>
  <c r="J131" i="25"/>
  <c r="J187" i="25"/>
  <c r="I187" i="25"/>
  <c r="G223" i="25"/>
  <c r="G187" i="25"/>
  <c r="K187" i="25"/>
  <c r="H187" i="25"/>
  <c r="J78" i="6"/>
  <c r="J200" i="6"/>
  <c r="H78" i="6"/>
  <c r="H200" i="6"/>
  <c r="F178" i="6"/>
  <c r="F200" i="6"/>
  <c r="K78" i="6"/>
  <c r="K200" i="6"/>
  <c r="G78" i="6"/>
  <c r="G200" i="6"/>
  <c r="AY23" i="24"/>
  <c r="AY26" i="24" s="1"/>
  <c r="J274" i="24"/>
  <c r="J273" i="24"/>
  <c r="J270" i="24"/>
  <c r="G273" i="24"/>
  <c r="G270" i="24"/>
  <c r="I274" i="24"/>
  <c r="I270" i="24"/>
  <c r="I273" i="24"/>
  <c r="K272" i="24"/>
  <c r="K273" i="24"/>
  <c r="K270" i="24"/>
  <c r="H274" i="24"/>
  <c r="H273" i="24"/>
  <c r="H270" i="24"/>
  <c r="G274" i="24"/>
  <c r="K274" i="24"/>
  <c r="AY48" i="24"/>
  <c r="L481" i="19"/>
  <c r="L291" i="24"/>
  <c r="L173" i="24" s="1"/>
  <c r="L175" i="24" s="1"/>
  <c r="V24" i="24"/>
  <c r="V19" i="24"/>
  <c r="V39" i="24"/>
  <c r="V44" i="24"/>
  <c r="V45" i="24"/>
  <c r="V22" i="24"/>
  <c r="V14" i="24"/>
  <c r="V52" i="24"/>
  <c r="V13" i="24"/>
  <c r="V11" i="24"/>
  <c r="V48" i="24"/>
  <c r="V41" i="24"/>
  <c r="V27" i="24"/>
  <c r="V42" i="24"/>
  <c r="V51" i="24"/>
  <c r="V29" i="24"/>
  <c r="V35" i="24"/>
  <c r="V16" i="24"/>
  <c r="V50" i="24"/>
  <c r="V302" i="24"/>
  <c r="V37" i="24"/>
  <c r="V40" i="24"/>
  <c r="V36" i="24"/>
  <c r="V12" i="24"/>
  <c r="V18" i="24"/>
  <c r="V34" i="24"/>
  <c r="V25" i="24"/>
  <c r="V26" i="24"/>
  <c r="V10" i="24"/>
  <c r="V38" i="24"/>
  <c r="V28" i="24"/>
  <c r="V21" i="24"/>
  <c r="V20" i="24"/>
  <c r="V17" i="24"/>
  <c r="V43" i="24"/>
  <c r="V49" i="24"/>
  <c r="V53" i="24"/>
  <c r="AU289" i="24"/>
  <c r="BG16" i="24" s="1"/>
  <c r="AU292" i="24"/>
  <c r="AU174" i="24" s="1"/>
  <c r="AU291" i="24"/>
  <c r="AU173" i="24" s="1"/>
  <c r="AU290" i="24"/>
  <c r="AU294" i="24"/>
  <c r="AU300" i="24"/>
  <c r="AU293" i="24"/>
  <c r="X37" i="24"/>
  <c r="X36" i="24"/>
  <c r="X34" i="24"/>
  <c r="X21" i="24"/>
  <c r="X14" i="24"/>
  <c r="X52" i="24"/>
  <c r="X51" i="24"/>
  <c r="X11" i="24"/>
  <c r="X38" i="24"/>
  <c r="X43" i="24"/>
  <c r="X28" i="24"/>
  <c r="X41" i="24"/>
  <c r="X39" i="24"/>
  <c r="X12" i="24"/>
  <c r="X35" i="24"/>
  <c r="X44" i="24"/>
  <c r="X13" i="24"/>
  <c r="X24" i="24"/>
  <c r="X40" i="24"/>
  <c r="X20" i="24"/>
  <c r="X302" i="24"/>
  <c r="X42" i="24"/>
  <c r="X26" i="24"/>
  <c r="X25" i="24"/>
  <c r="X22" i="24"/>
  <c r="X18" i="24"/>
  <c r="X48" i="24"/>
  <c r="X50" i="24"/>
  <c r="X29" i="24"/>
  <c r="X16" i="24"/>
  <c r="X45" i="24"/>
  <c r="X17" i="24"/>
  <c r="X10" i="24"/>
  <c r="X19" i="24"/>
  <c r="X27" i="24"/>
  <c r="X53" i="24"/>
  <c r="X49" i="24"/>
  <c r="AV48" i="24"/>
  <c r="AY288" i="24"/>
  <c r="AY20" i="24"/>
  <c r="AY214" i="24" s="1"/>
  <c r="AG8" i="6"/>
  <c r="V78" i="6"/>
  <c r="U139" i="6"/>
  <c r="U78" i="6"/>
  <c r="AD185" i="24"/>
  <c r="H212" i="6"/>
  <c r="AE78" i="6"/>
  <c r="Z49" i="24"/>
  <c r="Z50" i="24"/>
  <c r="Z44" i="24"/>
  <c r="Z20" i="24"/>
  <c r="Z42" i="24"/>
  <c r="Z53" i="24"/>
  <c r="Z16" i="24"/>
  <c r="Z13" i="24"/>
  <c r="Z51" i="24"/>
  <c r="Z43" i="24"/>
  <c r="Z14" i="24"/>
  <c r="Z35" i="24"/>
  <c r="Z17" i="24"/>
  <c r="Z22" i="24"/>
  <c r="Z11" i="24"/>
  <c r="Z18" i="24"/>
  <c r="Z39" i="24"/>
  <c r="Z45" i="24"/>
  <c r="Z28" i="24"/>
  <c r="Z48" i="24"/>
  <c r="Z41" i="24"/>
  <c r="Z26" i="24"/>
  <c r="Z24" i="24"/>
  <c r="Z10" i="24"/>
  <c r="Z19" i="24"/>
  <c r="Z12" i="24"/>
  <c r="Z34" i="24"/>
  <c r="Z302" i="24"/>
  <c r="Z29" i="24"/>
  <c r="Z21" i="24"/>
  <c r="Z36" i="24"/>
  <c r="Z40" i="24"/>
  <c r="Z38" i="24"/>
  <c r="Z25" i="24"/>
  <c r="Z52" i="24"/>
  <c r="Z27" i="24"/>
  <c r="Z37" i="24"/>
  <c r="AV288" i="24"/>
  <c r="AV20" i="24"/>
  <c r="AI78" i="6"/>
  <c r="AC185" i="24"/>
  <c r="G212" i="6"/>
  <c r="AD78" i="6"/>
  <c r="F212" i="6"/>
  <c r="AC78" i="6"/>
  <c r="AD11" i="6"/>
  <c r="AK78" i="6"/>
  <c r="K212" i="6"/>
  <c r="AH78" i="6"/>
  <c r="W21" i="24"/>
  <c r="W26" i="24"/>
  <c r="W27" i="24"/>
  <c r="W35" i="24"/>
  <c r="W24" i="24"/>
  <c r="W37" i="24"/>
  <c r="W52" i="24"/>
  <c r="W18" i="24"/>
  <c r="W36" i="24"/>
  <c r="W13" i="24"/>
  <c r="W51" i="24"/>
  <c r="W10" i="24"/>
  <c r="W44" i="24"/>
  <c r="W34" i="24"/>
  <c r="W41" i="24"/>
  <c r="W45" i="24"/>
  <c r="W39" i="24"/>
  <c r="W12" i="24"/>
  <c r="W14" i="24"/>
  <c r="W48" i="24"/>
  <c r="W43" i="24"/>
  <c r="W38" i="24"/>
  <c r="W16" i="24"/>
  <c r="W11" i="24"/>
  <c r="W40" i="24"/>
  <c r="W302" i="24"/>
  <c r="W50" i="24"/>
  <c r="W42" i="24"/>
  <c r="W22" i="24"/>
  <c r="W25" i="24"/>
  <c r="W28" i="24"/>
  <c r="W17" i="24"/>
  <c r="W19" i="24"/>
  <c r="W29" i="24"/>
  <c r="W20" i="24"/>
  <c r="W49" i="24"/>
  <c r="W53" i="24"/>
  <c r="AX59" i="24"/>
  <c r="AX50" i="24"/>
  <c r="AX29" i="24"/>
  <c r="AX37" i="24" s="1"/>
  <c r="AX45" i="24"/>
  <c r="AX21" i="24"/>
  <c r="AX25" i="24"/>
  <c r="AX16" i="24"/>
  <c r="AX24" i="24"/>
  <c r="AX39" i="24"/>
  <c r="AX10" i="24"/>
  <c r="AX302" i="24"/>
  <c r="Y38" i="24"/>
  <c r="Y37" i="24"/>
  <c r="Y41" i="24"/>
  <c r="Y40" i="24"/>
  <c r="Y11" i="24"/>
  <c r="Y52" i="24"/>
  <c r="Y14" i="24"/>
  <c r="Y20" i="24"/>
  <c r="Y34" i="24"/>
  <c r="Y65" i="24" s="1"/>
  <c r="Y26" i="24"/>
  <c r="Y12" i="24"/>
  <c r="Y13" i="24"/>
  <c r="Y51" i="24"/>
  <c r="Y44" i="24"/>
  <c r="Y66" i="24" s="1"/>
  <c r="Y42" i="24"/>
  <c r="Y16" i="24"/>
  <c r="Y45" i="24"/>
  <c r="Y28" i="24"/>
  <c r="Y19" i="24"/>
  <c r="Y49" i="24"/>
  <c r="Y43" i="24"/>
  <c r="Y24" i="24"/>
  <c r="Y18" i="24"/>
  <c r="Y22" i="24"/>
  <c r="Y302" i="24"/>
  <c r="Y36" i="24"/>
  <c r="Y39" i="24"/>
  <c r="Y29" i="24"/>
  <c r="Y64" i="24" s="1"/>
  <c r="Y35" i="24"/>
  <c r="Y10" i="24"/>
  <c r="Y48" i="24"/>
  <c r="Y53" i="24"/>
  <c r="Y21" i="24"/>
  <c r="Y62" i="24" s="1"/>
  <c r="Y25" i="24"/>
  <c r="Y17" i="24"/>
  <c r="Y50" i="24"/>
  <c r="Y27" i="24"/>
  <c r="AW45" i="24"/>
  <c r="AW21" i="24"/>
  <c r="AW25" i="24"/>
  <c r="AW16" i="24"/>
  <c r="AW24" i="24"/>
  <c r="AW29" i="24"/>
  <c r="AW37" i="24" s="1"/>
  <c r="AW302" i="24"/>
  <c r="AW50" i="24"/>
  <c r="AW10" i="24"/>
  <c r="AW39" i="24"/>
  <c r="AM8" i="24"/>
  <c r="AA16" i="24"/>
  <c r="AA38" i="24"/>
  <c r="AA11" i="24"/>
  <c r="AA29" i="24"/>
  <c r="AA13" i="24"/>
  <c r="AA52" i="24"/>
  <c r="AA53" i="24"/>
  <c r="AA45" i="24"/>
  <c r="AA19" i="24"/>
  <c r="AA26" i="24"/>
  <c r="AA49" i="24"/>
  <c r="AA22" i="24"/>
  <c r="AA43" i="24"/>
  <c r="AA35" i="24"/>
  <c r="AA42" i="24"/>
  <c r="AA302" i="24"/>
  <c r="AA51" i="24"/>
  <c r="AA36" i="24"/>
  <c r="AA17" i="24"/>
  <c r="AA25" i="24"/>
  <c r="AA24" i="24"/>
  <c r="AA20" i="24"/>
  <c r="AA12" i="24"/>
  <c r="AA39" i="24"/>
  <c r="AA44" i="24"/>
  <c r="AA18" i="24"/>
  <c r="AA50" i="24"/>
  <c r="AA21" i="24"/>
  <c r="AA28" i="24"/>
  <c r="AA48" i="24"/>
  <c r="AA41" i="24"/>
  <c r="AA34" i="24"/>
  <c r="AA37" i="24"/>
  <c r="AA10" i="24"/>
  <c r="AA40" i="24"/>
  <c r="AA14" i="24"/>
  <c r="AA27" i="24"/>
  <c r="AJ78" i="6"/>
  <c r="AC255" i="24"/>
  <c r="AO34" i="24"/>
  <c r="AO16" i="24"/>
  <c r="AC179" i="24"/>
  <c r="AO42" i="24"/>
  <c r="AO19" i="24"/>
  <c r="AO49" i="24"/>
  <c r="AO40" i="24"/>
  <c r="AO27" i="24"/>
  <c r="AO17" i="24"/>
  <c r="AO10" i="24"/>
  <c r="AO14" i="24"/>
  <c r="AO25" i="24"/>
  <c r="AO20" i="24"/>
  <c r="AO12" i="24"/>
  <c r="AO22" i="24"/>
  <c r="AO43" i="24"/>
  <c r="AO24" i="24"/>
  <c r="AC267" i="24"/>
  <c r="AO41" i="24"/>
  <c r="AO18" i="24"/>
  <c r="AO26" i="24"/>
  <c r="AC273" i="24"/>
  <c r="AO39" i="24"/>
  <c r="AC266" i="24"/>
  <c r="AC176" i="24"/>
  <c r="AO21" i="24"/>
  <c r="AO29" i="24"/>
  <c r="AO53" i="24"/>
  <c r="AO13" i="24"/>
  <c r="AO48" i="24"/>
  <c r="AO45" i="24"/>
  <c r="AC269" i="24"/>
  <c r="AC275" i="24"/>
  <c r="AO37" i="24"/>
  <c r="AO50" i="24"/>
  <c r="AC268" i="24"/>
  <c r="AC215" i="24"/>
  <c r="AO44" i="24"/>
  <c r="AC272" i="24"/>
  <c r="AO11" i="24"/>
  <c r="AC264" i="24"/>
  <c r="AC265" i="24"/>
  <c r="AC254" i="24"/>
  <c r="AE255" i="24"/>
  <c r="AQ40" i="24"/>
  <c r="AQ14" i="24"/>
  <c r="AE268" i="24"/>
  <c r="AQ18" i="24"/>
  <c r="AQ10" i="24"/>
  <c r="AQ49" i="24"/>
  <c r="AQ43" i="24"/>
  <c r="AE215" i="24"/>
  <c r="AE176" i="24"/>
  <c r="AQ34" i="24"/>
  <c r="AQ24" i="24"/>
  <c r="AE266" i="24"/>
  <c r="AE269" i="24"/>
  <c r="AQ48" i="24"/>
  <c r="AQ44" i="24"/>
  <c r="AQ19" i="24"/>
  <c r="AE179" i="24"/>
  <c r="AE264" i="24"/>
  <c r="AQ27" i="24"/>
  <c r="AQ22" i="24"/>
  <c r="AQ29" i="24"/>
  <c r="AE267" i="24"/>
  <c r="AQ26" i="24"/>
  <c r="AQ37" i="24"/>
  <c r="AQ16" i="24"/>
  <c r="AQ12" i="24"/>
  <c r="AE275" i="24"/>
  <c r="AQ11" i="24"/>
  <c r="AE265" i="24"/>
  <c r="AQ39" i="24"/>
  <c r="AQ25" i="24"/>
  <c r="AE273" i="24"/>
  <c r="AQ17" i="24"/>
  <c r="AE272" i="24"/>
  <c r="AQ21" i="24"/>
  <c r="AQ45" i="24"/>
  <c r="AQ41" i="24"/>
  <c r="AQ50" i="24"/>
  <c r="AQ20" i="24"/>
  <c r="AQ13" i="24"/>
  <c r="AQ53" i="24"/>
  <c r="AQ42" i="24"/>
  <c r="AE254" i="24"/>
  <c r="AB175" i="24"/>
  <c r="AC175" i="24"/>
  <c r="AB185" i="24"/>
  <c r="AE185" i="24"/>
  <c r="AD255" i="24"/>
  <c r="AP40" i="24"/>
  <c r="AP44" i="24"/>
  <c r="AP11" i="24"/>
  <c r="AP42" i="24"/>
  <c r="AD267" i="24"/>
  <c r="AD265" i="24"/>
  <c r="AD273" i="24"/>
  <c r="AP24" i="24"/>
  <c r="AP34" i="24"/>
  <c r="AP50" i="24"/>
  <c r="AP49" i="24"/>
  <c r="AP53" i="24"/>
  <c r="AP39" i="24"/>
  <c r="AD215" i="24"/>
  <c r="AP41" i="24"/>
  <c r="AP19" i="24"/>
  <c r="AP20" i="24"/>
  <c r="AP18" i="24"/>
  <c r="AP25" i="24"/>
  <c r="AP37" i="24"/>
  <c r="AP27" i="24"/>
  <c r="AP21" i="24"/>
  <c r="AP16" i="24"/>
  <c r="AD269" i="24"/>
  <c r="AP45" i="24"/>
  <c r="AP43" i="24"/>
  <c r="AP22" i="24"/>
  <c r="AP17" i="24"/>
  <c r="AP48" i="24"/>
  <c r="AD268" i="24"/>
  <c r="AP14" i="24"/>
  <c r="AD179" i="24"/>
  <c r="AD264" i="24"/>
  <c r="AD266" i="24"/>
  <c r="AP26" i="24"/>
  <c r="AP13" i="24"/>
  <c r="AD176" i="24"/>
  <c r="AD275" i="24"/>
  <c r="AP29" i="24"/>
  <c r="AD272" i="24"/>
  <c r="AP10" i="24"/>
  <c r="AP12" i="24"/>
  <c r="AD254" i="24"/>
  <c r="AD175" i="24"/>
  <c r="AE175" i="24"/>
  <c r="AB255" i="24"/>
  <c r="AN41" i="24"/>
  <c r="AB267" i="24"/>
  <c r="AB176" i="24"/>
  <c r="AN45" i="24"/>
  <c r="AB268" i="24"/>
  <c r="AB215" i="24"/>
  <c r="AN34" i="24"/>
  <c r="AN39" i="24"/>
  <c r="AN19" i="24"/>
  <c r="AN43" i="24"/>
  <c r="AN53" i="24"/>
  <c r="AN13" i="24"/>
  <c r="AN42" i="24"/>
  <c r="AN37" i="24"/>
  <c r="AN17" i="24"/>
  <c r="AN27" i="24"/>
  <c r="AN18" i="24"/>
  <c r="AN14" i="24"/>
  <c r="AN11" i="24"/>
  <c r="AN24" i="24"/>
  <c r="AB264" i="24"/>
  <c r="AB179" i="24"/>
  <c r="AB266" i="24"/>
  <c r="AB273" i="24"/>
  <c r="AN25" i="24"/>
  <c r="AB265" i="24"/>
  <c r="AN44" i="24"/>
  <c r="AN22" i="24"/>
  <c r="AB272" i="24"/>
  <c r="AB275" i="24"/>
  <c r="AN20" i="24"/>
  <c r="AN40" i="24"/>
  <c r="AN10" i="24"/>
  <c r="AN16" i="24"/>
  <c r="AN21" i="24"/>
  <c r="AN49" i="24"/>
  <c r="AN12" i="24"/>
  <c r="AN26" i="24"/>
  <c r="AN50" i="24"/>
  <c r="AN48" i="24"/>
  <c r="AB269" i="24"/>
  <c r="AN29" i="24"/>
  <c r="AB254" i="24"/>
  <c r="BL8" i="24"/>
  <c r="I269" i="24"/>
  <c r="AZ59" i="24"/>
  <c r="AZ287" i="24"/>
  <c r="AZ252" i="24"/>
  <c r="AZ61" i="24"/>
  <c r="AZ172" i="24"/>
  <c r="AZ219" i="24"/>
  <c r="Z287" i="6"/>
  <c r="X287" i="6"/>
  <c r="AD17" i="6"/>
  <c r="AD33" i="6"/>
  <c r="AD65" i="6"/>
  <c r="F251" i="6"/>
  <c r="F78" i="6"/>
  <c r="K128" i="20"/>
  <c r="K133" i="22"/>
  <c r="F36" i="18"/>
  <c r="N25" i="18"/>
  <c r="R148" i="18"/>
  <c r="K101" i="17"/>
  <c r="K110" i="17" s="1"/>
  <c r="K114" i="17" s="1"/>
  <c r="E27" i="18"/>
  <c r="G73" i="20"/>
  <c r="G14" i="22" s="1"/>
  <c r="Q156" i="18"/>
  <c r="R152" i="18"/>
  <c r="I161" i="18"/>
  <c r="O160" i="18"/>
  <c r="R156" i="18"/>
  <c r="Q96" i="21"/>
  <c r="N9" i="18"/>
  <c r="J161" i="18"/>
  <c r="AI58" i="20"/>
  <c r="AI60" i="20" s="1"/>
  <c r="AI62" i="20" s="1"/>
  <c r="G129" i="18"/>
  <c r="G86" i="22" s="1"/>
  <c r="Y172" i="24"/>
  <c r="I173" i="18"/>
  <c r="I175" i="18" s="1"/>
  <c r="M94" i="21"/>
  <c r="F126" i="18"/>
  <c r="F83" i="22" s="1"/>
  <c r="F95" i="17"/>
  <c r="F101" i="17"/>
  <c r="F110" i="17" s="1"/>
  <c r="F114" i="17" s="1"/>
  <c r="F118" i="18"/>
  <c r="M98" i="21"/>
  <c r="R158" i="18"/>
  <c r="R151" i="18"/>
  <c r="R147" i="18"/>
  <c r="Q148" i="18"/>
  <c r="Q152" i="18"/>
  <c r="R157" i="18"/>
  <c r="R160" i="18" s="1"/>
  <c r="Q155" i="18"/>
  <c r="R155" i="18"/>
  <c r="Q157" i="18"/>
  <c r="Q150" i="18"/>
  <c r="R153" i="18"/>
  <c r="I95" i="18"/>
  <c r="Q154" i="18"/>
  <c r="I101" i="17"/>
  <c r="I110" i="17" s="1"/>
  <c r="I114" i="17" s="1"/>
  <c r="I118" i="18"/>
  <c r="G40" i="21"/>
  <c r="G59" i="22" s="1"/>
  <c r="Q153" i="18"/>
  <c r="Q158" i="18"/>
  <c r="J173" i="18"/>
  <c r="H30" i="20"/>
  <c r="H58" i="20" s="1"/>
  <c r="H60" i="20" s="1"/>
  <c r="H62" i="20" s="1"/>
  <c r="Q151" i="18"/>
  <c r="Q160" i="18" s="1"/>
  <c r="J128" i="25"/>
  <c r="J269" i="24"/>
  <c r="G268" i="24"/>
  <c r="G267" i="24"/>
  <c r="G271" i="24"/>
  <c r="G272" i="24"/>
  <c r="I275" i="24"/>
  <c r="G214" i="24"/>
  <c r="G264" i="24"/>
  <c r="H275" i="24"/>
  <c r="H269" i="24"/>
  <c r="E251" i="23"/>
  <c r="H214" i="24"/>
  <c r="H264" i="24"/>
  <c r="H265" i="24"/>
  <c r="J275" i="24"/>
  <c r="G265" i="24"/>
  <c r="J272" i="24"/>
  <c r="J267" i="24"/>
  <c r="J271" i="24"/>
  <c r="I214" i="24"/>
  <c r="I264" i="24"/>
  <c r="G269" i="24"/>
  <c r="I271" i="24"/>
  <c r="I267" i="24"/>
  <c r="I272" i="24"/>
  <c r="G266" i="24"/>
  <c r="H267" i="24"/>
  <c r="H272" i="24"/>
  <c r="H271" i="24"/>
  <c r="J265" i="24"/>
  <c r="G275" i="24"/>
  <c r="J214" i="24"/>
  <c r="J264" i="24"/>
  <c r="H266" i="24"/>
  <c r="J266" i="24"/>
  <c r="I265" i="24"/>
  <c r="I266" i="24"/>
  <c r="I481" i="19"/>
  <c r="H481" i="19"/>
  <c r="K481" i="19"/>
  <c r="J481" i="19"/>
  <c r="Y287" i="24"/>
  <c r="F304" i="6"/>
  <c r="I129" i="20"/>
  <c r="I134" i="22"/>
  <c r="G88" i="18"/>
  <c r="F202" i="17"/>
  <c r="J110" i="18"/>
  <c r="E25" i="18"/>
  <c r="E108" i="18"/>
  <c r="AG84" i="20"/>
  <c r="AG75" i="20"/>
  <c r="AN62" i="20"/>
  <c r="N155" i="18"/>
  <c r="O87" i="21"/>
  <c r="G46" i="21"/>
  <c r="G72" i="21"/>
  <c r="J98" i="18"/>
  <c r="J101" i="17"/>
  <c r="J110" i="17" s="1"/>
  <c r="J114" i="17" s="1"/>
  <c r="J95" i="17"/>
  <c r="J118" i="18"/>
  <c r="G22" i="21"/>
  <c r="N87" i="21"/>
  <c r="AG102" i="20"/>
  <c r="AE38" i="22" s="1"/>
  <c r="H202" i="17"/>
  <c r="I88" i="18"/>
  <c r="E36" i="18"/>
  <c r="M13" i="18" s="1"/>
  <c r="AG72" i="20"/>
  <c r="M96" i="21"/>
  <c r="M97" i="21"/>
  <c r="I202" i="17"/>
  <c r="J88" i="18"/>
  <c r="F110" i="18"/>
  <c r="F41" i="18"/>
  <c r="F105" i="22" s="1"/>
  <c r="J129" i="20"/>
  <c r="J134" i="22"/>
  <c r="P153" i="18"/>
  <c r="R91" i="21"/>
  <c r="AG71" i="20"/>
  <c r="AE12" i="22" s="1"/>
  <c r="F100" i="18"/>
  <c r="F88" i="18"/>
  <c r="E202" i="17"/>
  <c r="E101" i="21"/>
  <c r="F108" i="18"/>
  <c r="N96" i="21"/>
  <c r="O94" i="21"/>
  <c r="O98" i="21"/>
  <c r="F129" i="18"/>
  <c r="F86" i="22" s="1"/>
  <c r="P92" i="21"/>
  <c r="M156" i="18"/>
  <c r="N97" i="21"/>
  <c r="E95" i="17"/>
  <c r="E101" i="17"/>
  <c r="E110" i="17" s="1"/>
  <c r="E114" i="17" s="1"/>
  <c r="R205" i="24"/>
  <c r="R206" i="24"/>
  <c r="K215" i="24"/>
  <c r="R199" i="24"/>
  <c r="R198" i="24"/>
  <c r="R200" i="24"/>
  <c r="R201" i="24"/>
  <c r="R197" i="24"/>
  <c r="F208" i="24"/>
  <c r="F209" i="24" s="1"/>
  <c r="M277" i="6"/>
  <c r="T152" i="6"/>
  <c r="T146" i="6"/>
  <c r="T145" i="6"/>
  <c r="T148" i="6"/>
  <c r="T150" i="6"/>
  <c r="T153" i="6"/>
  <c r="T141" i="6"/>
  <c r="T154" i="6"/>
  <c r="T147" i="6"/>
  <c r="T149" i="6"/>
  <c r="T151" i="6"/>
  <c r="M278" i="6"/>
  <c r="V152" i="6"/>
  <c r="V148" i="6"/>
  <c r="V141" i="6"/>
  <c r="V149" i="6"/>
  <c r="V151" i="6"/>
  <c r="V147" i="6"/>
  <c r="V153" i="6"/>
  <c r="V145" i="6"/>
  <c r="V150" i="6"/>
  <c r="V146" i="6"/>
  <c r="V154" i="6"/>
  <c r="H181" i="23"/>
  <c r="H184" i="23" s="1"/>
  <c r="F181" i="23"/>
  <c r="F184" i="23" s="1"/>
  <c r="G181" i="23"/>
  <c r="G184" i="23" s="1"/>
  <c r="G169" i="23"/>
  <c r="G170" i="23" s="1"/>
  <c r="J181" i="23"/>
  <c r="J184" i="23" s="1"/>
  <c r="K181" i="23"/>
  <c r="K187" i="23" s="1"/>
  <c r="I181" i="23"/>
  <c r="I184" i="23" s="1"/>
  <c r="M274" i="6"/>
  <c r="M282" i="6"/>
  <c r="M304" i="6"/>
  <c r="M279" i="6"/>
  <c r="M302" i="6"/>
  <c r="M276" i="6"/>
  <c r="M275" i="6"/>
  <c r="Y252" i="24"/>
  <c r="I88" i="15"/>
  <c r="Y213" i="24"/>
  <c r="Y219" i="24"/>
  <c r="Y59" i="24"/>
  <c r="Y263" i="24"/>
  <c r="AX219" i="24"/>
  <c r="AK8" i="24"/>
  <c r="AU48" i="24"/>
  <c r="K251" i="6"/>
  <c r="BI8" i="24"/>
  <c r="AU20" i="24"/>
  <c r="AU61" i="24"/>
  <c r="AU288" i="24"/>
  <c r="AU64" i="24"/>
  <c r="AU63" i="24" s="1"/>
  <c r="AU37" i="24"/>
  <c r="AY64" i="24"/>
  <c r="AY63" i="24" s="1"/>
  <c r="AU62" i="24"/>
  <c r="AY61" i="24"/>
  <c r="AV61" i="24"/>
  <c r="Y287" i="6"/>
  <c r="J139" i="6"/>
  <c r="AX213" i="24"/>
  <c r="BJ8" i="24"/>
  <c r="AY62" i="24"/>
  <c r="AV62" i="24"/>
  <c r="AV64" i="24"/>
  <c r="AV63" i="24" s="1"/>
  <c r="AX172" i="24"/>
  <c r="AX287" i="24"/>
  <c r="AX263" i="24"/>
  <c r="AX252" i="24"/>
  <c r="AJ8" i="24"/>
  <c r="AV213" i="24"/>
  <c r="AV59" i="24"/>
  <c r="AV263" i="24"/>
  <c r="AV172" i="24"/>
  <c r="AV252" i="24"/>
  <c r="AV219" i="24"/>
  <c r="AV287" i="24"/>
  <c r="AH8" i="24"/>
  <c r="AW213" i="24"/>
  <c r="AW59" i="24"/>
  <c r="AW263" i="24"/>
  <c r="AW287" i="24"/>
  <c r="AW219" i="24"/>
  <c r="AW172" i="24"/>
  <c r="AW252" i="24"/>
  <c r="AL8" i="24"/>
  <c r="AY213" i="24"/>
  <c r="AY263" i="24"/>
  <c r="AY59" i="24"/>
  <c r="AY172" i="24"/>
  <c r="AY252" i="24"/>
  <c r="AY219" i="24"/>
  <c r="AY287" i="24"/>
  <c r="AI8" i="24"/>
  <c r="V213" i="24"/>
  <c r="V263" i="24"/>
  <c r="V219" i="24"/>
  <c r="V59" i="24"/>
  <c r="V172" i="24"/>
  <c r="V252" i="24"/>
  <c r="V287" i="24"/>
  <c r="Z213" i="24"/>
  <c r="Z252" i="24"/>
  <c r="Z59" i="24"/>
  <c r="Z287" i="24"/>
  <c r="Z263" i="24"/>
  <c r="Z219" i="24"/>
  <c r="Z172" i="24"/>
  <c r="AA213" i="24"/>
  <c r="AA263" i="24"/>
  <c r="AA172" i="24"/>
  <c r="AA252" i="24"/>
  <c r="AA59" i="24"/>
  <c r="AA287" i="24"/>
  <c r="AA219" i="24"/>
  <c r="X213" i="24"/>
  <c r="X287" i="24"/>
  <c r="X59" i="24"/>
  <c r="X263" i="24"/>
  <c r="X219" i="24"/>
  <c r="X172" i="24"/>
  <c r="X252" i="24"/>
  <c r="W213" i="24"/>
  <c r="W172" i="24"/>
  <c r="W252" i="24"/>
  <c r="W219" i="24"/>
  <c r="W59" i="24"/>
  <c r="W263" i="24"/>
  <c r="W287" i="24"/>
  <c r="F297" i="6"/>
  <c r="L302" i="6"/>
  <c r="L303" i="6"/>
  <c r="L304" i="6"/>
  <c r="I303" i="6"/>
  <c r="I304" i="6"/>
  <c r="I302" i="6"/>
  <c r="K281" i="6"/>
  <c r="J215" i="24"/>
  <c r="G209" i="24"/>
  <c r="I215" i="24"/>
  <c r="K271" i="24"/>
  <c r="G215" i="24"/>
  <c r="T175" i="25"/>
  <c r="T171" i="25"/>
  <c r="T169" i="25"/>
  <c r="T170" i="25"/>
  <c r="U175" i="25"/>
  <c r="U171" i="25"/>
  <c r="U170" i="25"/>
  <c r="U169" i="25"/>
  <c r="W179" i="25"/>
  <c r="W169" i="25"/>
  <c r="W170" i="25"/>
  <c r="W171" i="25"/>
  <c r="V173" i="25"/>
  <c r="V171" i="25"/>
  <c r="V169" i="25"/>
  <c r="V170" i="25"/>
  <c r="R171" i="25"/>
  <c r="R169" i="25"/>
  <c r="R170" i="25"/>
  <c r="S169" i="25"/>
  <c r="S170" i="25"/>
  <c r="S171" i="25"/>
  <c r="F146" i="23"/>
  <c r="I146" i="23"/>
  <c r="H146" i="23"/>
  <c r="J146" i="23"/>
  <c r="G146" i="23"/>
  <c r="I42" i="23"/>
  <c r="F15" i="23"/>
  <c r="F42" i="23" s="1"/>
  <c r="H215" i="24"/>
  <c r="R204" i="24"/>
  <c r="R196" i="24"/>
  <c r="R202" i="24"/>
  <c r="R209" i="24"/>
  <c r="R203" i="24"/>
  <c r="R195" i="24"/>
  <c r="R208" i="24"/>
  <c r="R207" i="24"/>
  <c r="R193" i="24"/>
  <c r="R194" i="24"/>
  <c r="AO25" i="20"/>
  <c r="K139" i="6"/>
  <c r="U259" i="6"/>
  <c r="H60" i="24"/>
  <c r="K291" i="24"/>
  <c r="K173" i="24" s="1"/>
  <c r="K60" i="24"/>
  <c r="J291" i="24"/>
  <c r="J173" i="24" s="1"/>
  <c r="G291" i="24"/>
  <c r="G173" i="24" s="1"/>
  <c r="H291" i="24"/>
  <c r="H173" i="24" s="1"/>
  <c r="K178" i="6"/>
  <c r="V9" i="15"/>
  <c r="AF8" i="6"/>
  <c r="U272" i="6"/>
  <c r="F96" i="15"/>
  <c r="G99" i="24"/>
  <c r="I99" i="24"/>
  <c r="H99" i="24"/>
  <c r="K99" i="24"/>
  <c r="L274" i="6"/>
  <c r="V259" i="6"/>
  <c r="V139" i="6"/>
  <c r="H254" i="24"/>
  <c r="H128" i="25"/>
  <c r="I128" i="25"/>
  <c r="J55" i="22"/>
  <c r="V272" i="6"/>
  <c r="I295" i="24"/>
  <c r="H255" i="24"/>
  <c r="H27" i="24"/>
  <c r="F93" i="15"/>
  <c r="H295" i="24"/>
  <c r="F94" i="15"/>
  <c r="F98" i="15"/>
  <c r="K267" i="24"/>
  <c r="J254" i="24"/>
  <c r="J178" i="6"/>
  <c r="L270" i="6"/>
  <c r="G65" i="15"/>
  <c r="G255" i="24"/>
  <c r="J255" i="24"/>
  <c r="G254" i="24"/>
  <c r="K275" i="24"/>
  <c r="K254" i="24"/>
  <c r="L97" i="15"/>
  <c r="I255" i="24"/>
  <c r="K265" i="24"/>
  <c r="K266" i="24"/>
  <c r="L93" i="15"/>
  <c r="I254" i="24"/>
  <c r="J251" i="6"/>
  <c r="M181" i="6"/>
  <c r="M180" i="6" s="1"/>
  <c r="M182" i="6" s="1"/>
  <c r="M185" i="6" s="1"/>
  <c r="M188" i="6" s="1"/>
  <c r="I291" i="24"/>
  <c r="I173" i="24" s="1"/>
  <c r="G42" i="15"/>
  <c r="L99" i="15"/>
  <c r="K255" i="24"/>
  <c r="L279" i="6"/>
  <c r="L277" i="6"/>
  <c r="L278" i="6"/>
  <c r="L276" i="6"/>
  <c r="G94" i="15"/>
  <c r="J74" i="20"/>
  <c r="J84" i="20"/>
  <c r="J63" i="20"/>
  <c r="N157" i="18"/>
  <c r="S151" i="18"/>
  <c r="P152" i="18"/>
  <c r="S148" i="18"/>
  <c r="L282" i="6"/>
  <c r="L275" i="6"/>
  <c r="S93" i="21"/>
  <c r="R87" i="21"/>
  <c r="H73" i="21"/>
  <c r="H65" i="22" s="1"/>
  <c r="H47" i="21"/>
  <c r="H60" i="22" s="1"/>
  <c r="I115" i="21"/>
  <c r="Q109" i="21" s="1"/>
  <c r="Q86" i="21"/>
  <c r="Q93" i="21"/>
  <c r="Q94" i="21"/>
  <c r="Q91" i="21"/>
  <c r="Q92" i="21"/>
  <c r="Q90" i="21"/>
  <c r="Q97" i="21"/>
  <c r="Q87" i="21"/>
  <c r="Q98" i="21"/>
  <c r="Q95" i="21"/>
  <c r="Q88" i="21"/>
  <c r="I101" i="21"/>
  <c r="AF58" i="20"/>
  <c r="AF60" i="20" s="1"/>
  <c r="AF62" i="20" s="1"/>
  <c r="AM30" i="20"/>
  <c r="S90" i="21"/>
  <c r="I30" i="20"/>
  <c r="I58" i="20" s="1"/>
  <c r="I60" i="20" s="1"/>
  <c r="I62" i="20" s="1"/>
  <c r="P90" i="21"/>
  <c r="E114" i="21"/>
  <c r="M114" i="21" s="1"/>
  <c r="M109" i="21"/>
  <c r="M112" i="21"/>
  <c r="M107" i="21"/>
  <c r="M111" i="21"/>
  <c r="M108" i="21"/>
  <c r="R92" i="21"/>
  <c r="O86" i="21"/>
  <c r="O90" i="21"/>
  <c r="O95" i="21"/>
  <c r="O99" i="21"/>
  <c r="O88" i="21"/>
  <c r="G115" i="21"/>
  <c r="O113" i="21" s="1"/>
  <c r="O89" i="21"/>
  <c r="O96" i="21"/>
  <c r="O92" i="21"/>
  <c r="O97" i="21"/>
  <c r="O93" i="21"/>
  <c r="G30" i="20"/>
  <c r="G58" i="20" s="1"/>
  <c r="G60" i="20" s="1"/>
  <c r="G62" i="20" s="1"/>
  <c r="K97" i="18"/>
  <c r="J105" i="22"/>
  <c r="M113" i="21"/>
  <c r="I73" i="20"/>
  <c r="I14" i="22" s="1"/>
  <c r="Q89" i="21"/>
  <c r="F40" i="21"/>
  <c r="F59" i="22" s="1"/>
  <c r="F23" i="21"/>
  <c r="K30" i="20"/>
  <c r="J99" i="18"/>
  <c r="G105" i="22"/>
  <c r="H97" i="18"/>
  <c r="Z30" i="20"/>
  <c r="S62" i="20"/>
  <c r="G103" i="18"/>
  <c r="K55" i="18"/>
  <c r="K78" i="18" s="1"/>
  <c r="K129" i="18"/>
  <c r="K86" i="22" s="1"/>
  <c r="K128" i="18"/>
  <c r="K85" i="22" s="1"/>
  <c r="H134" i="20"/>
  <c r="H139" i="22"/>
  <c r="K25" i="18"/>
  <c r="K36" i="18" s="1"/>
  <c r="H101" i="21"/>
  <c r="H54" i="21"/>
  <c r="H133" i="20"/>
  <c r="H138" i="22"/>
  <c r="S172" i="25"/>
  <c r="M157" i="18"/>
  <c r="M155" i="18"/>
  <c r="M152" i="18"/>
  <c r="M148" i="18"/>
  <c r="M149" i="18"/>
  <c r="M153" i="18"/>
  <c r="M151" i="18"/>
  <c r="M158" i="18"/>
  <c r="E173" i="18"/>
  <c r="M154" i="18"/>
  <c r="P156" i="18"/>
  <c r="J175" i="18"/>
  <c r="R172" i="18" s="1"/>
  <c r="Q173" i="18"/>
  <c r="N152" i="18"/>
  <c r="F173" i="18"/>
  <c r="F175" i="18" s="1"/>
  <c r="N153" i="18"/>
  <c r="N154" i="18"/>
  <c r="N148" i="18"/>
  <c r="N158" i="18"/>
  <c r="N156" i="18"/>
  <c r="N147" i="18"/>
  <c r="N149" i="18"/>
  <c r="N150" i="18"/>
  <c r="S92" i="21"/>
  <c r="K73" i="21"/>
  <c r="K65" i="22" s="1"/>
  <c r="K47" i="21"/>
  <c r="K60" i="22" s="1"/>
  <c r="AE75" i="20"/>
  <c r="AE71" i="20"/>
  <c r="AC12" i="22" s="1"/>
  <c r="AE72" i="20"/>
  <c r="AE84" i="20"/>
  <c r="AE102" i="20"/>
  <c r="AC38" i="22" s="1"/>
  <c r="AL62" i="20"/>
  <c r="G114" i="18"/>
  <c r="I73" i="21"/>
  <c r="I65" i="22" s="1"/>
  <c r="I47" i="21"/>
  <c r="I60" i="22" s="1"/>
  <c r="X30" i="20"/>
  <c r="Q62" i="20"/>
  <c r="F58" i="20"/>
  <c r="F60" i="20" s="1"/>
  <c r="F62" i="20" s="1"/>
  <c r="H84" i="20"/>
  <c r="H74" i="20"/>
  <c r="H63" i="20"/>
  <c r="R88" i="21"/>
  <c r="I23" i="21"/>
  <c r="I66" i="21"/>
  <c r="I64" i="22" s="1"/>
  <c r="I40" i="21"/>
  <c r="I59" i="22" s="1"/>
  <c r="I100" i="18"/>
  <c r="H108" i="18"/>
  <c r="H36" i="18"/>
  <c r="P13" i="18" s="1"/>
  <c r="F114" i="18"/>
  <c r="G104" i="22"/>
  <c r="G48" i="18"/>
  <c r="I99" i="18"/>
  <c r="I103" i="18"/>
  <c r="H103" i="18"/>
  <c r="I108" i="18"/>
  <c r="G97" i="18"/>
  <c r="G25" i="18"/>
  <c r="K203" i="17"/>
  <c r="K233" i="17"/>
  <c r="K89" i="18"/>
  <c r="G101" i="21"/>
  <c r="R173" i="18"/>
  <c r="AB30" i="20"/>
  <c r="U62" i="20"/>
  <c r="Q172" i="18"/>
  <c r="Q171" i="18"/>
  <c r="Q167" i="18"/>
  <c r="Q170" i="18"/>
  <c r="Q169" i="18"/>
  <c r="Q168" i="18"/>
  <c r="P150" i="18"/>
  <c r="H173" i="18"/>
  <c r="H175" i="18" s="1"/>
  <c r="P147" i="18"/>
  <c r="P157" i="18"/>
  <c r="P148" i="18"/>
  <c r="P155" i="18"/>
  <c r="P149" i="18"/>
  <c r="S153" i="18"/>
  <c r="S156" i="18"/>
  <c r="S150" i="18"/>
  <c r="S157" i="18"/>
  <c r="K173" i="18"/>
  <c r="S147" i="18"/>
  <c r="S158" i="18"/>
  <c r="S149" i="18"/>
  <c r="S154" i="18"/>
  <c r="S155" i="18"/>
  <c r="AA30" i="20"/>
  <c r="T62" i="20"/>
  <c r="J73" i="21"/>
  <c r="J65" i="22" s="1"/>
  <c r="J47" i="21"/>
  <c r="J60" i="22" s="1"/>
  <c r="F103" i="22"/>
  <c r="P24" i="21"/>
  <c r="P20" i="21"/>
  <c r="P13" i="21"/>
  <c r="P19" i="21"/>
  <c r="H74" i="21"/>
  <c r="H66" i="22" s="1"/>
  <c r="P17" i="21"/>
  <c r="P11" i="21"/>
  <c r="H25" i="21"/>
  <c r="P18" i="21"/>
  <c r="P14" i="21"/>
  <c r="P12" i="21"/>
  <c r="H48" i="21"/>
  <c r="H61" i="22" s="1"/>
  <c r="H161" i="18"/>
  <c r="J100" i="18"/>
  <c r="I55" i="18"/>
  <c r="I78" i="18" s="1"/>
  <c r="Q48" i="18" s="1"/>
  <c r="Y30" i="20"/>
  <c r="R62" i="20"/>
  <c r="F98" i="18"/>
  <c r="J66" i="21"/>
  <c r="J64" i="22" s="1"/>
  <c r="J23" i="21"/>
  <c r="J40" i="21"/>
  <c r="J59" i="22" s="1"/>
  <c r="F128" i="20"/>
  <c r="F133" i="22"/>
  <c r="J104" i="22"/>
  <c r="J48" i="18"/>
  <c r="J78" i="18" s="1"/>
  <c r="J97" i="18"/>
  <c r="I105" i="22"/>
  <c r="I107" i="22" s="1"/>
  <c r="H107" i="22"/>
  <c r="H111" i="22" s="1"/>
  <c r="G55" i="18"/>
  <c r="G100" i="18"/>
  <c r="H100" i="18"/>
  <c r="J108" i="18"/>
  <c r="J36" i="18"/>
  <c r="R13" i="18" s="1"/>
  <c r="I128" i="18"/>
  <c r="I85" i="22" s="1"/>
  <c r="I126" i="18"/>
  <c r="I83" i="22" s="1"/>
  <c r="I36" i="18"/>
  <c r="Q13" i="18" s="1"/>
  <c r="N98" i="21"/>
  <c r="N95" i="21"/>
  <c r="N94" i="21"/>
  <c r="N99" i="21"/>
  <c r="N91" i="21"/>
  <c r="N92" i="21"/>
  <c r="N88" i="21"/>
  <c r="N89" i="21"/>
  <c r="F115" i="21"/>
  <c r="N107" i="21" s="1"/>
  <c r="N90" i="21"/>
  <c r="N93" i="21"/>
  <c r="F101" i="21"/>
  <c r="H78" i="18"/>
  <c r="P55" i="18" s="1"/>
  <c r="K54" i="21"/>
  <c r="K133" i="20"/>
  <c r="K138" i="22"/>
  <c r="G233" i="17"/>
  <c r="H89" i="18"/>
  <c r="G89" i="18"/>
  <c r="G203" i="17"/>
  <c r="S152" i="18"/>
  <c r="G175" i="18"/>
  <c r="E175" i="18"/>
  <c r="P151" i="18"/>
  <c r="S86" i="21"/>
  <c r="K115" i="21"/>
  <c r="S113" i="21" s="1"/>
  <c r="S91" i="21"/>
  <c r="S88" i="21"/>
  <c r="S99" i="21"/>
  <c r="S95" i="21"/>
  <c r="S89" i="21"/>
  <c r="S96" i="21"/>
  <c r="R94" i="21"/>
  <c r="R89" i="21"/>
  <c r="R95" i="21"/>
  <c r="J115" i="21"/>
  <c r="R107" i="21" s="1"/>
  <c r="R98" i="21"/>
  <c r="R90" i="21"/>
  <c r="R96" i="21"/>
  <c r="R99" i="21"/>
  <c r="J101" i="21"/>
  <c r="K23" i="21"/>
  <c r="K66" i="21"/>
  <c r="K64" i="22" s="1"/>
  <c r="K40" i="21"/>
  <c r="K59" i="22" s="1"/>
  <c r="H115" i="21"/>
  <c r="P93" i="21"/>
  <c r="P97" i="21"/>
  <c r="P86" i="21"/>
  <c r="P87" i="21"/>
  <c r="P91" i="21"/>
  <c r="P89" i="21"/>
  <c r="P94" i="21"/>
  <c r="P98" i="21"/>
  <c r="P88" i="21"/>
  <c r="P99" i="21"/>
  <c r="P96" i="21"/>
  <c r="E161" i="18"/>
  <c r="E23" i="21"/>
  <c r="E40" i="21"/>
  <c r="E59" i="22" s="1"/>
  <c r="R97" i="21"/>
  <c r="S94" i="21"/>
  <c r="F161" i="18"/>
  <c r="K134" i="20"/>
  <c r="K139" i="22"/>
  <c r="AE39" i="22"/>
  <c r="E105" i="22"/>
  <c r="F97" i="18"/>
  <c r="F48" i="18"/>
  <c r="K114" i="18"/>
  <c r="K105" i="22"/>
  <c r="E49" i="18"/>
  <c r="G134" i="20"/>
  <c r="G139" i="22"/>
  <c r="J133" i="22"/>
  <c r="J128" i="20"/>
  <c r="J72" i="20" s="1"/>
  <c r="K101" i="21"/>
  <c r="W223" i="23"/>
  <c r="W221" i="23"/>
  <c r="W232" i="23"/>
  <c r="W231" i="23"/>
  <c r="W234" i="23"/>
  <c r="W220" i="23"/>
  <c r="W225" i="23"/>
  <c r="W222" i="23"/>
  <c r="W230" i="23"/>
  <c r="W233" i="23"/>
  <c r="W224" i="23"/>
  <c r="W226" i="23"/>
  <c r="W229" i="23"/>
  <c r="W228" i="23"/>
  <c r="W227" i="23"/>
  <c r="V233" i="23"/>
  <c r="V229" i="23"/>
  <c r="V227" i="23"/>
  <c r="V231" i="23"/>
  <c r="V225" i="23"/>
  <c r="V223" i="23"/>
  <c r="V221" i="23"/>
  <c r="V228" i="23"/>
  <c r="V222" i="23"/>
  <c r="V234" i="23"/>
  <c r="V220" i="23"/>
  <c r="V224" i="23"/>
  <c r="V226" i="23"/>
  <c r="V230" i="23"/>
  <c r="V232" i="23"/>
  <c r="U224" i="23"/>
  <c r="U222" i="23"/>
  <c r="U220" i="23"/>
  <c r="U223" i="23"/>
  <c r="U229" i="23"/>
  <c r="U227" i="23"/>
  <c r="U221" i="23"/>
  <c r="U226" i="23"/>
  <c r="U225" i="23"/>
  <c r="U228" i="23"/>
  <c r="U230" i="23"/>
  <c r="U233" i="23"/>
  <c r="U231" i="23"/>
  <c r="U232" i="23"/>
  <c r="U234" i="23"/>
  <c r="T234" i="23"/>
  <c r="T228" i="23"/>
  <c r="T222" i="23"/>
  <c r="T230" i="23"/>
  <c r="T224" i="23"/>
  <c r="T232" i="23"/>
  <c r="T226" i="23"/>
  <c r="T220" i="23"/>
  <c r="T221" i="23"/>
  <c r="T229" i="23"/>
  <c r="T223" i="23"/>
  <c r="T231" i="23"/>
  <c r="T233" i="23"/>
  <c r="T225" i="23"/>
  <c r="T227" i="23"/>
  <c r="R233" i="23"/>
  <c r="R229" i="23"/>
  <c r="R223" i="23"/>
  <c r="R231" i="23"/>
  <c r="R225" i="23"/>
  <c r="R221" i="23"/>
  <c r="R227" i="23"/>
  <c r="R232" i="23"/>
  <c r="R220" i="23"/>
  <c r="R230" i="23"/>
  <c r="R222" i="23"/>
  <c r="R228" i="23"/>
  <c r="R224" i="23"/>
  <c r="R234" i="23"/>
  <c r="R226" i="23"/>
  <c r="S223" i="23"/>
  <c r="S221" i="23"/>
  <c r="S227" i="23"/>
  <c r="S232" i="23"/>
  <c r="S231" i="23"/>
  <c r="S234" i="23"/>
  <c r="S225" i="23"/>
  <c r="S224" i="23"/>
  <c r="S229" i="23"/>
  <c r="S226" i="23"/>
  <c r="S220" i="23"/>
  <c r="S228" i="23"/>
  <c r="S233" i="23"/>
  <c r="S222" i="23"/>
  <c r="S230" i="23"/>
  <c r="Q224" i="23"/>
  <c r="Q222" i="23"/>
  <c r="Q220" i="23"/>
  <c r="Q226" i="23"/>
  <c r="Q228" i="23"/>
  <c r="Q227" i="23"/>
  <c r="Q221" i="23"/>
  <c r="Q230" i="23"/>
  <c r="Q223" i="23"/>
  <c r="Q231" i="23"/>
  <c r="Q233" i="23"/>
  <c r="Q229" i="23"/>
  <c r="Q232" i="23"/>
  <c r="Q234" i="23"/>
  <c r="Q225" i="23"/>
  <c r="S178" i="25"/>
  <c r="S176" i="25"/>
  <c r="F109" i="15"/>
  <c r="F103" i="15"/>
  <c r="L94" i="15"/>
  <c r="L72" i="15"/>
  <c r="H70" i="15"/>
  <c r="H66" i="15" s="1"/>
  <c r="F104" i="15"/>
  <c r="F82" i="15"/>
  <c r="F86" i="15"/>
  <c r="F110" i="15"/>
  <c r="F99" i="15"/>
  <c r="F97" i="15"/>
  <c r="F95" i="15"/>
  <c r="F92" i="15"/>
  <c r="F83" i="15"/>
  <c r="F87" i="15"/>
  <c r="S179" i="25"/>
  <c r="S173" i="25"/>
  <c r="S180" i="25"/>
  <c r="G70" i="15"/>
  <c r="G66" i="15" s="1"/>
  <c r="S177" i="25"/>
  <c r="H64" i="15"/>
  <c r="J70" i="15"/>
  <c r="G104" i="15"/>
  <c r="K55" i="22"/>
  <c r="J84" i="15"/>
  <c r="Q83" i="15" s="1"/>
  <c r="G97" i="15"/>
  <c r="L95" i="15"/>
  <c r="I70" i="15"/>
  <c r="I66" i="15" s="1"/>
  <c r="G82" i="15"/>
  <c r="J88" i="15"/>
  <c r="H65" i="15"/>
  <c r="G103" i="15"/>
  <c r="G109" i="15"/>
  <c r="G110" i="15"/>
  <c r="G83" i="15"/>
  <c r="X24" i="15"/>
  <c r="G86" i="15"/>
  <c r="G64" i="24"/>
  <c r="G126" i="24" s="1"/>
  <c r="G93" i="15"/>
  <c r="G99" i="15"/>
  <c r="G92" i="15"/>
  <c r="G98" i="15"/>
  <c r="W24" i="15"/>
  <c r="AG17" i="6"/>
  <c r="G64" i="15"/>
  <c r="G87" i="15"/>
  <c r="G105" i="15"/>
  <c r="I65" i="15"/>
  <c r="G96" i="15"/>
  <c r="K84" i="15"/>
  <c r="K107" i="15" s="1"/>
  <c r="K111" i="15" s="1"/>
  <c r="K113" i="15" s="1"/>
  <c r="I60" i="24"/>
  <c r="AK33" i="6"/>
  <c r="H115" i="23"/>
  <c r="H292" i="24" s="1"/>
  <c r="H174" i="24" s="1"/>
  <c r="L69" i="15"/>
  <c r="S217" i="23"/>
  <c r="M70" i="6"/>
  <c r="M72" i="6" s="1"/>
  <c r="L98" i="15"/>
  <c r="H88" i="15"/>
  <c r="J10" i="6"/>
  <c r="J9" i="6" s="1"/>
  <c r="G298" i="24"/>
  <c r="F10" i="6"/>
  <c r="F9" i="6" s="1"/>
  <c r="W176" i="25"/>
  <c r="L96" i="15"/>
  <c r="AE17" i="6"/>
  <c r="AI45" i="6"/>
  <c r="AH33" i="6"/>
  <c r="I282" i="6"/>
  <c r="S219" i="23"/>
  <c r="I275" i="6"/>
  <c r="K88" i="15"/>
  <c r="I274" i="6"/>
  <c r="I277" i="6"/>
  <c r="AE33" i="6"/>
  <c r="H10" i="6"/>
  <c r="H9" i="6" s="1"/>
  <c r="H70" i="6" s="1"/>
  <c r="H72" i="6" s="1"/>
  <c r="U180" i="25"/>
  <c r="R217" i="23"/>
  <c r="R219" i="23"/>
  <c r="F298" i="24"/>
  <c r="H176" i="24"/>
  <c r="Q218" i="23"/>
  <c r="R218" i="23"/>
  <c r="K39" i="15"/>
  <c r="AF17" i="6"/>
  <c r="I279" i="6"/>
  <c r="I278" i="6"/>
  <c r="I276" i="6"/>
  <c r="I281" i="6"/>
  <c r="I280" i="6"/>
  <c r="W177" i="25"/>
  <c r="W178" i="25"/>
  <c r="G27" i="24"/>
  <c r="G60" i="24"/>
  <c r="W173" i="25"/>
  <c r="Q217" i="23"/>
  <c r="Q236" i="23" s="1"/>
  <c r="V218" i="23"/>
  <c r="V219" i="23"/>
  <c r="S175" i="25"/>
  <c r="Q219" i="23"/>
  <c r="W175" i="25"/>
  <c r="G25" i="25"/>
  <c r="G79" i="25" s="1"/>
  <c r="W181" i="25"/>
  <c r="U218" i="23"/>
  <c r="U219" i="23"/>
  <c r="U217" i="23"/>
  <c r="S181" i="25"/>
  <c r="S174" i="25"/>
  <c r="W172" i="25"/>
  <c r="W180" i="25"/>
  <c r="W174" i="25"/>
  <c r="G115" i="23"/>
  <c r="G292" i="24" s="1"/>
  <c r="G174" i="24" s="1"/>
  <c r="J65" i="15"/>
  <c r="V217" i="23"/>
  <c r="K268" i="24"/>
  <c r="K298" i="24"/>
  <c r="W219" i="23"/>
  <c r="W217" i="23"/>
  <c r="W218" i="23"/>
  <c r="AF11" i="6"/>
  <c r="I10" i="6"/>
  <c r="AG65" i="6"/>
  <c r="AH65" i="6"/>
  <c r="J64" i="15"/>
  <c r="J39" i="15"/>
  <c r="Q18" i="15" s="1"/>
  <c r="AJ33" i="6"/>
  <c r="V181" i="25"/>
  <c r="R177" i="25"/>
  <c r="R176" i="25"/>
  <c r="R172" i="25"/>
  <c r="R174" i="25"/>
  <c r="R180" i="25"/>
  <c r="R181" i="25"/>
  <c r="R179" i="25"/>
  <c r="R178" i="25"/>
  <c r="R173" i="25"/>
  <c r="R175" i="25"/>
  <c r="F90" i="23"/>
  <c r="F199" i="23" s="1"/>
  <c r="F202" i="23" s="1"/>
  <c r="AK45" i="6"/>
  <c r="AG11" i="6"/>
  <c r="H84" i="15"/>
  <c r="AH17" i="6"/>
  <c r="S218" i="23"/>
  <c r="U172" i="25"/>
  <c r="U178" i="25"/>
  <c r="U174" i="25"/>
  <c r="U173" i="25"/>
  <c r="U177" i="25"/>
  <c r="U179" i="25"/>
  <c r="U181" i="25"/>
  <c r="AG33" i="6"/>
  <c r="AH11" i="6"/>
  <c r="K10" i="6"/>
  <c r="AI33" i="6"/>
  <c r="J45" i="6"/>
  <c r="V175" i="25"/>
  <c r="V174" i="25"/>
  <c r="V178" i="25"/>
  <c r="V179" i="25"/>
  <c r="V180" i="25"/>
  <c r="V176" i="25"/>
  <c r="V177" i="25"/>
  <c r="V172" i="25"/>
  <c r="T219" i="23"/>
  <c r="T218" i="23"/>
  <c r="T217" i="23"/>
  <c r="AF33" i="6"/>
  <c r="I64" i="15"/>
  <c r="U176" i="25"/>
  <c r="AF65" i="6"/>
  <c r="AF45" i="6"/>
  <c r="L68" i="15"/>
  <c r="G10" i="6"/>
  <c r="T140" i="6"/>
  <c r="G45" i="6"/>
  <c r="AE11" i="6"/>
  <c r="K112" i="23"/>
  <c r="K115" i="23" s="1"/>
  <c r="K292" i="24" s="1"/>
  <c r="K174" i="24" s="1"/>
  <c r="I25" i="25"/>
  <c r="I79" i="25" s="1"/>
  <c r="H25" i="25"/>
  <c r="H79" i="25" s="1"/>
  <c r="J25" i="25"/>
  <c r="J79" i="25" s="1"/>
  <c r="AE65" i="6"/>
  <c r="F25" i="25"/>
  <c r="G176" i="24"/>
  <c r="I84" i="15"/>
  <c r="P82" i="15" s="1"/>
  <c r="T177" i="25"/>
  <c r="T176" i="25"/>
  <c r="T179" i="25"/>
  <c r="T174" i="25"/>
  <c r="T180" i="25"/>
  <c r="T178" i="25"/>
  <c r="T172" i="25"/>
  <c r="T181" i="25"/>
  <c r="T173" i="25"/>
  <c r="K25" i="25"/>
  <c r="K79" i="25" s="1"/>
  <c r="F45" i="6"/>
  <c r="I112" i="23"/>
  <c r="I115" i="23" s="1"/>
  <c r="I292" i="24" s="1"/>
  <c r="I174" i="24" s="1"/>
  <c r="J112" i="23"/>
  <c r="J115" i="23" s="1"/>
  <c r="J292" i="24" s="1"/>
  <c r="J174" i="24" s="1"/>
  <c r="I39" i="15"/>
  <c r="P9" i="15" s="1"/>
  <c r="W9" i="15"/>
  <c r="X9" i="15"/>
  <c r="U9" i="15"/>
  <c r="F39" i="15"/>
  <c r="M9" i="15" s="1"/>
  <c r="V33" i="15"/>
  <c r="H39" i="15"/>
  <c r="O33" i="15" s="1"/>
  <c r="W33" i="15"/>
  <c r="X33" i="15"/>
  <c r="L67" i="15"/>
  <c r="G39" i="15"/>
  <c r="N24" i="15" s="1"/>
  <c r="U24" i="15"/>
  <c r="V24" i="15"/>
  <c r="U33" i="15"/>
  <c r="G178" i="6"/>
  <c r="G139" i="6"/>
  <c r="G251" i="6"/>
  <c r="H178" i="6"/>
  <c r="H139" i="6"/>
  <c r="H251" i="6"/>
  <c r="J60" i="24"/>
  <c r="I64" i="24"/>
  <c r="I126" i="24" s="1"/>
  <c r="I37" i="24"/>
  <c r="I268" i="24" s="1"/>
  <c r="K64" i="24"/>
  <c r="K126" i="24" s="1"/>
  <c r="K269" i="24"/>
  <c r="K27" i="24"/>
  <c r="K176" i="24"/>
  <c r="M220" i="24" s="1"/>
  <c r="K264" i="24"/>
  <c r="J27" i="24"/>
  <c r="J176" i="24"/>
  <c r="H37" i="24"/>
  <c r="H268" i="24" s="1"/>
  <c r="H64" i="24"/>
  <c r="H126" i="24" s="1"/>
  <c r="J64" i="24"/>
  <c r="J126" i="24" s="1"/>
  <c r="J37" i="24"/>
  <c r="J268" i="24" s="1"/>
  <c r="I27" i="24"/>
  <c r="I176" i="24"/>
  <c r="F223" i="25" l="1"/>
  <c r="F225" i="25" s="1"/>
  <c r="L223" i="25"/>
  <c r="L225" i="25"/>
  <c r="X216" i="25" s="1"/>
  <c r="K223" i="25"/>
  <c r="K225" i="25" s="1"/>
  <c r="K226" i="25" s="1"/>
  <c r="O223" i="25"/>
  <c r="O225" i="25" s="1"/>
  <c r="J223" i="25"/>
  <c r="J225" i="25" s="1"/>
  <c r="J226" i="25" s="1"/>
  <c r="X219" i="25"/>
  <c r="H223" i="25"/>
  <c r="H225" i="25" s="1"/>
  <c r="H226" i="25" s="1"/>
  <c r="X222" i="25"/>
  <c r="M223" i="25"/>
  <c r="M225" i="25"/>
  <c r="Y218" i="25" s="1"/>
  <c r="Y220" i="25"/>
  <c r="N223" i="25"/>
  <c r="N225" i="25" s="1"/>
  <c r="X217" i="25"/>
  <c r="X221" i="25"/>
  <c r="X220" i="25"/>
  <c r="L552" i="19"/>
  <c r="M676" i="19"/>
  <c r="M677" i="19" s="1"/>
  <c r="L218" i="23"/>
  <c r="H248" i="23"/>
  <c r="W236" i="23"/>
  <c r="G90" i="23"/>
  <c r="G199" i="23" s="1"/>
  <c r="G198" i="23"/>
  <c r="I90" i="23"/>
  <c r="U74" i="23" s="1"/>
  <c r="I198" i="23"/>
  <c r="H90" i="23"/>
  <c r="T86" i="23" s="1"/>
  <c r="H198" i="23"/>
  <c r="J90" i="23"/>
  <c r="V89" i="23" s="1"/>
  <c r="J198" i="23"/>
  <c r="F203" i="23"/>
  <c r="K146" i="23"/>
  <c r="AE256" i="24"/>
  <c r="AE257" i="24" s="1"/>
  <c r="N45" i="25"/>
  <c r="N78" i="25"/>
  <c r="K42" i="23"/>
  <c r="O458" i="19"/>
  <c r="N101" i="23" s="1"/>
  <c r="N121" i="23"/>
  <c r="N143" i="23" s="1"/>
  <c r="N17" i="25"/>
  <c r="N91" i="25" s="1"/>
  <c r="N100" i="23"/>
  <c r="R236" i="23"/>
  <c r="F79" i="25"/>
  <c r="F99" i="25"/>
  <c r="R186" i="25"/>
  <c r="R89" i="23"/>
  <c r="R69" i="23"/>
  <c r="AA23" i="24"/>
  <c r="W23" i="24"/>
  <c r="Z23" i="24"/>
  <c r="V23" i="24"/>
  <c r="J99" i="25"/>
  <c r="H99" i="25"/>
  <c r="G99" i="25"/>
  <c r="I99" i="25"/>
  <c r="K99" i="25"/>
  <c r="F204" i="25"/>
  <c r="F226" i="25"/>
  <c r="V41" i="23"/>
  <c r="J149" i="23"/>
  <c r="J43" i="23"/>
  <c r="I149" i="23"/>
  <c r="I43" i="23"/>
  <c r="R74" i="23"/>
  <c r="F91" i="23"/>
  <c r="R41" i="23"/>
  <c r="F149" i="23"/>
  <c r="F43" i="23"/>
  <c r="I277" i="24"/>
  <c r="J277" i="24"/>
  <c r="G277" i="24"/>
  <c r="K277" i="24"/>
  <c r="H277" i="24"/>
  <c r="Y23" i="24"/>
  <c r="X23" i="24"/>
  <c r="AX23" i="24"/>
  <c r="AX26" i="24" s="1"/>
  <c r="AW23" i="24"/>
  <c r="AW26" i="24" s="1"/>
  <c r="BG23" i="24"/>
  <c r="AU255" i="24"/>
  <c r="U41" i="23"/>
  <c r="BG24" i="24"/>
  <c r="AU215" i="24"/>
  <c r="Y288" i="24"/>
  <c r="AU267" i="24"/>
  <c r="BG21" i="24"/>
  <c r="BG29" i="24"/>
  <c r="AU269" i="24"/>
  <c r="BG26" i="24"/>
  <c r="BG45" i="24"/>
  <c r="AU265" i="24"/>
  <c r="AU273" i="24"/>
  <c r="BG39" i="24"/>
  <c r="BG48" i="24"/>
  <c r="AU275" i="24"/>
  <c r="BG25" i="24"/>
  <c r="BG50" i="24"/>
  <c r="BG22" i="24"/>
  <c r="AU272" i="24"/>
  <c r="AU266" i="24"/>
  <c r="BG10" i="24"/>
  <c r="AU254" i="24"/>
  <c r="AU185" i="24"/>
  <c r="L220" i="24"/>
  <c r="V293" i="24"/>
  <c r="V292" i="24"/>
  <c r="V174" i="24" s="1"/>
  <c r="V290" i="24"/>
  <c r="V180" i="24" s="1"/>
  <c r="V289" i="24"/>
  <c r="AH43" i="24" s="1"/>
  <c r="V300" i="24"/>
  <c r="V182" i="24" s="1"/>
  <c r="V183" i="24" s="1"/>
  <c r="V294" i="24"/>
  <c r="V291" i="24"/>
  <c r="V173" i="24" s="1"/>
  <c r="X288" i="24"/>
  <c r="W288" i="24"/>
  <c r="W293" i="24"/>
  <c r="W294" i="24"/>
  <c r="W289" i="24"/>
  <c r="AI43" i="24" s="1"/>
  <c r="W292" i="24"/>
  <c r="W174" i="24" s="1"/>
  <c r="W300" i="24"/>
  <c r="W182" i="24" s="1"/>
  <c r="W183" i="24" s="1"/>
  <c r="W291" i="24"/>
  <c r="W173" i="24" s="1"/>
  <c r="W290" i="24"/>
  <c r="W180" i="24" s="1"/>
  <c r="AA298" i="24"/>
  <c r="J212" i="6"/>
  <c r="AG78" i="6"/>
  <c r="Z291" i="24"/>
  <c r="Z173" i="24" s="1"/>
  <c r="Z289" i="24"/>
  <c r="Z264" i="24" s="1"/>
  <c r="Z293" i="24"/>
  <c r="Z290" i="24"/>
  <c r="Z294" i="24"/>
  <c r="Z292" i="24"/>
  <c r="Z174" i="24" s="1"/>
  <c r="Z300" i="24"/>
  <c r="Z182" i="24" s="1"/>
  <c r="Z183" i="24" s="1"/>
  <c r="AV292" i="24"/>
  <c r="AV174" i="24" s="1"/>
  <c r="AV294" i="24"/>
  <c r="AV300" i="24"/>
  <c r="AV289" i="24"/>
  <c r="AV291" i="24"/>
  <c r="AV173" i="24" s="1"/>
  <c r="AV290" i="24"/>
  <c r="AV293" i="24"/>
  <c r="Z288" i="24"/>
  <c r="AZ290" i="24"/>
  <c r="AZ292" i="24"/>
  <c r="AZ174" i="24" s="1"/>
  <c r="AZ294" i="24"/>
  <c r="AZ300" i="24"/>
  <c r="AZ291" i="24"/>
  <c r="AZ173" i="24" s="1"/>
  <c r="AZ289" i="24"/>
  <c r="AZ293" i="24"/>
  <c r="AC256" i="24"/>
  <c r="AC257" i="24" s="1"/>
  <c r="AW289" i="24"/>
  <c r="AW215" i="24" s="1"/>
  <c r="AW292" i="24"/>
  <c r="AW174" i="24" s="1"/>
  <c r="AW294" i="24"/>
  <c r="AW300" i="24"/>
  <c r="AW291" i="24"/>
  <c r="AW173" i="24" s="1"/>
  <c r="AW290" i="24"/>
  <c r="AW293" i="24"/>
  <c r="Y292" i="24"/>
  <c r="Y174" i="24" s="1"/>
  <c r="Y290" i="24"/>
  <c r="Y289" i="24"/>
  <c r="AK37" i="24" s="1"/>
  <c r="Y300" i="24"/>
  <c r="Y182" i="24" s="1"/>
  <c r="Y183" i="24" s="1"/>
  <c r="Y293" i="24"/>
  <c r="Y294" i="24"/>
  <c r="Y291" i="24"/>
  <c r="Y173" i="24" s="1"/>
  <c r="AX290" i="24"/>
  <c r="AX292" i="24"/>
  <c r="AX174" i="24" s="1"/>
  <c r="AX294" i="24"/>
  <c r="AX300" i="24"/>
  <c r="AX289" i="24"/>
  <c r="AX273" i="24" s="1"/>
  <c r="AX291" i="24"/>
  <c r="AX173" i="24" s="1"/>
  <c r="AX293" i="24"/>
  <c r="AA288" i="24"/>
  <c r="W298" i="24"/>
  <c r="AE220" i="24"/>
  <c r="AY290" i="24"/>
  <c r="AY292" i="24"/>
  <c r="AY174" i="24" s="1"/>
  <c r="AY294" i="24"/>
  <c r="AY300" i="24"/>
  <c r="AY291" i="24"/>
  <c r="AY173" i="24" s="1"/>
  <c r="AY293" i="24"/>
  <c r="AY289" i="24"/>
  <c r="BK23" i="24" s="1"/>
  <c r="I212" i="6"/>
  <c r="AF78" i="6"/>
  <c r="X293" i="24"/>
  <c r="X300" i="24"/>
  <c r="X182" i="24" s="1"/>
  <c r="X183" i="24" s="1"/>
  <c r="X294" i="24"/>
  <c r="X291" i="24"/>
  <c r="X173" i="24" s="1"/>
  <c r="X289" i="24"/>
  <c r="AJ42" i="24" s="1"/>
  <c r="X292" i="24"/>
  <c r="X174" i="24" s="1"/>
  <c r="X290" i="24"/>
  <c r="X180" i="24" s="1"/>
  <c r="Z298" i="24"/>
  <c r="X298" i="24"/>
  <c r="AW48" i="24"/>
  <c r="AX288" i="24"/>
  <c r="AX20" i="24"/>
  <c r="AX214" i="24" s="1"/>
  <c r="AY221" i="24" s="1"/>
  <c r="AW288" i="24"/>
  <c r="AW20" i="24"/>
  <c r="AX48" i="24"/>
  <c r="Y298" i="24"/>
  <c r="AA293" i="24"/>
  <c r="AA300" i="24"/>
  <c r="AA182" i="24" s="1"/>
  <c r="AA183" i="24" s="1"/>
  <c r="AA291" i="24"/>
  <c r="AA173" i="24" s="1"/>
  <c r="AA290" i="24"/>
  <c r="AA180" i="24" s="1"/>
  <c r="AA294" i="24"/>
  <c r="AA289" i="24"/>
  <c r="AA266" i="24" s="1"/>
  <c r="AA292" i="24"/>
  <c r="AA174" i="24" s="1"/>
  <c r="AZ64" i="24"/>
  <c r="AZ63" i="24" s="1"/>
  <c r="AB277" i="24"/>
  <c r="AB278" i="24" s="1"/>
  <c r="AD256" i="24"/>
  <c r="AD257" i="24" s="1"/>
  <c r="AC277" i="24"/>
  <c r="AC278" i="24" s="1"/>
  <c r="AB256" i="24"/>
  <c r="AB257" i="24" s="1"/>
  <c r="AE277" i="24"/>
  <c r="AE278" i="24" s="1"/>
  <c r="AD220" i="24"/>
  <c r="AD277" i="24"/>
  <c r="AD278" i="24" s="1"/>
  <c r="AZ27" i="24"/>
  <c r="AZ49" i="24" s="1"/>
  <c r="AZ53" i="24" s="1"/>
  <c r="AZ62" i="24"/>
  <c r="AZ60" i="24" s="1"/>
  <c r="AD45" i="6"/>
  <c r="AD10" i="6"/>
  <c r="T32" i="6"/>
  <c r="J104" i="18"/>
  <c r="O111" i="21"/>
  <c r="Q9" i="18"/>
  <c r="M100" i="21"/>
  <c r="R168" i="18"/>
  <c r="K108" i="18"/>
  <c r="N19" i="18"/>
  <c r="N35" i="18"/>
  <c r="N14" i="18"/>
  <c r="N30" i="18"/>
  <c r="N13" i="18"/>
  <c r="N36" i="18" s="1"/>
  <c r="N29" i="18"/>
  <c r="N28" i="18"/>
  <c r="N12" i="18"/>
  <c r="N23" i="18"/>
  <c r="N34" i="18"/>
  <c r="N10" i="18"/>
  <c r="N15" i="18"/>
  <c r="N32" i="18"/>
  <c r="F37" i="18"/>
  <c r="N18" i="18"/>
  <c r="N27" i="18"/>
  <c r="F137" i="22"/>
  <c r="N22" i="18"/>
  <c r="F127" i="18"/>
  <c r="F84" i="22" s="1"/>
  <c r="N17" i="18"/>
  <c r="N16" i="18"/>
  <c r="F132" i="20"/>
  <c r="N26" i="18"/>
  <c r="N20" i="18"/>
  <c r="N33" i="18"/>
  <c r="N21" i="18"/>
  <c r="N11" i="18"/>
  <c r="N31" i="18"/>
  <c r="N24" i="18"/>
  <c r="AI84" i="20"/>
  <c r="AI102" i="20"/>
  <c r="AG38" i="22" s="1"/>
  <c r="AI71" i="20"/>
  <c r="AG12" i="22" s="1"/>
  <c r="AG39" i="22" s="1"/>
  <c r="AP62" i="20"/>
  <c r="AI75" i="20"/>
  <c r="AI72" i="20"/>
  <c r="I221" i="24"/>
  <c r="F274" i="6"/>
  <c r="L273" i="6"/>
  <c r="L283" i="6" s="1"/>
  <c r="Y289" i="6"/>
  <c r="M273" i="6"/>
  <c r="M283" i="6" s="1"/>
  <c r="S22" i="25"/>
  <c r="S23" i="25"/>
  <c r="V23" i="25"/>
  <c r="V22" i="25"/>
  <c r="U22" i="25"/>
  <c r="U23" i="25"/>
  <c r="W22" i="25"/>
  <c r="W23" i="25"/>
  <c r="T22" i="25"/>
  <c r="T23" i="25"/>
  <c r="W12" i="25"/>
  <c r="W14" i="25"/>
  <c r="W15" i="25"/>
  <c r="W13" i="25"/>
  <c r="W16" i="25"/>
  <c r="T12" i="25"/>
  <c r="T15" i="25"/>
  <c r="T14" i="25"/>
  <c r="T13" i="25"/>
  <c r="T16" i="25"/>
  <c r="S16" i="25"/>
  <c r="S12" i="25"/>
  <c r="S15" i="25"/>
  <c r="S14" i="25"/>
  <c r="S13" i="25"/>
  <c r="U12" i="25"/>
  <c r="U15" i="25"/>
  <c r="U14" i="25"/>
  <c r="U13" i="25"/>
  <c r="U16" i="25"/>
  <c r="V15" i="25"/>
  <c r="V12" i="25"/>
  <c r="V14" i="25"/>
  <c r="V13" i="25"/>
  <c r="V16" i="25"/>
  <c r="F276" i="6"/>
  <c r="F275" i="6"/>
  <c r="F282" i="6"/>
  <c r="U140" i="6"/>
  <c r="U154" i="6"/>
  <c r="F280" i="6"/>
  <c r="F302" i="6"/>
  <c r="S236" i="23"/>
  <c r="T236" i="23"/>
  <c r="U236" i="23"/>
  <c r="V236" i="23"/>
  <c r="F264" i="6"/>
  <c r="R263" i="6" s="1"/>
  <c r="U186" i="25"/>
  <c r="F279" i="6"/>
  <c r="F278" i="6"/>
  <c r="F303" i="6"/>
  <c r="F277" i="6"/>
  <c r="F281" i="6"/>
  <c r="S9" i="18"/>
  <c r="S13" i="18"/>
  <c r="S27" i="18"/>
  <c r="P169" i="18"/>
  <c r="P168" i="18"/>
  <c r="P171" i="18"/>
  <c r="P167" i="18"/>
  <c r="P170" i="18"/>
  <c r="P172" i="18"/>
  <c r="R41" i="18"/>
  <c r="R49" i="18"/>
  <c r="F136" i="22"/>
  <c r="F131" i="20"/>
  <c r="F76" i="20" s="1"/>
  <c r="F17" i="22" s="1"/>
  <c r="P32" i="18"/>
  <c r="H203" i="17"/>
  <c r="H233" i="17"/>
  <c r="I89" i="18"/>
  <c r="AE22" i="22"/>
  <c r="AG87" i="20"/>
  <c r="AE25" i="22" s="1"/>
  <c r="AC39" i="22"/>
  <c r="F133" i="20"/>
  <c r="F138" i="22"/>
  <c r="F54" i="21"/>
  <c r="AG74" i="20"/>
  <c r="AE15" i="22" s="1"/>
  <c r="AE16" i="22"/>
  <c r="AE13" i="22"/>
  <c r="R100" i="21"/>
  <c r="I104" i="18"/>
  <c r="I135" i="22" s="1"/>
  <c r="G47" i="21"/>
  <c r="G60" i="22" s="1"/>
  <c r="G73" i="21"/>
  <c r="G65" i="22" s="1"/>
  <c r="G23" i="21"/>
  <c r="M25" i="18"/>
  <c r="F95" i="18"/>
  <c r="E233" i="17"/>
  <c r="E203" i="17"/>
  <c r="F89" i="18"/>
  <c r="E127" i="18"/>
  <c r="E84" i="22" s="1"/>
  <c r="M15" i="18"/>
  <c r="M21" i="18"/>
  <c r="M23" i="18"/>
  <c r="M9" i="18"/>
  <c r="M12" i="18"/>
  <c r="M10" i="18"/>
  <c r="M14" i="18"/>
  <c r="M26" i="18"/>
  <c r="M22" i="18"/>
  <c r="M29" i="18"/>
  <c r="M33" i="18"/>
  <c r="M35" i="18"/>
  <c r="M20" i="18"/>
  <c r="F87" i="18"/>
  <c r="M34" i="18"/>
  <c r="M18" i="18"/>
  <c r="M17" i="18"/>
  <c r="M11" i="18"/>
  <c r="M30" i="18"/>
  <c r="M19" i="18"/>
  <c r="M31" i="18"/>
  <c r="E126" i="18"/>
  <c r="E83" i="22" s="1"/>
  <c r="E37" i="18"/>
  <c r="M24" i="18"/>
  <c r="M16" i="18"/>
  <c r="M28" i="18"/>
  <c r="I54" i="21"/>
  <c r="I133" i="20"/>
  <c r="I138" i="22"/>
  <c r="G78" i="18"/>
  <c r="O59" i="18" s="1"/>
  <c r="M27" i="18"/>
  <c r="N160" i="18"/>
  <c r="F203" i="17"/>
  <c r="F233" i="17"/>
  <c r="F136" i="23"/>
  <c r="M32" i="18"/>
  <c r="G54" i="21"/>
  <c r="G138" i="22"/>
  <c r="G133" i="20"/>
  <c r="J136" i="23"/>
  <c r="J133" i="20"/>
  <c r="J138" i="22"/>
  <c r="J54" i="21"/>
  <c r="N100" i="21"/>
  <c r="M160" i="18"/>
  <c r="I136" i="23"/>
  <c r="J89" i="18"/>
  <c r="I233" i="17"/>
  <c r="I203" i="17"/>
  <c r="W186" i="25"/>
  <c r="AY27" i="24"/>
  <c r="AY49" i="24" s="1"/>
  <c r="AY53" i="24" s="1"/>
  <c r="G42" i="23"/>
  <c r="H226" i="6"/>
  <c r="H227" i="6"/>
  <c r="H225" i="6"/>
  <c r="T58" i="6"/>
  <c r="T28" i="6"/>
  <c r="T14" i="6"/>
  <c r="T13" i="6"/>
  <c r="T12" i="6"/>
  <c r="J70" i="6"/>
  <c r="J72" i="6" s="1"/>
  <c r="U151" i="6"/>
  <c r="U147" i="6"/>
  <c r="U141" i="6"/>
  <c r="U150" i="6"/>
  <c r="U146" i="6"/>
  <c r="U148" i="6"/>
  <c r="U153" i="6"/>
  <c r="U149" i="6"/>
  <c r="U145" i="6"/>
  <c r="U152" i="6"/>
  <c r="K275" i="6"/>
  <c r="S87" i="23"/>
  <c r="S86" i="23"/>
  <c r="R86" i="23"/>
  <c r="R87" i="23"/>
  <c r="K276" i="6"/>
  <c r="S186" i="25"/>
  <c r="V186" i="25"/>
  <c r="K186" i="23"/>
  <c r="Y214" i="24"/>
  <c r="Y61" i="24"/>
  <c r="Y60" i="24" s="1"/>
  <c r="Y54" i="24"/>
  <c r="AH24" i="20"/>
  <c r="AX62" i="24"/>
  <c r="AW62" i="24"/>
  <c r="AX64" i="24"/>
  <c r="AX63" i="24" s="1"/>
  <c r="AV60" i="24"/>
  <c r="AV67" i="24" s="1"/>
  <c r="AV70" i="24" s="1"/>
  <c r="AY60" i="24"/>
  <c r="AY67" i="24" s="1"/>
  <c r="AY70" i="24" s="1"/>
  <c r="AU60" i="24"/>
  <c r="AU67" i="24" s="1"/>
  <c r="AW64" i="24"/>
  <c r="AW63" i="24" s="1"/>
  <c r="AH59" i="20"/>
  <c r="AH101" i="20" s="1"/>
  <c r="AF37" i="22" s="1"/>
  <c r="AH47" i="20"/>
  <c r="V287" i="6"/>
  <c r="AV214" i="24"/>
  <c r="AV27" i="24"/>
  <c r="AV49" i="24" s="1"/>
  <c r="AV53" i="24" s="1"/>
  <c r="AU268" i="24"/>
  <c r="BG37" i="24"/>
  <c r="AU214" i="24"/>
  <c r="AU264" i="24"/>
  <c r="BG20" i="24"/>
  <c r="AU27" i="24"/>
  <c r="AU176" i="24"/>
  <c r="W287" i="6"/>
  <c r="AH16" i="20"/>
  <c r="AO16" i="20" s="1"/>
  <c r="AX61" i="24"/>
  <c r="AH10" i="20"/>
  <c r="AH26" i="20"/>
  <c r="AU175" i="24"/>
  <c r="AW61" i="24"/>
  <c r="W54" i="24"/>
  <c r="V54" i="24"/>
  <c r="X54" i="24"/>
  <c r="AA54" i="24"/>
  <c r="Z54" i="24"/>
  <c r="AA214" i="24"/>
  <c r="AC221" i="24" s="1"/>
  <c r="V66" i="24"/>
  <c r="Y63" i="24"/>
  <c r="X66" i="24"/>
  <c r="Z214" i="24"/>
  <c r="W214" i="24"/>
  <c r="W66" i="24"/>
  <c r="X214" i="24"/>
  <c r="AA66" i="24"/>
  <c r="Z66" i="24"/>
  <c r="V214" i="24"/>
  <c r="W64" i="24"/>
  <c r="V62" i="24"/>
  <c r="V298" i="24"/>
  <c r="W61" i="24"/>
  <c r="X62" i="24"/>
  <c r="AA61" i="24"/>
  <c r="V64" i="24"/>
  <c r="X65" i="24"/>
  <c r="AA65" i="24"/>
  <c r="Z62" i="24"/>
  <c r="W62" i="24"/>
  <c r="Z61" i="24"/>
  <c r="Z65" i="24"/>
  <c r="X61" i="24"/>
  <c r="AA62" i="24"/>
  <c r="Z64" i="24"/>
  <c r="V65" i="24"/>
  <c r="W65" i="24"/>
  <c r="X64" i="24"/>
  <c r="AA64" i="24"/>
  <c r="V288" i="24"/>
  <c r="V61" i="24"/>
  <c r="L297" i="6"/>
  <c r="X289" i="6"/>
  <c r="X293" i="6"/>
  <c r="X296" i="6"/>
  <c r="X290" i="6"/>
  <c r="X294" i="6"/>
  <c r="X295" i="6"/>
  <c r="X291" i="6"/>
  <c r="X292" i="6"/>
  <c r="N297" i="6"/>
  <c r="Z289" i="6"/>
  <c r="Z293" i="6"/>
  <c r="Z290" i="6"/>
  <c r="Z294" i="6"/>
  <c r="Z291" i="6"/>
  <c r="Z295" i="6"/>
  <c r="Z292" i="6"/>
  <c r="Z296" i="6"/>
  <c r="K277" i="6"/>
  <c r="K278" i="6"/>
  <c r="K279" i="6"/>
  <c r="K282" i="6"/>
  <c r="J302" i="6"/>
  <c r="J304" i="6"/>
  <c r="J303" i="6"/>
  <c r="K304" i="6"/>
  <c r="K302" i="6"/>
  <c r="K303" i="6"/>
  <c r="H304" i="6"/>
  <c r="H302" i="6"/>
  <c r="H303" i="6"/>
  <c r="G304" i="6"/>
  <c r="G302" i="6"/>
  <c r="G303" i="6"/>
  <c r="T186" i="25"/>
  <c r="K280" i="6"/>
  <c r="K274" i="6"/>
  <c r="K184" i="23"/>
  <c r="H186" i="23"/>
  <c r="I185" i="23"/>
  <c r="G187" i="23"/>
  <c r="H185" i="23"/>
  <c r="I187" i="23"/>
  <c r="J187" i="23"/>
  <c r="K185" i="23"/>
  <c r="J185" i="23"/>
  <c r="I186" i="23"/>
  <c r="J186" i="23"/>
  <c r="H187" i="23"/>
  <c r="E209" i="23"/>
  <c r="G186" i="23"/>
  <c r="F209" i="23"/>
  <c r="F186" i="23"/>
  <c r="F187" i="23"/>
  <c r="G185" i="23"/>
  <c r="F185" i="23"/>
  <c r="R29" i="23"/>
  <c r="F137" i="23"/>
  <c r="V19" i="23"/>
  <c r="J137" i="23"/>
  <c r="F148" i="23"/>
  <c r="I137" i="23"/>
  <c r="R23" i="23"/>
  <c r="V23" i="23"/>
  <c r="H42" i="23"/>
  <c r="U23" i="23"/>
  <c r="U29" i="23"/>
  <c r="R34" i="23"/>
  <c r="R14" i="23"/>
  <c r="V29" i="23"/>
  <c r="K63" i="24"/>
  <c r="K180" i="6" s="1"/>
  <c r="K182" i="6" s="1"/>
  <c r="K185" i="6" s="1"/>
  <c r="K188" i="6" s="1"/>
  <c r="O189" i="6" s="1"/>
  <c r="G63" i="24"/>
  <c r="G180" i="6" s="1"/>
  <c r="G182" i="6" s="1"/>
  <c r="G185" i="6" s="1"/>
  <c r="G188" i="6" s="1"/>
  <c r="H63" i="24"/>
  <c r="H180" i="6" s="1"/>
  <c r="H182" i="6" s="1"/>
  <c r="H185" i="6" s="1"/>
  <c r="H188" i="6" s="1"/>
  <c r="J63" i="24"/>
  <c r="J67" i="24" s="1"/>
  <c r="J70" i="24" s="1"/>
  <c r="I63" i="24"/>
  <c r="I67" i="24" s="1"/>
  <c r="I70" i="24" s="1"/>
  <c r="G175" i="24"/>
  <c r="K175" i="24"/>
  <c r="J175" i="24"/>
  <c r="H175" i="24"/>
  <c r="G49" i="24"/>
  <c r="G53" i="24" s="1"/>
  <c r="G54" i="24" s="1"/>
  <c r="I63" i="15"/>
  <c r="V21" i="23"/>
  <c r="V27" i="23"/>
  <c r="V24" i="23"/>
  <c r="G63" i="15"/>
  <c r="F180" i="6"/>
  <c r="F182" i="6" s="1"/>
  <c r="F185" i="6" s="1"/>
  <c r="W220" i="25"/>
  <c r="K204" i="25"/>
  <c r="K128" i="25"/>
  <c r="V17" i="23"/>
  <c r="V40" i="23"/>
  <c r="V38" i="23"/>
  <c r="P83" i="15"/>
  <c r="P84" i="15" s="1"/>
  <c r="J264" i="6"/>
  <c r="V140" i="6"/>
  <c r="AG10" i="6"/>
  <c r="N264" i="6"/>
  <c r="J276" i="6"/>
  <c r="AJ45" i="6"/>
  <c r="J274" i="6"/>
  <c r="J280" i="6"/>
  <c r="J277" i="6"/>
  <c r="J279" i="6"/>
  <c r="J282" i="6"/>
  <c r="Q82" i="15"/>
  <c r="Q84" i="15" s="1"/>
  <c r="J275" i="6"/>
  <c r="J278" i="6"/>
  <c r="J281" i="6"/>
  <c r="J107" i="15"/>
  <c r="J111" i="15" s="1"/>
  <c r="J113" i="15" s="1"/>
  <c r="I175" i="24"/>
  <c r="Q11" i="15"/>
  <c r="F88" i="15"/>
  <c r="K46" i="25"/>
  <c r="H46" i="25"/>
  <c r="G46" i="25"/>
  <c r="F46" i="25"/>
  <c r="J46" i="25"/>
  <c r="I46" i="25"/>
  <c r="G111" i="18"/>
  <c r="O54" i="18"/>
  <c r="O66" i="18"/>
  <c r="O67" i="18"/>
  <c r="O71" i="18"/>
  <c r="G79" i="18"/>
  <c r="O73" i="18"/>
  <c r="O69" i="18"/>
  <c r="I111" i="22"/>
  <c r="I113" i="22"/>
  <c r="I110" i="22"/>
  <c r="J13" i="22"/>
  <c r="K111" i="18"/>
  <c r="S61" i="18"/>
  <c r="S68" i="18"/>
  <c r="S76" i="18"/>
  <c r="S77" i="18"/>
  <c r="S54" i="18"/>
  <c r="S65" i="18"/>
  <c r="S70" i="18"/>
  <c r="S71" i="18"/>
  <c r="S72" i="18"/>
  <c r="S63" i="18"/>
  <c r="S60" i="18"/>
  <c r="S74" i="18"/>
  <c r="S67" i="18"/>
  <c r="S75" i="18"/>
  <c r="S58" i="18"/>
  <c r="K138" i="18"/>
  <c r="S45" i="18"/>
  <c r="S51" i="18"/>
  <c r="S69" i="18"/>
  <c r="S53" i="18"/>
  <c r="S64" i="18"/>
  <c r="S73" i="18"/>
  <c r="S43" i="18"/>
  <c r="K135" i="18"/>
  <c r="K96" i="22" s="1"/>
  <c r="S59" i="18"/>
  <c r="S44" i="18"/>
  <c r="S52" i="18"/>
  <c r="S50" i="18"/>
  <c r="S66" i="18"/>
  <c r="S46" i="18"/>
  <c r="S42" i="18"/>
  <c r="S47" i="18"/>
  <c r="S56" i="18"/>
  <c r="K79" i="18"/>
  <c r="S49" i="18"/>
  <c r="S62" i="18"/>
  <c r="S48" i="18"/>
  <c r="S41" i="18"/>
  <c r="S57" i="18"/>
  <c r="V39" i="23"/>
  <c r="I264" i="6"/>
  <c r="I311" i="6" s="1"/>
  <c r="I316" i="6" s="1"/>
  <c r="I318" i="6" s="1"/>
  <c r="S28" i="18"/>
  <c r="G99" i="18"/>
  <c r="F78" i="18"/>
  <c r="N48" i="18" s="1"/>
  <c r="R113" i="21"/>
  <c r="H114" i="21"/>
  <c r="P114" i="21" s="1"/>
  <c r="P111" i="21"/>
  <c r="P109" i="21"/>
  <c r="P107" i="21"/>
  <c r="P113" i="21"/>
  <c r="P108" i="21"/>
  <c r="P112" i="21"/>
  <c r="S100" i="21"/>
  <c r="I137" i="22"/>
  <c r="Q14" i="18"/>
  <c r="Q33" i="18"/>
  <c r="Q19" i="18"/>
  <c r="Q29" i="18"/>
  <c r="Q22" i="18"/>
  <c r="Q27" i="18"/>
  <c r="Q12" i="18"/>
  <c r="I37" i="18"/>
  <c r="Q16" i="18"/>
  <c r="Q25" i="18"/>
  <c r="Q35" i="18"/>
  <c r="Q17" i="18"/>
  <c r="Q18" i="18"/>
  <c r="J87" i="18"/>
  <c r="Q26" i="18"/>
  <c r="Q32" i="18"/>
  <c r="Q31" i="18"/>
  <c r="Q30" i="18"/>
  <c r="Q28" i="18"/>
  <c r="Q21" i="18"/>
  <c r="Q20" i="18"/>
  <c r="Q24" i="18"/>
  <c r="Q34" i="18"/>
  <c r="I132" i="20"/>
  <c r="I127" i="18"/>
  <c r="I84" i="22" s="1"/>
  <c r="Q11" i="18"/>
  <c r="Q23" i="18"/>
  <c r="Q15" i="18"/>
  <c r="Q10" i="18"/>
  <c r="K131" i="20"/>
  <c r="K136" i="22"/>
  <c r="J131" i="20"/>
  <c r="J136" i="22"/>
  <c r="Q41" i="18"/>
  <c r="R48" i="18"/>
  <c r="K99" i="18"/>
  <c r="K104" i="18" s="1"/>
  <c r="R102" i="20"/>
  <c r="R38" i="22" s="1"/>
  <c r="R72" i="20"/>
  <c r="R74" i="20"/>
  <c r="R84" i="20"/>
  <c r="Y62" i="20"/>
  <c r="R71" i="20"/>
  <c r="R12" i="22" s="1"/>
  <c r="R39" i="22" s="1"/>
  <c r="Q57" i="18"/>
  <c r="F107" i="22"/>
  <c r="F110" i="22" s="1"/>
  <c r="S160" i="18"/>
  <c r="P173" i="18"/>
  <c r="U74" i="20"/>
  <c r="AB62" i="20"/>
  <c r="U71" i="20"/>
  <c r="U12" i="22" s="1"/>
  <c r="U84" i="20"/>
  <c r="U72" i="20"/>
  <c r="U102" i="20"/>
  <c r="U38" i="22" s="1"/>
  <c r="H95" i="18"/>
  <c r="G108" i="18"/>
  <c r="G36" i="18"/>
  <c r="O25" i="18" s="1"/>
  <c r="G95" i="18"/>
  <c r="I136" i="22"/>
  <c r="I131" i="20"/>
  <c r="P69" i="18"/>
  <c r="P48" i="18"/>
  <c r="G107" i="22"/>
  <c r="G111" i="22" s="1"/>
  <c r="R62" i="18"/>
  <c r="P9" i="18"/>
  <c r="P10" i="18"/>
  <c r="P19" i="18"/>
  <c r="P11" i="18"/>
  <c r="P24" i="18"/>
  <c r="H127" i="18"/>
  <c r="H84" i="22" s="1"/>
  <c r="H37" i="18"/>
  <c r="P12" i="18"/>
  <c r="P18" i="18"/>
  <c r="P21" i="18"/>
  <c r="P31" i="18"/>
  <c r="P25" i="18"/>
  <c r="P34" i="18"/>
  <c r="P20" i="18"/>
  <c r="P33" i="18"/>
  <c r="P14" i="18"/>
  <c r="H126" i="18"/>
  <c r="H83" i="22" s="1"/>
  <c r="P23" i="18"/>
  <c r="P28" i="18"/>
  <c r="H132" i="20"/>
  <c r="P16" i="18"/>
  <c r="P26" i="18"/>
  <c r="H137" i="22"/>
  <c r="I87" i="18"/>
  <c r="P30" i="18"/>
  <c r="P29" i="18"/>
  <c r="P22" i="18"/>
  <c r="P15" i="18"/>
  <c r="P17" i="18"/>
  <c r="P27" i="18"/>
  <c r="P35" i="18"/>
  <c r="P110" i="21"/>
  <c r="H15" i="22"/>
  <c r="H75" i="20"/>
  <c r="H16" i="22" s="1"/>
  <c r="AC22" i="22"/>
  <c r="AE87" i="20"/>
  <c r="AC25" i="22" s="1"/>
  <c r="N173" i="18"/>
  <c r="R167" i="18"/>
  <c r="R170" i="18"/>
  <c r="R169" i="18"/>
  <c r="R171" i="18"/>
  <c r="M173" i="18"/>
  <c r="K95" i="18"/>
  <c r="S25" i="18"/>
  <c r="K126" i="18"/>
  <c r="K83" i="22" s="1"/>
  <c r="G133" i="22"/>
  <c r="G128" i="20"/>
  <c r="G72" i="20" s="1"/>
  <c r="K58" i="20"/>
  <c r="AF84" i="20"/>
  <c r="AF75" i="20"/>
  <c r="AM62" i="20"/>
  <c r="AF71" i="20"/>
  <c r="AD12" i="22" s="1"/>
  <c r="AF102" i="20"/>
  <c r="AD38" i="22" s="1"/>
  <c r="AF72" i="20"/>
  <c r="Q100" i="21"/>
  <c r="M14" i="21"/>
  <c r="M19" i="21"/>
  <c r="M12" i="21"/>
  <c r="M17" i="21"/>
  <c r="M24" i="21"/>
  <c r="M18" i="21"/>
  <c r="M20" i="21"/>
  <c r="E25" i="21"/>
  <c r="E48" i="21"/>
  <c r="E61" i="22" s="1"/>
  <c r="M11" i="21"/>
  <c r="M13" i="21"/>
  <c r="M21" i="21"/>
  <c r="P100" i="21"/>
  <c r="J114" i="21"/>
  <c r="R114" i="21" s="1"/>
  <c r="R110" i="21"/>
  <c r="R109" i="21"/>
  <c r="M171" i="18"/>
  <c r="M168" i="18"/>
  <c r="M172" i="18"/>
  <c r="M167" i="18"/>
  <c r="M170" i="18"/>
  <c r="N168" i="18"/>
  <c r="N171" i="18"/>
  <c r="N167" i="18"/>
  <c r="N172" i="18"/>
  <c r="N169" i="18"/>
  <c r="M169" i="18"/>
  <c r="H111" i="18"/>
  <c r="P63" i="18"/>
  <c r="P74" i="18"/>
  <c r="P77" i="18"/>
  <c r="P45" i="18"/>
  <c r="P66" i="18"/>
  <c r="P41" i="18"/>
  <c r="P46" i="18"/>
  <c r="P54" i="18"/>
  <c r="P72" i="18"/>
  <c r="P60" i="18"/>
  <c r="H135" i="18"/>
  <c r="H96" i="22" s="1"/>
  <c r="P51" i="18"/>
  <c r="P43" i="18"/>
  <c r="P44" i="18"/>
  <c r="P59" i="18"/>
  <c r="P62" i="18"/>
  <c r="P42" i="18"/>
  <c r="P47" i="18"/>
  <c r="P70" i="18"/>
  <c r="P71" i="18"/>
  <c r="P76" i="18"/>
  <c r="P49" i="18"/>
  <c r="P52" i="18"/>
  <c r="P67" i="18"/>
  <c r="P50" i="18"/>
  <c r="P53" i="18"/>
  <c r="P68" i="18"/>
  <c r="P64" i="18"/>
  <c r="P73" i="18"/>
  <c r="P61" i="18"/>
  <c r="P58" i="18"/>
  <c r="P75" i="18"/>
  <c r="P65" i="18"/>
  <c r="P56" i="18"/>
  <c r="H79" i="18"/>
  <c r="I112" i="22"/>
  <c r="J107" i="22"/>
  <c r="J111" i="22" s="1"/>
  <c r="Q55" i="18"/>
  <c r="P28" i="21"/>
  <c r="P27" i="21"/>
  <c r="P25" i="21"/>
  <c r="P30" i="21"/>
  <c r="P29" i="21"/>
  <c r="Q175" i="18"/>
  <c r="G104" i="18"/>
  <c r="H138" i="18"/>
  <c r="R112" i="21"/>
  <c r="H131" i="20"/>
  <c r="H76" i="20" s="1"/>
  <c r="H17" i="22" s="1"/>
  <c r="H136" i="22"/>
  <c r="H22" i="22"/>
  <c r="AC13" i="22"/>
  <c r="S55" i="18"/>
  <c r="O112" i="21"/>
  <c r="G114" i="21"/>
  <c r="O114" i="21" s="1"/>
  <c r="O110" i="21"/>
  <c r="O108" i="21"/>
  <c r="O107" i="21"/>
  <c r="O109" i="21"/>
  <c r="Q113" i="21"/>
  <c r="Q108" i="21"/>
  <c r="Q111" i="21"/>
  <c r="Q112" i="21"/>
  <c r="I114" i="21"/>
  <c r="Q114" i="21" s="1"/>
  <c r="Q110" i="21"/>
  <c r="Q107" i="21"/>
  <c r="J22" i="22"/>
  <c r="K107" i="22"/>
  <c r="O170" i="18"/>
  <c r="O171" i="18"/>
  <c r="O169" i="18"/>
  <c r="O168" i="18"/>
  <c r="O167" i="18"/>
  <c r="O172" i="18"/>
  <c r="N170" i="18"/>
  <c r="N111" i="21"/>
  <c r="F114" i="21"/>
  <c r="N114" i="21" s="1"/>
  <c r="N113" i="21"/>
  <c r="N112" i="21"/>
  <c r="N110" i="21"/>
  <c r="N108" i="21"/>
  <c r="N109" i="21"/>
  <c r="H113" i="22"/>
  <c r="H110" i="22"/>
  <c r="H112" i="22"/>
  <c r="J135" i="22"/>
  <c r="J130" i="20"/>
  <c r="J70" i="20" s="1"/>
  <c r="J11" i="22" s="1"/>
  <c r="J74" i="21"/>
  <c r="J66" i="22" s="1"/>
  <c r="J25" i="21"/>
  <c r="R24" i="21"/>
  <c r="R14" i="21"/>
  <c r="R17" i="21"/>
  <c r="R11" i="21"/>
  <c r="R19" i="21"/>
  <c r="R20" i="21"/>
  <c r="R21" i="21"/>
  <c r="R13" i="21"/>
  <c r="J48" i="21"/>
  <c r="J61" i="22" s="1"/>
  <c r="R12" i="21"/>
  <c r="R18" i="21"/>
  <c r="P15" i="21"/>
  <c r="T71" i="20"/>
  <c r="T12" i="22" s="1"/>
  <c r="T84" i="20"/>
  <c r="T74" i="20"/>
  <c r="AA62" i="20"/>
  <c r="T72" i="20"/>
  <c r="T102" i="20"/>
  <c r="T38" i="22" s="1"/>
  <c r="H133" i="22"/>
  <c r="H128" i="20"/>
  <c r="H72" i="20" s="1"/>
  <c r="P57" i="18"/>
  <c r="Q21" i="21"/>
  <c r="Q11" i="21"/>
  <c r="Q18" i="21"/>
  <c r="Q19" i="21"/>
  <c r="I74" i="21"/>
  <c r="I66" i="22" s="1"/>
  <c r="I25" i="21"/>
  <c r="Q17" i="21"/>
  <c r="Q24" i="21"/>
  <c r="Q12" i="21"/>
  <c r="I48" i="21"/>
  <c r="I61" i="22" s="1"/>
  <c r="Q20" i="21"/>
  <c r="Q14" i="21"/>
  <c r="Q13" i="21"/>
  <c r="F74" i="20"/>
  <c r="F84" i="20"/>
  <c r="F72" i="20"/>
  <c r="F63" i="20"/>
  <c r="O173" i="18"/>
  <c r="Z62" i="20"/>
  <c r="S74" i="20"/>
  <c r="S102" i="20"/>
  <c r="S38" i="22" s="1"/>
  <c r="S84" i="20"/>
  <c r="S72" i="20"/>
  <c r="S71" i="20"/>
  <c r="S12" i="22" s="1"/>
  <c r="N20" i="21"/>
  <c r="N11" i="21"/>
  <c r="N24" i="21"/>
  <c r="N18" i="21"/>
  <c r="N14" i="21"/>
  <c r="N13" i="21"/>
  <c r="F48" i="21"/>
  <c r="F61" i="22" s="1"/>
  <c r="F25" i="21"/>
  <c r="N17" i="21"/>
  <c r="N21" i="21"/>
  <c r="N12" i="21"/>
  <c r="N19" i="21"/>
  <c r="O100" i="21"/>
  <c r="M115" i="21"/>
  <c r="R108" i="21"/>
  <c r="I74" i="20"/>
  <c r="I84" i="20"/>
  <c r="I63" i="20"/>
  <c r="J15" i="22"/>
  <c r="J75" i="20"/>
  <c r="J16" i="22" s="1"/>
  <c r="E48" i="18"/>
  <c r="E104" i="22"/>
  <c r="R111" i="21"/>
  <c r="S21" i="21"/>
  <c r="S14" i="21"/>
  <c r="S19" i="21"/>
  <c r="K25" i="21"/>
  <c r="S13" i="21"/>
  <c r="S20" i="21"/>
  <c r="S12" i="21"/>
  <c r="K74" i="21"/>
  <c r="K66" i="22" s="1"/>
  <c r="S18" i="21"/>
  <c r="S11" i="21"/>
  <c r="S24" i="21"/>
  <c r="S17" i="21"/>
  <c r="K48" i="21"/>
  <c r="K61" i="22" s="1"/>
  <c r="K114" i="21"/>
  <c r="S114" i="21" s="1"/>
  <c r="S107" i="21"/>
  <c r="S109" i="21"/>
  <c r="S108" i="21"/>
  <c r="S111" i="21"/>
  <c r="J137" i="22"/>
  <c r="R34" i="18"/>
  <c r="R29" i="18"/>
  <c r="R12" i="18"/>
  <c r="R16" i="18"/>
  <c r="R9" i="18"/>
  <c r="R33" i="18"/>
  <c r="J126" i="18"/>
  <c r="J83" i="22" s="1"/>
  <c r="R31" i="18"/>
  <c r="R26" i="18"/>
  <c r="R21" i="18"/>
  <c r="R23" i="18"/>
  <c r="R35" i="18"/>
  <c r="R30" i="18"/>
  <c r="R25" i="18"/>
  <c r="R15" i="18"/>
  <c r="K87" i="18"/>
  <c r="J127" i="18"/>
  <c r="J84" i="22" s="1"/>
  <c r="R18" i="18"/>
  <c r="R11" i="18"/>
  <c r="R32" i="18"/>
  <c r="R27" i="18"/>
  <c r="R22" i="18"/>
  <c r="R17" i="18"/>
  <c r="R28" i="18"/>
  <c r="J132" i="20"/>
  <c r="R10" i="18"/>
  <c r="J37" i="18"/>
  <c r="R24" i="18"/>
  <c r="R19" i="18"/>
  <c r="R14" i="18"/>
  <c r="R20" i="18"/>
  <c r="I111" i="18"/>
  <c r="Q77" i="18"/>
  <c r="Q53" i="18"/>
  <c r="Q52" i="18"/>
  <c r="Q67" i="18"/>
  <c r="Q64" i="18"/>
  <c r="Q73" i="18"/>
  <c r="Q49" i="18"/>
  <c r="Q42" i="18"/>
  <c r="Q60" i="18"/>
  <c r="Q75" i="18"/>
  <c r="Q68" i="18"/>
  <c r="Q43" i="18"/>
  <c r="Q58" i="18"/>
  <c r="Q76" i="18"/>
  <c r="I138" i="18"/>
  <c r="Q46" i="18"/>
  <c r="Q65" i="18"/>
  <c r="Q61" i="18"/>
  <c r="Q44" i="18"/>
  <c r="Q63" i="18"/>
  <c r="Q74" i="18"/>
  <c r="I135" i="18"/>
  <c r="I96" i="22" s="1"/>
  <c r="Q47" i="18"/>
  <c r="Q50" i="18"/>
  <c r="Q69" i="18"/>
  <c r="Q54" i="18"/>
  <c r="Q72" i="18"/>
  <c r="Q71" i="18"/>
  <c r="Q66" i="18"/>
  <c r="Q70" i="18"/>
  <c r="I79" i="18"/>
  <c r="Q56" i="18"/>
  <c r="Q59" i="18"/>
  <c r="Q51" i="18"/>
  <c r="Q45" i="18"/>
  <c r="P22" i="21"/>
  <c r="S112" i="21"/>
  <c r="P160" i="18"/>
  <c r="Q62" i="18"/>
  <c r="I133" i="22"/>
  <c r="I128" i="20"/>
  <c r="I72" i="20" s="1"/>
  <c r="H99" i="18"/>
  <c r="H104" i="18" s="1"/>
  <c r="Q84" i="20"/>
  <c r="Q71" i="20"/>
  <c r="Q12" i="22" s="1"/>
  <c r="Q74" i="20"/>
  <c r="Q72" i="20"/>
  <c r="Q102" i="20"/>
  <c r="Q38" i="22" s="1"/>
  <c r="X62" i="20"/>
  <c r="S110" i="21"/>
  <c r="AC16" i="22"/>
  <c r="AE74" i="20"/>
  <c r="AC15" i="22" s="1"/>
  <c r="K175" i="18"/>
  <c r="S30" i="18"/>
  <c r="S24" i="18"/>
  <c r="S12" i="18"/>
  <c r="S23" i="18"/>
  <c r="S11" i="18"/>
  <c r="S10" i="18"/>
  <c r="S32" i="18"/>
  <c r="K37" i="18"/>
  <c r="S29" i="18"/>
  <c r="S16" i="18"/>
  <c r="S34" i="18"/>
  <c r="S17" i="18"/>
  <c r="S35" i="18"/>
  <c r="S20" i="18"/>
  <c r="S22" i="18"/>
  <c r="S21" i="18"/>
  <c r="S18" i="18"/>
  <c r="S15" i="18"/>
  <c r="K137" i="22"/>
  <c r="S26" i="18"/>
  <c r="S31" i="18"/>
  <c r="S19" i="18"/>
  <c r="S14" i="18"/>
  <c r="K127" i="18"/>
  <c r="K84" i="22" s="1"/>
  <c r="S33" i="18"/>
  <c r="K132" i="20"/>
  <c r="R55" i="18"/>
  <c r="R73" i="18"/>
  <c r="R51" i="18"/>
  <c r="R44" i="18"/>
  <c r="R63" i="18"/>
  <c r="R76" i="18"/>
  <c r="R42" i="18"/>
  <c r="R68" i="18"/>
  <c r="J138" i="18"/>
  <c r="J111" i="18"/>
  <c r="R65" i="18"/>
  <c r="R43" i="18"/>
  <c r="R71" i="18"/>
  <c r="R54" i="18"/>
  <c r="R52" i="18"/>
  <c r="R74" i="18"/>
  <c r="R72" i="18"/>
  <c r="R60" i="18"/>
  <c r="R69" i="18"/>
  <c r="J135" i="18"/>
  <c r="J96" i="22" s="1"/>
  <c r="R53" i="18"/>
  <c r="R59" i="18"/>
  <c r="R67" i="18"/>
  <c r="R64" i="18"/>
  <c r="R46" i="18"/>
  <c r="R50" i="18"/>
  <c r="R45" i="18"/>
  <c r="R47" i="18"/>
  <c r="R58" i="18"/>
  <c r="R77" i="18"/>
  <c r="R56" i="18"/>
  <c r="R57" i="18"/>
  <c r="R61" i="18"/>
  <c r="R75" i="18"/>
  <c r="J79" i="18"/>
  <c r="R70" i="18"/>
  <c r="R66" i="18"/>
  <c r="G84" i="20"/>
  <c r="G74" i="20"/>
  <c r="G63" i="20"/>
  <c r="G88" i="15"/>
  <c r="M264" i="6"/>
  <c r="L70" i="15"/>
  <c r="G84" i="15"/>
  <c r="N82" i="15" s="1"/>
  <c r="F84" i="15"/>
  <c r="M82" i="15" s="1"/>
  <c r="Q10" i="15"/>
  <c r="V22" i="23"/>
  <c r="V26" i="23"/>
  <c r="V16" i="23"/>
  <c r="V35" i="23"/>
  <c r="V31" i="23"/>
  <c r="V34" i="23"/>
  <c r="V20" i="23"/>
  <c r="V32" i="23"/>
  <c r="V11" i="23"/>
  <c r="V25" i="23"/>
  <c r="V12" i="23"/>
  <c r="T53" i="23"/>
  <c r="L65" i="15"/>
  <c r="V18" i="23"/>
  <c r="V15" i="23"/>
  <c r="V10" i="23"/>
  <c r="I107" i="15"/>
  <c r="I111" i="15" s="1"/>
  <c r="I113" i="15" s="1"/>
  <c r="S26" i="25"/>
  <c r="V36" i="23"/>
  <c r="V14" i="23"/>
  <c r="V13" i="23"/>
  <c r="V37" i="23"/>
  <c r="V30" i="23"/>
  <c r="V28" i="23"/>
  <c r="J66" i="15"/>
  <c r="L66" i="15" s="1"/>
  <c r="H63" i="15"/>
  <c r="V9" i="23"/>
  <c r="T65" i="23"/>
  <c r="T64" i="23"/>
  <c r="M270" i="6"/>
  <c r="I270" i="6"/>
  <c r="L64" i="15"/>
  <c r="AJ10" i="6"/>
  <c r="T50" i="23"/>
  <c r="T71" i="23"/>
  <c r="T82" i="23"/>
  <c r="S19" i="25"/>
  <c r="G27" i="25"/>
  <c r="S27" i="25" s="1"/>
  <c r="S20" i="25"/>
  <c r="S11" i="25"/>
  <c r="S21" i="25"/>
  <c r="H49" i="24"/>
  <c r="H53" i="24" s="1"/>
  <c r="AE10" i="6"/>
  <c r="J63" i="15"/>
  <c r="M33" i="15"/>
  <c r="AF10" i="6"/>
  <c r="Q12" i="15"/>
  <c r="Q28" i="15"/>
  <c r="J45" i="15"/>
  <c r="J46" i="15" s="1"/>
  <c r="Q22" i="15"/>
  <c r="Q24" i="15"/>
  <c r="Q21" i="15"/>
  <c r="Q16" i="15"/>
  <c r="Q29" i="15"/>
  <c r="Q36" i="15"/>
  <c r="Q37" i="15"/>
  <c r="Q15" i="15"/>
  <c r="Q9" i="15"/>
  <c r="Q17" i="15"/>
  <c r="Q39" i="15"/>
  <c r="Q23" i="15"/>
  <c r="J220" i="24"/>
  <c r="Q13" i="15"/>
  <c r="Q34" i="15"/>
  <c r="Q19" i="15"/>
  <c r="Q30" i="15"/>
  <c r="Q35" i="15"/>
  <c r="Q31" i="15"/>
  <c r="Q32" i="15"/>
  <c r="Q27" i="15"/>
  <c r="Q38" i="15"/>
  <c r="J52" i="15"/>
  <c r="J56" i="15" s="1"/>
  <c r="J58" i="15" s="1"/>
  <c r="Q26" i="15"/>
  <c r="X39" i="15"/>
  <c r="J71" i="15" s="1"/>
  <c r="J73" i="15" s="1"/>
  <c r="Q14" i="15"/>
  <c r="Q20" i="15"/>
  <c r="P33" i="15"/>
  <c r="I273" i="6"/>
  <c r="R76" i="23"/>
  <c r="J221" i="24"/>
  <c r="G225" i="25"/>
  <c r="G226" i="25" s="1"/>
  <c r="I49" i="24"/>
  <c r="I53" i="24" s="1"/>
  <c r="R223" i="25"/>
  <c r="R221" i="25"/>
  <c r="R218" i="25"/>
  <c r="R219" i="25"/>
  <c r="R216" i="25"/>
  <c r="R220" i="25"/>
  <c r="R217" i="25"/>
  <c r="S67" i="23"/>
  <c r="S64" i="23"/>
  <c r="S52" i="23"/>
  <c r="S62" i="23"/>
  <c r="S65" i="23"/>
  <c r="S59" i="23"/>
  <c r="S80" i="23"/>
  <c r="S63" i="23"/>
  <c r="AG45" i="6"/>
  <c r="AI10" i="6"/>
  <c r="AH10" i="6"/>
  <c r="K9" i="6"/>
  <c r="K70" i="6" s="1"/>
  <c r="K72" i="6" s="1"/>
  <c r="R222" i="25"/>
  <c r="AK10" i="6"/>
  <c r="R83" i="23"/>
  <c r="R67" i="23"/>
  <c r="R52" i="23"/>
  <c r="R49" i="23"/>
  <c r="R70" i="23"/>
  <c r="R55" i="23"/>
  <c r="R57" i="23"/>
  <c r="R66" i="23"/>
  <c r="R64" i="23"/>
  <c r="R62" i="23"/>
  <c r="F124" i="23"/>
  <c r="R63" i="23"/>
  <c r="R79" i="23"/>
  <c r="R82" i="23"/>
  <c r="R59" i="23"/>
  <c r="R72" i="23"/>
  <c r="R78" i="23"/>
  <c r="R71" i="23"/>
  <c r="R60" i="23"/>
  <c r="R65" i="23"/>
  <c r="R47" i="23"/>
  <c r="R80" i="23"/>
  <c r="R68" i="23"/>
  <c r="R61" i="23"/>
  <c r="R50" i="23"/>
  <c r="R54" i="23"/>
  <c r="R73" i="23"/>
  <c r="R75" i="23"/>
  <c r="R56" i="23"/>
  <c r="R51" i="23"/>
  <c r="R48" i="23"/>
  <c r="R53" i="23"/>
  <c r="R88" i="23"/>
  <c r="R77" i="23"/>
  <c r="R85" i="23"/>
  <c r="R81" i="23"/>
  <c r="R84" i="23"/>
  <c r="R26" i="23"/>
  <c r="R27" i="23"/>
  <c r="R24" i="23"/>
  <c r="R15" i="23"/>
  <c r="R11" i="23"/>
  <c r="R38" i="23"/>
  <c r="R39" i="23"/>
  <c r="R36" i="23"/>
  <c r="R19" i="23"/>
  <c r="R21" i="23"/>
  <c r="R13" i="23"/>
  <c r="R40" i="23"/>
  <c r="R18" i="23"/>
  <c r="R32" i="23"/>
  <c r="R30" i="23"/>
  <c r="R22" i="23"/>
  <c r="R20" i="23"/>
  <c r="R16" i="23"/>
  <c r="R17" i="23"/>
  <c r="R37" i="23"/>
  <c r="R12" i="23"/>
  <c r="R31" i="23"/>
  <c r="R35" i="23"/>
  <c r="R28" i="23"/>
  <c r="R10" i="23"/>
  <c r="R25" i="23"/>
  <c r="R9" i="23"/>
  <c r="U9" i="23"/>
  <c r="H107" i="15"/>
  <c r="H111" i="15" s="1"/>
  <c r="H113" i="15" s="1"/>
  <c r="O83" i="15"/>
  <c r="O82" i="15"/>
  <c r="Q33" i="15"/>
  <c r="Q25" i="15"/>
  <c r="S76" i="23"/>
  <c r="AH45" i="6"/>
  <c r="I225" i="25"/>
  <c r="I226" i="25" s="1"/>
  <c r="I9" i="6"/>
  <c r="U21" i="23"/>
  <c r="U12" i="23"/>
  <c r="U40" i="23"/>
  <c r="U20" i="23"/>
  <c r="U34" i="23"/>
  <c r="U38" i="23"/>
  <c r="U30" i="23"/>
  <c r="U28" i="23"/>
  <c r="U13" i="23"/>
  <c r="U15" i="23"/>
  <c r="U18" i="23"/>
  <c r="U32" i="23"/>
  <c r="U36" i="23"/>
  <c r="U24" i="23"/>
  <c r="U11" i="23"/>
  <c r="U25" i="23"/>
  <c r="U22" i="23"/>
  <c r="U39" i="23"/>
  <c r="U31" i="23"/>
  <c r="U19" i="23"/>
  <c r="U17" i="23"/>
  <c r="U26" i="23"/>
  <c r="U10" i="23"/>
  <c r="U35" i="23"/>
  <c r="U16" i="23"/>
  <c r="U27" i="23"/>
  <c r="U37" i="23"/>
  <c r="U14" i="23"/>
  <c r="W20" i="25"/>
  <c r="K27" i="25"/>
  <c r="W27" i="25" s="1"/>
  <c r="W26" i="25"/>
  <c r="W11" i="25"/>
  <c r="W19" i="25"/>
  <c r="W21" i="25"/>
  <c r="I220" i="24"/>
  <c r="R26" i="25"/>
  <c r="R19" i="25"/>
  <c r="F27" i="25"/>
  <c r="R27" i="25" s="1"/>
  <c r="R21" i="25"/>
  <c r="R22" i="25"/>
  <c r="R20" i="25"/>
  <c r="R16" i="25"/>
  <c r="R11" i="25"/>
  <c r="R13" i="25"/>
  <c r="R12" i="25"/>
  <c r="V26" i="25"/>
  <c r="V19" i="25"/>
  <c r="J27" i="25"/>
  <c r="V27" i="25" s="1"/>
  <c r="V20" i="25"/>
  <c r="V11" i="25"/>
  <c r="V21" i="25"/>
  <c r="G9" i="6"/>
  <c r="AD9" i="6" s="1"/>
  <c r="W223" i="25"/>
  <c r="T9" i="6"/>
  <c r="Q16" i="25"/>
  <c r="Q22" i="25"/>
  <c r="Q27" i="25"/>
  <c r="Q13" i="25"/>
  <c r="Q19" i="25"/>
  <c r="Q24" i="25" s="1"/>
  <c r="Q26" i="25"/>
  <c r="Q21" i="25"/>
  <c r="Q20" i="25"/>
  <c r="Q11" i="25"/>
  <c r="Q17" i="25" s="1"/>
  <c r="Q12" i="25"/>
  <c r="U19" i="25"/>
  <c r="U26" i="25"/>
  <c r="U21" i="25"/>
  <c r="U11" i="25"/>
  <c r="I27" i="25"/>
  <c r="U27" i="25" s="1"/>
  <c r="U20" i="25"/>
  <c r="F70" i="6"/>
  <c r="F72" i="6" s="1"/>
  <c r="T11" i="25"/>
  <c r="T26" i="25"/>
  <c r="H27" i="25"/>
  <c r="T27" i="25" s="1"/>
  <c r="T21" i="25"/>
  <c r="T19" i="25"/>
  <c r="T20" i="25"/>
  <c r="W218" i="25"/>
  <c r="W217" i="25"/>
  <c r="W219" i="25"/>
  <c r="W216" i="25"/>
  <c r="W222" i="25"/>
  <c r="W221" i="25"/>
  <c r="AE45" i="6"/>
  <c r="N39" i="15"/>
  <c r="N14" i="15"/>
  <c r="N17" i="15"/>
  <c r="N10" i="15"/>
  <c r="N15" i="15"/>
  <c r="N9" i="15"/>
  <c r="U39" i="15"/>
  <c r="G71" i="15" s="1"/>
  <c r="N25" i="15"/>
  <c r="N22" i="15"/>
  <c r="N26" i="15"/>
  <c r="N27" i="15"/>
  <c r="N23" i="15"/>
  <c r="N12" i="15"/>
  <c r="G52" i="15"/>
  <c r="G56" i="15" s="1"/>
  <c r="G58" i="15" s="1"/>
  <c r="N29" i="15"/>
  <c r="N20" i="15"/>
  <c r="N30" i="15"/>
  <c r="N34" i="15"/>
  <c r="N37" i="15"/>
  <c r="N38" i="15"/>
  <c r="N31" i="15"/>
  <c r="N35" i="15"/>
  <c r="N19" i="15"/>
  <c r="N11" i="15"/>
  <c r="N21" i="15"/>
  <c r="N16" i="15"/>
  <c r="N13" i="15"/>
  <c r="N18" i="15"/>
  <c r="G45" i="15"/>
  <c r="G46" i="15" s="1"/>
  <c r="G55" i="22" s="1"/>
  <c r="N36" i="15"/>
  <c r="N32" i="15"/>
  <c r="N28" i="15"/>
  <c r="M38" i="15"/>
  <c r="M20" i="15"/>
  <c r="M35" i="15"/>
  <c r="M16" i="15"/>
  <c r="M15" i="15"/>
  <c r="M34" i="15"/>
  <c r="M27" i="15"/>
  <c r="M36" i="15"/>
  <c r="M25" i="15"/>
  <c r="M31" i="15"/>
  <c r="F52" i="15"/>
  <c r="F56" i="15" s="1"/>
  <c r="F58" i="15" s="1"/>
  <c r="M22" i="15"/>
  <c r="M19" i="15"/>
  <c r="M11" i="15"/>
  <c r="M18" i="15"/>
  <c r="M29" i="15"/>
  <c r="M12" i="15"/>
  <c r="M10" i="15"/>
  <c r="M26" i="15"/>
  <c r="M39" i="15"/>
  <c r="M21" i="15"/>
  <c r="M17" i="15"/>
  <c r="M13" i="15"/>
  <c r="M24" i="15"/>
  <c r="F45" i="15"/>
  <c r="F46" i="15" s="1"/>
  <c r="F55" i="22" s="1"/>
  <c r="M37" i="15"/>
  <c r="M30" i="15"/>
  <c r="M14" i="15"/>
  <c r="M32" i="15"/>
  <c r="M28" i="15"/>
  <c r="M23" i="15"/>
  <c r="P25" i="15"/>
  <c r="W39" i="15"/>
  <c r="I71" i="15" s="1"/>
  <c r="I73" i="15" s="1"/>
  <c r="P29" i="15"/>
  <c r="P28" i="15"/>
  <c r="P24" i="15"/>
  <c r="P27" i="15"/>
  <c r="P32" i="15"/>
  <c r="P30" i="15"/>
  <c r="I45" i="15"/>
  <c r="I46" i="15" s="1"/>
  <c r="I55" i="22" s="1"/>
  <c r="P39" i="15"/>
  <c r="P22" i="15"/>
  <c r="P20" i="15"/>
  <c r="P16" i="15"/>
  <c r="P31" i="15"/>
  <c r="P36" i="15"/>
  <c r="P35" i="15"/>
  <c r="P21" i="15"/>
  <c r="P18" i="15"/>
  <c r="P37" i="15"/>
  <c r="I52" i="15"/>
  <c r="I56" i="15" s="1"/>
  <c r="I58" i="15" s="1"/>
  <c r="P10" i="15"/>
  <c r="P14" i="15"/>
  <c r="P26" i="15"/>
  <c r="P34" i="15"/>
  <c r="P13" i="15"/>
  <c r="P23" i="15"/>
  <c r="P12" i="15"/>
  <c r="P38" i="15"/>
  <c r="P15" i="15"/>
  <c r="P11" i="15"/>
  <c r="P19" i="15"/>
  <c r="P17" i="15"/>
  <c r="N33" i="15"/>
  <c r="V39" i="15"/>
  <c r="H71" i="15" s="1"/>
  <c r="H73" i="15" s="1"/>
  <c r="O16" i="15"/>
  <c r="O15" i="15"/>
  <c r="O30" i="15"/>
  <c r="O29" i="15"/>
  <c r="O21" i="15"/>
  <c r="O20" i="15"/>
  <c r="O12" i="15"/>
  <c r="O34" i="15"/>
  <c r="O23" i="15"/>
  <c r="O18" i="15"/>
  <c r="O22" i="15"/>
  <c r="O25" i="15"/>
  <c r="H52" i="15"/>
  <c r="H56" i="15" s="1"/>
  <c r="H58" i="15" s="1"/>
  <c r="O36" i="15"/>
  <c r="O38" i="15"/>
  <c r="O13" i="15"/>
  <c r="O31" i="15"/>
  <c r="O9" i="15"/>
  <c r="O32" i="15"/>
  <c r="O11" i="15"/>
  <c r="O37" i="15"/>
  <c r="O14" i="15"/>
  <c r="O27" i="15"/>
  <c r="O28" i="15"/>
  <c r="O19" i="15"/>
  <c r="O10" i="15"/>
  <c r="H45" i="15"/>
  <c r="H46" i="15" s="1"/>
  <c r="H55" i="22" s="1"/>
  <c r="O39" i="15"/>
  <c r="O26" i="15"/>
  <c r="O17" i="15"/>
  <c r="O35" i="15"/>
  <c r="O24" i="15"/>
  <c r="G281" i="6"/>
  <c r="G279" i="6"/>
  <c r="G276" i="6"/>
  <c r="G282" i="6"/>
  <c r="G277" i="6"/>
  <c r="G275" i="6"/>
  <c r="G278" i="6"/>
  <c r="G280" i="6"/>
  <c r="G274" i="6"/>
  <c r="H276" i="6"/>
  <c r="H278" i="6"/>
  <c r="H280" i="6"/>
  <c r="H281" i="6"/>
  <c r="H279" i="6"/>
  <c r="H274" i="6"/>
  <c r="H282" i="6"/>
  <c r="H277" i="6"/>
  <c r="H275" i="6"/>
  <c r="I298" i="24"/>
  <c r="K49" i="24"/>
  <c r="K53" i="24" s="1"/>
  <c r="H298" i="24"/>
  <c r="K220" i="24"/>
  <c r="J298" i="24"/>
  <c r="J49" i="24"/>
  <c r="J53" i="24" s="1"/>
  <c r="K221" i="24"/>
  <c r="X218" i="25" l="1"/>
  <c r="O226" i="25"/>
  <c r="AA218" i="25"/>
  <c r="AA220" i="25"/>
  <c r="Z218" i="25"/>
  <c r="Z221" i="25"/>
  <c r="Z219" i="25"/>
  <c r="Y221" i="25"/>
  <c r="T223" i="25"/>
  <c r="Y222" i="25"/>
  <c r="Z216" i="25"/>
  <c r="V223" i="25"/>
  <c r="V219" i="25"/>
  <c r="T219" i="25"/>
  <c r="V222" i="25"/>
  <c r="Z217" i="25"/>
  <c r="Z225" i="25" s="1"/>
  <c r="AA222" i="25"/>
  <c r="AA221" i="25"/>
  <c r="T217" i="25"/>
  <c r="V221" i="25"/>
  <c r="Z220" i="25"/>
  <c r="M226" i="25"/>
  <c r="M204" i="25"/>
  <c r="AA219" i="25"/>
  <c r="AA216" i="25"/>
  <c r="AA225" i="25" s="1"/>
  <c r="V216" i="25"/>
  <c r="Y216" i="25"/>
  <c r="AA217" i="25"/>
  <c r="J204" i="25"/>
  <c r="Y223" i="25"/>
  <c r="N226" i="25"/>
  <c r="N204" i="25"/>
  <c r="V217" i="25"/>
  <c r="T221" i="25"/>
  <c r="T216" i="25"/>
  <c r="T220" i="25"/>
  <c r="V218" i="25"/>
  <c r="Z222" i="25"/>
  <c r="Z223" i="25"/>
  <c r="H204" i="25"/>
  <c r="Y217" i="25"/>
  <c r="L226" i="25"/>
  <c r="L204" i="25"/>
  <c r="AA223" i="25"/>
  <c r="T218" i="25"/>
  <c r="V220" i="25"/>
  <c r="T222" i="25"/>
  <c r="Y219" i="25"/>
  <c r="X223" i="25"/>
  <c r="X225" i="25" s="1"/>
  <c r="T59" i="23"/>
  <c r="T66" i="23"/>
  <c r="T80" i="23"/>
  <c r="T55" i="23"/>
  <c r="V79" i="23"/>
  <c r="T78" i="23"/>
  <c r="T48" i="23"/>
  <c r="T68" i="23"/>
  <c r="V77" i="23"/>
  <c r="G91" i="23"/>
  <c r="T72" i="23"/>
  <c r="H148" i="23"/>
  <c r="G124" i="23"/>
  <c r="V50" i="23"/>
  <c r="T52" i="23"/>
  <c r="T56" i="23"/>
  <c r="V72" i="23"/>
  <c r="V55" i="23"/>
  <c r="T70" i="23"/>
  <c r="T47" i="23"/>
  <c r="T75" i="23"/>
  <c r="V88" i="23"/>
  <c r="V81" i="23"/>
  <c r="V64" i="23"/>
  <c r="T79" i="23"/>
  <c r="T88" i="23"/>
  <c r="T61" i="23"/>
  <c r="V70" i="23"/>
  <c r="V62" i="23"/>
  <c r="V87" i="23"/>
  <c r="V53" i="23"/>
  <c r="V52" i="23"/>
  <c r="V75" i="23"/>
  <c r="T85" i="23"/>
  <c r="T63" i="23"/>
  <c r="V66" i="23"/>
  <c r="V56" i="23"/>
  <c r="T73" i="23"/>
  <c r="T76" i="23"/>
  <c r="J209" i="23"/>
  <c r="V86" i="23"/>
  <c r="J91" i="23"/>
  <c r="V78" i="23"/>
  <c r="T87" i="23"/>
  <c r="V60" i="23"/>
  <c r="V48" i="23"/>
  <c r="T67" i="23"/>
  <c r="V82" i="23"/>
  <c r="V63" i="23"/>
  <c r="T84" i="23"/>
  <c r="T49" i="23"/>
  <c r="H124" i="23"/>
  <c r="V54" i="23"/>
  <c r="V47" i="23"/>
  <c r="V74" i="23"/>
  <c r="V83" i="23"/>
  <c r="T51" i="23"/>
  <c r="V76" i="23"/>
  <c r="V67" i="23"/>
  <c r="V57" i="23"/>
  <c r="T83" i="23"/>
  <c r="T62" i="23"/>
  <c r="H91" i="23"/>
  <c r="T74" i="23"/>
  <c r="J148" i="23"/>
  <c r="J124" i="23"/>
  <c r="V65" i="23"/>
  <c r="V85" i="23"/>
  <c r="T57" i="23"/>
  <c r="V71" i="23"/>
  <c r="V68" i="23"/>
  <c r="V61" i="23"/>
  <c r="V49" i="23"/>
  <c r="V84" i="23"/>
  <c r="T81" i="23"/>
  <c r="T54" i="23"/>
  <c r="T89" i="23"/>
  <c r="V73" i="23"/>
  <c r="T77" i="23"/>
  <c r="V59" i="23"/>
  <c r="V51" i="23"/>
  <c r="V80" i="23"/>
  <c r="T60" i="23"/>
  <c r="S48" i="23"/>
  <c r="S78" i="23"/>
  <c r="S84" i="23"/>
  <c r="S53" i="23"/>
  <c r="I124" i="23"/>
  <c r="H247" i="23"/>
  <c r="S71" i="23"/>
  <c r="S54" i="23"/>
  <c r="S85" i="23"/>
  <c r="I91" i="23"/>
  <c r="S61" i="23"/>
  <c r="U89" i="23"/>
  <c r="L236" i="23"/>
  <c r="X218" i="23" s="1"/>
  <c r="L244" i="23"/>
  <c r="G209" i="23"/>
  <c r="S72" i="23"/>
  <c r="S50" i="23"/>
  <c r="S73" i="23"/>
  <c r="S49" i="23"/>
  <c r="S70" i="23"/>
  <c r="S69" i="23"/>
  <c r="S60" i="23"/>
  <c r="S56" i="23"/>
  <c r="S89" i="23"/>
  <c r="I248" i="23"/>
  <c r="J248" i="23"/>
  <c r="K248" i="23"/>
  <c r="L248" i="23"/>
  <c r="M248" i="23"/>
  <c r="N248" i="23"/>
  <c r="O248" i="23"/>
  <c r="S82" i="23"/>
  <c r="S55" i="23"/>
  <c r="S81" i="23"/>
  <c r="S79" i="23"/>
  <c r="H209" i="23"/>
  <c r="N552" i="19"/>
  <c r="P552" i="19"/>
  <c r="O552" i="19"/>
  <c r="M552" i="19"/>
  <c r="S66" i="23"/>
  <c r="S75" i="23"/>
  <c r="S77" i="23"/>
  <c r="S51" i="23"/>
  <c r="G148" i="23"/>
  <c r="S47" i="23"/>
  <c r="S88" i="23"/>
  <c r="S57" i="23"/>
  <c r="I246" i="23"/>
  <c r="J246" i="23"/>
  <c r="K246" i="23"/>
  <c r="L246" i="23"/>
  <c r="M246" i="23"/>
  <c r="N246" i="23"/>
  <c r="O246" i="23"/>
  <c r="H246" i="23"/>
  <c r="S68" i="23"/>
  <c r="S83" i="23"/>
  <c r="S74" i="23"/>
  <c r="F249" i="23"/>
  <c r="W34" i="23"/>
  <c r="W11" i="23"/>
  <c r="W26" i="23"/>
  <c r="W30" i="23"/>
  <c r="W22" i="23"/>
  <c r="W14" i="23"/>
  <c r="W18" i="23"/>
  <c r="W20" i="23"/>
  <c r="K43" i="23"/>
  <c r="V69" i="23"/>
  <c r="J199" i="23"/>
  <c r="W17" i="23"/>
  <c r="W10" i="23"/>
  <c r="W24" i="23"/>
  <c r="W31" i="23"/>
  <c r="K149" i="23"/>
  <c r="W23" i="23"/>
  <c r="W32" i="23"/>
  <c r="W38" i="23"/>
  <c r="W41" i="23"/>
  <c r="T69" i="23"/>
  <c r="H199" i="23"/>
  <c r="W13" i="23"/>
  <c r="W28" i="23"/>
  <c r="W12" i="23"/>
  <c r="W29" i="23"/>
  <c r="W27" i="23"/>
  <c r="W36" i="23"/>
  <c r="W21" i="23"/>
  <c r="W19" i="23"/>
  <c r="U69" i="23"/>
  <c r="I199" i="23"/>
  <c r="W15" i="23"/>
  <c r="W35" i="23"/>
  <c r="W37" i="23"/>
  <c r="W40" i="23"/>
  <c r="G203" i="23"/>
  <c r="W25" i="23"/>
  <c r="W39" i="23"/>
  <c r="W9" i="23"/>
  <c r="W16" i="23"/>
  <c r="K137" i="23"/>
  <c r="K136" i="23"/>
  <c r="N127" i="25"/>
  <c r="N128" i="25" s="1"/>
  <c r="N295" i="24"/>
  <c r="N38" i="25"/>
  <c r="N25" i="25"/>
  <c r="N99" i="25" s="1"/>
  <c r="N71" i="25"/>
  <c r="Z264" i="6"/>
  <c r="Z262" i="6"/>
  <c r="Z260" i="6"/>
  <c r="Z263" i="6"/>
  <c r="Z261" i="6"/>
  <c r="M266" i="6"/>
  <c r="Y264" i="6"/>
  <c r="Y260" i="6"/>
  <c r="Y263" i="6"/>
  <c r="Y261" i="6"/>
  <c r="Y262" i="6"/>
  <c r="N311" i="6"/>
  <c r="N316" i="6" s="1"/>
  <c r="N318" i="6" s="1"/>
  <c r="N266" i="6"/>
  <c r="R225" i="25"/>
  <c r="R17" i="25"/>
  <c r="R24" i="25"/>
  <c r="H183" i="24"/>
  <c r="H54" i="24"/>
  <c r="I183" i="24"/>
  <c r="I54" i="24"/>
  <c r="K183" i="24"/>
  <c r="K54" i="24"/>
  <c r="J183" i="24"/>
  <c r="J54" i="24"/>
  <c r="G43" i="23"/>
  <c r="G149" i="23"/>
  <c r="T41" i="23"/>
  <c r="H149" i="23"/>
  <c r="H43" i="23"/>
  <c r="BL45" i="24"/>
  <c r="BL23" i="24"/>
  <c r="BI23" i="24"/>
  <c r="BJ23" i="24"/>
  <c r="AJ23" i="24"/>
  <c r="BH37" i="24"/>
  <c r="BH23" i="24"/>
  <c r="AH23" i="24"/>
  <c r="AL23" i="24"/>
  <c r="AI23" i="24"/>
  <c r="AM23" i="24"/>
  <c r="AK23" i="24"/>
  <c r="AY54" i="24"/>
  <c r="AY183" i="24"/>
  <c r="AY182" i="24" s="1"/>
  <c r="AZ54" i="24"/>
  <c r="AZ183" i="24"/>
  <c r="AZ182" i="24" s="1"/>
  <c r="AV54" i="24"/>
  <c r="AV183" i="24"/>
  <c r="AV182" i="24" s="1"/>
  <c r="S23" i="23"/>
  <c r="S41" i="23"/>
  <c r="AZ175" i="24"/>
  <c r="AZ272" i="24"/>
  <c r="BL16" i="24"/>
  <c r="BL25" i="24"/>
  <c r="AZ185" i="24"/>
  <c r="BL20" i="24"/>
  <c r="AZ264" i="24"/>
  <c r="AZ67" i="24"/>
  <c r="AZ69" i="24" s="1"/>
  <c r="AZ273" i="24"/>
  <c r="AB221" i="24"/>
  <c r="AZ176" i="24"/>
  <c r="BA220" i="24" s="1"/>
  <c r="AZ269" i="24"/>
  <c r="BL50" i="24"/>
  <c r="BL37" i="24"/>
  <c r="BL21" i="24"/>
  <c r="AZ268" i="24"/>
  <c r="BL24" i="24"/>
  <c r="AZ275" i="24"/>
  <c r="AZ255" i="24"/>
  <c r="BL10" i="24"/>
  <c r="AZ266" i="24"/>
  <c r="BL26" i="24"/>
  <c r="AZ215" i="24"/>
  <c r="AZ267" i="24"/>
  <c r="BL48" i="24"/>
  <c r="BL29" i="24"/>
  <c r="BL39" i="24"/>
  <c r="BL22" i="24"/>
  <c r="AZ254" i="24"/>
  <c r="AZ265" i="24"/>
  <c r="AZ214" i="24"/>
  <c r="Y185" i="24"/>
  <c r="V32" i="6"/>
  <c r="R32" i="6"/>
  <c r="W32" i="6"/>
  <c r="AK12" i="24"/>
  <c r="R78" i="18"/>
  <c r="O48" i="18"/>
  <c r="O44" i="18"/>
  <c r="O52" i="18"/>
  <c r="O53" i="18"/>
  <c r="O63" i="18"/>
  <c r="AG13" i="22"/>
  <c r="O68" i="18"/>
  <c r="Q36" i="18"/>
  <c r="O61" i="18"/>
  <c r="O76" i="18"/>
  <c r="AG16" i="22"/>
  <c r="AI74" i="20"/>
  <c r="AG15" i="22" s="1"/>
  <c r="O74" i="18"/>
  <c r="O47" i="18"/>
  <c r="O60" i="18"/>
  <c r="O42" i="18"/>
  <c r="O70" i="18"/>
  <c r="O50" i="18"/>
  <c r="AG88" i="20"/>
  <c r="H114" i="22"/>
  <c r="O58" i="18"/>
  <c r="AG22" i="22"/>
  <c r="AI87" i="20"/>
  <c r="AG25" i="22" s="1"/>
  <c r="O43" i="18"/>
  <c r="O41" i="18"/>
  <c r="O75" i="18"/>
  <c r="P175" i="18"/>
  <c r="O57" i="18"/>
  <c r="O51" i="18"/>
  <c r="G112" i="22"/>
  <c r="Q15" i="21"/>
  <c r="N115" i="21"/>
  <c r="U39" i="22"/>
  <c r="O55" i="18"/>
  <c r="O49" i="18"/>
  <c r="O56" i="18"/>
  <c r="Y266" i="24"/>
  <c r="AK27" i="24"/>
  <c r="AK44" i="24"/>
  <c r="Y215" i="24"/>
  <c r="AK45" i="24"/>
  <c r="AK26" i="24"/>
  <c r="AK42" i="24"/>
  <c r="Y267" i="24"/>
  <c r="AK16" i="24"/>
  <c r="AK29" i="24"/>
  <c r="AK11" i="24"/>
  <c r="AK40" i="24"/>
  <c r="Y176" i="24"/>
  <c r="Y294" i="6"/>
  <c r="Y175" i="24"/>
  <c r="AK14" i="24"/>
  <c r="AK39" i="24"/>
  <c r="Y293" i="6"/>
  <c r="AK13" i="24"/>
  <c r="AK49" i="24"/>
  <c r="Y275" i="24"/>
  <c r="Y272" i="24"/>
  <c r="AK18" i="24"/>
  <c r="Y255" i="24"/>
  <c r="Y265" i="24"/>
  <c r="Y273" i="24"/>
  <c r="AK43" i="24"/>
  <c r="Y268" i="24"/>
  <c r="AK22" i="24"/>
  <c r="AK50" i="24"/>
  <c r="AK34" i="24"/>
  <c r="AK21" i="24"/>
  <c r="Y269" i="24"/>
  <c r="AK24" i="24"/>
  <c r="AK17" i="24"/>
  <c r="Y291" i="6"/>
  <c r="AK19" i="24"/>
  <c r="AK10" i="24"/>
  <c r="Y264" i="24"/>
  <c r="AK48" i="24"/>
  <c r="AK25" i="24"/>
  <c r="AK20" i="24"/>
  <c r="M297" i="6"/>
  <c r="Y254" i="24"/>
  <c r="Y292" i="6"/>
  <c r="Y295" i="6"/>
  <c r="AK41" i="24"/>
  <c r="S34" i="23"/>
  <c r="Y296" i="6"/>
  <c r="Y290" i="6"/>
  <c r="F270" i="6"/>
  <c r="AX175" i="24"/>
  <c r="AX185" i="24"/>
  <c r="R261" i="6"/>
  <c r="L264" i="6"/>
  <c r="F266" i="6"/>
  <c r="AA185" i="24"/>
  <c r="R260" i="6"/>
  <c r="R262" i="6"/>
  <c r="F311" i="6"/>
  <c r="F316" i="6" s="1"/>
  <c r="F318" i="6" s="1"/>
  <c r="R264" i="6"/>
  <c r="F273" i="6"/>
  <c r="R277" i="6" s="1"/>
  <c r="W225" i="25"/>
  <c r="S35" i="23"/>
  <c r="S19" i="23"/>
  <c r="S25" i="23"/>
  <c r="S13" i="23"/>
  <c r="V17" i="25"/>
  <c r="W24" i="25"/>
  <c r="W17" i="25"/>
  <c r="S11" i="23"/>
  <c r="S15" i="23"/>
  <c r="S24" i="23"/>
  <c r="S9" i="23"/>
  <c r="S12" i="23"/>
  <c r="U24" i="25"/>
  <c r="U17" i="25"/>
  <c r="S17" i="25"/>
  <c r="S17" i="23"/>
  <c r="S18" i="23"/>
  <c r="V24" i="25"/>
  <c r="S24" i="25"/>
  <c r="T17" i="25"/>
  <c r="T24" i="25"/>
  <c r="G188" i="23"/>
  <c r="F188" i="23"/>
  <c r="R90" i="23"/>
  <c r="R42" i="23"/>
  <c r="J55" i="24"/>
  <c r="I55" i="24"/>
  <c r="H55" i="24"/>
  <c r="G55" i="24"/>
  <c r="S22" i="21"/>
  <c r="O45" i="18"/>
  <c r="O78" i="18" s="1"/>
  <c r="O77" i="18"/>
  <c r="AE26" i="22"/>
  <c r="M36" i="18"/>
  <c r="S36" i="18"/>
  <c r="O64" i="18"/>
  <c r="O62" i="18"/>
  <c r="T26" i="23"/>
  <c r="H136" i="23"/>
  <c r="O20" i="21"/>
  <c r="G25" i="21"/>
  <c r="O13" i="21"/>
  <c r="O11" i="21"/>
  <c r="O19" i="21"/>
  <c r="O14" i="21"/>
  <c r="G74" i="21"/>
  <c r="G66" i="22" s="1"/>
  <c r="G48" i="21"/>
  <c r="G61" i="22" s="1"/>
  <c r="O24" i="21"/>
  <c r="O17" i="21"/>
  <c r="O12" i="21"/>
  <c r="O18" i="21"/>
  <c r="O21" i="21"/>
  <c r="R175" i="18"/>
  <c r="AD39" i="22"/>
  <c r="J112" i="22"/>
  <c r="R115" i="21"/>
  <c r="F127" i="20"/>
  <c r="F132" i="22"/>
  <c r="AE88" i="20"/>
  <c r="I130" i="20"/>
  <c r="I70" i="20" s="1"/>
  <c r="I11" i="22" s="1"/>
  <c r="AC26" i="22"/>
  <c r="O72" i="18"/>
  <c r="G138" i="18"/>
  <c r="O65" i="18"/>
  <c r="F134" i="22"/>
  <c r="F129" i="20"/>
  <c r="Q39" i="22"/>
  <c r="O46" i="18"/>
  <c r="G135" i="18"/>
  <c r="G96" i="22" s="1"/>
  <c r="G136" i="23"/>
  <c r="I188" i="23"/>
  <c r="H188" i="23"/>
  <c r="U42" i="23"/>
  <c r="V42" i="23"/>
  <c r="J188" i="23"/>
  <c r="K188" i="23"/>
  <c r="S14" i="23"/>
  <c r="S26" i="23"/>
  <c r="S21" i="23"/>
  <c r="S16" i="23"/>
  <c r="S27" i="23"/>
  <c r="S40" i="23"/>
  <c r="S28" i="23"/>
  <c r="S37" i="23"/>
  <c r="S30" i="23"/>
  <c r="S22" i="23"/>
  <c r="S39" i="23"/>
  <c r="G137" i="23"/>
  <c r="S36" i="23"/>
  <c r="S31" i="23"/>
  <c r="S20" i="23"/>
  <c r="S38" i="23"/>
  <c r="S10" i="23"/>
  <c r="S32" i="23"/>
  <c r="S29" i="23"/>
  <c r="J225" i="6"/>
  <c r="J227" i="6"/>
  <c r="J226" i="6"/>
  <c r="V58" i="6"/>
  <c r="V28" i="6"/>
  <c r="V12" i="6"/>
  <c r="V14" i="6"/>
  <c r="V13" i="6"/>
  <c r="R9" i="6"/>
  <c r="R28" i="6"/>
  <c r="R58" i="6"/>
  <c r="AE9" i="6"/>
  <c r="G70" i="6"/>
  <c r="G72" i="6" s="1"/>
  <c r="AJ9" i="6"/>
  <c r="L70" i="6"/>
  <c r="V9" i="6"/>
  <c r="AG9" i="6"/>
  <c r="I70" i="6"/>
  <c r="I72" i="6" s="1"/>
  <c r="K226" i="6"/>
  <c r="K227" i="6"/>
  <c r="K225" i="6"/>
  <c r="W28" i="6"/>
  <c r="W58" i="6"/>
  <c r="W13" i="6"/>
  <c r="W14" i="6"/>
  <c r="W12" i="6"/>
  <c r="BJ48" i="24"/>
  <c r="BI50" i="24"/>
  <c r="BI10" i="24"/>
  <c r="BI29" i="24"/>
  <c r="AW267" i="24"/>
  <c r="I209" i="23"/>
  <c r="U86" i="23"/>
  <c r="U87" i="23"/>
  <c r="K209" i="23"/>
  <c r="W87" i="23"/>
  <c r="W86" i="23"/>
  <c r="AH40" i="24"/>
  <c r="V215" i="24"/>
  <c r="Y221" i="24"/>
  <c r="AH42" i="24"/>
  <c r="AH25" i="24"/>
  <c r="V176" i="24"/>
  <c r="V266" i="24"/>
  <c r="AX272" i="24"/>
  <c r="AI10" i="24"/>
  <c r="AI39" i="24"/>
  <c r="AI50" i="24"/>
  <c r="AI37" i="24"/>
  <c r="AV264" i="24"/>
  <c r="AV268" i="24"/>
  <c r="AM22" i="24"/>
  <c r="Z254" i="24"/>
  <c r="BJ10" i="24"/>
  <c r="BJ25" i="24"/>
  <c r="AX254" i="24"/>
  <c r="BJ16" i="24"/>
  <c r="AL29" i="24"/>
  <c r="AX275" i="24"/>
  <c r="BJ39" i="24"/>
  <c r="AI20" i="24"/>
  <c r="AI24" i="24"/>
  <c r="AI25" i="24"/>
  <c r="AW254" i="24"/>
  <c r="BI25" i="24"/>
  <c r="AX269" i="24"/>
  <c r="BI39" i="24"/>
  <c r="BI45" i="24"/>
  <c r="BI21" i="24"/>
  <c r="BI24" i="24"/>
  <c r="AI53" i="24"/>
  <c r="K270" i="6"/>
  <c r="W254" i="24"/>
  <c r="W273" i="24"/>
  <c r="W185" i="24"/>
  <c r="BI16" i="24"/>
  <c r="AW272" i="24"/>
  <c r="BI48" i="24"/>
  <c r="AW273" i="24"/>
  <c r="AW265" i="24"/>
  <c r="AI21" i="24"/>
  <c r="W176" i="24"/>
  <c r="Z266" i="24"/>
  <c r="AW275" i="24"/>
  <c r="AW269" i="24"/>
  <c r="BI26" i="24"/>
  <c r="AY253" i="24"/>
  <c r="BK49" i="24"/>
  <c r="AI22" i="24"/>
  <c r="W267" i="24"/>
  <c r="AI29" i="24"/>
  <c r="AI44" i="24"/>
  <c r="W266" i="24"/>
  <c r="W272" i="24"/>
  <c r="AL25" i="24"/>
  <c r="W264" i="24"/>
  <c r="BH20" i="24"/>
  <c r="BJ50" i="24"/>
  <c r="BH48" i="24"/>
  <c r="W215" i="24"/>
  <c r="AL39" i="24"/>
  <c r="AI19" i="24"/>
  <c r="AV176" i="24"/>
  <c r="AX267" i="24"/>
  <c r="AV254" i="24"/>
  <c r="BH26" i="24"/>
  <c r="AY180" i="24"/>
  <c r="AA176" i="24"/>
  <c r="AC220" i="24" s="1"/>
  <c r="X185" i="24"/>
  <c r="AX60" i="24"/>
  <c r="AX67" i="24" s="1"/>
  <c r="AY69" i="24" s="1"/>
  <c r="AY179" i="24"/>
  <c r="AA254" i="24"/>
  <c r="W265" i="24"/>
  <c r="AX215" i="24"/>
  <c r="AY277" i="24"/>
  <c r="BK53" i="24"/>
  <c r="AV69" i="24"/>
  <c r="AM24" i="24"/>
  <c r="AH10" i="24"/>
  <c r="AH39" i="24"/>
  <c r="AH20" i="24"/>
  <c r="AH22" i="24"/>
  <c r="V267" i="24"/>
  <c r="AH19" i="24"/>
  <c r="AM19" i="24"/>
  <c r="AH53" i="24"/>
  <c r="AH50" i="24"/>
  <c r="AH41" i="24"/>
  <c r="AH12" i="24"/>
  <c r="Z185" i="24"/>
  <c r="AW60" i="24"/>
  <c r="AW67" i="24" s="1"/>
  <c r="AY175" i="24"/>
  <c r="V179" i="24"/>
  <c r="V254" i="24"/>
  <c r="AH29" i="24"/>
  <c r="AH37" i="24"/>
  <c r="AH21" i="24"/>
  <c r="AH24" i="24"/>
  <c r="AH44" i="24"/>
  <c r="V272" i="24"/>
  <c r="V264" i="24"/>
  <c r="V273" i="24"/>
  <c r="V269" i="24"/>
  <c r="AH26" i="24"/>
  <c r="AY266" i="24"/>
  <c r="BK25" i="24"/>
  <c r="BK16" i="24"/>
  <c r="BK29" i="24"/>
  <c r="AY255" i="24"/>
  <c r="BK39" i="24"/>
  <c r="BK22" i="24"/>
  <c r="BK10" i="24"/>
  <c r="BK45" i="24"/>
  <c r="BK26" i="24"/>
  <c r="BK50" i="24"/>
  <c r="AY269" i="24"/>
  <c r="AY265" i="24"/>
  <c r="BK20" i="24"/>
  <c r="BK24" i="24"/>
  <c r="AY275" i="24"/>
  <c r="AY267" i="24"/>
  <c r="BK21" i="24"/>
  <c r="BK27" i="24"/>
  <c r="AY215" i="24"/>
  <c r="AY272" i="24"/>
  <c r="AY273" i="24"/>
  <c r="AY264" i="24"/>
  <c r="AY176" i="24"/>
  <c r="BK48" i="24"/>
  <c r="BJ29" i="24"/>
  <c r="AY268" i="24"/>
  <c r="BJ21" i="24"/>
  <c r="AX265" i="24"/>
  <c r="BI20" i="24"/>
  <c r="AW27" i="24"/>
  <c r="AW49" i="24" s="1"/>
  <c r="AW53" i="24" s="1"/>
  <c r="AW264" i="24"/>
  <c r="AW176" i="24"/>
  <c r="AW175" i="24"/>
  <c r="AO26" i="20"/>
  <c r="AO10" i="20"/>
  <c r="AH23" i="20"/>
  <c r="AH126" i="20"/>
  <c r="AH85" i="20" s="1"/>
  <c r="AF23" i="22" s="1"/>
  <c r="AY185" i="24"/>
  <c r="BL27" i="24"/>
  <c r="AY254" i="24"/>
  <c r="BJ24" i="24"/>
  <c r="AX268" i="24"/>
  <c r="BJ37" i="24"/>
  <c r="AX27" i="24"/>
  <c r="AX49" i="24" s="1"/>
  <c r="AX53" i="24" s="1"/>
  <c r="BJ26" i="24"/>
  <c r="BJ45" i="24"/>
  <c r="AV266" i="24"/>
  <c r="AV255" i="24"/>
  <c r="BH22" i="24"/>
  <c r="AV267" i="24"/>
  <c r="BH39" i="24"/>
  <c r="BH10" i="24"/>
  <c r="BH45" i="24"/>
  <c r="BH21" i="24"/>
  <c r="BH50" i="24"/>
  <c r="AV272" i="24"/>
  <c r="BH24" i="24"/>
  <c r="AV275" i="24"/>
  <c r="AV269" i="24"/>
  <c r="BH16" i="24"/>
  <c r="BH25" i="24"/>
  <c r="AV265" i="24"/>
  <c r="BH29" i="24"/>
  <c r="AV215" i="24"/>
  <c r="AV273" i="24"/>
  <c r="AH27" i="24"/>
  <c r="AI17" i="24"/>
  <c r="BJ20" i="24"/>
  <c r="AX264" i="24"/>
  <c r="AX176" i="24"/>
  <c r="W289" i="6"/>
  <c r="AU49" i="24"/>
  <c r="BG27" i="24"/>
  <c r="BH27" i="24"/>
  <c r="AH99" i="20"/>
  <c r="AF35" i="22" s="1"/>
  <c r="AO47" i="20"/>
  <c r="AH57" i="20"/>
  <c r="AO57" i="20" s="1"/>
  <c r="AW268" i="24"/>
  <c r="BI37" i="24"/>
  <c r="AV175" i="24"/>
  <c r="AX266" i="24"/>
  <c r="BJ22" i="24"/>
  <c r="AX255" i="24"/>
  <c r="AW214" i="24"/>
  <c r="AX221" i="24" s="1"/>
  <c r="BK37" i="24"/>
  <c r="AO24" i="20"/>
  <c r="AH29" i="20"/>
  <c r="AV185" i="24"/>
  <c r="AW266" i="24"/>
  <c r="AW255" i="24"/>
  <c r="BI22" i="24"/>
  <c r="AW185" i="24"/>
  <c r="AJ24" i="24"/>
  <c r="X269" i="24"/>
  <c r="AJ34" i="24"/>
  <c r="AJ10" i="24"/>
  <c r="AJ40" i="24"/>
  <c r="W175" i="24"/>
  <c r="AH45" i="24"/>
  <c r="AJ37" i="24"/>
  <c r="X176" i="24"/>
  <c r="X175" i="24"/>
  <c r="Y67" i="24"/>
  <c r="Y70" i="24" s="1"/>
  <c r="AJ25" i="24"/>
  <c r="Z255" i="24"/>
  <c r="W255" i="24"/>
  <c r="AH34" i="24"/>
  <c r="AA255" i="24"/>
  <c r="W275" i="24"/>
  <c r="AH48" i="24"/>
  <c r="AJ39" i="24"/>
  <c r="AL10" i="24"/>
  <c r="AA179" i="24"/>
  <c r="AM25" i="24"/>
  <c r="AJ21" i="24"/>
  <c r="AJ20" i="24"/>
  <c r="AM50" i="24"/>
  <c r="X215" i="24"/>
  <c r="AJ44" i="24"/>
  <c r="AA215" i="24"/>
  <c r="AJ53" i="24"/>
  <c r="AL20" i="24"/>
  <c r="AJ50" i="24"/>
  <c r="AL22" i="24"/>
  <c r="X266" i="24"/>
  <c r="X264" i="24"/>
  <c r="AL17" i="24"/>
  <c r="AM43" i="24"/>
  <c r="AJ14" i="24"/>
  <c r="AJ12" i="24"/>
  <c r="AI49" i="24"/>
  <c r="AH11" i="24"/>
  <c r="V185" i="24"/>
  <c r="AL49" i="24"/>
  <c r="AJ41" i="24"/>
  <c r="AH14" i="24"/>
  <c r="AL18" i="24"/>
  <c r="AA268" i="24"/>
  <c r="AA272" i="24"/>
  <c r="X267" i="24"/>
  <c r="AI40" i="24"/>
  <c r="AI26" i="24"/>
  <c r="AI41" i="24"/>
  <c r="AJ43" i="24"/>
  <c r="AI14" i="24"/>
  <c r="V275" i="24"/>
  <c r="AH13" i="24"/>
  <c r="Z267" i="24"/>
  <c r="AM16" i="24"/>
  <c r="AM49" i="24"/>
  <c r="AJ45" i="24"/>
  <c r="AJ18" i="24"/>
  <c r="AI11" i="24"/>
  <c r="AA275" i="24"/>
  <c r="AI27" i="24"/>
  <c r="AL27" i="24"/>
  <c r="AL14" i="24"/>
  <c r="AM42" i="24"/>
  <c r="AJ11" i="24"/>
  <c r="AM34" i="24"/>
  <c r="AJ29" i="24"/>
  <c r="AM21" i="24"/>
  <c r="AM53" i="24"/>
  <c r="AM10" i="24"/>
  <c r="AA269" i="24"/>
  <c r="Z176" i="24"/>
  <c r="AM44" i="24"/>
  <c r="Z215" i="24"/>
  <c r="Z175" i="24"/>
  <c r="X179" i="24"/>
  <c r="Z273" i="24"/>
  <c r="X273" i="24"/>
  <c r="AL50" i="24"/>
  <c r="AJ22" i="24"/>
  <c r="AA264" i="24"/>
  <c r="AL48" i="24"/>
  <c r="AM14" i="24"/>
  <c r="AJ16" i="24"/>
  <c r="AM11" i="24"/>
  <c r="V268" i="24"/>
  <c r="V265" i="24"/>
  <c r="AL26" i="24"/>
  <c r="AL11" i="24"/>
  <c r="AM13" i="24"/>
  <c r="AM45" i="24"/>
  <c r="X255" i="24"/>
  <c r="AI42" i="24"/>
  <c r="AI48" i="24"/>
  <c r="Z275" i="24"/>
  <c r="AJ19" i="24"/>
  <c r="AH17" i="24"/>
  <c r="AL34" i="24"/>
  <c r="AL12" i="24"/>
  <c r="AM26" i="24"/>
  <c r="AJ48" i="24"/>
  <c r="AJ17" i="24"/>
  <c r="W269" i="24"/>
  <c r="AL45" i="24"/>
  <c r="AM17" i="24"/>
  <c r="AI34" i="24"/>
  <c r="AL43" i="24"/>
  <c r="Z265" i="24"/>
  <c r="Z268" i="24"/>
  <c r="X275" i="24"/>
  <c r="AM48" i="24"/>
  <c r="AL42" i="24"/>
  <c r="AJ26" i="24"/>
  <c r="AM29" i="24"/>
  <c r="AM37" i="24"/>
  <c r="AL21" i="24"/>
  <c r="AM20" i="24"/>
  <c r="AM39" i="24"/>
  <c r="AL37" i="24"/>
  <c r="AL44" i="24"/>
  <c r="V175" i="24"/>
  <c r="AL24" i="24"/>
  <c r="AA267" i="24"/>
  <c r="AA175" i="24"/>
  <c r="Z269" i="24"/>
  <c r="X272" i="24"/>
  <c r="Z272" i="24"/>
  <c r="AA273" i="24"/>
  <c r="AL41" i="24"/>
  <c r="AL13" i="24"/>
  <c r="AM40" i="24"/>
  <c r="X268" i="24"/>
  <c r="AI12" i="24"/>
  <c r="AI18" i="24"/>
  <c r="AH49" i="24"/>
  <c r="V255" i="24"/>
  <c r="AA265" i="24"/>
  <c r="W179" i="24"/>
  <c r="AH18" i="24"/>
  <c r="AH16" i="24"/>
  <c r="AL40" i="24"/>
  <c r="AM12" i="24"/>
  <c r="AM18" i="24"/>
  <c r="AJ13" i="24"/>
  <c r="AI16" i="24"/>
  <c r="AI13" i="24"/>
  <c r="AM27" i="24"/>
  <c r="AL19" i="24"/>
  <c r="AM41" i="24"/>
  <c r="AJ49" i="24"/>
  <c r="X265" i="24"/>
  <c r="AJ27" i="24"/>
  <c r="AI45" i="24"/>
  <c r="AL16" i="24"/>
  <c r="W268" i="24"/>
  <c r="X60" i="24"/>
  <c r="AA63" i="24"/>
  <c r="V60" i="24"/>
  <c r="W253" i="24"/>
  <c r="AA253" i="24"/>
  <c r="Z60" i="24"/>
  <c r="AA221" i="24"/>
  <c r="X63" i="24"/>
  <c r="V63" i="24"/>
  <c r="Z221" i="24"/>
  <c r="AA60" i="24"/>
  <c r="W60" i="24"/>
  <c r="Z253" i="24"/>
  <c r="X254" i="24"/>
  <c r="X253" i="24"/>
  <c r="V253" i="24"/>
  <c r="Z63" i="24"/>
  <c r="W63" i="24"/>
  <c r="K264" i="6"/>
  <c r="K266" i="6" s="1"/>
  <c r="Z288" i="6"/>
  <c r="X288" i="6"/>
  <c r="K273" i="6"/>
  <c r="Q303" i="6"/>
  <c r="T11" i="23"/>
  <c r="T35" i="23"/>
  <c r="J180" i="6"/>
  <c r="J182" i="6" s="1"/>
  <c r="J185" i="6" s="1"/>
  <c r="J188" i="6" s="1"/>
  <c r="N189" i="6" s="1"/>
  <c r="G67" i="24"/>
  <c r="G70" i="24" s="1"/>
  <c r="T32" i="23"/>
  <c r="T10" i="23"/>
  <c r="T37" i="23"/>
  <c r="T24" i="23"/>
  <c r="T27" i="23"/>
  <c r="T12" i="23"/>
  <c r="T20" i="23"/>
  <c r="T30" i="23"/>
  <c r="T19" i="23"/>
  <c r="T13" i="23"/>
  <c r="T16" i="23"/>
  <c r="T18" i="23"/>
  <c r="T38" i="23"/>
  <c r="T22" i="23"/>
  <c r="T34" i="23"/>
  <c r="T15" i="23"/>
  <c r="T39" i="23"/>
  <c r="T36" i="23"/>
  <c r="T40" i="23"/>
  <c r="T25" i="23"/>
  <c r="T14" i="23"/>
  <c r="T17" i="23"/>
  <c r="T28" i="23"/>
  <c r="T9" i="23"/>
  <c r="T21" i="23"/>
  <c r="T31" i="23"/>
  <c r="H137" i="23"/>
  <c r="W62" i="23"/>
  <c r="K148" i="23"/>
  <c r="U62" i="23"/>
  <c r="I148" i="23"/>
  <c r="T29" i="23"/>
  <c r="T23" i="23"/>
  <c r="K67" i="24"/>
  <c r="H67" i="24"/>
  <c r="H70" i="24" s="1"/>
  <c r="J129" i="24"/>
  <c r="G129" i="24"/>
  <c r="G153" i="24" s="1"/>
  <c r="I129" i="24"/>
  <c r="I153" i="24" s="1"/>
  <c r="H129" i="24"/>
  <c r="K129" i="24"/>
  <c r="K153" i="24" s="1"/>
  <c r="I180" i="6"/>
  <c r="I182" i="6" s="1"/>
  <c r="I185" i="6" s="1"/>
  <c r="I188" i="6" s="1"/>
  <c r="G179" i="24"/>
  <c r="G278" i="24" s="1"/>
  <c r="AL53" i="24"/>
  <c r="V261" i="6"/>
  <c r="U223" i="25"/>
  <c r="I204" i="25"/>
  <c r="S223" i="25"/>
  <c r="G204" i="25"/>
  <c r="N83" i="15"/>
  <c r="N84" i="15" s="1"/>
  <c r="G107" i="15"/>
  <c r="G111" i="15" s="1"/>
  <c r="G113" i="15" s="1"/>
  <c r="J270" i="6"/>
  <c r="L63" i="15"/>
  <c r="U263" i="6"/>
  <c r="I266" i="6"/>
  <c r="F107" i="15"/>
  <c r="F111" i="15" s="1"/>
  <c r="F113" i="15" s="1"/>
  <c r="M311" i="6"/>
  <c r="M316" i="6" s="1"/>
  <c r="M318" i="6" s="1"/>
  <c r="Q25" i="25"/>
  <c r="J273" i="6"/>
  <c r="M83" i="15"/>
  <c r="M84" i="15" s="1"/>
  <c r="AF9" i="6"/>
  <c r="Z180" i="24"/>
  <c r="Z179" i="24"/>
  <c r="U262" i="6"/>
  <c r="U260" i="6"/>
  <c r="U264" i="6"/>
  <c r="U261" i="6"/>
  <c r="H135" i="22"/>
  <c r="H130" i="20"/>
  <c r="G13" i="22"/>
  <c r="I13" i="22"/>
  <c r="K130" i="20"/>
  <c r="K135" i="22"/>
  <c r="Q87" i="20"/>
  <c r="Q25" i="22" s="1"/>
  <c r="Q22" i="22"/>
  <c r="I136" i="18"/>
  <c r="I97" i="22" s="1"/>
  <c r="I134" i="18"/>
  <c r="I95" i="22" s="1"/>
  <c r="K132" i="22"/>
  <c r="K127" i="20"/>
  <c r="M58" i="20" s="1"/>
  <c r="F99" i="18"/>
  <c r="F104" i="18" s="1"/>
  <c r="E78" i="18"/>
  <c r="I75" i="20"/>
  <c r="I16" i="22" s="1"/>
  <c r="I15" i="22"/>
  <c r="N22" i="21"/>
  <c r="S22" i="22"/>
  <c r="S87" i="20"/>
  <c r="S25" i="22" s="1"/>
  <c r="F22" i="22"/>
  <c r="Q22" i="21"/>
  <c r="Q23" i="21" s="1"/>
  <c r="H13" i="22"/>
  <c r="P23" i="21"/>
  <c r="R15" i="21"/>
  <c r="R30" i="21"/>
  <c r="R25" i="21"/>
  <c r="R28" i="21"/>
  <c r="R29" i="21"/>
  <c r="R27" i="21"/>
  <c r="O175" i="18"/>
  <c r="J113" i="22"/>
  <c r="J110" i="22"/>
  <c r="P78" i="18"/>
  <c r="M15" i="21"/>
  <c r="K60" i="20"/>
  <c r="G110" i="22"/>
  <c r="G113" i="22"/>
  <c r="I76" i="20"/>
  <c r="I17" i="22" s="1"/>
  <c r="G132" i="20"/>
  <c r="O9" i="18"/>
  <c r="O33" i="18"/>
  <c r="O35" i="18"/>
  <c r="G126" i="18"/>
  <c r="G83" i="22" s="1"/>
  <c r="O30" i="18"/>
  <c r="O34" i="18"/>
  <c r="O19" i="18"/>
  <c r="G137" i="22"/>
  <c r="O21" i="18"/>
  <c r="O15" i="18"/>
  <c r="O27" i="18"/>
  <c r="O24" i="18"/>
  <c r="O12" i="18"/>
  <c r="O14" i="18"/>
  <c r="H87" i="18"/>
  <c r="O13" i="18"/>
  <c r="O32" i="18"/>
  <c r="O20" i="18"/>
  <c r="O29" i="18"/>
  <c r="O18" i="18"/>
  <c r="O23" i="18"/>
  <c r="O16" i="18"/>
  <c r="O11" i="18"/>
  <c r="O17" i="18"/>
  <c r="O31" i="18"/>
  <c r="G37" i="18"/>
  <c r="O10" i="18"/>
  <c r="G127" i="18"/>
  <c r="G84" i="22" s="1"/>
  <c r="O22" i="18"/>
  <c r="G87" i="18"/>
  <c r="O26" i="18"/>
  <c r="O28" i="18"/>
  <c r="K76" i="20"/>
  <c r="K17" i="22" s="1"/>
  <c r="J132" i="22"/>
  <c r="J127" i="20"/>
  <c r="S78" i="18"/>
  <c r="G75" i="20"/>
  <c r="G16" i="22" s="1"/>
  <c r="G15" i="22"/>
  <c r="Q13" i="22"/>
  <c r="S25" i="21"/>
  <c r="S29" i="21"/>
  <c r="S30" i="21"/>
  <c r="S28" i="21"/>
  <c r="S27" i="21"/>
  <c r="N28" i="21"/>
  <c r="N27" i="21"/>
  <c r="N25" i="21"/>
  <c r="N30" i="21"/>
  <c r="N29" i="21"/>
  <c r="F15" i="22"/>
  <c r="F75" i="20"/>
  <c r="F16" i="22" s="1"/>
  <c r="Q27" i="21"/>
  <c r="Q25" i="21"/>
  <c r="Q29" i="21"/>
  <c r="Q30" i="21"/>
  <c r="Q28" i="21"/>
  <c r="T15" i="22"/>
  <c r="T75" i="20"/>
  <c r="T16" i="22" s="1"/>
  <c r="R22" i="21"/>
  <c r="K110" i="22"/>
  <c r="K113" i="22"/>
  <c r="K111" i="22"/>
  <c r="G130" i="20"/>
  <c r="G135" i="22"/>
  <c r="AD13" i="22"/>
  <c r="AD16" i="22"/>
  <c r="AF74" i="20"/>
  <c r="AD15" i="22" s="1"/>
  <c r="K134" i="22"/>
  <c r="K129" i="20"/>
  <c r="G136" i="22"/>
  <c r="G131" i="20"/>
  <c r="U13" i="22"/>
  <c r="U15" i="22"/>
  <c r="U75" i="20"/>
  <c r="U16" i="22" s="1"/>
  <c r="F113" i="22"/>
  <c r="F112" i="22"/>
  <c r="F111" i="22"/>
  <c r="F114" i="22" s="1"/>
  <c r="R22" i="22"/>
  <c r="R87" i="20"/>
  <c r="R25" i="22" s="1"/>
  <c r="I114" i="22"/>
  <c r="G136" i="18"/>
  <c r="G97" i="22" s="1"/>
  <c r="G134" i="18"/>
  <c r="G95" i="22" s="1"/>
  <c r="G22" i="22"/>
  <c r="J136" i="18"/>
  <c r="J97" i="22" s="1"/>
  <c r="J134" i="18"/>
  <c r="J95" i="22" s="1"/>
  <c r="Q15" i="22"/>
  <c r="Q75" i="20"/>
  <c r="Q16" i="22" s="1"/>
  <c r="S115" i="21"/>
  <c r="E107" i="22"/>
  <c r="E111" i="22"/>
  <c r="S39" i="22"/>
  <c r="S15" i="22"/>
  <c r="S75" i="20"/>
  <c r="S16" i="22" s="1"/>
  <c r="T22" i="22"/>
  <c r="T87" i="20"/>
  <c r="T25" i="22" s="1"/>
  <c r="K112" i="22"/>
  <c r="Q115" i="21"/>
  <c r="O115" i="21"/>
  <c r="H136" i="18"/>
  <c r="H97" i="22" s="1"/>
  <c r="H134" i="18"/>
  <c r="H95" i="22" s="1"/>
  <c r="N175" i="18"/>
  <c r="M175" i="18"/>
  <c r="M28" i="21"/>
  <c r="M30" i="21"/>
  <c r="M29" i="21"/>
  <c r="M25" i="21"/>
  <c r="M27" i="21"/>
  <c r="M22" i="21"/>
  <c r="AF87" i="20"/>
  <c r="AD25" i="22" s="1"/>
  <c r="AD22" i="22"/>
  <c r="P36" i="18"/>
  <c r="G134" i="22"/>
  <c r="G129" i="20"/>
  <c r="H134" i="22"/>
  <c r="H129" i="20"/>
  <c r="U22" i="22"/>
  <c r="U87" i="20"/>
  <c r="U25" i="22" s="1"/>
  <c r="R75" i="20"/>
  <c r="R16" i="22" s="1"/>
  <c r="R15" i="22"/>
  <c r="J76" i="20"/>
  <c r="J17" i="22" s="1"/>
  <c r="N59" i="18"/>
  <c r="N61" i="18"/>
  <c r="N60" i="18"/>
  <c r="N45" i="18"/>
  <c r="N77" i="18"/>
  <c r="N63" i="18"/>
  <c r="N50" i="18"/>
  <c r="N64" i="18"/>
  <c r="N71" i="18"/>
  <c r="N58" i="18"/>
  <c r="F135" i="18"/>
  <c r="F96" i="22" s="1"/>
  <c r="N70" i="18"/>
  <c r="N51" i="18"/>
  <c r="N54" i="18"/>
  <c r="F111" i="18"/>
  <c r="N75" i="18"/>
  <c r="N68" i="18"/>
  <c r="N74" i="18"/>
  <c r="N49" i="18"/>
  <c r="N42" i="18"/>
  <c r="N65" i="18"/>
  <c r="N66" i="18"/>
  <c r="N73" i="18"/>
  <c r="N57" i="18"/>
  <c r="N55" i="18"/>
  <c r="N41" i="18"/>
  <c r="N53" i="18"/>
  <c r="N44" i="18"/>
  <c r="N76" i="18"/>
  <c r="N56" i="18"/>
  <c r="N72" i="18"/>
  <c r="N43" i="18"/>
  <c r="N46" i="18"/>
  <c r="N67" i="18"/>
  <c r="N47" i="18"/>
  <c r="F79" i="18"/>
  <c r="N69" i="18"/>
  <c r="N52" i="18"/>
  <c r="F138" i="18"/>
  <c r="N62" i="18"/>
  <c r="K136" i="18"/>
  <c r="K97" i="22" s="1"/>
  <c r="K134" i="18"/>
  <c r="K95" i="22" s="1"/>
  <c r="S171" i="18"/>
  <c r="S169" i="18"/>
  <c r="S168" i="18"/>
  <c r="S172" i="18"/>
  <c r="S167" i="18"/>
  <c r="S170" i="18"/>
  <c r="R36" i="18"/>
  <c r="S15" i="21"/>
  <c r="I22" i="22"/>
  <c r="N15" i="21"/>
  <c r="S13" i="22"/>
  <c r="S88" i="20"/>
  <c r="F13" i="22"/>
  <c r="T13" i="22"/>
  <c r="T39" i="22"/>
  <c r="S173" i="18"/>
  <c r="I132" i="22"/>
  <c r="I127" i="20"/>
  <c r="R13" i="22"/>
  <c r="Q78" i="18"/>
  <c r="P115" i="21"/>
  <c r="J74" i="15"/>
  <c r="I283" i="6"/>
  <c r="U278" i="6"/>
  <c r="U275" i="6"/>
  <c r="U280" i="6"/>
  <c r="U276" i="6"/>
  <c r="U274" i="6"/>
  <c r="U282" i="6"/>
  <c r="U277" i="6"/>
  <c r="U281" i="6"/>
  <c r="U279" i="6"/>
  <c r="R45" i="6"/>
  <c r="O84" i="15"/>
  <c r="S216" i="25"/>
  <c r="S221" i="25"/>
  <c r="S219" i="25"/>
  <c r="S218" i="25"/>
  <c r="S222" i="25"/>
  <c r="S220" i="25"/>
  <c r="S217" i="25"/>
  <c r="V263" i="6"/>
  <c r="J223" i="6"/>
  <c r="J224" i="6"/>
  <c r="J214" i="6"/>
  <c r="V67" i="6"/>
  <c r="V22" i="6"/>
  <c r="V57" i="6"/>
  <c r="V34" i="6"/>
  <c r="V39" i="6"/>
  <c r="V69" i="6"/>
  <c r="V63" i="6"/>
  <c r="V21" i="6"/>
  <c r="J220" i="6"/>
  <c r="J221" i="6"/>
  <c r="V20" i="6"/>
  <c r="V44" i="6"/>
  <c r="V55" i="6"/>
  <c r="V19" i="6"/>
  <c r="V60" i="6"/>
  <c r="J215" i="6"/>
  <c r="V18" i="6"/>
  <c r="V51" i="6"/>
  <c r="V35" i="6"/>
  <c r="V37" i="6"/>
  <c r="V26" i="6"/>
  <c r="V62" i="6"/>
  <c r="J218" i="6"/>
  <c r="V66" i="6"/>
  <c r="J201" i="6"/>
  <c r="J206" i="6" s="1"/>
  <c r="J208" i="6" s="1"/>
  <c r="J219" i="6"/>
  <c r="V38" i="6"/>
  <c r="V41" i="6"/>
  <c r="V25" i="6"/>
  <c r="V56" i="6"/>
  <c r="V16" i="6"/>
  <c r="V30" i="6"/>
  <c r="V54" i="6"/>
  <c r="V68" i="6"/>
  <c r="V36" i="6"/>
  <c r="V52" i="6"/>
  <c r="V53" i="6"/>
  <c r="J217" i="6"/>
  <c r="V59" i="6"/>
  <c r="V42" i="6"/>
  <c r="V24" i="6"/>
  <c r="V15" i="6"/>
  <c r="V29" i="6"/>
  <c r="V23" i="6"/>
  <c r="V46" i="6"/>
  <c r="V61" i="6"/>
  <c r="V17" i="6"/>
  <c r="V31" i="6"/>
  <c r="V11" i="6"/>
  <c r="V48" i="6"/>
  <c r="V40" i="6"/>
  <c r="V43" i="6"/>
  <c r="V49" i="6"/>
  <c r="V64" i="6"/>
  <c r="V50" i="6"/>
  <c r="V47" i="6"/>
  <c r="V10" i="6"/>
  <c r="V33" i="6"/>
  <c r="V65" i="6"/>
  <c r="U222" i="25"/>
  <c r="U218" i="25"/>
  <c r="U221" i="25"/>
  <c r="U219" i="25"/>
  <c r="U220" i="25"/>
  <c r="U217" i="25"/>
  <c r="U216" i="25"/>
  <c r="Y10" i="6"/>
  <c r="Y33" i="6"/>
  <c r="Y45" i="6"/>
  <c r="M201" i="6"/>
  <c r="V45" i="6"/>
  <c r="AK9" i="6"/>
  <c r="Z9" i="6"/>
  <c r="AI9" i="6"/>
  <c r="W9" i="6"/>
  <c r="AH9" i="6"/>
  <c r="Y9" i="6"/>
  <c r="H223" i="6"/>
  <c r="H214" i="6"/>
  <c r="H218" i="6"/>
  <c r="T38" i="6"/>
  <c r="T60" i="6"/>
  <c r="T68" i="6"/>
  <c r="T41" i="6"/>
  <c r="T57" i="6"/>
  <c r="T63" i="6"/>
  <c r="H221" i="6"/>
  <c r="H224" i="6"/>
  <c r="T55" i="6"/>
  <c r="T43" i="6"/>
  <c r="T35" i="6"/>
  <c r="T26" i="6"/>
  <c r="T34" i="6"/>
  <c r="T53" i="6"/>
  <c r="T69" i="6"/>
  <c r="H215" i="6"/>
  <c r="H219" i="6"/>
  <c r="H201" i="6"/>
  <c r="H206" i="6" s="1"/>
  <c r="H208" i="6" s="1"/>
  <c r="T39" i="6"/>
  <c r="T51" i="6"/>
  <c r="T16" i="6"/>
  <c r="T15" i="6"/>
  <c r="T25" i="6"/>
  <c r="T46" i="6"/>
  <c r="T48" i="6"/>
  <c r="T47" i="6"/>
  <c r="T44" i="6"/>
  <c r="T29" i="6"/>
  <c r="H220" i="6"/>
  <c r="T30" i="6"/>
  <c r="T56" i="6"/>
  <c r="T21" i="6"/>
  <c r="T23" i="6"/>
  <c r="T59" i="6"/>
  <c r="T18" i="6"/>
  <c r="T66" i="6"/>
  <c r="T61" i="6"/>
  <c r="T36" i="6"/>
  <c r="T20" i="6"/>
  <c r="T22" i="6"/>
  <c r="T54" i="6"/>
  <c r="T50" i="6"/>
  <c r="H217" i="6"/>
  <c r="T64" i="6"/>
  <c r="T40" i="6"/>
  <c r="T49" i="6"/>
  <c r="T11" i="6"/>
  <c r="T17" i="6"/>
  <c r="T33" i="6"/>
  <c r="T31" i="6"/>
  <c r="T42" i="6"/>
  <c r="T65" i="6"/>
  <c r="T24" i="6"/>
  <c r="T37" i="6"/>
  <c r="T62" i="6"/>
  <c r="T67" i="6"/>
  <c r="T45" i="6"/>
  <c r="T70" i="6" s="1"/>
  <c r="T19" i="6"/>
  <c r="T52" i="6"/>
  <c r="T10" i="6"/>
  <c r="R53" i="6"/>
  <c r="R30" i="6"/>
  <c r="R21" i="6"/>
  <c r="R24" i="6"/>
  <c r="R19" i="6"/>
  <c r="R37" i="6"/>
  <c r="R63" i="6"/>
  <c r="R38" i="6"/>
  <c r="R67" i="6"/>
  <c r="R17" i="6"/>
  <c r="R61" i="6"/>
  <c r="R23" i="6"/>
  <c r="R14" i="6"/>
  <c r="R20" i="6"/>
  <c r="R41" i="6"/>
  <c r="R36" i="6"/>
  <c r="R51" i="6"/>
  <c r="R18" i="6"/>
  <c r="R43" i="6"/>
  <c r="R68" i="6"/>
  <c r="R56" i="6"/>
  <c r="R31" i="6"/>
  <c r="R15" i="6"/>
  <c r="F201" i="6"/>
  <c r="F206" i="6" s="1"/>
  <c r="F208" i="6" s="1"/>
  <c r="R26" i="6"/>
  <c r="R13" i="6"/>
  <c r="R57" i="6"/>
  <c r="R64" i="6"/>
  <c r="R54" i="6"/>
  <c r="R29" i="6"/>
  <c r="R60" i="6"/>
  <c r="R42" i="6"/>
  <c r="R55" i="6"/>
  <c r="R52" i="6"/>
  <c r="R46" i="6"/>
  <c r="R50" i="6"/>
  <c r="R66" i="6"/>
  <c r="R62" i="6"/>
  <c r="R59" i="6"/>
  <c r="R22" i="6"/>
  <c r="R25" i="6"/>
  <c r="R47" i="6"/>
  <c r="R16" i="6"/>
  <c r="R35" i="6"/>
  <c r="R44" i="6"/>
  <c r="R11" i="6"/>
  <c r="R34" i="6"/>
  <c r="R48" i="6"/>
  <c r="R12" i="6"/>
  <c r="R40" i="6"/>
  <c r="R69" i="6"/>
  <c r="R39" i="6"/>
  <c r="R49" i="6"/>
  <c r="R33" i="6"/>
  <c r="R65" i="6"/>
  <c r="R10" i="6"/>
  <c r="W83" i="23"/>
  <c r="W72" i="23"/>
  <c r="W78" i="23"/>
  <c r="W56" i="23"/>
  <c r="W73" i="23"/>
  <c r="W81" i="23"/>
  <c r="W53" i="23"/>
  <c r="W48" i="23"/>
  <c r="W76" i="23"/>
  <c r="W70" i="23"/>
  <c r="W55" i="23"/>
  <c r="W79" i="23"/>
  <c r="W57" i="23"/>
  <c r="W60" i="23"/>
  <c r="W52" i="23"/>
  <c r="W66" i="23"/>
  <c r="W71" i="23"/>
  <c r="W75" i="23"/>
  <c r="W50" i="23"/>
  <c r="W85" i="23"/>
  <c r="W65" i="23"/>
  <c r="W80" i="23"/>
  <c r="W51" i="23"/>
  <c r="W88" i="23"/>
  <c r="W61" i="23"/>
  <c r="W63" i="23"/>
  <c r="W68" i="23"/>
  <c r="W84" i="23"/>
  <c r="W59" i="23"/>
  <c r="W49" i="23"/>
  <c r="W47" i="23"/>
  <c r="W77" i="23"/>
  <c r="W82" i="23"/>
  <c r="W67" i="23"/>
  <c r="W54" i="23"/>
  <c r="W64" i="23"/>
  <c r="U84" i="23"/>
  <c r="U82" i="23"/>
  <c r="U72" i="23"/>
  <c r="U61" i="23"/>
  <c r="U81" i="23"/>
  <c r="U56" i="23"/>
  <c r="U49" i="23"/>
  <c r="U88" i="23"/>
  <c r="U85" i="23"/>
  <c r="U75" i="23"/>
  <c r="U48" i="23"/>
  <c r="U78" i="23"/>
  <c r="U77" i="23"/>
  <c r="U63" i="23"/>
  <c r="U50" i="23"/>
  <c r="U60" i="23"/>
  <c r="U76" i="23"/>
  <c r="U54" i="23"/>
  <c r="U66" i="23"/>
  <c r="U57" i="23"/>
  <c r="U67" i="23"/>
  <c r="U65" i="23"/>
  <c r="U59" i="23"/>
  <c r="U71" i="23"/>
  <c r="U73" i="23"/>
  <c r="U70" i="23"/>
  <c r="U83" i="23"/>
  <c r="U53" i="23"/>
  <c r="U80" i="23"/>
  <c r="U51" i="23"/>
  <c r="U68" i="23"/>
  <c r="U55" i="23"/>
  <c r="U52" i="23"/>
  <c r="U47" i="23"/>
  <c r="U79" i="23"/>
  <c r="U64" i="23"/>
  <c r="H74" i="15"/>
  <c r="G73" i="15"/>
  <c r="L73" i="15" s="1"/>
  <c r="L71" i="15"/>
  <c r="G74" i="15"/>
  <c r="I74" i="15"/>
  <c r="G273" i="6"/>
  <c r="G264" i="6"/>
  <c r="S261" i="6" s="1"/>
  <c r="G270" i="6"/>
  <c r="H264" i="6"/>
  <c r="T261" i="6" s="1"/>
  <c r="H273" i="6"/>
  <c r="H270" i="6"/>
  <c r="V264" i="6"/>
  <c r="V262" i="6"/>
  <c r="V260" i="6"/>
  <c r="J311" i="6"/>
  <c r="J266" i="6"/>
  <c r="K55" i="24"/>
  <c r="Y180" i="24"/>
  <c r="AK53" i="24"/>
  <c r="Y179" i="24"/>
  <c r="Y253" i="24"/>
  <c r="J69" i="24"/>
  <c r="J253" i="24"/>
  <c r="V225" i="25" l="1"/>
  <c r="T225" i="25"/>
  <c r="Y225" i="25"/>
  <c r="T90" i="23"/>
  <c r="V90" i="23"/>
  <c r="S90" i="23"/>
  <c r="X217" i="23"/>
  <c r="L237" i="23"/>
  <c r="X234" i="23"/>
  <c r="X231" i="23"/>
  <c r="X232" i="23"/>
  <c r="X233" i="23"/>
  <c r="X230" i="23"/>
  <c r="X225" i="23"/>
  <c r="X227" i="23"/>
  <c r="X224" i="23"/>
  <c r="X223" i="23"/>
  <c r="X228" i="23"/>
  <c r="X222" i="23"/>
  <c r="X219" i="23"/>
  <c r="X220" i="23"/>
  <c r="X226" i="23"/>
  <c r="X229" i="23"/>
  <c r="X221" i="23"/>
  <c r="I247" i="23"/>
  <c r="J247" i="23"/>
  <c r="K247" i="23"/>
  <c r="O247" i="23"/>
  <c r="N247" i="23"/>
  <c r="M247" i="23"/>
  <c r="L247" i="23"/>
  <c r="F251" i="23"/>
  <c r="R249" i="23" s="1"/>
  <c r="W42" i="23"/>
  <c r="H203" i="23"/>
  <c r="I203" i="23"/>
  <c r="J203" i="23"/>
  <c r="L72" i="6"/>
  <c r="L201" i="6"/>
  <c r="L206" i="6" s="1"/>
  <c r="L208" i="6" s="1"/>
  <c r="R25" i="25"/>
  <c r="N79" i="25"/>
  <c r="N46" i="25"/>
  <c r="Z16" i="25"/>
  <c r="Z21" i="25"/>
  <c r="Z11" i="25"/>
  <c r="Z20" i="25"/>
  <c r="Z13" i="25"/>
  <c r="Z19" i="25"/>
  <c r="Z23" i="25"/>
  <c r="Z22" i="25"/>
  <c r="Z14" i="25"/>
  <c r="Z12" i="25"/>
  <c r="Z15" i="25"/>
  <c r="Z26" i="25"/>
  <c r="N27" i="25"/>
  <c r="Z27" i="25" s="1"/>
  <c r="L266" i="6"/>
  <c r="X264" i="6"/>
  <c r="X261" i="6"/>
  <c r="X263" i="6"/>
  <c r="X262" i="6"/>
  <c r="X260" i="6"/>
  <c r="M206" i="6"/>
  <c r="M208" i="6" s="1"/>
  <c r="AX54" i="24"/>
  <c r="AX183" i="24"/>
  <c r="AX182" i="24" s="1"/>
  <c r="AW54" i="24"/>
  <c r="AW183" i="24"/>
  <c r="AW182" i="24" s="1"/>
  <c r="Y288" i="6"/>
  <c r="AB220" i="24"/>
  <c r="K70" i="24"/>
  <c r="L69" i="24"/>
  <c r="AA256" i="24"/>
  <c r="AA257" i="24" s="1"/>
  <c r="AZ221" i="24"/>
  <c r="BA221" i="24"/>
  <c r="AZ277" i="24"/>
  <c r="AZ278" i="24" s="1"/>
  <c r="AZ70" i="24"/>
  <c r="BA69" i="24"/>
  <c r="Z256" i="24"/>
  <c r="Z257" i="24" s="1"/>
  <c r="W256" i="24"/>
  <c r="W257" i="24" s="1"/>
  <c r="V256" i="24"/>
  <c r="V257" i="24" s="1"/>
  <c r="X256" i="24"/>
  <c r="X257" i="24" s="1"/>
  <c r="Y256" i="24"/>
  <c r="M189" i="6"/>
  <c r="AD70" i="6"/>
  <c r="L189" i="6"/>
  <c r="S32" i="6"/>
  <c r="AG70" i="6"/>
  <c r="U32" i="6"/>
  <c r="AJ70" i="6"/>
  <c r="X32" i="6"/>
  <c r="N23" i="21"/>
  <c r="AI88" i="20"/>
  <c r="K70" i="20"/>
  <c r="K11" i="22" s="1"/>
  <c r="S23" i="21"/>
  <c r="Y220" i="24"/>
  <c r="Y277" i="24"/>
  <c r="Y278" i="24" s="1"/>
  <c r="L311" i="6"/>
  <c r="L316" i="6" s="1"/>
  <c r="L318" i="6" s="1"/>
  <c r="S25" i="25"/>
  <c r="F283" i="6"/>
  <c r="R279" i="6"/>
  <c r="R275" i="6"/>
  <c r="R276" i="6"/>
  <c r="R274" i="6"/>
  <c r="R280" i="6"/>
  <c r="R278" i="6"/>
  <c r="V25" i="25"/>
  <c r="R282" i="6"/>
  <c r="R281" i="6"/>
  <c r="U225" i="25"/>
  <c r="S225" i="25"/>
  <c r="U25" i="25"/>
  <c r="W25" i="25"/>
  <c r="T25" i="25"/>
  <c r="U90" i="23"/>
  <c r="K189" i="6"/>
  <c r="S42" i="23"/>
  <c r="O28" i="21"/>
  <c r="O27" i="21"/>
  <c r="O29" i="21"/>
  <c r="O30" i="21"/>
  <c r="O25" i="21"/>
  <c r="H179" i="24"/>
  <c r="H278" i="24" s="1"/>
  <c r="F96" i="20"/>
  <c r="F32" i="22" s="1"/>
  <c r="F85" i="20"/>
  <c r="F98" i="20"/>
  <c r="F34" i="22" s="1"/>
  <c r="F99" i="20"/>
  <c r="F35" i="22" s="1"/>
  <c r="F101" i="20"/>
  <c r="F37" i="22" s="1"/>
  <c r="F69" i="20"/>
  <c r="F10" i="22" s="1"/>
  <c r="F71" i="20"/>
  <c r="F100" i="20"/>
  <c r="F36" i="22" s="1"/>
  <c r="F86" i="20"/>
  <c r="F24" i="22" s="1"/>
  <c r="F95" i="20"/>
  <c r="F97" i="20"/>
  <c r="F33" i="22" s="1"/>
  <c r="G76" i="20"/>
  <c r="G17" i="22" s="1"/>
  <c r="Q88" i="20"/>
  <c r="O15" i="21"/>
  <c r="J180" i="24"/>
  <c r="Q26" i="22"/>
  <c r="O22" i="21"/>
  <c r="J179" i="24"/>
  <c r="J278" i="24" s="1"/>
  <c r="T88" i="20"/>
  <c r="J114" i="22"/>
  <c r="R88" i="20"/>
  <c r="G70" i="20"/>
  <c r="G11" i="22" s="1"/>
  <c r="T42" i="23"/>
  <c r="W90" i="23"/>
  <c r="W260" i="6"/>
  <c r="H253" i="24"/>
  <c r="H256" i="24" s="1"/>
  <c r="H180" i="24"/>
  <c r="G180" i="24"/>
  <c r="G253" i="24"/>
  <c r="G256" i="24" s="1"/>
  <c r="I180" i="24"/>
  <c r="I253" i="24"/>
  <c r="I256" i="24" s="1"/>
  <c r="V70" i="6"/>
  <c r="I179" i="24"/>
  <c r="I278" i="24" s="1"/>
  <c r="R70" i="6"/>
  <c r="X58" i="6"/>
  <c r="X28" i="6"/>
  <c r="I227" i="6"/>
  <c r="I225" i="6"/>
  <c r="I226" i="6"/>
  <c r="U58" i="6"/>
  <c r="U28" i="6"/>
  <c r="U12" i="6"/>
  <c r="U13" i="6"/>
  <c r="U14" i="6"/>
  <c r="S28" i="6"/>
  <c r="S58" i="6"/>
  <c r="AA220" i="24"/>
  <c r="AY256" i="24"/>
  <c r="AY257" i="24" s="1"/>
  <c r="AF70" i="6"/>
  <c r="K311" i="6"/>
  <c r="K316" i="6" s="1"/>
  <c r="K318" i="6" s="1"/>
  <c r="W263" i="6"/>
  <c r="W264" i="6"/>
  <c r="W261" i="6"/>
  <c r="W296" i="6"/>
  <c r="W262" i="6"/>
  <c r="AY278" i="24"/>
  <c r="AX70" i="24"/>
  <c r="AX220" i="24"/>
  <c r="AW70" i="24"/>
  <c r="AX69" i="24"/>
  <c r="AW69" i="24"/>
  <c r="AA67" i="24"/>
  <c r="W277" i="24"/>
  <c r="W278" i="24" s="1"/>
  <c r="V277" i="24"/>
  <c r="V278" i="24" s="1"/>
  <c r="AO29" i="20"/>
  <c r="AH96" i="20"/>
  <c r="AF32" i="22" s="1"/>
  <c r="BH49" i="24"/>
  <c r="BJ27" i="24"/>
  <c r="BL49" i="24"/>
  <c r="BI27" i="24"/>
  <c r="AY220" i="24"/>
  <c r="AZ220" i="24"/>
  <c r="K297" i="6"/>
  <c r="W295" i="6"/>
  <c r="AH30" i="20"/>
  <c r="AH95" i="20"/>
  <c r="AF31" i="22" s="1"/>
  <c r="AO23" i="20"/>
  <c r="AH69" i="20"/>
  <c r="AF10" i="22" s="1"/>
  <c r="W294" i="6"/>
  <c r="AU53" i="24"/>
  <c r="BG49" i="24"/>
  <c r="W293" i="6"/>
  <c r="W290" i="6"/>
  <c r="W291" i="6"/>
  <c r="AH73" i="20"/>
  <c r="AF14" i="22" s="1"/>
  <c r="W292" i="6"/>
  <c r="Z220" i="24"/>
  <c r="AA277" i="24"/>
  <c r="AA278" i="24" s="1"/>
  <c r="Z277" i="24"/>
  <c r="Z278" i="24" s="1"/>
  <c r="X277" i="24"/>
  <c r="X278" i="24" s="1"/>
  <c r="X67" i="24"/>
  <c r="Y69" i="24" s="1"/>
  <c r="V67" i="24"/>
  <c r="W67" i="24"/>
  <c r="Z67" i="24"/>
  <c r="K283" i="6"/>
  <c r="T275" i="6"/>
  <c r="S281" i="6"/>
  <c r="I69" i="24"/>
  <c r="H69" i="24"/>
  <c r="H148" i="24"/>
  <c r="H144" i="24"/>
  <c r="H135" i="24"/>
  <c r="H149" i="24"/>
  <c r="H138" i="24"/>
  <c r="H141" i="24"/>
  <c r="H139" i="24"/>
  <c r="H140" i="24"/>
  <c r="H146" i="24"/>
  <c r="H145" i="24"/>
  <c r="H137" i="24"/>
  <c r="H143" i="24"/>
  <c r="H150" i="24"/>
  <c r="H147" i="24"/>
  <c r="H143" i="25" s="1"/>
  <c r="H136" i="24"/>
  <c r="H151" i="24"/>
  <c r="H155" i="24"/>
  <c r="H154" i="24"/>
  <c r="J150" i="24"/>
  <c r="J146" i="24"/>
  <c r="J137" i="24"/>
  <c r="J144" i="24"/>
  <c r="J140" i="24"/>
  <c r="J143" i="24"/>
  <c r="J148" i="24"/>
  <c r="J151" i="24"/>
  <c r="J147" i="24"/>
  <c r="J143" i="25" s="1"/>
  <c r="J136" i="24"/>
  <c r="J141" i="24"/>
  <c r="J139" i="24"/>
  <c r="J149" i="24"/>
  <c r="J138" i="24"/>
  <c r="J145" i="24"/>
  <c r="J155" i="24"/>
  <c r="J154" i="24"/>
  <c r="I149" i="24"/>
  <c r="I145" i="24"/>
  <c r="I146" i="24"/>
  <c r="I138" i="24"/>
  <c r="I148" i="24"/>
  <c r="I137" i="24"/>
  <c r="I143" i="24"/>
  <c r="I144" i="24"/>
  <c r="I135" i="24"/>
  <c r="I141" i="24"/>
  <c r="I136" i="24"/>
  <c r="I147" i="24"/>
  <c r="I143" i="25" s="1"/>
  <c r="I140" i="24"/>
  <c r="I150" i="24"/>
  <c r="I139" i="24"/>
  <c r="I151" i="24"/>
  <c r="I155" i="24"/>
  <c r="I154" i="24"/>
  <c r="K69" i="24"/>
  <c r="K143" i="24"/>
  <c r="K147" i="24"/>
  <c r="K143" i="25" s="1"/>
  <c r="K135" i="24"/>
  <c r="K149" i="24"/>
  <c r="K148" i="24"/>
  <c r="K137" i="24"/>
  <c r="K140" i="24"/>
  <c r="K150" i="24"/>
  <c r="K139" i="24"/>
  <c r="K144" i="24"/>
  <c r="K145" i="24"/>
  <c r="K138" i="24"/>
  <c r="K136" i="24"/>
  <c r="K146" i="24"/>
  <c r="K141" i="24"/>
  <c r="K151" i="24"/>
  <c r="K155" i="24"/>
  <c r="K154" i="24"/>
  <c r="G147" i="24"/>
  <c r="G143" i="25" s="1"/>
  <c r="G143" i="24"/>
  <c r="G144" i="24"/>
  <c r="G136" i="24"/>
  <c r="G146" i="24"/>
  <c r="G137" i="24"/>
  <c r="G149" i="24"/>
  <c r="G135" i="24"/>
  <c r="G138" i="24"/>
  <c r="G150" i="24"/>
  <c r="G141" i="24"/>
  <c r="G148" i="24"/>
  <c r="G140" i="24"/>
  <c r="G145" i="24"/>
  <c r="G139" i="24"/>
  <c r="G151" i="24"/>
  <c r="G155" i="24"/>
  <c r="G154" i="24"/>
  <c r="J153" i="24"/>
  <c r="H153" i="24"/>
  <c r="J135" i="24"/>
  <c r="V279" i="6"/>
  <c r="V281" i="6"/>
  <c r="V277" i="6"/>
  <c r="V280" i="6"/>
  <c r="V274" i="6"/>
  <c r="V276" i="6"/>
  <c r="V278" i="6"/>
  <c r="V275" i="6"/>
  <c r="V282" i="6"/>
  <c r="J283" i="6"/>
  <c r="R26" i="22"/>
  <c r="S26" i="22"/>
  <c r="F136" i="18"/>
  <c r="F97" i="22" s="1"/>
  <c r="F134" i="18"/>
  <c r="F95" i="22" s="1"/>
  <c r="H70" i="20"/>
  <c r="H11" i="22" s="1"/>
  <c r="E113" i="22"/>
  <c r="E110" i="22"/>
  <c r="E112" i="22"/>
  <c r="K114" i="22"/>
  <c r="M23" i="21"/>
  <c r="F130" i="20"/>
  <c r="F70" i="20" s="1"/>
  <c r="F11" i="22" s="1"/>
  <c r="F135" i="22"/>
  <c r="I96" i="20"/>
  <c r="I32" i="22" s="1"/>
  <c r="I86" i="20"/>
  <c r="I24" i="22" s="1"/>
  <c r="I101" i="20"/>
  <c r="I37" i="22" s="1"/>
  <c r="I85" i="20"/>
  <c r="I100" i="20"/>
  <c r="I36" i="22" s="1"/>
  <c r="I99" i="20"/>
  <c r="I35" i="22" s="1"/>
  <c r="I97" i="20"/>
  <c r="I33" i="22" s="1"/>
  <c r="I95" i="20"/>
  <c r="I69" i="20"/>
  <c r="I10" i="22" s="1"/>
  <c r="I98" i="20"/>
  <c r="I34" i="22" s="1"/>
  <c r="I71" i="20"/>
  <c r="N78" i="18"/>
  <c r="J101" i="20"/>
  <c r="J37" i="22" s="1"/>
  <c r="J69" i="20"/>
  <c r="J10" i="22" s="1"/>
  <c r="J85" i="20"/>
  <c r="J100" i="20"/>
  <c r="J36" i="22" s="1"/>
  <c r="J95" i="20"/>
  <c r="J97" i="20"/>
  <c r="J33" i="22" s="1"/>
  <c r="J86" i="20"/>
  <c r="J24" i="22" s="1"/>
  <c r="J99" i="20"/>
  <c r="J35" i="22" s="1"/>
  <c r="J71" i="20"/>
  <c r="J96" i="20"/>
  <c r="J32" i="22" s="1"/>
  <c r="J98" i="20"/>
  <c r="J34" i="22" s="1"/>
  <c r="H132" i="22"/>
  <c r="H127" i="20"/>
  <c r="M41" i="20"/>
  <c r="M15" i="20"/>
  <c r="M50" i="20"/>
  <c r="M12" i="20"/>
  <c r="M20" i="20"/>
  <c r="M25" i="20"/>
  <c r="K86" i="20"/>
  <c r="K24" i="22" s="1"/>
  <c r="M16" i="20"/>
  <c r="M31" i="20"/>
  <c r="M14" i="20"/>
  <c r="M27" i="20"/>
  <c r="M32" i="20"/>
  <c r="M46" i="20"/>
  <c r="M21" i="20"/>
  <c r="M22" i="20"/>
  <c r="M28" i="20"/>
  <c r="M57" i="20"/>
  <c r="M36" i="20"/>
  <c r="M52" i="20"/>
  <c r="M44" i="20"/>
  <c r="M13" i="20"/>
  <c r="M43" i="20"/>
  <c r="K100" i="20"/>
  <c r="K36" i="22" s="1"/>
  <c r="K98" i="20"/>
  <c r="K34" i="22" s="1"/>
  <c r="K95" i="20"/>
  <c r="M42" i="20"/>
  <c r="M37" i="20"/>
  <c r="M54" i="20"/>
  <c r="M26" i="20"/>
  <c r="M19" i="20"/>
  <c r="M23" i="20"/>
  <c r="M33" i="20"/>
  <c r="M10" i="20"/>
  <c r="K69" i="20"/>
  <c r="K10" i="22" s="1"/>
  <c r="M24" i="20"/>
  <c r="M53" i="20"/>
  <c r="M39" i="20"/>
  <c r="M51" i="20"/>
  <c r="M45" i="20"/>
  <c r="M34" i="20"/>
  <c r="M56" i="20"/>
  <c r="M59" i="20"/>
  <c r="M55" i="20"/>
  <c r="M38" i="20"/>
  <c r="M18" i="20"/>
  <c r="M48" i="20"/>
  <c r="M35" i="20"/>
  <c r="M49" i="20"/>
  <c r="M61" i="20"/>
  <c r="K101" i="20"/>
  <c r="K37" i="22" s="1"/>
  <c r="K97" i="20"/>
  <c r="K33" i="22" s="1"/>
  <c r="K99" i="20"/>
  <c r="K35" i="22" s="1"/>
  <c r="M17" i="20"/>
  <c r="M40" i="20"/>
  <c r="M47" i="20"/>
  <c r="M11" i="20"/>
  <c r="M29" i="20"/>
  <c r="K96" i="20"/>
  <c r="K32" i="22" s="1"/>
  <c r="K85" i="20"/>
  <c r="K23" i="22" s="1"/>
  <c r="M30" i="20"/>
  <c r="AF88" i="20"/>
  <c r="G127" i="20"/>
  <c r="G132" i="22"/>
  <c r="R23" i="21"/>
  <c r="E111" i="18"/>
  <c r="M68" i="18"/>
  <c r="M60" i="18"/>
  <c r="M70" i="18"/>
  <c r="M67" i="18"/>
  <c r="M47" i="18"/>
  <c r="M71" i="18"/>
  <c r="M52" i="18"/>
  <c r="M69" i="18"/>
  <c r="M56" i="18"/>
  <c r="M64" i="18"/>
  <c r="M61" i="18"/>
  <c r="M54" i="18"/>
  <c r="M66" i="18"/>
  <c r="M46" i="18"/>
  <c r="M59" i="18"/>
  <c r="E138" i="18"/>
  <c r="M55" i="18"/>
  <c r="M76" i="18"/>
  <c r="M42" i="18"/>
  <c r="M65" i="18"/>
  <c r="M73" i="18"/>
  <c r="M63" i="18"/>
  <c r="M51" i="18"/>
  <c r="M74" i="18"/>
  <c r="M57" i="18"/>
  <c r="M53" i="18"/>
  <c r="M58" i="18"/>
  <c r="M77" i="18"/>
  <c r="M72" i="18"/>
  <c r="M75" i="18"/>
  <c r="M62" i="18"/>
  <c r="E79" i="18"/>
  <c r="M44" i="18"/>
  <c r="M43" i="18"/>
  <c r="M41" i="18"/>
  <c r="M50" i="18"/>
  <c r="M45" i="18"/>
  <c r="M49" i="18"/>
  <c r="S175" i="18"/>
  <c r="U88" i="20"/>
  <c r="AD26" i="22"/>
  <c r="O36" i="18"/>
  <c r="G114" i="22"/>
  <c r="K62" i="20"/>
  <c r="M60" i="20"/>
  <c r="M48" i="18"/>
  <c r="J213" i="6"/>
  <c r="T263" i="6"/>
  <c r="U273" i="6"/>
  <c r="J216" i="6"/>
  <c r="S276" i="6"/>
  <c r="T276" i="6"/>
  <c r="H216" i="6"/>
  <c r="X9" i="6"/>
  <c r="U9" i="6"/>
  <c r="W53" i="6"/>
  <c r="K220" i="6"/>
  <c r="K214" i="6"/>
  <c r="K219" i="6"/>
  <c r="K224" i="6"/>
  <c r="AH70" i="6"/>
  <c r="K223" i="6"/>
  <c r="W47" i="6"/>
  <c r="W40" i="6"/>
  <c r="W49" i="6"/>
  <c r="W61" i="6"/>
  <c r="W35" i="6"/>
  <c r="W24" i="6"/>
  <c r="W67" i="6"/>
  <c r="K201" i="6"/>
  <c r="W22" i="6"/>
  <c r="W60" i="6"/>
  <c r="W48" i="6"/>
  <c r="W44" i="6"/>
  <c r="W46" i="6"/>
  <c r="K217" i="6"/>
  <c r="W21" i="6"/>
  <c r="W64" i="6"/>
  <c r="W29" i="6"/>
  <c r="W26" i="6"/>
  <c r="W68" i="6"/>
  <c r="W19" i="6"/>
  <c r="W31" i="6"/>
  <c r="K221" i="6"/>
  <c r="K215" i="6"/>
  <c r="W43" i="6"/>
  <c r="W38" i="6"/>
  <c r="W23" i="6"/>
  <c r="W41" i="6"/>
  <c r="W59" i="6"/>
  <c r="W30" i="6"/>
  <c r="W15" i="6"/>
  <c r="W39" i="6"/>
  <c r="W18" i="6"/>
  <c r="W51" i="6"/>
  <c r="W50" i="6"/>
  <c r="W55" i="6"/>
  <c r="W57" i="6"/>
  <c r="W36" i="6"/>
  <c r="W65" i="6"/>
  <c r="W37" i="6"/>
  <c r="W66" i="6"/>
  <c r="W34" i="6"/>
  <c r="K218" i="6"/>
  <c r="W25" i="6"/>
  <c r="W16" i="6"/>
  <c r="W69" i="6"/>
  <c r="W20" i="6"/>
  <c r="W56" i="6"/>
  <c r="W62" i="6"/>
  <c r="W42" i="6"/>
  <c r="W63" i="6"/>
  <c r="W52" i="6"/>
  <c r="W54" i="6"/>
  <c r="W33" i="6"/>
  <c r="W11" i="6"/>
  <c r="W17" i="6"/>
  <c r="W45" i="6"/>
  <c r="W70" i="6" s="1"/>
  <c r="W10" i="6"/>
  <c r="X53" i="6"/>
  <c r="X59" i="6"/>
  <c r="X48" i="6"/>
  <c r="X57" i="6"/>
  <c r="X68" i="6"/>
  <c r="X38" i="6"/>
  <c r="X19" i="6"/>
  <c r="X18" i="6"/>
  <c r="X13" i="6"/>
  <c r="X26" i="6"/>
  <c r="X49" i="6"/>
  <c r="X22" i="6"/>
  <c r="X64" i="6"/>
  <c r="X61" i="6"/>
  <c r="X36" i="6"/>
  <c r="X55" i="6"/>
  <c r="X34" i="6"/>
  <c r="X60" i="6"/>
  <c r="X30" i="6"/>
  <c r="X40" i="6"/>
  <c r="X35" i="6"/>
  <c r="X51" i="6"/>
  <c r="X69" i="6"/>
  <c r="X14" i="6"/>
  <c r="X31" i="6"/>
  <c r="X11" i="6"/>
  <c r="X20" i="6"/>
  <c r="X46" i="6"/>
  <c r="X16" i="6"/>
  <c r="X24" i="6"/>
  <c r="X56" i="6"/>
  <c r="X43" i="6"/>
  <c r="X65" i="6"/>
  <c r="X25" i="6"/>
  <c r="X23" i="6"/>
  <c r="X41" i="6"/>
  <c r="X37" i="6"/>
  <c r="X15" i="6"/>
  <c r="X44" i="6"/>
  <c r="X29" i="6"/>
  <c r="X21" i="6"/>
  <c r="X67" i="6"/>
  <c r="X63" i="6"/>
  <c r="X47" i="6"/>
  <c r="X42" i="6"/>
  <c r="X62" i="6"/>
  <c r="X50" i="6"/>
  <c r="X39" i="6"/>
  <c r="X12" i="6"/>
  <c r="X66" i="6"/>
  <c r="X54" i="6"/>
  <c r="AI70" i="6"/>
  <c r="X52" i="6"/>
  <c r="X17" i="6"/>
  <c r="X45" i="6"/>
  <c r="X33" i="6"/>
  <c r="X10" i="6"/>
  <c r="Y70" i="6"/>
  <c r="AK70" i="6"/>
  <c r="N201" i="6"/>
  <c r="N206" i="6" s="1"/>
  <c r="N208" i="6" s="1"/>
  <c r="Z45" i="6"/>
  <c r="Z70" i="6" s="1"/>
  <c r="Z10" i="6"/>
  <c r="I223" i="6"/>
  <c r="I214" i="6"/>
  <c r="I218" i="6"/>
  <c r="I201" i="6"/>
  <c r="I206" i="6" s="1"/>
  <c r="I208" i="6" s="1"/>
  <c r="I221" i="6"/>
  <c r="I224" i="6"/>
  <c r="I215" i="6"/>
  <c r="U53" i="6"/>
  <c r="I217" i="6"/>
  <c r="U60" i="6"/>
  <c r="U42" i="6"/>
  <c r="U17" i="6"/>
  <c r="U56" i="6"/>
  <c r="U29" i="6"/>
  <c r="U61" i="6"/>
  <c r="U23" i="6"/>
  <c r="U48" i="6"/>
  <c r="U43" i="6"/>
  <c r="U22" i="6"/>
  <c r="U66" i="6"/>
  <c r="U68" i="6"/>
  <c r="U49" i="6"/>
  <c r="U20" i="6"/>
  <c r="U55" i="6"/>
  <c r="U24" i="6"/>
  <c r="U39" i="6"/>
  <c r="U62" i="6"/>
  <c r="I219" i="6"/>
  <c r="U44" i="6"/>
  <c r="U19" i="6"/>
  <c r="U15" i="6"/>
  <c r="U40" i="6"/>
  <c r="U26" i="6"/>
  <c r="U51" i="6"/>
  <c r="U54" i="6"/>
  <c r="U67" i="6"/>
  <c r="U30" i="6"/>
  <c r="U41" i="6"/>
  <c r="U47" i="6"/>
  <c r="U57" i="6"/>
  <c r="U37" i="6"/>
  <c r="U25" i="6"/>
  <c r="U38" i="6"/>
  <c r="U35" i="6"/>
  <c r="U18" i="6"/>
  <c r="U69" i="6"/>
  <c r="U59" i="6"/>
  <c r="U50" i="6"/>
  <c r="U52" i="6"/>
  <c r="U36" i="6"/>
  <c r="U16" i="6"/>
  <c r="U21" i="6"/>
  <c r="I220" i="6"/>
  <c r="U46" i="6"/>
  <c r="U31" i="6"/>
  <c r="U63" i="6"/>
  <c r="U64" i="6"/>
  <c r="U34" i="6"/>
  <c r="U65" i="6"/>
  <c r="U45" i="6"/>
  <c r="U11" i="6"/>
  <c r="U33" i="6"/>
  <c r="U10" i="6"/>
  <c r="H266" i="6"/>
  <c r="S64" i="6"/>
  <c r="S60" i="6"/>
  <c r="S23" i="6"/>
  <c r="S48" i="6"/>
  <c r="S12" i="6"/>
  <c r="S51" i="6"/>
  <c r="S53" i="6"/>
  <c r="S49" i="6"/>
  <c r="S36" i="6"/>
  <c r="S20" i="6"/>
  <c r="S21" i="6"/>
  <c r="S22" i="6"/>
  <c r="S56" i="6"/>
  <c r="S52" i="6"/>
  <c r="S34" i="6"/>
  <c r="S16" i="6"/>
  <c r="S50" i="6"/>
  <c r="S57" i="6"/>
  <c r="S47" i="6"/>
  <c r="S14" i="6"/>
  <c r="S61" i="6"/>
  <c r="S24" i="6"/>
  <c r="S38" i="6"/>
  <c r="S15" i="6"/>
  <c r="S44" i="6"/>
  <c r="S67" i="6"/>
  <c r="S40" i="6"/>
  <c r="S41" i="6"/>
  <c r="S42" i="6"/>
  <c r="S54" i="6"/>
  <c r="S43" i="6"/>
  <c r="S17" i="6"/>
  <c r="S63" i="6"/>
  <c r="S39" i="6"/>
  <c r="S25" i="6"/>
  <c r="S66" i="6"/>
  <c r="S26" i="6"/>
  <c r="S35" i="6"/>
  <c r="S59" i="6"/>
  <c r="S19" i="6"/>
  <c r="S18" i="6"/>
  <c r="S31" i="6"/>
  <c r="S37" i="6"/>
  <c r="S30" i="6"/>
  <c r="G201" i="6"/>
  <c r="G206" i="6" s="1"/>
  <c r="G208" i="6" s="1"/>
  <c r="S46" i="6"/>
  <c r="S55" i="6"/>
  <c r="S62" i="6"/>
  <c r="S29" i="6"/>
  <c r="S13" i="6"/>
  <c r="S68" i="6"/>
  <c r="S69" i="6"/>
  <c r="S11" i="6"/>
  <c r="S33" i="6"/>
  <c r="S65" i="6"/>
  <c r="S10" i="6"/>
  <c r="S45" i="6"/>
  <c r="AE70" i="6"/>
  <c r="T260" i="6"/>
  <c r="L74" i="15"/>
  <c r="H213" i="6"/>
  <c r="S9" i="6"/>
  <c r="S260" i="6"/>
  <c r="S264" i="6"/>
  <c r="G311" i="6"/>
  <c r="G316" i="6" s="1"/>
  <c r="G318" i="6" s="1"/>
  <c r="S280" i="6"/>
  <c r="S282" i="6"/>
  <c r="S277" i="6"/>
  <c r="G283" i="6"/>
  <c r="S262" i="6"/>
  <c r="S263" i="6"/>
  <c r="S274" i="6"/>
  <c r="S278" i="6"/>
  <c r="S275" i="6"/>
  <c r="S279" i="6"/>
  <c r="G266" i="6"/>
  <c r="T278" i="6"/>
  <c r="T262" i="6"/>
  <c r="H311" i="6"/>
  <c r="H316" i="6" s="1"/>
  <c r="H318" i="6" s="1"/>
  <c r="T264" i="6"/>
  <c r="T280" i="6"/>
  <c r="T279" i="6"/>
  <c r="T281" i="6"/>
  <c r="H283" i="6"/>
  <c r="T274" i="6"/>
  <c r="T282" i="6"/>
  <c r="T277" i="6"/>
  <c r="J316" i="6"/>
  <c r="J318" i="6" s="1"/>
  <c r="J256" i="24"/>
  <c r="R244" i="23" l="1"/>
  <c r="R245" i="23"/>
  <c r="R243" i="23"/>
  <c r="R246" i="23"/>
  <c r="R248" i="23"/>
  <c r="R247" i="23"/>
  <c r="X236" i="23"/>
  <c r="Z24" i="25"/>
  <c r="Z17" i="25"/>
  <c r="Q201" i="6"/>
  <c r="AU54" i="24"/>
  <c r="AU183" i="24"/>
  <c r="AU182" i="24" s="1"/>
  <c r="AA70" i="24"/>
  <c r="AB69" i="24"/>
  <c r="O23" i="21"/>
  <c r="R273" i="6"/>
  <c r="J222" i="6"/>
  <c r="J228" i="6" s="1"/>
  <c r="H222" i="6"/>
  <c r="H228" i="6" s="1"/>
  <c r="K159" i="24"/>
  <c r="K160" i="24" s="1"/>
  <c r="G257" i="24"/>
  <c r="F23" i="22"/>
  <c r="F87" i="20"/>
  <c r="E114" i="22"/>
  <c r="F102" i="20"/>
  <c r="F38" i="22" s="1"/>
  <c r="F31" i="22"/>
  <c r="M78" i="18"/>
  <c r="F12" i="22"/>
  <c r="I257" i="24"/>
  <c r="H257" i="24"/>
  <c r="K156" i="24"/>
  <c r="K157" i="24" s="1"/>
  <c r="W288" i="6"/>
  <c r="AZ180" i="24"/>
  <c r="AZ179" i="24"/>
  <c r="BL53" i="24"/>
  <c r="AZ253" i="24"/>
  <c r="AZ256" i="24" s="1"/>
  <c r="AU253" i="24"/>
  <c r="AU256" i="24" s="1"/>
  <c r="BG53" i="24"/>
  <c r="AU180" i="24"/>
  <c r="AU277" i="24"/>
  <c r="AU278" i="24" s="1"/>
  <c r="AU179" i="24"/>
  <c r="AV277" i="24"/>
  <c r="AV278" i="24" s="1"/>
  <c r="AV180" i="24"/>
  <c r="BH53" i="24"/>
  <c r="AV253" i="24"/>
  <c r="AV256" i="24" s="1"/>
  <c r="AV179" i="24"/>
  <c r="X70" i="24"/>
  <c r="AO30" i="20"/>
  <c r="AH58" i="20"/>
  <c r="AH60" i="20" s="1"/>
  <c r="AH62" i="20" s="1"/>
  <c r="BI49" i="24"/>
  <c r="BJ49" i="24"/>
  <c r="W69" i="24"/>
  <c r="X69" i="24"/>
  <c r="W70" i="24"/>
  <c r="AA69" i="24"/>
  <c r="Z69" i="24"/>
  <c r="Z70" i="24"/>
  <c r="E160" i="24"/>
  <c r="H156" i="24"/>
  <c r="H157" i="24" s="1"/>
  <c r="H159" i="24"/>
  <c r="H160" i="24" s="1"/>
  <c r="G156" i="24"/>
  <c r="G157" i="24" s="1"/>
  <c r="G159" i="24"/>
  <c r="G160" i="24" s="1"/>
  <c r="J156" i="24"/>
  <c r="J157" i="24" s="1"/>
  <c r="J159" i="24"/>
  <c r="J160" i="24" s="1"/>
  <c r="I156" i="24"/>
  <c r="I157" i="24" s="1"/>
  <c r="I159" i="24"/>
  <c r="I160" i="24" s="1"/>
  <c r="V273" i="6"/>
  <c r="G95" i="20"/>
  <c r="G99" i="20"/>
  <c r="G35" i="22" s="1"/>
  <c r="G101" i="20"/>
  <c r="G37" i="22" s="1"/>
  <c r="G97" i="20"/>
  <c r="G33" i="22" s="1"/>
  <c r="G98" i="20"/>
  <c r="G34" i="22" s="1"/>
  <c r="G100" i="20"/>
  <c r="G36" i="22" s="1"/>
  <c r="G86" i="20"/>
  <c r="G24" i="22" s="1"/>
  <c r="G69" i="20"/>
  <c r="G10" i="22" s="1"/>
  <c r="G96" i="20"/>
  <c r="G32" i="22" s="1"/>
  <c r="G85" i="20"/>
  <c r="G71" i="20"/>
  <c r="H101" i="20"/>
  <c r="H37" i="22" s="1"/>
  <c r="H97" i="20"/>
  <c r="H33" i="22" s="1"/>
  <c r="H99" i="20"/>
  <c r="H35" i="22" s="1"/>
  <c r="H100" i="20"/>
  <c r="H36" i="22" s="1"/>
  <c r="H85" i="20"/>
  <c r="H95" i="20"/>
  <c r="H98" i="20"/>
  <c r="H34" i="22" s="1"/>
  <c r="H86" i="20"/>
  <c r="H24" i="22" s="1"/>
  <c r="H69" i="20"/>
  <c r="H10" i="22" s="1"/>
  <c r="H96" i="20"/>
  <c r="H32" i="22" s="1"/>
  <c r="H71" i="20"/>
  <c r="J12" i="22"/>
  <c r="J102" i="20"/>
  <c r="J38" i="22" s="1"/>
  <c r="J31" i="22"/>
  <c r="K72" i="20"/>
  <c r="K74" i="20"/>
  <c r="K84" i="20"/>
  <c r="M62" i="20"/>
  <c r="K71" i="20"/>
  <c r="K63" i="20"/>
  <c r="E136" i="18"/>
  <c r="E97" i="22" s="1"/>
  <c r="E135" i="18"/>
  <c r="E96" i="22" s="1"/>
  <c r="E134" i="18"/>
  <c r="E95" i="22" s="1"/>
  <c r="I102" i="20"/>
  <c r="I38" i="22" s="1"/>
  <c r="I31" i="22"/>
  <c r="I23" i="22"/>
  <c r="I87" i="20"/>
  <c r="K31" i="22"/>
  <c r="K102" i="20"/>
  <c r="K38" i="22" s="1"/>
  <c r="J23" i="22"/>
  <c r="J87" i="20"/>
  <c r="I12" i="22"/>
  <c r="I213" i="6"/>
  <c r="K216" i="6"/>
  <c r="I216" i="6"/>
  <c r="S70" i="6"/>
  <c r="U70" i="6"/>
  <c r="K206" i="6"/>
  <c r="K208" i="6" s="1"/>
  <c r="K213" i="6"/>
  <c r="X70" i="6"/>
  <c r="S273" i="6"/>
  <c r="T273" i="6"/>
  <c r="K180" i="24"/>
  <c r="K253" i="24"/>
  <c r="K179" i="24"/>
  <c r="Y257" i="24"/>
  <c r="J257" i="24"/>
  <c r="R251" i="23" l="1"/>
  <c r="Z25" i="25"/>
  <c r="H229" i="6"/>
  <c r="F103" i="20"/>
  <c r="J229" i="6"/>
  <c r="K222" i="6"/>
  <c r="K228" i="6" s="1"/>
  <c r="I222" i="6"/>
  <c r="I228" i="6" s="1"/>
  <c r="I103" i="20"/>
  <c r="F39" i="22"/>
  <c r="I39" i="22"/>
  <c r="J103" i="20"/>
  <c r="F25" i="22"/>
  <c r="F26" i="22" s="1"/>
  <c r="F88" i="20"/>
  <c r="AW180" i="24"/>
  <c r="AW277" i="24"/>
  <c r="AW278" i="24" s="1"/>
  <c r="AW179" i="24"/>
  <c r="BI53" i="24"/>
  <c r="AW253" i="24"/>
  <c r="AW256" i="24" s="1"/>
  <c r="AV257" i="24"/>
  <c r="AU257" i="24"/>
  <c r="AH84" i="20"/>
  <c r="AH102" i="20"/>
  <c r="AF38" i="22" s="1"/>
  <c r="AH71" i="20"/>
  <c r="AF12" i="22" s="1"/>
  <c r="AO62" i="20"/>
  <c r="AH72" i="20"/>
  <c r="AH75" i="20"/>
  <c r="AX253" i="24"/>
  <c r="AX256" i="24" s="1"/>
  <c r="AX277" i="24"/>
  <c r="AX278" i="24" s="1"/>
  <c r="AX180" i="24"/>
  <c r="BJ53" i="24"/>
  <c r="AX179" i="24"/>
  <c r="AZ257" i="24"/>
  <c r="K75" i="20"/>
  <c r="K16" i="22" s="1"/>
  <c r="K15" i="22"/>
  <c r="J39" i="22"/>
  <c r="H23" i="22"/>
  <c r="H87" i="20"/>
  <c r="J25" i="22"/>
  <c r="J26" i="22" s="1"/>
  <c r="J88" i="20"/>
  <c r="I25" i="22"/>
  <c r="I26" i="22" s="1"/>
  <c r="I88" i="20"/>
  <c r="K12" i="22"/>
  <c r="K39" i="22" s="1"/>
  <c r="K103" i="20"/>
  <c r="K13" i="22"/>
  <c r="G12" i="22"/>
  <c r="H12" i="22"/>
  <c r="G23" i="22"/>
  <c r="G87" i="20"/>
  <c r="K22" i="22"/>
  <c r="K87" i="20"/>
  <c r="K25" i="22" s="1"/>
  <c r="H31" i="22"/>
  <c r="H102" i="20"/>
  <c r="H38" i="22" s="1"/>
  <c r="G31" i="22"/>
  <c r="G102" i="20"/>
  <c r="G38" i="22" s="1"/>
  <c r="K256" i="24"/>
  <c r="K278" i="24"/>
  <c r="G103" i="20" l="1"/>
  <c r="I229" i="6"/>
  <c r="K229" i="6"/>
  <c r="G39" i="22"/>
  <c r="AX257" i="24"/>
  <c r="AF39" i="22"/>
  <c r="AF16" i="22"/>
  <c r="AH74" i="20"/>
  <c r="AF15" i="22" s="1"/>
  <c r="AF13" i="22"/>
  <c r="AH87" i="20"/>
  <c r="AF25" i="22" s="1"/>
  <c r="AF22" i="22"/>
  <c r="AW257" i="24"/>
  <c r="H103" i="20"/>
  <c r="K88" i="20"/>
  <c r="H25" i="22"/>
  <c r="H26" i="22" s="1"/>
  <c r="H88" i="20"/>
  <c r="H39" i="22"/>
  <c r="K26" i="22"/>
  <c r="G25" i="22"/>
  <c r="G26" i="22" s="1"/>
  <c r="G88" i="20"/>
  <c r="K257" i="24"/>
  <c r="AH88" i="20" l="1"/>
  <c r="J288" i="6" l="1"/>
  <c r="V292" i="6" s="1"/>
  <c r="Q287" i="6" l="1"/>
  <c r="V291" i="6"/>
  <c r="V293" i="6"/>
  <c r="V294" i="6"/>
  <c r="V289" i="6"/>
  <c r="V296" i="6"/>
  <c r="J297" i="6"/>
  <c r="V290" i="6"/>
  <c r="V295" i="6"/>
  <c r="V288" i="6" l="1"/>
  <c r="S145" i="6" l="1"/>
  <c r="S149" i="6"/>
  <c r="S146" i="6"/>
  <c r="S153" i="6"/>
  <c r="S147" i="6"/>
  <c r="S151" i="6"/>
  <c r="S150" i="6"/>
  <c r="S141" i="6"/>
  <c r="S140" i="6"/>
  <c r="S148" i="6"/>
  <c r="S152" i="6"/>
  <c r="G154" i="6"/>
  <c r="S154" i="6" s="1"/>
  <c r="O297" i="6" l="1"/>
  <c r="O261" i="6"/>
  <c r="O262" i="6"/>
  <c r="O263" i="6"/>
  <c r="O260" i="6"/>
  <c r="O264" i="6" l="1"/>
  <c r="AA260" i="6"/>
  <c r="AA263" i="6"/>
  <c r="AA262" i="6"/>
  <c r="AA261" i="6"/>
  <c r="O311" i="6" l="1"/>
  <c r="AA264" i="6"/>
  <c r="O266" i="6"/>
  <c r="Q311" i="6" l="1"/>
  <c r="Q310" i="6" s="1"/>
  <c r="O316" i="6"/>
  <c r="O318" i="6" s="1"/>
  <c r="G249" i="23"/>
  <c r="G251" i="23" s="1"/>
  <c r="B243" i="23"/>
  <c r="I243" i="23" s="1"/>
  <c r="S244" i="23" l="1"/>
  <c r="S247" i="23"/>
  <c r="H243" i="23"/>
  <c r="H249" i="23" s="1"/>
  <c r="S249" i="23"/>
  <c r="J243" i="23"/>
  <c r="J249" i="23" s="1"/>
  <c r="M243" i="23"/>
  <c r="L243" i="23"/>
  <c r="L249" i="23" s="1"/>
  <c r="I249" i="23"/>
  <c r="S243" i="23"/>
  <c r="K243" i="23"/>
  <c r="M249" i="23"/>
  <c r="S245" i="23"/>
  <c r="S248" i="23"/>
  <c r="M251" i="23"/>
  <c r="Y243" i="23" s="1"/>
  <c r="O243" i="23"/>
  <c r="S246" i="23"/>
  <c r="N243" i="23"/>
  <c r="J251" i="23" l="1"/>
  <c r="V243" i="23" s="1"/>
  <c r="Y249" i="23"/>
  <c r="S251" i="23"/>
  <c r="V245" i="23"/>
  <c r="V248" i="23"/>
  <c r="V246" i="23"/>
  <c r="V247" i="23"/>
  <c r="V244" i="23"/>
  <c r="L251" i="23"/>
  <c r="X249" i="23" s="1"/>
  <c r="V249" i="23"/>
  <c r="N249" i="23"/>
  <c r="Y247" i="23"/>
  <c r="Y246" i="23"/>
  <c r="Y245" i="23"/>
  <c r="Y248" i="23"/>
  <c r="Y244" i="23"/>
  <c r="K249" i="23"/>
  <c r="K251" i="23" s="1"/>
  <c r="H251" i="23"/>
  <c r="O249" i="23"/>
  <c r="O251" i="23"/>
  <c r="AA243" i="23"/>
  <c r="AA251" i="23" s="1"/>
  <c r="I251" i="23"/>
  <c r="V251" i="23" l="1"/>
  <c r="AA249" i="23"/>
  <c r="N251" i="23"/>
  <c r="Z249" i="23" s="1"/>
  <c r="Y251" i="23"/>
  <c r="Z244" i="23"/>
  <c r="Z246" i="23"/>
  <c r="Z245" i="23"/>
  <c r="Z248" i="23"/>
  <c r="Z247" i="23"/>
  <c r="U245" i="23"/>
  <c r="U246" i="23"/>
  <c r="U248" i="23"/>
  <c r="U247" i="23"/>
  <c r="U244" i="23"/>
  <c r="U243" i="23"/>
  <c r="AA248" i="23"/>
  <c r="AA245" i="23"/>
  <c r="AA246" i="23"/>
  <c r="AA244" i="23"/>
  <c r="AA247" i="23"/>
  <c r="W245" i="23"/>
  <c r="W244" i="23"/>
  <c r="W246" i="23"/>
  <c r="W247" i="23"/>
  <c r="W248" i="23"/>
  <c r="W243" i="23"/>
  <c r="W251" i="23" s="1"/>
  <c r="T244" i="23"/>
  <c r="T248" i="23"/>
  <c r="T247" i="23"/>
  <c r="T245" i="23"/>
  <c r="T246" i="23"/>
  <c r="T243" i="23"/>
  <c r="T251" i="23" s="1"/>
  <c r="U249" i="23"/>
  <c r="X246" i="23"/>
  <c r="X245" i="23"/>
  <c r="X247" i="23"/>
  <c r="X244" i="23"/>
  <c r="X248" i="23"/>
  <c r="X243" i="23"/>
  <c r="W249" i="23"/>
  <c r="T249" i="23"/>
  <c r="Z243" i="23"/>
  <c r="Z251" i="23" l="1"/>
  <c r="U251" i="23"/>
  <c r="X251"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G63" authorId="0" shapeId="0" xr:uid="{00000000-0006-0000-0300-000001000000}">
      <text>
        <r>
          <rPr>
            <b/>
            <sz val="9"/>
            <color indexed="81"/>
            <rFont val="Tahoma"/>
            <family val="2"/>
            <charset val="204"/>
          </rPr>
          <t>Автор:</t>
        </r>
        <r>
          <rPr>
            <sz val="9"/>
            <color indexed="81"/>
            <rFont val="Tahoma"/>
            <family val="2"/>
            <charset val="204"/>
          </rPr>
          <t xml:space="preserve">
Расходы от досрочного погашения обязательств перед ГК АСВ</t>
        </r>
      </text>
    </comment>
    <comment ref="H63" authorId="0" shapeId="0" xr:uid="{00000000-0006-0000-0300-000002000000}">
      <text>
        <r>
          <rPr>
            <b/>
            <sz val="9"/>
            <color indexed="81"/>
            <rFont val="Tahoma"/>
            <family val="2"/>
            <charset val="204"/>
          </rPr>
          <t>Автор:</t>
        </r>
        <r>
          <rPr>
            <sz val="9"/>
            <color indexed="81"/>
            <rFont val="Tahoma"/>
            <family val="2"/>
            <charset val="204"/>
          </rPr>
          <t xml:space="preserve">
Расходы от досрочного погашения обязательств перед ГК АСВ</t>
        </r>
      </text>
    </comment>
    <comment ref="G64" authorId="0" shapeId="0" xr:uid="{00000000-0006-0000-0300-000003000000}">
      <text>
        <r>
          <rPr>
            <b/>
            <sz val="9"/>
            <color indexed="81"/>
            <rFont val="Tahoma"/>
            <family val="2"/>
            <charset val="204"/>
          </rPr>
          <t>Автор:</t>
        </r>
        <r>
          <rPr>
            <sz val="9"/>
            <color indexed="81"/>
            <rFont val="Tahoma"/>
            <family val="2"/>
            <charset val="204"/>
          </rPr>
          <t xml:space="preserve">
От признания средств, полученных от ГК "АСВ"</t>
        </r>
      </text>
    </comment>
    <comment ref="J64" authorId="0" shapeId="0" xr:uid="{00000000-0006-0000-0300-000004000000}">
      <text>
        <r>
          <rPr>
            <b/>
            <sz val="9"/>
            <color indexed="81"/>
            <rFont val="Tahoma"/>
            <family val="2"/>
            <charset val="204"/>
          </rPr>
          <t>Автор:</t>
        </r>
        <r>
          <rPr>
            <sz val="9"/>
            <color indexed="81"/>
            <rFont val="Tahoma"/>
            <family val="2"/>
            <charset val="204"/>
          </rPr>
          <t xml:space="preserve">
В результате продления срока погашения займа ГК "АСВ"</t>
        </r>
      </text>
    </comment>
    <comment ref="D190" authorId="0" shapeId="0" xr:uid="{00000000-0006-0000-0300-000005000000}">
      <text>
        <r>
          <rPr>
            <b/>
            <sz val="9"/>
            <color indexed="81"/>
            <rFont val="Tahoma"/>
            <family val="2"/>
            <charset val="204"/>
          </rPr>
          <t>Автор:</t>
        </r>
        <r>
          <rPr>
            <sz val="9"/>
            <color indexed="81"/>
            <rFont val="Tahoma"/>
            <family val="2"/>
            <charset val="204"/>
          </rPr>
          <t xml:space="preserve">
Покупка у клиентов ц/б с обязательством обратной продажи</t>
        </r>
      </text>
    </comment>
    <comment ref="D242" authorId="0" shapeId="0" xr:uid="{00000000-0006-0000-0300-000006000000}">
      <text>
        <r>
          <rPr>
            <b/>
            <sz val="9"/>
            <color indexed="81"/>
            <rFont val="Tahoma"/>
            <family val="2"/>
            <charset val="204"/>
          </rPr>
          <t>Автор:</t>
        </r>
        <r>
          <rPr>
            <sz val="9"/>
            <color indexed="81"/>
            <rFont val="Tahoma"/>
            <family val="2"/>
            <charset val="204"/>
          </rPr>
          <t xml:space="preserve">
Покупка у клиентов ц/б с обязательством обратной продажи</t>
        </r>
      </text>
    </comment>
    <comment ref="D263" authorId="0" shapeId="0" xr:uid="{00000000-0006-0000-0300-000007000000}">
      <text>
        <r>
          <rPr>
            <b/>
            <sz val="9"/>
            <color indexed="81"/>
            <rFont val="Tahoma"/>
            <family val="2"/>
            <charset val="204"/>
          </rPr>
          <t>Автор:</t>
        </r>
        <r>
          <rPr>
            <sz val="9"/>
            <color indexed="81"/>
            <rFont val="Tahoma"/>
            <family val="2"/>
            <charset val="204"/>
          </rPr>
          <t xml:space="preserve">
Покупка у клиентов ц/б с обязательством обратной продажи</t>
        </r>
      </text>
    </comment>
    <comment ref="K303" authorId="0" shapeId="0" xr:uid="{00000000-0006-0000-0300-000008000000}">
      <text>
        <r>
          <rPr>
            <b/>
            <sz val="9"/>
            <color indexed="81"/>
            <rFont val="Tahoma"/>
            <family val="2"/>
            <charset val="204"/>
          </rPr>
          <t>Автор:</t>
        </r>
        <r>
          <rPr>
            <sz val="9"/>
            <color indexed="81"/>
            <rFont val="Tahoma"/>
            <family val="2"/>
            <charset val="204"/>
          </rPr>
          <t xml:space="preserve">
Облигации МФ РФ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E29" authorId="0" shapeId="0" xr:uid="{00000000-0006-0000-0200-000001000000}">
      <text>
        <r>
          <rPr>
            <b/>
            <sz val="9"/>
            <color indexed="81"/>
            <rFont val="Tahoma"/>
            <family val="2"/>
            <charset val="204"/>
          </rPr>
          <t>Автор:</t>
        </r>
        <r>
          <rPr>
            <sz val="9"/>
            <color indexed="81"/>
            <rFont val="Tahoma"/>
            <family val="2"/>
            <charset val="204"/>
          </rPr>
          <t xml:space="preserve">
С 01.07.2018</t>
        </r>
      </text>
    </comment>
    <comment ref="E43" authorId="0" shapeId="0" xr:uid="{00000000-0006-0000-0200-000002000000}">
      <text>
        <r>
          <rPr>
            <b/>
            <sz val="9"/>
            <color indexed="81"/>
            <rFont val="Tahoma"/>
            <family val="2"/>
            <charset val="204"/>
          </rPr>
          <t>Автор:</t>
        </r>
        <r>
          <rPr>
            <sz val="9"/>
            <color indexed="81"/>
            <rFont val="Tahoma"/>
            <family val="2"/>
            <charset val="204"/>
          </rPr>
          <t xml:space="preserve">
ПВР - подход на основе внутренних рейтингов для расчета кредитного риска в соответствии с Положением Банка России от 06.08.2015 г. N 483-П.</t>
        </r>
      </text>
    </comment>
    <comment ref="E44" authorId="0" shapeId="0" xr:uid="{00000000-0006-0000-0200-000003000000}">
      <text>
        <r>
          <rPr>
            <b/>
            <sz val="9"/>
            <color indexed="81"/>
            <rFont val="Tahoma"/>
            <family val="2"/>
            <charset val="204"/>
          </rPr>
          <t>Автор:</t>
        </r>
        <r>
          <rPr>
            <sz val="9"/>
            <color indexed="81"/>
            <rFont val="Tahoma"/>
            <family val="2"/>
            <charset val="204"/>
          </rPr>
          <t xml:space="preserve">
Итоговый результат применения надбавок к коэффициентам риска, установленных в соответствии с Указанием Банка России от 31.08.2018 г. № 4892-У по отдельным видам активов.</t>
        </r>
      </text>
    </comment>
    <comment ref="D72" authorId="0" shapeId="0" xr:uid="{00000000-0006-0000-0200-000004000000}">
      <text>
        <r>
          <rPr>
            <b/>
            <sz val="9"/>
            <color indexed="81"/>
            <rFont val="Tahoma"/>
            <family val="2"/>
            <charset val="204"/>
          </rPr>
          <t>Автор:</t>
        </r>
        <r>
          <rPr>
            <sz val="9"/>
            <color indexed="81"/>
            <rFont val="Tahoma"/>
            <family val="2"/>
            <charset val="204"/>
          </rPr>
          <t xml:space="preserve">
ЦБ РФ, Динамические ряды показателей отдельных таблиц сборника «Статистические показатели банковского сектора Российской Федерации».
 - п. 2. Депозиты в ЦБ РФ
 - п. 4.1.  Кредиты банкам до вычета резервов
 - п. 5.1 и 5.3.  Долговые ц/б и векселя до вычета резервов
 - п. 7.1.  Кредиты и прочие требования до вычета резервовп.</t>
        </r>
      </text>
    </comment>
    <comment ref="D73" authorId="0" shapeId="0" xr:uid="{00000000-0006-0000-0200-000005000000}">
      <text>
        <r>
          <rPr>
            <b/>
            <sz val="9"/>
            <color indexed="81"/>
            <rFont val="Tahoma"/>
            <family val="2"/>
            <charset val="204"/>
          </rPr>
          <t>Автор:</t>
        </r>
        <r>
          <rPr>
            <sz val="9"/>
            <color indexed="81"/>
            <rFont val="Tahoma"/>
            <family val="2"/>
            <charset val="204"/>
          </rPr>
          <t xml:space="preserve">
ЦБ РФ, Динамические ряды показателей отдельных таблиц сборника «Статистические показатели банковского сектора Российской Федерации».
 - п. 1. Кредиты от Банка России
 - п. 2.1.2.  Кредиты и депозиты от банков
 - п. 3, 4.1 и 4.2.  Средства корп. клиентов, гос. средства и средсва физ. лиц
 - п. 5.  Выпущенные долговые ценные бумаги</t>
        </r>
      </text>
    </comment>
    <comment ref="D74" authorId="0" shapeId="0" xr:uid="{00000000-0006-0000-0200-000006000000}">
      <text>
        <r>
          <rPr>
            <b/>
            <sz val="9"/>
            <color indexed="81"/>
            <rFont val="Tahoma"/>
            <family val="2"/>
            <charset val="204"/>
          </rPr>
          <t>Автор:</t>
        </r>
        <r>
          <rPr>
            <sz val="9"/>
            <color indexed="81"/>
            <rFont val="Tahoma"/>
            <family val="2"/>
            <charset val="204"/>
          </rPr>
          <t xml:space="preserve">
ЦБ РФ, Динамические ряды показателей отдельных таблиц сборника «Статистические показатели банковского сектора Российской Федерации».
 - п. 2. Депозиты в ЦБ РФ
 - п. 4.  Кредиты банкам
 - п. 5. Ценные бумаги
 - п. 6. Участие в уставных капиталах
 - п. 7.  Кредиты и прочие требования
 - п. 8. ПФИ
 - п. 9.2. Лизинг</t>
        </r>
      </text>
    </comment>
    <comment ref="K75" authorId="0" shapeId="0" xr:uid="{00000000-0006-0000-0200-000007000000}">
      <text>
        <r>
          <rPr>
            <b/>
            <sz val="9"/>
            <color indexed="81"/>
            <rFont val="Tahoma"/>
            <family val="2"/>
            <charset val="204"/>
          </rPr>
          <t>Автор:</t>
        </r>
        <r>
          <rPr>
            <sz val="9"/>
            <color indexed="81"/>
            <rFont val="Tahoma"/>
            <family val="2"/>
            <charset val="204"/>
          </rPr>
          <t xml:space="preserve">
Д.Ч.: Экспертная оценка: 950 тыс. чел.</t>
        </r>
      </text>
    </comment>
    <comment ref="L75" authorId="0" shapeId="0" xr:uid="{00000000-0006-0000-0200-000008000000}">
      <text>
        <r>
          <rPr>
            <b/>
            <sz val="9"/>
            <color indexed="81"/>
            <rFont val="Tahoma"/>
            <family val="2"/>
            <charset val="204"/>
          </rPr>
          <t>Автор:</t>
        </r>
        <r>
          <rPr>
            <sz val="9"/>
            <color indexed="81"/>
            <rFont val="Tahoma"/>
            <family val="2"/>
            <charset val="204"/>
          </rPr>
          <t xml:space="preserve">
Отчет о развитии банковского секттора и банковского надзора. ЦБ РФ. 2015. С. 35</t>
        </r>
      </text>
    </comment>
    <comment ref="M75" authorId="0" shapeId="0" xr:uid="{00000000-0006-0000-0200-000009000000}">
      <text>
        <r>
          <rPr>
            <b/>
            <sz val="9"/>
            <color indexed="81"/>
            <rFont val="Tahoma"/>
            <family val="2"/>
            <charset val="204"/>
          </rPr>
          <t>Автор:</t>
        </r>
        <r>
          <rPr>
            <sz val="9"/>
            <color indexed="81"/>
            <rFont val="Tahoma"/>
            <family val="2"/>
            <charset val="204"/>
          </rPr>
          <t xml:space="preserve">
Отчет о развитии банковского секттора и банковского надзора. ЦБ РФ. 2015. С. 35</t>
        </r>
      </text>
    </comment>
    <comment ref="N75" authorId="0" shapeId="0" xr:uid="{00000000-0006-0000-0200-00000A000000}">
      <text>
        <r>
          <rPr>
            <b/>
            <sz val="9"/>
            <color indexed="81"/>
            <rFont val="Tahoma"/>
            <family val="2"/>
            <charset val="204"/>
          </rPr>
          <t>Автор:</t>
        </r>
        <r>
          <rPr>
            <sz val="9"/>
            <color indexed="81"/>
            <rFont val="Tahoma"/>
            <family val="2"/>
            <charset val="204"/>
          </rPr>
          <t xml:space="preserve">
На уровне прошлого года   -3%</t>
        </r>
      </text>
    </comment>
    <comment ref="O75" authorId="0" shapeId="0" xr:uid="{00000000-0006-0000-0200-00000B000000}">
      <text>
        <r>
          <rPr>
            <b/>
            <sz val="9"/>
            <color indexed="81"/>
            <rFont val="Tahoma"/>
            <family val="2"/>
            <charset val="204"/>
          </rPr>
          <t>Автор:</t>
        </r>
        <r>
          <rPr>
            <sz val="9"/>
            <color indexed="81"/>
            <rFont val="Tahoma"/>
            <family val="2"/>
            <charset val="204"/>
          </rPr>
          <t xml:space="preserve">
На уровне прошлого года   -3%</t>
        </r>
      </text>
    </comment>
    <comment ref="J94" authorId="0" shapeId="0" xr:uid="{00000000-0006-0000-0200-00000C000000}">
      <text>
        <r>
          <rPr>
            <b/>
            <sz val="9"/>
            <color indexed="81"/>
            <rFont val="Tahoma"/>
            <family val="2"/>
            <charset val="204"/>
          </rPr>
          <t>Автор:</t>
        </r>
        <r>
          <rPr>
            <sz val="9"/>
            <color indexed="81"/>
            <rFont val="Tahoma"/>
            <family val="2"/>
            <charset val="204"/>
          </rPr>
          <t xml:space="preserve">
Расчитано по данным  Отчета о развитии банковского сектора и банковского надзора в 2013 (раздел "Финансовые результаты деятельности КО")</t>
        </r>
      </text>
    </comment>
    <comment ref="K94" authorId="0" shapeId="0" xr:uid="{00000000-0006-0000-0200-00000D000000}">
      <text>
        <r>
          <rPr>
            <b/>
            <sz val="9"/>
            <color indexed="81"/>
            <rFont val="Tahoma"/>
            <family val="2"/>
            <charset val="204"/>
          </rPr>
          <t>Автор:</t>
        </r>
        <r>
          <rPr>
            <sz val="9"/>
            <color indexed="81"/>
            <rFont val="Tahoma"/>
            <family val="2"/>
            <charset val="204"/>
          </rPr>
          <t xml:space="preserve">
Расчитано по данным: 
- Отчета о развитии банковского сектора и банковского надзора в 2014 (раздел "Финансовые результаты деятельности КО")
- Обзора банковского сектора за август 2015</t>
        </r>
      </text>
    </comment>
    <comment ref="L94" authorId="0" shapeId="0" xr:uid="{00000000-0006-0000-0200-00000E000000}">
      <text>
        <r>
          <rPr>
            <b/>
            <sz val="9"/>
            <color indexed="81"/>
            <rFont val="Tahoma"/>
            <family val="2"/>
            <charset val="204"/>
          </rPr>
          <t>Автор:</t>
        </r>
        <r>
          <rPr>
            <sz val="9"/>
            <color indexed="81"/>
            <rFont val="Tahoma"/>
            <family val="2"/>
            <charset val="204"/>
          </rPr>
          <t xml:space="preserve">
Расчитано по данным: 
- Отчета о развитии банковского сектора и банковского надзора в 2014 (раздел "Финансовые результаты деятельности КО")
- Обзора банковского сектора за август 2015</t>
        </r>
      </text>
    </comment>
    <comment ref="M94" authorId="0" shapeId="0" xr:uid="{00000000-0006-0000-0200-00000F000000}">
      <text>
        <r>
          <rPr>
            <b/>
            <sz val="9"/>
            <color indexed="81"/>
            <rFont val="Tahoma"/>
            <family val="2"/>
            <charset val="204"/>
          </rPr>
          <t>Автор:</t>
        </r>
        <r>
          <rPr>
            <sz val="9"/>
            <color indexed="81"/>
            <rFont val="Tahoma"/>
            <family val="2"/>
            <charset val="204"/>
          </rPr>
          <t xml:space="preserve">
Начиная с 2016 года - по обновленному формату из Обзора банковского сектора (сентябрь 2019)</t>
        </r>
      </text>
    </comment>
    <comment ref="Q94" authorId="0" shapeId="0" xr:uid="{00000000-0006-0000-0200-000010000000}">
      <text>
        <r>
          <rPr>
            <b/>
            <sz val="9"/>
            <color indexed="81"/>
            <rFont val="Tahoma"/>
            <family val="2"/>
            <charset val="204"/>
          </rPr>
          <t>Автор:</t>
        </r>
        <r>
          <rPr>
            <sz val="9"/>
            <color indexed="81"/>
            <rFont val="Tahoma"/>
            <family val="2"/>
            <charset val="204"/>
          </rPr>
          <t xml:space="preserve">
Обзор банковского сектора. Лист Т28.
URL: https://cbr.ru/statistics/bank_sector/review/</t>
        </r>
      </text>
    </comment>
    <comment ref="C124" authorId="0" shapeId="0" xr:uid="{00000000-0006-0000-0200-000011000000}">
      <text>
        <r>
          <rPr>
            <b/>
            <sz val="9"/>
            <color indexed="81"/>
            <rFont val="Tahoma"/>
            <family val="2"/>
            <charset val="204"/>
          </rPr>
          <t>Автор:</t>
        </r>
        <r>
          <rPr>
            <sz val="9"/>
            <color indexed="81"/>
            <rFont val="Tahoma"/>
            <family val="2"/>
            <charset val="204"/>
          </rPr>
          <t xml:space="preserve">
Расходы на содержание персонала, организационные и управленческие расходы, амортизация ОС и НМА
</t>
        </r>
      </text>
    </comment>
    <comment ref="C125" authorId="0" shapeId="0" xr:uid="{00000000-0006-0000-0200-000012000000}">
      <text>
        <r>
          <rPr>
            <b/>
            <sz val="9"/>
            <color indexed="81"/>
            <rFont val="Tahoma"/>
            <family val="2"/>
            <charset val="204"/>
          </rPr>
          <t>Автор:</t>
        </r>
        <r>
          <rPr>
            <sz val="9"/>
            <color indexed="81"/>
            <rFont val="Tahoma"/>
            <family val="2"/>
            <charset val="204"/>
          </rPr>
          <t xml:space="preserve">
"Прочее" в составе Операционных расходов в таблице ЦБ РФ (п.7.4)</t>
        </r>
      </text>
    </comment>
    <comment ref="C131" authorId="0" shapeId="0" xr:uid="{11986940-AAE7-47E3-A3CC-18A87527C7D3}">
      <text>
        <r>
          <rPr>
            <b/>
            <sz val="9"/>
            <color indexed="81"/>
            <rFont val="Tahoma"/>
            <family val="2"/>
            <charset val="204"/>
          </rPr>
          <t>Автор:</t>
        </r>
        <r>
          <rPr>
            <sz val="9"/>
            <color indexed="81"/>
            <rFont val="Tahoma"/>
            <family val="2"/>
            <charset val="204"/>
          </rPr>
          <t xml:space="preserve">
Добавил 3.5 "О переоценки обязательств и требований, оцениваемых по справедливой стоимости через прибыль или убыток"</t>
        </r>
      </text>
    </comment>
    <comment ref="C134" authorId="0" shapeId="0" xr:uid="{D1CC56FA-1253-446D-8E27-FC5DE9E110C0}">
      <text>
        <r>
          <rPr>
            <b/>
            <sz val="9"/>
            <color indexed="81"/>
            <rFont val="Tahoma"/>
            <family val="2"/>
            <charset val="204"/>
          </rPr>
          <t>Автор:</t>
        </r>
        <r>
          <rPr>
            <sz val="9"/>
            <color indexed="81"/>
            <rFont val="Tahoma"/>
            <family val="2"/>
            <charset val="204"/>
          </rPr>
          <t xml:space="preserve">
Обратным счетом от Совокупного финансового результата и итоговой строки "Чистая прибыль после налогообложения"</t>
        </r>
      </text>
    </comment>
    <comment ref="C145" authorId="0" shapeId="0" xr:uid="{00000000-0006-0000-0200-000013000000}">
      <text>
        <r>
          <rPr>
            <b/>
            <sz val="9"/>
            <color indexed="81"/>
            <rFont val="Tahoma"/>
            <family val="2"/>
            <charset val="204"/>
          </rPr>
          <t>Автор:</t>
        </r>
        <r>
          <rPr>
            <sz val="9"/>
            <color indexed="81"/>
            <rFont val="Tahoma"/>
            <family val="2"/>
            <charset val="204"/>
          </rPr>
          <t xml:space="preserve">
Включая доход от разовых операций</t>
        </r>
      </text>
    </comment>
    <comment ref="C148" authorId="0" shapeId="0" xr:uid="{00000000-0006-0000-0200-000014000000}">
      <text>
        <r>
          <rPr>
            <b/>
            <sz val="9"/>
            <color indexed="81"/>
            <rFont val="Tahoma"/>
            <family val="2"/>
            <charset val="204"/>
          </rPr>
          <t>Автор:</t>
        </r>
        <r>
          <rPr>
            <sz val="9"/>
            <color indexed="81"/>
            <rFont val="Tahoma"/>
            <family val="2"/>
            <charset val="204"/>
          </rPr>
          <t xml:space="preserve">
Текущий и отложенный налог на прибыль</t>
        </r>
      </text>
    </comment>
    <comment ref="K151" authorId="0" shapeId="0" xr:uid="{44C20A77-40D3-471F-A7EF-9CC5A23E2781}">
      <text>
        <r>
          <rPr>
            <b/>
            <sz val="9"/>
            <color indexed="81"/>
            <rFont val="Tahoma"/>
            <family val="2"/>
            <charset val="204"/>
          </rPr>
          <t>Автор:</t>
        </r>
        <r>
          <rPr>
            <sz val="9"/>
            <color indexed="81"/>
            <rFont val="Tahoma"/>
            <family val="2"/>
            <charset val="204"/>
          </rPr>
          <t xml:space="preserve">
В Очтете о развитии банковского сектора &lt;...&gt; в 2014 году содержится значение 589 млрд. руб.</t>
        </r>
      </text>
    </comment>
    <comment ref="L151" authorId="0" shapeId="0" xr:uid="{D5A091F6-FEED-4AF1-A2A7-1D9CA4084659}">
      <text>
        <r>
          <rPr>
            <b/>
            <sz val="9"/>
            <color indexed="81"/>
            <rFont val="Tahoma"/>
            <family val="2"/>
            <charset val="204"/>
          </rPr>
          <t>Автор:</t>
        </r>
        <r>
          <rPr>
            <sz val="9"/>
            <color indexed="81"/>
            <rFont val="Tahoma"/>
            <family val="2"/>
            <charset val="204"/>
          </rPr>
          <t xml:space="preserve">
В Очтете о развитии банковского сектора &lt;...&gt; в 2015 году содержится значение 192 млрд. руб.</t>
        </r>
      </text>
    </comment>
    <comment ref="D161" authorId="0" shapeId="0" xr:uid="{00000000-0006-0000-0200-000017000000}">
      <text>
        <r>
          <rPr>
            <b/>
            <sz val="11"/>
            <color indexed="81"/>
            <rFont val="Tahoma"/>
            <family val="2"/>
            <charset val="204"/>
          </rPr>
          <t>Автор:</t>
        </r>
        <r>
          <rPr>
            <sz val="11"/>
            <color indexed="81"/>
            <rFont val="Tahoma"/>
            <family val="2"/>
            <charset val="204"/>
          </rPr>
          <t xml:space="preserve">
</t>
        </r>
        <r>
          <rPr>
            <sz val="14"/>
            <color indexed="81"/>
            <rFont val="Tahoma"/>
            <family val="2"/>
            <charset val="204"/>
          </rPr>
          <t xml:space="preserve">По данным FDIC  
1) https://www.fdic.gov/quarterly-banking-profile
QBP Time Series Spreadsheets ---&gt;&gt; Balance Sheet (XLSX) 
QBP Time Series Spreadsheets ---&gt;&gt; Annual Income (XLSX) 
2) https://state-tables.fdic.gov/ - </t>
        </r>
        <r>
          <rPr>
            <b/>
            <sz val="14"/>
            <color indexed="81"/>
            <rFont val="Tahoma"/>
            <family val="2"/>
            <charset val="204"/>
          </rPr>
          <t xml:space="preserve"> All Commercial Banks - National </t>
        </r>
      </text>
    </comment>
    <comment ref="D202" authorId="0" shapeId="0" xr:uid="{00000000-0006-0000-0200-000018000000}">
      <text>
        <r>
          <rPr>
            <b/>
            <sz val="9"/>
            <color indexed="81"/>
            <rFont val="Tahoma"/>
            <family val="2"/>
            <charset val="204"/>
          </rPr>
          <t>Автор:</t>
        </r>
        <r>
          <rPr>
            <sz val="9"/>
            <color indexed="81"/>
            <rFont val="Tahoma"/>
            <family val="2"/>
            <charset val="204"/>
          </rPr>
          <t xml:space="preserve">  
</t>
        </r>
        <r>
          <rPr>
            <sz val="14"/>
            <color indexed="81"/>
            <rFont val="Tahoma"/>
            <family val="2"/>
            <charset val="204"/>
          </rPr>
          <t>- Federal  funds sold and reverse repurchase agreements
 - Securities -     Held to maturity (amortized cost)
 - Total loans and leases</t>
        </r>
      </text>
    </comment>
    <comment ref="D203" authorId="0" shapeId="0" xr:uid="{00000000-0006-0000-0200-000019000000}">
      <text>
        <r>
          <rPr>
            <b/>
            <sz val="9"/>
            <color indexed="81"/>
            <rFont val="Tahoma"/>
            <family val="2"/>
            <charset val="204"/>
          </rPr>
          <t>Автор:</t>
        </r>
        <r>
          <rPr>
            <sz val="9"/>
            <color indexed="81"/>
            <rFont val="Tahoma"/>
            <family val="2"/>
            <charset val="204"/>
          </rPr>
          <t xml:space="preserve">
</t>
        </r>
        <r>
          <rPr>
            <sz val="12"/>
            <color indexed="81"/>
            <rFont val="Tahoma"/>
            <family val="2"/>
            <charset val="204"/>
          </rPr>
          <t xml:space="preserve"> - Deposits
 - Federal funds purchased &amp; repurchase agreements
 -   FHLB advances
 - Other borrowed funds
 - Subordinated deb</t>
        </r>
        <r>
          <rPr>
            <sz val="9"/>
            <color indexed="81"/>
            <rFont val="Tahoma"/>
            <family val="2"/>
            <charset val="204"/>
          </rPr>
          <t>t</t>
        </r>
      </text>
    </comment>
    <comment ref="D204" authorId="0" shapeId="0" xr:uid="{00000000-0006-0000-0200-00001A000000}">
      <text>
        <r>
          <rPr>
            <b/>
            <sz val="9"/>
            <color indexed="81"/>
            <rFont val="Tahoma"/>
            <family val="2"/>
            <charset val="204"/>
          </rPr>
          <t>Автор:</t>
        </r>
        <r>
          <rPr>
            <sz val="9"/>
            <color indexed="81"/>
            <rFont val="Tahoma"/>
            <family val="2"/>
            <charset val="204"/>
          </rPr>
          <t xml:space="preserve">
</t>
        </r>
        <r>
          <rPr>
            <sz val="16"/>
            <color indexed="81"/>
            <rFont val="Tahoma"/>
            <family val="2"/>
            <charset val="204"/>
          </rPr>
          <t xml:space="preserve">Earning assets </t>
        </r>
      </text>
    </comment>
    <comment ref="D205" authorId="0" shapeId="0" xr:uid="{00000000-0006-0000-0200-00001B000000}">
      <text>
        <r>
          <rPr>
            <b/>
            <sz val="9"/>
            <color indexed="81"/>
            <rFont val="Tahoma"/>
            <family val="2"/>
            <charset val="204"/>
          </rPr>
          <t>Автор:</t>
        </r>
        <r>
          <rPr>
            <sz val="9"/>
            <color indexed="81"/>
            <rFont val="Tahoma"/>
            <family val="2"/>
            <charset val="204"/>
          </rPr>
          <t xml:space="preserve">
Total employees (full-time equivalent)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E19" authorId="0" shapeId="0" xr:uid="{00000000-0006-0000-0400-000001000000}">
      <text>
        <r>
          <rPr>
            <b/>
            <sz val="11"/>
            <color indexed="81"/>
            <rFont val="Tahoma"/>
            <family val="2"/>
            <charset val="204"/>
          </rPr>
          <t>Автор:</t>
        </r>
        <r>
          <rPr>
            <sz val="11"/>
            <color indexed="81"/>
            <rFont val="Tahoma"/>
            <family val="2"/>
            <charset val="204"/>
          </rPr>
          <t xml:space="preserve">
</t>
        </r>
        <r>
          <rPr>
            <b/>
            <sz val="11"/>
            <color indexed="81"/>
            <rFont val="Tahoma"/>
            <family val="2"/>
            <charset val="204"/>
          </rPr>
          <t>ОНА</t>
        </r>
        <r>
          <rPr>
            <sz val="11"/>
            <color indexed="81"/>
            <rFont val="Tahoma"/>
            <family val="2"/>
            <charset val="204"/>
          </rPr>
          <t xml:space="preserve"> - это суммы, которые уменьшат подлежащий уплате в бюджетную систему РФ налог на прибыль в будущих отчетных периодах. Они возникают в отношении 
- вычитаемых временных разниц;
- перенесенных на будущее убытков, не использованных для уменьшения налога на прибыль</t>
        </r>
      </text>
    </comment>
    <comment ref="E38" authorId="0" shapeId="0" xr:uid="{00000000-0006-0000-0400-000002000000}">
      <text>
        <r>
          <rPr>
            <b/>
            <sz val="11"/>
            <color indexed="81"/>
            <rFont val="Tahoma"/>
            <family val="2"/>
            <charset val="204"/>
          </rPr>
          <t>Автор:</t>
        </r>
        <r>
          <rPr>
            <sz val="11"/>
            <color indexed="81"/>
            <rFont val="Tahoma"/>
            <family val="2"/>
            <charset val="204"/>
          </rPr>
          <t xml:space="preserve">
</t>
        </r>
        <r>
          <rPr>
            <b/>
            <sz val="11"/>
            <color indexed="81"/>
            <rFont val="Tahoma"/>
            <family val="2"/>
            <charset val="204"/>
          </rPr>
          <t xml:space="preserve">ОНО </t>
        </r>
        <r>
          <rPr>
            <sz val="11"/>
            <color indexed="81"/>
            <rFont val="Tahoma"/>
            <family val="2"/>
            <charset val="204"/>
          </rPr>
          <t>- это суммы, которые увеличат подлежащий уплате в бюджетную систему РФ налог на прибыль в будущих отчетных периодах в отношении налогооблагаемых временных разниц</t>
        </r>
      </text>
    </comment>
    <comment ref="E124" authorId="0" shapeId="0" xr:uid="{00000000-0006-0000-0400-000003000000}">
      <text>
        <r>
          <rPr>
            <b/>
            <sz val="9"/>
            <color indexed="81"/>
            <rFont val="Tahoma"/>
            <family val="2"/>
            <charset val="204"/>
          </rPr>
          <t>Автор:</t>
        </r>
        <r>
          <rPr>
            <sz val="9"/>
            <color indexed="81"/>
            <rFont val="Tahoma"/>
            <family val="2"/>
            <charset val="204"/>
          </rPr>
          <t xml:space="preserve">
На основе одноименной формы № 134 с сайта Банка России (http://www.cbr.ru/credit/transparent.asp)</t>
        </r>
      </text>
    </comment>
    <comment ref="E360" authorId="0" shapeId="0" xr:uid="{00000000-0006-0000-0400-000004000000}">
      <text>
        <r>
          <rPr>
            <b/>
            <sz val="9"/>
            <color indexed="81"/>
            <rFont val="Tahoma"/>
            <family val="2"/>
            <charset val="204"/>
          </rPr>
          <t>Автор:</t>
        </r>
        <r>
          <rPr>
            <sz val="9"/>
            <color indexed="81"/>
            <rFont val="Tahoma"/>
            <family val="2"/>
            <charset val="204"/>
          </rPr>
          <t xml:space="preserve">
Это знаменатель в расчете норматива достаточности собственных средств</t>
        </r>
      </text>
    </comment>
    <comment ref="E371" authorId="0" shapeId="0" xr:uid="{00000000-0006-0000-0400-000005000000}">
      <text>
        <r>
          <rPr>
            <b/>
            <sz val="9"/>
            <color indexed="81"/>
            <rFont val="Tahoma"/>
            <family val="2"/>
            <charset val="204"/>
          </rPr>
          <t>Автор:</t>
        </r>
        <r>
          <rPr>
            <sz val="9"/>
            <color indexed="81"/>
            <rFont val="Tahoma"/>
            <family val="2"/>
            <charset val="204"/>
          </rPr>
          <t xml:space="preserve">
Под кредитным риском контрагента понимается риск дефолта контрагента до завершения
расчетов по операциям с производными финансовыми инструментами, сделкам РЕПО и
аналогичным сделкам</t>
        </r>
      </text>
    </comment>
    <comment ref="E396" authorId="0" shapeId="0" xr:uid="{00000000-0006-0000-0400-000006000000}">
      <text>
        <r>
          <rPr>
            <b/>
            <sz val="9"/>
            <color indexed="81"/>
            <rFont val="Tahoma"/>
            <family val="2"/>
            <charset val="204"/>
          </rPr>
          <t>Автор:</t>
        </r>
        <r>
          <rPr>
            <sz val="9"/>
            <color indexed="81"/>
            <rFont val="Tahoma"/>
            <family val="2"/>
            <charset val="204"/>
          </rPr>
          <t xml:space="preserve">
Норматив финансового рычага (Н1.4) рассчитывается как отношение величины основного капитала банка к сумме:
- балансовых активов, взвешенных по уровню кредитного риска 100%;
- кредитного риска по условным обязательствам кредитного характера;
- кредитного риска по операциям с ПФИ, рассчитанного в соответствии с приложением 10 к Инструкции № 180-И;
- кредитного риска по сделкам купли-продажи ценных бумаг без прекращения признания с обязательством обратной продажи (покупки) ценных бумаг и по операциям займа ценных бумаг 
</t>
        </r>
      </text>
    </comment>
    <comment ref="E400" authorId="0" shapeId="0" xr:uid="{00000000-0006-0000-0400-000007000000}">
      <text>
        <r>
          <rPr>
            <b/>
            <sz val="9"/>
            <color indexed="81"/>
            <rFont val="Tahoma"/>
            <family val="2"/>
            <charset val="204"/>
          </rPr>
          <t>Автор:</t>
        </r>
        <r>
          <rPr>
            <sz val="9"/>
            <color indexed="81"/>
            <rFont val="Tahoma"/>
            <family val="2"/>
            <charset val="204"/>
          </rPr>
          <t xml:space="preserve">
Сумма всех крупных кредитных рисков к одной группе лиц (5% от капитала) к величине капитала банка</t>
        </r>
      </text>
    </comment>
    <comment ref="E401" authorId="0" shapeId="0" xr:uid="{00000000-0006-0000-0400-000008000000}">
      <text>
        <r>
          <rPr>
            <b/>
            <sz val="9"/>
            <color indexed="81"/>
            <rFont val="Tahoma"/>
            <family val="2"/>
            <charset val="204"/>
          </rPr>
          <t>Автор:</t>
        </r>
        <r>
          <rPr>
            <sz val="9"/>
            <color indexed="81"/>
            <rFont val="Tahoma"/>
            <family val="2"/>
            <charset val="204"/>
          </rPr>
          <t xml:space="preserve">
Сумма кредитных рисков к каждому акционеру (с долей &gt;5%) к капиталу банка</t>
        </r>
      </text>
    </comment>
    <comment ref="E402" authorId="0" shapeId="0" xr:uid="{00000000-0006-0000-0400-000009000000}">
      <text>
        <r>
          <rPr>
            <b/>
            <sz val="9"/>
            <color indexed="81"/>
            <rFont val="Tahoma"/>
            <family val="2"/>
            <charset val="204"/>
          </rPr>
          <t>Автор:</t>
        </r>
        <r>
          <rPr>
            <sz val="9"/>
            <color indexed="81"/>
            <rFont val="Tahoma"/>
            <family val="2"/>
            <charset val="204"/>
          </rPr>
          <t xml:space="preserve">
Сумма риска на инсайдеров банка к капиталу банка</t>
        </r>
      </text>
    </comment>
    <comment ref="E403" authorId="0" shapeId="0" xr:uid="{00000000-0006-0000-0400-00000A000000}">
      <text>
        <r>
          <rPr>
            <b/>
            <sz val="9"/>
            <color indexed="81"/>
            <rFont val="Tahoma"/>
            <family val="2"/>
            <charset val="204"/>
          </rPr>
          <t>Автор:</t>
        </r>
        <r>
          <rPr>
            <sz val="9"/>
            <color indexed="81"/>
            <rFont val="Tahoma"/>
            <family val="2"/>
            <charset val="204"/>
          </rPr>
          <t xml:space="preserve">
Сумма вложений в акции (доли) юр. лиц (пакет от 5% и выше), кроме 
1. спекулятивных, краткосрочных целей, 
2. учтетенных при расчете капитала
2. тех, по которым расчитывается рыночный риск
к капиталу банка</t>
        </r>
      </text>
    </comment>
    <comment ref="E404" authorId="0" shapeId="0" xr:uid="{00000000-0006-0000-0400-00000B000000}">
      <text>
        <r>
          <rPr>
            <b/>
            <sz val="9"/>
            <color indexed="81"/>
            <rFont val="Tahoma"/>
            <family val="2"/>
            <charset val="204"/>
          </rPr>
          <t>Автор:</t>
        </r>
        <r>
          <rPr>
            <sz val="9"/>
            <color indexed="81"/>
            <rFont val="Tahoma"/>
            <family val="2"/>
            <charset val="204"/>
          </rPr>
          <t xml:space="preserve">
Норматив максимального размера риска на связанное с банком лицо (группу связанных с банком лиц) </t>
        </r>
        <r>
          <rPr>
            <b/>
            <sz val="9"/>
            <color indexed="81"/>
            <rFont val="Tahoma"/>
            <family val="2"/>
            <charset val="204"/>
          </rPr>
          <t>(Н25</t>
        </r>
        <r>
          <rPr>
            <sz val="9"/>
            <color indexed="81"/>
            <rFont val="Tahoma"/>
            <family val="2"/>
            <charset val="204"/>
          </rPr>
          <t>) регулирует (ограничивает) кредитный риск банка в отношении связанного с ним лица (группы связанных с ним лиц) и определяет максимальное отношение совокупной суммы обязательств лица (лиц, входящих в группу лиц) перед банком и обязательств перед третьими лицами, вследствие которых у банка возникают требования в отношении указанного лица (лиц, входящих в группу лиц) (ΣКрл), к собственным средствам (капиталу) банка (К0)</t>
        </r>
      </text>
    </comment>
    <comment ref="C405" authorId="0" shapeId="0" xr:uid="{00000000-0006-0000-0400-00000C000000}">
      <text>
        <r>
          <rPr>
            <b/>
            <sz val="9"/>
            <color indexed="81"/>
            <rFont val="Tahoma"/>
            <family val="2"/>
            <charset val="204"/>
          </rPr>
          <t>Автор:</t>
        </r>
        <r>
          <rPr>
            <sz val="9"/>
            <color indexed="81"/>
            <rFont val="Tahoma"/>
            <family val="2"/>
            <charset val="204"/>
          </rPr>
          <t xml:space="preserve">
≥ 90% (с 01.01.18)
≥ 100% (с 01.01.19)
</t>
        </r>
      </text>
    </comment>
    <comment ref="E405" authorId="0" shapeId="0" xr:uid="{00000000-0006-0000-0400-00000D000000}">
      <text>
        <r>
          <rPr>
            <b/>
            <sz val="9"/>
            <color indexed="81"/>
            <rFont val="Tahoma"/>
            <family val="2"/>
            <charset val="204"/>
          </rPr>
          <t>Автор:</t>
        </r>
        <r>
          <rPr>
            <sz val="9"/>
            <color indexed="81"/>
            <rFont val="Tahoma"/>
            <family val="2"/>
            <charset val="204"/>
          </rPr>
          <t xml:space="preserve">
Норматив Н26 (Н27) рассчитывается как отношение суммы высоколиквидных активов (ВЛА), лимита безотзывной кредитной линии (БКЛ) и высоколиквидных активов, номинированных в отдельных иностранных валютах, в части, превышающей чистый ожидаемый отток денежных средств в той же иностранной валюте (ДАИВ), уменьшенной на величину корректировки высоколиквидных активов (ВК), к величине чистого ожидаемого оттока денежных средств (ЧООДС).</t>
        </r>
      </text>
    </comment>
    <comment ref="E406" authorId="0" shapeId="0" xr:uid="{00000000-0006-0000-0400-00000E000000}">
      <text>
        <r>
          <rPr>
            <b/>
            <sz val="9"/>
            <color indexed="81"/>
            <rFont val="Tahoma"/>
            <family val="2"/>
            <charset val="204"/>
          </rPr>
          <t>Автор:</t>
        </r>
        <r>
          <rPr>
            <sz val="9"/>
            <color indexed="81"/>
            <rFont val="Tahoma"/>
            <family val="2"/>
            <charset val="204"/>
          </rPr>
          <t xml:space="preserve">
Норматив Н28 (Н29) регулирует риск потери ликвидности КО, обусловленный структурой активов и пассивов с учетом сроков, сумм и типов активов и пассивов, а также других факторов, характеризующих ликвидность активов и стабильность пассивов.
Норматив Н28 (Н29) рассчитывается как отношение величины имеющегося стабильного фондирования к величине требуемого стабильного фондирования
</t>
        </r>
      </text>
    </comment>
    <comment ref="E591" authorId="0" shapeId="0" xr:uid="{00000000-0006-0000-0400-000012000000}">
      <text>
        <r>
          <rPr>
            <b/>
            <sz val="9"/>
            <color indexed="81"/>
            <rFont val="Tahoma"/>
            <family val="2"/>
            <charset val="204"/>
          </rPr>
          <t>Автор:</t>
        </r>
        <r>
          <rPr>
            <sz val="9"/>
            <color indexed="81"/>
            <rFont val="Tahoma"/>
            <family val="2"/>
            <charset val="204"/>
          </rPr>
          <t xml:space="preserve">
П</t>
        </r>
        <r>
          <rPr>
            <sz val="11"/>
            <color indexed="81"/>
            <rFont val="Tahoma"/>
            <family val="2"/>
            <charset val="204"/>
          </rPr>
          <t>рямое РЕПО - сделка продажи ценной бумаги с обязательством обратной покупки ценной бумаги; является аналогом получения кредита под залог ценных бумаг. Зачастую ц/б продолжают числиться в активе баланса банка-заемщика</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D143" authorId="0" shapeId="0" xr:uid="{00000000-0006-0000-0500-000001000000}">
      <text>
        <r>
          <rPr>
            <b/>
            <sz val="9"/>
            <color indexed="81"/>
            <rFont val="Tahoma"/>
            <family val="2"/>
            <charset val="204"/>
          </rPr>
          <t>Автор:</t>
        </r>
        <r>
          <rPr>
            <sz val="9"/>
            <color indexed="81"/>
            <rFont val="Tahoma"/>
            <family val="2"/>
            <charset val="204"/>
          </rPr>
          <t xml:space="preserve">
Кредиты без МБК</t>
        </r>
      </text>
    </comment>
    <comment ref="Q165" authorId="0" shapeId="0" xr:uid="{00000000-0006-0000-0500-000002000000}">
      <text>
        <r>
          <rPr>
            <b/>
            <sz val="9"/>
            <color indexed="81"/>
            <rFont val="Tahoma"/>
            <family val="2"/>
            <charset val="204"/>
          </rPr>
          <t>Автор:</t>
        </r>
        <r>
          <rPr>
            <sz val="9"/>
            <color indexed="81"/>
            <rFont val="Tahoma"/>
            <family val="2"/>
            <charset val="204"/>
          </rPr>
          <t xml:space="preserve">
</t>
        </r>
        <r>
          <rPr>
            <b/>
            <sz val="9"/>
            <color indexed="81"/>
            <rFont val="Tahoma"/>
            <family val="2"/>
            <charset val="204"/>
          </rPr>
          <t>Примерная оценка на основе следующего источника</t>
        </r>
        <r>
          <rPr>
            <sz val="9"/>
            <color indexed="81"/>
            <rFont val="Tahoma"/>
            <family val="2"/>
            <charset val="204"/>
          </rPr>
          <t xml:space="preserve">
Оценка финансовой устойчивости и перспектив деятельности кредитных организаций : учебник / Валенцева Н.И., Ларионова И.В., Чичуленков Д.А. — Москва : КноРус, 2020. — 325 с. (с. 162)</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G7" authorId="0" shapeId="0" xr:uid="{00000000-0006-0000-0600-000001000000}">
      <text>
        <r>
          <rPr>
            <b/>
            <sz val="9"/>
            <color indexed="81"/>
            <rFont val="Tahoma"/>
            <family val="2"/>
            <charset val="204"/>
          </rPr>
          <t>Автор:</t>
        </r>
        <r>
          <rPr>
            <sz val="9"/>
            <color indexed="81"/>
            <rFont val="Tahoma"/>
            <family val="2"/>
            <charset val="204"/>
          </rPr>
          <t xml:space="preserve">
Инфоомация о размере доходов и расходов в % к активам также доступна на сайте FDIC. Это одна из двух опций ($ или % к активам). Ручной расчет через средние активы дает примерно те же результаты</t>
        </r>
      </text>
    </comment>
    <comment ref="W53" authorId="0" shapeId="0" xr:uid="{00000000-0006-0000-0600-000003000000}">
      <text>
        <r>
          <rPr>
            <b/>
            <sz val="9"/>
            <color indexed="81"/>
            <rFont val="Tahoma"/>
            <family val="2"/>
            <charset val="204"/>
          </rPr>
          <t>Автор:</t>
        </r>
        <r>
          <rPr>
            <sz val="9"/>
            <color indexed="81"/>
            <rFont val="Tahoma"/>
            <family val="2"/>
            <charset val="204"/>
          </rPr>
          <t xml:space="preserve">
В Очтете о развитии банковского сектора &lt;...&gt; в 2014 году содержится значение 589 млрд. руб.</t>
        </r>
      </text>
    </comment>
    <comment ref="X53" authorId="0" shapeId="0" xr:uid="{00000000-0006-0000-0600-000004000000}">
      <text>
        <r>
          <rPr>
            <b/>
            <sz val="9"/>
            <color indexed="81"/>
            <rFont val="Tahoma"/>
            <family val="2"/>
            <charset val="204"/>
          </rPr>
          <t>Автор:</t>
        </r>
        <r>
          <rPr>
            <sz val="9"/>
            <color indexed="81"/>
            <rFont val="Tahoma"/>
            <family val="2"/>
            <charset val="204"/>
          </rPr>
          <t xml:space="preserve">
В Очтете о развитии банковского сектора &lt;...&gt; в 2015 году содержится значение 192 млрд. руб.</t>
        </r>
      </text>
    </comment>
    <comment ref="B214" authorId="0" shapeId="0" xr:uid="{00000000-0006-0000-0600-000005000000}">
      <text>
        <r>
          <rPr>
            <b/>
            <sz val="11"/>
            <color indexed="81"/>
            <rFont val="Tahoma"/>
            <family val="2"/>
            <charset val="204"/>
          </rPr>
          <t>Автор:</t>
        </r>
        <r>
          <rPr>
            <sz val="11"/>
            <color indexed="81"/>
            <rFont val="Tahoma"/>
            <family val="2"/>
            <charset val="204"/>
          </rPr>
          <t xml:space="preserve">
Рекомендуемое значение &lt; 0,5</t>
        </r>
      </text>
    </comment>
    <comment ref="B267" authorId="0" shapeId="0" xr:uid="{00000000-0006-0000-0600-000006000000}">
      <text>
        <r>
          <rPr>
            <b/>
            <sz val="9"/>
            <color indexed="81"/>
            <rFont val="Tahoma"/>
            <family val="2"/>
            <charset val="204"/>
          </rPr>
          <t>Автор:</t>
        </r>
        <r>
          <rPr>
            <sz val="9"/>
            <color indexed="81"/>
            <rFont val="Tahoma"/>
            <family val="2"/>
            <charset val="204"/>
          </rPr>
          <t xml:space="preserve">
Для целей структурного анализа ROA по строке "Операционные расходы" приняты расходы, связанные с организацией деятельности банка (зарплата с начислениями, содержание имущества, амортизация, организационные и управленческие расходы и т.п.). Оставшиеся расходы, отраженные в ОПИУ как операционные, показаны в структурногом анализе по строке "Прочие операционные расходы"</t>
        </r>
      </text>
    </comment>
    <comment ref="B298" authorId="0" shapeId="0" xr:uid="{00000000-0006-0000-0600-000007000000}">
      <text>
        <r>
          <rPr>
            <b/>
            <sz val="11"/>
            <color indexed="81"/>
            <rFont val="Tahoma"/>
            <family val="2"/>
            <charset val="204"/>
          </rPr>
          <t>Автор:</t>
        </r>
        <r>
          <rPr>
            <sz val="11"/>
            <color indexed="81"/>
            <rFont val="Tahoma"/>
            <family val="2"/>
            <charset val="204"/>
          </rPr>
          <t xml:space="preserve">
Совокупный чистый доход представляет собой сумму чистого процентного дохода, чистого дохода по операциям с ценными бумагами, чистого дохода от операций с иностранной валютой и драгоценными металлами, чистых комиссионных доходов и чистых прочих доходов (до вычета созданных резервов на возможные потери) за минусом восстановленных доходов и расходов, связанных с обеспечением деятельности кредитной организации</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9" authorId="0" shapeId="0" xr:uid="{00000000-0006-0000-0700-000001000000}">
      <text>
        <r>
          <rPr>
            <b/>
            <sz val="8"/>
            <color indexed="81"/>
            <rFont val="Tahoma"/>
            <family val="2"/>
            <charset val="204"/>
          </rPr>
          <t>Автор:</t>
        </r>
        <r>
          <rPr>
            <sz val="8"/>
            <color indexed="81"/>
            <rFont val="Tahoma"/>
            <family val="2"/>
            <charset val="204"/>
          </rPr>
          <t xml:space="preserve">
Кредиты клиентам - без МБК</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D13" authorId="0" shapeId="0" xr:uid="{00000000-0006-0000-0900-000001000000}">
      <text>
        <r>
          <rPr>
            <b/>
            <sz val="9"/>
            <color indexed="81"/>
            <rFont val="Tahoma"/>
            <family val="2"/>
            <charset val="204"/>
          </rPr>
          <t>Автор:</t>
        </r>
        <r>
          <rPr>
            <sz val="9"/>
            <color indexed="81"/>
            <rFont val="Tahoma"/>
            <family val="2"/>
            <charset val="204"/>
          </rPr>
          <t xml:space="preserve">
Привилигированные акции включаются в состав Базового капитала при следующих условиях:
1) выпущены до 1 марта 2013
2) размер дивиденда не установлен Уставом
3) не являются кумулятивными (кумулятивные акции дают право акционерам требовать выплаты дивидендов, которые не были выплачены за ряд лет из-за плохого финансового состояния общества)
4) ОСА принято решение о невыплате дивидендов по этим акциям
</t>
        </r>
        <r>
          <rPr>
            <b/>
            <sz val="9"/>
            <color indexed="81"/>
            <rFont val="Tahoma"/>
            <family val="2"/>
            <charset val="204"/>
          </rPr>
          <t>NB.</t>
        </r>
        <r>
          <rPr>
            <sz val="9"/>
            <color indexed="81"/>
            <rFont val="Tahoma"/>
            <family val="2"/>
            <charset val="204"/>
          </rPr>
          <t xml:space="preserve"> Эти акции будут постепенно </t>
        </r>
        <r>
          <rPr>
            <u/>
            <sz val="9"/>
            <color indexed="81"/>
            <rFont val="Tahoma"/>
            <family val="2"/>
            <charset val="204"/>
          </rPr>
          <t>исключаться</t>
        </r>
        <r>
          <rPr>
            <sz val="9"/>
            <color indexed="81"/>
            <rFont val="Tahoma"/>
            <family val="2"/>
            <charset val="204"/>
          </rPr>
          <t xml:space="preserve"> из расчета капитала. 1 янв.'14 - дисконт 20%, далее ежегодно - еще по 10%</t>
        </r>
      </text>
    </comment>
    <comment ref="D15" authorId="0" shapeId="0" xr:uid="{00000000-0006-0000-0900-000002000000}">
      <text>
        <r>
          <rPr>
            <b/>
            <sz val="9"/>
            <color indexed="81"/>
            <rFont val="Tahoma"/>
            <family val="2"/>
            <charset val="204"/>
          </rPr>
          <t xml:space="preserve">Автор:
Эмиссионный доход </t>
        </r>
        <r>
          <rPr>
            <sz val="9"/>
            <color indexed="81"/>
            <rFont val="Tahoma"/>
            <family val="2"/>
            <charset val="204"/>
          </rPr>
          <t xml:space="preserve">акционерного банка включается в расчет базового капитала только </t>
        </r>
        <r>
          <rPr>
            <u/>
            <sz val="9"/>
            <color indexed="81"/>
            <rFont val="Tahoma"/>
            <family val="2"/>
            <charset val="204"/>
          </rPr>
          <t>после регистрации</t>
        </r>
        <r>
          <rPr>
            <sz val="9"/>
            <color indexed="81"/>
            <rFont val="Tahoma"/>
            <family val="2"/>
            <charset val="204"/>
          </rPr>
          <t xml:space="preserve"> ЦБ РФ отчета об итогах выпуска акций</t>
        </r>
      </text>
    </comment>
    <comment ref="D16" authorId="0" shapeId="0" xr:uid="{00000000-0006-0000-0900-000003000000}">
      <text>
        <r>
          <rPr>
            <b/>
            <sz val="9"/>
            <color indexed="81"/>
            <rFont val="Tahoma"/>
            <family val="2"/>
            <charset val="204"/>
          </rPr>
          <t>Автор:
Резервный фонд</t>
        </r>
        <r>
          <rPr>
            <sz val="9"/>
            <color indexed="81"/>
            <rFont val="Tahoma"/>
            <family val="2"/>
            <charset val="204"/>
          </rPr>
          <t xml:space="preserve">, сформированный за счет прибылли прошлых лет или текущего года, включается в расчет базового капитала только </t>
        </r>
        <r>
          <rPr>
            <u/>
            <sz val="9"/>
            <color indexed="81"/>
            <rFont val="Tahoma"/>
            <family val="2"/>
            <charset val="204"/>
          </rPr>
          <t>после подтверждения</t>
        </r>
        <r>
          <rPr>
            <sz val="9"/>
            <color indexed="81"/>
            <rFont val="Tahoma"/>
            <family val="2"/>
            <charset val="204"/>
          </rPr>
          <t xml:space="preserve"> отчетности </t>
        </r>
        <r>
          <rPr>
            <u/>
            <sz val="9"/>
            <color indexed="81"/>
            <rFont val="Tahoma"/>
            <family val="2"/>
            <charset val="204"/>
          </rPr>
          <t>аудиторским</t>
        </r>
        <r>
          <rPr>
            <sz val="9"/>
            <color indexed="81"/>
            <rFont val="Tahoma"/>
            <family val="2"/>
            <charset val="204"/>
          </rPr>
          <t xml:space="preserve"> заключением</t>
        </r>
      </text>
    </comment>
    <comment ref="D17" authorId="0" shapeId="0" xr:uid="{00000000-0006-0000-0900-000004000000}">
      <text>
        <r>
          <rPr>
            <b/>
            <sz val="9"/>
            <color indexed="81"/>
            <rFont val="Tahoma"/>
            <family val="2"/>
            <charset val="204"/>
          </rPr>
          <t>Автор:
Нераспределенная прибыль</t>
        </r>
        <r>
          <rPr>
            <sz val="9"/>
            <color indexed="81"/>
            <rFont val="Tahoma"/>
            <family val="2"/>
            <charset val="204"/>
          </rPr>
          <t xml:space="preserve"> прошлых лет или отчетного года включается в рачет базового капитала только в части подтвержденной аудиторским заключением</t>
        </r>
      </text>
    </comment>
    <comment ref="D23" authorId="0" shapeId="0" xr:uid="{00000000-0006-0000-0900-000005000000}">
      <text>
        <r>
          <rPr>
            <b/>
            <sz val="9"/>
            <color indexed="81"/>
            <rFont val="Tahoma"/>
            <family val="2"/>
            <charset val="204"/>
          </rPr>
          <t>Автор:</t>
        </r>
        <r>
          <rPr>
            <sz val="9"/>
            <color indexed="81"/>
            <rFont val="Tahoma"/>
            <family val="2"/>
            <charset val="204"/>
          </rPr>
          <t xml:space="preserve">
Сумма</t>
        </r>
        <r>
          <rPr>
            <b/>
            <sz val="9"/>
            <color indexed="81"/>
            <rFont val="Tahoma"/>
            <family val="2"/>
            <charset val="204"/>
          </rPr>
          <t xml:space="preserve"> налога на прибыль, подлежащая возмещению</t>
        </r>
        <r>
          <rPr>
            <sz val="9"/>
            <color indexed="81"/>
            <rFont val="Tahoma"/>
            <family val="2"/>
            <charset val="204"/>
          </rPr>
          <t xml:space="preserve"> в будущих периодах:
- в отношении перенесенных на будущее убытков (отложенные налоговые активы)
- в отношении временных разниц (ОНА)
С 1 января 2018 совокупная сумма ОНА и </t>
        </r>
        <r>
          <rPr>
            <u/>
            <sz val="9"/>
            <color indexed="81"/>
            <rFont val="Tahoma"/>
            <family val="2"/>
            <charset val="204"/>
          </rPr>
          <t>существенных</t>
        </r>
        <r>
          <rPr>
            <sz val="9"/>
            <color indexed="81"/>
            <rFont val="Tahoma"/>
            <family val="2"/>
            <charset val="204"/>
          </rPr>
          <t xml:space="preserve"> (невычитаемых) вложений в акции финансовых организаций ограничивается 15% величины базового капитала</t>
        </r>
      </text>
    </comment>
    <comment ref="D24" authorId="0" shapeId="0" xr:uid="{00000000-0006-0000-0900-000006000000}">
      <text>
        <r>
          <rPr>
            <b/>
            <sz val="9"/>
            <color indexed="81"/>
            <rFont val="Tahoma"/>
            <family val="2"/>
            <charset val="204"/>
          </rPr>
          <t>Автор:</t>
        </r>
        <r>
          <rPr>
            <sz val="9"/>
            <color indexed="81"/>
            <rFont val="Tahoma"/>
            <family val="2"/>
            <charset val="204"/>
          </rPr>
          <t xml:space="preserve">
В состав </t>
        </r>
        <r>
          <rPr>
            <b/>
            <sz val="9"/>
            <color indexed="81"/>
            <rFont val="Tahoma"/>
            <family val="2"/>
            <charset val="204"/>
          </rPr>
          <t>акций, выкупленных у акционеров</t>
        </r>
        <r>
          <rPr>
            <sz val="9"/>
            <color indexed="81"/>
            <rFont val="Tahoma"/>
            <family val="2"/>
            <charset val="204"/>
          </rPr>
          <t xml:space="preserve"> включаются помимо прочего и косвенные вложения за счет денежных средств (в т.ч. ссуды) и/или иного имущества, предоставленного самим банком или третьим лицом, если банк принял на себя риски, возникшие в связи с предоставлением этого имущества</t>
        </r>
      </text>
    </comment>
    <comment ref="D29" authorId="0" shapeId="0" xr:uid="{00000000-0006-0000-0900-000007000000}">
      <text>
        <r>
          <rPr>
            <b/>
            <sz val="9"/>
            <color indexed="81"/>
            <rFont val="Tahoma"/>
            <family val="2"/>
            <charset val="204"/>
          </rPr>
          <t>Автор:</t>
        </r>
        <r>
          <rPr>
            <sz val="9"/>
            <color indexed="81"/>
            <rFont val="Tahoma"/>
            <family val="2"/>
            <charset val="204"/>
          </rPr>
          <t xml:space="preserve">
К </t>
        </r>
        <r>
          <rPr>
            <b/>
            <sz val="9"/>
            <color indexed="81"/>
            <rFont val="Tahoma"/>
            <family val="2"/>
            <charset val="204"/>
          </rPr>
          <t>финансовым организациям</t>
        </r>
        <r>
          <rPr>
            <sz val="9"/>
            <color indexed="81"/>
            <rFont val="Tahoma"/>
            <family val="2"/>
            <charset val="204"/>
          </rPr>
          <t xml:space="preserve"> относятся банки, лизинговые и страховые компании, НПФ, микрофинансовые организации, управляющие компании, проф. участники РЦБ.
Не включаются вложения на срок менее 5 рабочих дней
</t>
        </r>
      </text>
    </comment>
    <comment ref="D30" authorId="0" shapeId="0" xr:uid="{00000000-0006-0000-0900-000008000000}">
      <text>
        <r>
          <rPr>
            <b/>
            <sz val="9"/>
            <color indexed="81"/>
            <rFont val="Tahoma"/>
            <family val="2"/>
            <charset val="204"/>
          </rPr>
          <t>Автор:
Несущественнное вложение</t>
        </r>
        <r>
          <rPr>
            <sz val="9"/>
            <color indexed="81"/>
            <rFont val="Tahoma"/>
            <family val="2"/>
            <charset val="204"/>
          </rPr>
          <t xml:space="preserve"> - менее 10% от УК финансовой организацции.
К вычету из базового капитала принимается совокупная величина несущественных вложений в источники капитала финансовых организаций в части, превышаюей 10% от величины базового капитала, приходящейся на вложения в акции финансовых организаций (но от суммы базового капитала еще до вычета вложений в акции финансовых организаций)</t>
        </r>
      </text>
    </comment>
    <comment ref="C31" authorId="0" shapeId="0" xr:uid="{00000000-0006-0000-0900-000009000000}">
      <text>
        <r>
          <rPr>
            <b/>
            <sz val="9"/>
            <color indexed="81"/>
            <rFont val="Tahoma"/>
            <family val="2"/>
            <charset val="204"/>
          </rPr>
          <t>Автор:</t>
        </r>
        <r>
          <rPr>
            <sz val="9"/>
            <color indexed="81"/>
            <rFont val="Tahoma"/>
            <family val="2"/>
            <charset val="204"/>
          </rPr>
          <t xml:space="preserve">
С 1 января 2018 совокупная сумма ОНА и существенных (невычитаемых) вложений в акции финансовых организаций ограничивается 15% величины базового капитала</t>
        </r>
      </text>
    </comment>
    <comment ref="D31" authorId="0" shapeId="0" xr:uid="{00000000-0006-0000-0900-00000A000000}">
      <text>
        <r>
          <rPr>
            <b/>
            <sz val="9"/>
            <color indexed="81"/>
            <rFont val="Tahoma"/>
            <family val="2"/>
            <charset val="204"/>
          </rPr>
          <t>Автор:
Существенные вложения -</t>
        </r>
        <r>
          <rPr>
            <sz val="9"/>
            <color indexed="81"/>
            <rFont val="Tahoma"/>
            <family val="2"/>
            <charset val="204"/>
          </rPr>
          <t xml:space="preserve"> 10% и более от УК финансовой организации.
К </t>
        </r>
        <r>
          <rPr>
            <u/>
            <sz val="9"/>
            <color indexed="81"/>
            <rFont val="Tahoma"/>
            <family val="2"/>
            <charset val="204"/>
          </rPr>
          <t>вычету</t>
        </r>
        <r>
          <rPr>
            <sz val="9"/>
            <color indexed="81"/>
            <rFont val="Tahoma"/>
            <family val="2"/>
            <charset val="204"/>
          </rPr>
          <t xml:space="preserve"> из базового капитала принимается совокупная величина </t>
        </r>
        <r>
          <rPr>
            <b/>
            <sz val="9"/>
            <color indexed="81"/>
            <rFont val="Tahoma"/>
            <family val="2"/>
            <charset val="204"/>
          </rPr>
          <t>существенных</t>
        </r>
        <r>
          <rPr>
            <sz val="9"/>
            <color indexed="81"/>
            <rFont val="Tahoma"/>
            <family val="2"/>
            <charset val="204"/>
          </rPr>
          <t xml:space="preserve"> вложений в источники капитала финансовых организаций в части, превышаюей 10% от величины базового капитала, приходящейся на вложения в акции финансовых организаций (после вычета несущественных вложений)</t>
        </r>
      </text>
    </comment>
    <comment ref="C34" authorId="0" shapeId="0" xr:uid="{00000000-0006-0000-0900-00000B000000}">
      <text>
        <r>
          <rPr>
            <b/>
            <sz val="9"/>
            <color indexed="81"/>
            <rFont val="Tahoma"/>
            <family val="2"/>
            <charset val="204"/>
          </rPr>
          <t>Автор:</t>
        </r>
        <r>
          <rPr>
            <sz val="9"/>
            <color indexed="81"/>
            <rFont val="Tahoma"/>
            <family val="2"/>
            <charset val="204"/>
          </rPr>
          <t xml:space="preserve">
Эти привилегированные акции будут постепенно </t>
        </r>
        <r>
          <rPr>
            <b/>
            <sz val="9"/>
            <color indexed="81"/>
            <rFont val="Tahoma"/>
            <family val="2"/>
            <charset val="204"/>
          </rPr>
          <t>исключаться</t>
        </r>
        <r>
          <rPr>
            <sz val="9"/>
            <color indexed="81"/>
            <rFont val="Tahoma"/>
            <family val="2"/>
            <charset val="204"/>
          </rPr>
          <t xml:space="preserve"> из расчета собственного капитала, начиная </t>
        </r>
        <r>
          <rPr>
            <u/>
            <sz val="9"/>
            <color indexed="81"/>
            <rFont val="Tahoma"/>
            <family val="2"/>
            <charset val="204"/>
          </rPr>
          <t>с 1 января 2018</t>
        </r>
      </text>
    </comment>
    <comment ref="D34" authorId="0" shapeId="0" xr:uid="{00000000-0006-0000-0900-00000C000000}">
      <text>
        <r>
          <rPr>
            <b/>
            <sz val="9"/>
            <color indexed="81"/>
            <rFont val="Tahoma"/>
            <family val="2"/>
            <charset val="204"/>
          </rPr>
          <t>Автор:
Включаются:</t>
        </r>
        <r>
          <rPr>
            <sz val="9"/>
            <color indexed="81"/>
            <rFont val="Tahoma"/>
            <family val="2"/>
            <charset val="204"/>
          </rPr>
          <t xml:space="preserve">
1) привилегированные акции, выпущенные в соответствии с законом 181-ФЗ от 18.07.09 "Об использовании гос. ценных бумаг для повышения капитализации банков"
2) привилегированные акции особого типа, 
для которых выполняются </t>
        </r>
        <r>
          <rPr>
            <u/>
            <sz val="9"/>
            <color indexed="81"/>
            <rFont val="Tahoma"/>
            <family val="2"/>
            <charset val="204"/>
          </rPr>
          <t>условия</t>
        </r>
        <r>
          <rPr>
            <sz val="9"/>
            <color indexed="81"/>
            <rFont val="Tahoma"/>
            <family val="2"/>
            <charset val="204"/>
          </rPr>
          <t xml:space="preserve">
- размер дивиденда не установлен Уставом
- не являются кумулятивными (кумулятивные акции дают право акционерам требовать выплаты дивидендов, которые не были выплачены за ряд лет из-за плохого финансового состояния общества)
- ОСА принято решение о невыплате дивидендов по этим акциям
- решения о выпуске акций содержат ряд оговорок, позволяющих конвертировать эти акции в обыкновенные при определенных обстоятельствах</t>
        </r>
      </text>
    </comment>
    <comment ref="C36" authorId="0" shapeId="0" xr:uid="{00000000-0006-0000-0900-00000D000000}">
      <text>
        <r>
          <rPr>
            <b/>
            <sz val="9"/>
            <color indexed="81"/>
            <rFont val="Tahoma"/>
            <family val="2"/>
            <charset val="204"/>
          </rPr>
          <t>Автор:</t>
        </r>
        <r>
          <rPr>
            <sz val="9"/>
            <color indexed="81"/>
            <rFont val="Tahoma"/>
            <family val="2"/>
            <charset val="204"/>
          </rPr>
          <t xml:space="preserve">
Если до погашения осталось более 5 лет, то включается в полном объеме.
Если до погашения осталось 5 лет и менее, то включается в расчет по остаточной стоимости пропорционально числу кварталов до погашения.
Субординированный заем с доп. условиями </t>
        </r>
        <r>
          <rPr>
            <u/>
            <sz val="9"/>
            <color indexed="81"/>
            <rFont val="Tahoma"/>
            <family val="2"/>
            <charset val="204"/>
          </rPr>
          <t>подлежит поэтапному исключению</t>
        </r>
        <r>
          <rPr>
            <sz val="9"/>
            <color indexed="81"/>
            <rFont val="Tahoma"/>
            <family val="2"/>
            <charset val="204"/>
          </rPr>
          <t xml:space="preserve"> из расчета собственного капитала.
На 1 января 2014 учитваются с коэффициентом 0,8. В дальнейшем  размер коэффициента ежегодно уменьшается на 0,1. 
С 1 января 2022 его признание в составе капитала прекращается.</t>
        </r>
      </text>
    </comment>
    <comment ref="D36" authorId="0" shapeId="0" xr:uid="{00000000-0006-0000-0900-00000E000000}">
      <text>
        <r>
          <rPr>
            <b/>
            <sz val="9"/>
            <color indexed="81"/>
            <rFont val="Tahoma"/>
            <family val="2"/>
            <charset val="204"/>
          </rPr>
          <t>Автор:</t>
        </r>
        <r>
          <rPr>
            <sz val="9"/>
            <color indexed="81"/>
            <rFont val="Tahoma"/>
            <family val="2"/>
            <charset val="204"/>
          </rPr>
          <t xml:space="preserve">
Привлечен до 1 марта 2013 и содержит ряд специальных </t>
        </r>
        <r>
          <rPr>
            <b/>
            <sz val="9"/>
            <color indexed="81"/>
            <rFont val="Tahoma"/>
            <family val="2"/>
            <charset val="204"/>
          </rPr>
          <t>условий:</t>
        </r>
        <r>
          <rPr>
            <sz val="9"/>
            <color indexed="81"/>
            <rFont val="Tahoma"/>
            <family val="2"/>
            <charset val="204"/>
          </rPr>
          <t xml:space="preserve">
1) привлечен не менее чем на 30 лет
2) в кредитном договоре есть пунт о прекращении обязательства по уплате % в случае возникновения оснований для применения мер по предупреждению банкротства
3) если иных источников основного капитала не хватает для покрытия убытов вследствия возникновения оснований для применени мер по предупреждению банкротства, то обязательства по возврату займа полностью или частично прекращаются
4) право заемщика на досрочное погашение не ранее чем через 10 лет с даты включения этого займа в основной капитал 
5) право ЦБ РФ на приостановление выплат, если они могут привести к возникновению оснований для применения мер по предупреждению банкротства
</t>
        </r>
      </text>
    </comment>
    <comment ref="D37" authorId="0" shapeId="0" xr:uid="{00000000-0006-0000-0900-00000F000000}">
      <text>
        <r>
          <rPr>
            <b/>
            <sz val="9"/>
            <color indexed="81"/>
            <rFont val="Tahoma"/>
            <family val="2"/>
            <charset val="204"/>
          </rPr>
          <t>Автор:</t>
        </r>
        <r>
          <rPr>
            <sz val="9"/>
            <color indexed="81"/>
            <rFont val="Tahoma"/>
            <family val="2"/>
            <charset val="204"/>
          </rPr>
          <t xml:space="preserve">
Это особый вид субординированного заема, привлекаемый в соответствии с правом иностранного государства, допускающий привлечение бессрочных займов. Допускается привлечение займа не менеее чем на 50 лет с правом заемщика (банка) на однократную пролонгацию в течение 50 лет.
Его условия должны соответствовать требования п. 3.1.8.1.1 Положения 395-П. тогда он не подлежит поэтапному исключению
При этом если норматив достаточности базового капитала Н1.1 станет ниже 5,5%, то обязательство банка-заемщика по выплате процентов и основного долга прекращаются, а заем переоформляется в обыкновенные акции. Если таких займов несколько, то трансформируются только те, сумма которых позволит повысть Н1.1 до 5,5% или выше</t>
        </r>
      </text>
    </comment>
    <comment ref="D39" authorId="0" shapeId="0" xr:uid="{00000000-0006-0000-0900-000010000000}">
      <text>
        <r>
          <rPr>
            <b/>
            <sz val="9"/>
            <color indexed="81"/>
            <rFont val="Tahoma"/>
            <family val="2"/>
            <charset val="204"/>
          </rPr>
          <t>Автор:</t>
        </r>
        <r>
          <rPr>
            <sz val="9"/>
            <color indexed="81"/>
            <rFont val="Tahoma"/>
            <family val="2"/>
            <charset val="204"/>
          </rPr>
          <t xml:space="preserve">
В состав </t>
        </r>
        <r>
          <rPr>
            <b/>
            <sz val="9"/>
            <color indexed="81"/>
            <rFont val="Tahoma"/>
            <family val="2"/>
            <charset val="204"/>
          </rPr>
          <t>акций, выкупленных у акционеров</t>
        </r>
        <r>
          <rPr>
            <sz val="9"/>
            <color indexed="81"/>
            <rFont val="Tahoma"/>
            <family val="2"/>
            <charset val="204"/>
          </rPr>
          <t xml:space="preserve"> включаются помимо прочего и косвенные вложения за счет денежных средств (в т.ч. ссуды) и/или иного имущества, предоставленного самим банком или третьим лицом, если банк принял на себя риски, возникшие в связи с предоставлением этого имущества</t>
        </r>
      </text>
    </comment>
    <comment ref="C46" authorId="0" shapeId="0" xr:uid="{00000000-0006-0000-0900-000011000000}">
      <text>
        <r>
          <rPr>
            <b/>
            <sz val="9"/>
            <color indexed="81"/>
            <rFont val="Tahoma"/>
            <family val="2"/>
            <charset val="204"/>
          </rPr>
          <t>Автор:</t>
        </r>
        <r>
          <rPr>
            <sz val="9"/>
            <color indexed="81"/>
            <rFont val="Tahoma"/>
            <family val="2"/>
            <charset val="204"/>
          </rPr>
          <t xml:space="preserve">
Эти привилегированные акции будут постепенно исключаться из расчета собственного капитала, начиная с 1 января 2018</t>
        </r>
      </text>
    </comment>
    <comment ref="D47" authorId="0" shapeId="0" xr:uid="{00000000-0006-0000-0900-000012000000}">
      <text>
        <r>
          <rPr>
            <b/>
            <sz val="9"/>
            <color indexed="81"/>
            <rFont val="Tahoma"/>
            <family val="2"/>
            <charset val="204"/>
          </rPr>
          <t>Автор:</t>
        </r>
        <r>
          <rPr>
            <sz val="9"/>
            <color indexed="81"/>
            <rFont val="Tahoma"/>
            <family val="2"/>
            <charset val="204"/>
          </rPr>
          <t xml:space="preserve">
Решение о выпуске акций должно содержать условие о </t>
        </r>
        <r>
          <rPr>
            <b/>
            <sz val="9"/>
            <color indexed="81"/>
            <rFont val="Tahoma"/>
            <family val="2"/>
            <charset val="204"/>
          </rPr>
          <t>конвертации</t>
        </r>
        <r>
          <rPr>
            <sz val="9"/>
            <color indexed="81"/>
            <rFont val="Tahoma"/>
            <family val="2"/>
            <charset val="204"/>
          </rPr>
          <t xml:space="preserve"> в обыкновенные акции в случае снижение норматива достаточности базового капитала Н1.1 до 2% или от АСВ получено уведомление о реализации мер по предупреждению банкротства</t>
        </r>
      </text>
    </comment>
    <comment ref="C51" authorId="0" shapeId="0" xr:uid="{00000000-0006-0000-0900-000013000000}">
      <text>
        <r>
          <rPr>
            <b/>
            <sz val="9"/>
            <color indexed="81"/>
            <rFont val="Tahoma"/>
            <family val="2"/>
            <charset val="204"/>
          </rPr>
          <t>Автор:</t>
        </r>
        <r>
          <rPr>
            <sz val="9"/>
            <color indexed="81"/>
            <rFont val="Tahoma"/>
            <family val="2"/>
            <charset val="204"/>
          </rPr>
          <t xml:space="preserve">
Если до погашения осталось более 5 лет, то включается в полном объеме.
Если до погашения осталось 5 лет и менее, то включается в расчет по остаточной стоимости пропорционально числу кварталов до погашения.
</t>
        </r>
      </text>
    </comment>
    <comment ref="D51" authorId="0" shapeId="0" xr:uid="{00000000-0006-0000-0900-000014000000}">
      <text>
        <r>
          <rPr>
            <b/>
            <u/>
            <sz val="9"/>
            <color indexed="81"/>
            <rFont val="Tahoma"/>
            <family val="2"/>
            <charset val="204"/>
          </rPr>
          <t>Автор:
Условия</t>
        </r>
        <r>
          <rPr>
            <sz val="9"/>
            <color indexed="81"/>
            <rFont val="Tahoma"/>
            <family val="2"/>
            <charset val="204"/>
          </rPr>
          <t xml:space="preserve"> субординированного кредита, займа:
1) заемщик не принял на себя обязательство досрочно возвратить заем
2) условия займа не отличаются от рыночных условий по аналогичным сделкам
3) в случае банкротства заемщика обязательства кредитора удовлетворяются после удовлетворения обязательств лругих кредиторов
4) срок займа не менее 5 лет
5) досрочное погашение возможно, но не ранее, чем через 5 лет с даты включения займа в дополнительный капитал
6) договор содержит запрет на следующие действия без согласования с Банком России:
- досрочный возврат
- досрочное расторжение
- досрочное прекращение обязаельств
- внесение изменений в договор
7) договор содержит пункт о том, что если Н1.1 станет ниже 2% или АСВ уведомит банк о реализации мер по предупреждению банкоротства: 
- проценты не выплачиваются и обязательство по уплате основного долга прекращается полностью или частично
- заем конвертируется в обыкновенные акции</t>
        </r>
      </text>
    </comment>
    <comment ref="C53" authorId="0" shapeId="0" xr:uid="{00000000-0006-0000-0900-000015000000}">
      <text>
        <r>
          <rPr>
            <b/>
            <sz val="9"/>
            <color indexed="81"/>
            <rFont val="Tahoma"/>
            <family val="2"/>
            <charset val="204"/>
          </rPr>
          <t>Автор:</t>
        </r>
        <r>
          <rPr>
            <sz val="9"/>
            <color indexed="81"/>
            <rFont val="Tahoma"/>
            <family val="2"/>
            <charset val="204"/>
          </rPr>
          <t xml:space="preserve">
Все субординированные обязательства, </t>
        </r>
        <r>
          <rPr>
            <u/>
            <sz val="9"/>
            <color indexed="81"/>
            <rFont val="Tahoma"/>
            <family val="2"/>
            <charset val="204"/>
          </rPr>
          <t>не соответствущие новым критериям</t>
        </r>
        <r>
          <rPr>
            <sz val="9"/>
            <color indexed="81"/>
            <rFont val="Tahoma"/>
            <family val="2"/>
            <charset val="204"/>
          </rPr>
          <t xml:space="preserve"> (п. 3.1.8.1.1 Положения № 395-П) подлежат поэтапному </t>
        </r>
        <r>
          <rPr>
            <b/>
            <sz val="9"/>
            <color indexed="81"/>
            <rFont val="Tahoma"/>
            <family val="2"/>
            <charset val="204"/>
          </rPr>
          <t>исключению</t>
        </r>
        <r>
          <rPr>
            <sz val="9"/>
            <color indexed="81"/>
            <rFont val="Tahoma"/>
            <family val="2"/>
            <charset val="204"/>
          </rPr>
          <t xml:space="preserve"> из расчета собственного капитала.
На 1 января 2014 учитваются с коэффициентом 0,8.
С 01.01.15 - k=0,7
С 01.01.16 - k=0,6
...  
С 01.01.22 - k=0,0
С 1 января 2022 признание таких субординированных обязательств (не соответствующих новым критериям) прекращается.
</t>
        </r>
        <r>
          <rPr>
            <b/>
            <sz val="9"/>
            <color indexed="81"/>
            <rFont val="Tahoma"/>
            <family val="2"/>
            <charset val="204"/>
          </rPr>
          <t>Исключение</t>
        </r>
        <r>
          <rPr>
            <sz val="9"/>
            <color indexed="81"/>
            <rFont val="Tahoma"/>
            <family val="2"/>
            <charset val="204"/>
          </rPr>
          <t xml:space="preserve"> - для субординированных кредитов, полученных в рамках государственных мер по спасению банков (Законы 173-ФЗ и 175-ФЗ). Их исключение  начнется с 01.01.2018 г.
</t>
        </r>
      </text>
    </comment>
    <comment ref="C54" authorId="0" shapeId="0" xr:uid="{00000000-0006-0000-0900-000016000000}">
      <text>
        <r>
          <rPr>
            <b/>
            <sz val="9"/>
            <color indexed="81"/>
            <rFont val="Tahoma"/>
            <family val="2"/>
            <charset val="204"/>
          </rPr>
          <t>Автор:</t>
        </r>
        <r>
          <rPr>
            <sz val="9"/>
            <color indexed="81"/>
            <rFont val="Tahoma"/>
            <family val="2"/>
            <charset val="204"/>
          </rPr>
          <t xml:space="preserve">
Субординированные кредиты (депозиты, облигации), привлеченные в соответствии с Законами 173-ФЗ и 175-ФЗ подлежат поэтапному исключению, начиная с 01.01.2018.
С 01.01.18 - применяется k=0,8
С 01.01.19 - k=0,7
…
С 01.01.26 - k=0</t>
        </r>
      </text>
    </comment>
    <comment ref="D55" authorId="0" shapeId="0" xr:uid="{00000000-0006-0000-0900-000017000000}">
      <text>
        <r>
          <rPr>
            <b/>
            <sz val="9"/>
            <color indexed="81"/>
            <rFont val="Tahoma"/>
            <family val="2"/>
            <charset val="204"/>
          </rPr>
          <t>Автор:</t>
        </r>
        <r>
          <rPr>
            <sz val="9"/>
            <color indexed="81"/>
            <rFont val="Tahoma"/>
            <family val="2"/>
            <charset val="204"/>
          </rPr>
          <t xml:space="preserve">
С 1 октября 2014 доходы и расходы от ПФИ учитываются в полном объеме</t>
        </r>
      </text>
    </comment>
    <comment ref="D56" authorId="0" shapeId="0" xr:uid="{00000000-0006-0000-0900-000018000000}">
      <text>
        <r>
          <rPr>
            <b/>
            <sz val="9"/>
            <color indexed="81"/>
            <rFont val="Tahoma"/>
            <family val="2"/>
            <charset val="204"/>
          </rPr>
          <t>Автор:</t>
        </r>
        <r>
          <rPr>
            <sz val="9"/>
            <color indexed="81"/>
            <rFont val="Tahoma"/>
            <family val="2"/>
            <charset val="204"/>
          </rPr>
          <t xml:space="preserve">
Если заключение аудитора не получено до 1 июля года, следующего за отчетным, прибыль этого предшествующего года в расчет не включается</t>
        </r>
      </text>
    </comment>
    <comment ref="D57" authorId="0" shapeId="0" xr:uid="{00000000-0006-0000-0900-000019000000}">
      <text>
        <r>
          <rPr>
            <b/>
            <sz val="9"/>
            <color indexed="81"/>
            <rFont val="Tahoma"/>
            <family val="2"/>
            <charset val="204"/>
          </rPr>
          <t>Автор:</t>
        </r>
        <r>
          <rPr>
            <sz val="9"/>
            <color indexed="81"/>
            <rFont val="Tahoma"/>
            <family val="2"/>
            <charset val="204"/>
          </rPr>
          <t xml:space="preserve">
Два вида:
1) переоценка до 1998 по Постановлению Правительства РФ от 14.08.92 № 595
2) ежегодная переоценка стоимости имущества по текущей стоимости (при наличии аудиторского заключения)</t>
        </r>
      </text>
    </comment>
    <comment ref="D60" authorId="0" shapeId="0" xr:uid="{00000000-0006-0000-0900-00001A000000}">
      <text>
        <r>
          <rPr>
            <b/>
            <sz val="11"/>
            <color indexed="81"/>
            <rFont val="Tahoma"/>
            <family val="2"/>
            <charset val="204"/>
          </rPr>
          <t>Автор:</t>
        </r>
        <r>
          <rPr>
            <sz val="11"/>
            <color indexed="81"/>
            <rFont val="Tahoma"/>
            <family val="2"/>
            <charset val="204"/>
          </rPr>
          <t xml:space="preserve">
По этой строке также отражены средства, поступившие в оплату привилегированных акций банка, в случае, если его ДЗО или любое ДЗО основного общества банка предоставило владельцу акций обязательство, связанное с владением акциями банка</t>
        </r>
      </text>
    </comment>
    <comment ref="D96" authorId="0" shapeId="0" xr:uid="{D8C8F1F8-20FA-443B-B154-1D9629B041F3}">
      <text>
        <r>
          <rPr>
            <b/>
            <sz val="9"/>
            <color indexed="81"/>
            <rFont val="Tahoma"/>
            <family val="2"/>
            <charset val="204"/>
          </rPr>
          <t>Автор:</t>
        </r>
        <r>
          <rPr>
            <sz val="9"/>
            <color indexed="81"/>
            <rFont val="Tahoma"/>
            <family val="2"/>
            <charset val="204"/>
          </rPr>
          <t xml:space="preserve">
Эта строка позволяет идентичность итога базового капитала с суммой элементов этого же капитала</t>
        </r>
      </text>
    </comment>
    <comment ref="D108" authorId="0" shapeId="0" xr:uid="{1E559145-EFDC-4830-A16F-F9450E045FDD}">
      <text>
        <r>
          <rPr>
            <b/>
            <sz val="9"/>
            <color indexed="81"/>
            <rFont val="Tahoma"/>
            <family val="2"/>
            <charset val="204"/>
          </rPr>
          <t>Автор:</t>
        </r>
        <r>
          <rPr>
            <sz val="9"/>
            <color indexed="81"/>
            <rFont val="Tahoma"/>
            <family val="2"/>
            <charset val="204"/>
          </rPr>
          <t xml:space="preserve">
Эта строка позволяет идентичность итога добавочного капитала с суммой элементов этого же капитала</t>
        </r>
      </text>
    </comment>
    <comment ref="D120" authorId="0" shapeId="0" xr:uid="{DE9A0532-E5A0-45E1-905F-57134CEC14D5}">
      <text>
        <r>
          <rPr>
            <b/>
            <sz val="9"/>
            <color indexed="81"/>
            <rFont val="Tahoma"/>
            <family val="2"/>
            <charset val="204"/>
          </rPr>
          <t>Автор:</t>
        </r>
        <r>
          <rPr>
            <sz val="9"/>
            <color indexed="81"/>
            <rFont val="Tahoma"/>
            <family val="2"/>
            <charset val="204"/>
          </rPr>
          <t xml:space="preserve">
Эта строка позволяет идентичность итога добавочного капитала с суммой элементов этого же капитала</t>
        </r>
      </text>
    </comment>
    <comment ref="D145" authorId="0" shapeId="0" xr:uid="{00000000-0006-0000-0900-00001B000000}">
      <text>
        <r>
          <rPr>
            <b/>
            <sz val="9"/>
            <color indexed="81"/>
            <rFont val="Tahoma"/>
            <family val="2"/>
            <charset val="204"/>
          </rPr>
          <t>Автор:</t>
        </r>
        <r>
          <rPr>
            <sz val="9"/>
            <color indexed="81"/>
            <rFont val="Tahoma"/>
            <family val="2"/>
            <charset val="204"/>
          </rPr>
          <t xml:space="preserve">
Под кредитным риском контрагента понимается риск дефолта контрагента до завершения
расчетов по операциям с производными финансовыми инструментами, сделкам РЕПО и
аналогичным сделкам</t>
        </r>
      </text>
    </comment>
    <comment ref="D276" authorId="0" shapeId="0" xr:uid="{00000000-0006-0000-0900-00001C000000}">
      <text>
        <r>
          <rPr>
            <b/>
            <sz val="9"/>
            <color indexed="81"/>
            <rFont val="Tahoma"/>
            <family val="2"/>
            <charset val="204"/>
          </rPr>
          <t>Автор:</t>
        </r>
        <r>
          <rPr>
            <sz val="9"/>
            <color indexed="81"/>
            <rFont val="Tahoma"/>
            <family val="2"/>
            <charset val="204"/>
          </rPr>
          <t xml:space="preserve">
С 01.07.2018</t>
        </r>
      </text>
    </comment>
    <comment ref="E292" authorId="0" shapeId="0" xr:uid="{00000000-0006-0000-0900-00001D000000}">
      <text>
        <r>
          <rPr>
            <b/>
            <sz val="9"/>
            <color indexed="81"/>
            <rFont val="Tahoma"/>
            <family val="2"/>
            <charset val="204"/>
          </rPr>
          <t>Автор:</t>
        </r>
        <r>
          <rPr>
            <sz val="9"/>
            <color indexed="81"/>
            <rFont val="Tahoma"/>
            <family val="2"/>
            <charset val="204"/>
          </rPr>
          <t xml:space="preserve">
ПВР - подход на основе внутренних рейтингов для расчета кредитного риска в соответствии с Положением Банка России от 06.08.2015 г. N 483-П.</t>
        </r>
      </text>
    </comment>
    <comment ref="E293" authorId="0" shapeId="0" xr:uid="{00000000-0006-0000-0900-00001E000000}">
      <text>
        <r>
          <rPr>
            <b/>
            <sz val="9"/>
            <color indexed="81"/>
            <rFont val="Tahoma"/>
            <family val="2"/>
            <charset val="204"/>
          </rPr>
          <t>Автор:</t>
        </r>
        <r>
          <rPr>
            <sz val="9"/>
            <color indexed="81"/>
            <rFont val="Tahoma"/>
            <family val="2"/>
            <charset val="204"/>
          </rPr>
          <t xml:space="preserve">
Итоговый результат применения надбавок к коэффициентам риска, установленных в соответствии с Указанием Банка России от 31.08.2018 г. № 4892-У по отдельным видам активов.</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M133" authorId="0" shapeId="0" xr:uid="{00000000-0006-0000-0B00-000001000000}">
      <text>
        <r>
          <rPr>
            <b/>
            <sz val="9"/>
            <color indexed="81"/>
            <rFont val="Tahoma"/>
            <family val="2"/>
            <charset val="204"/>
          </rPr>
          <t>Автор:</t>
        </r>
        <r>
          <rPr>
            <sz val="9"/>
            <color indexed="81"/>
            <rFont val="Tahoma"/>
            <family val="2"/>
            <charset val="204"/>
          </rPr>
          <t xml:space="preserve">
Источник: Оценка финансовой устойчивости кредитной организации: учебник/ коллектив авторов; под ред. О.И. Лаврушина, И.Д. Мамоновой. - М.: КНОРУС, 2013. С. 203</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AL7" authorId="0" shapeId="0" xr:uid="{00000000-0006-0000-0C00-000001000000}">
      <text>
        <r>
          <rPr>
            <b/>
            <sz val="9"/>
            <color indexed="81"/>
            <rFont val="Tahoma"/>
            <family val="2"/>
            <charset val="204"/>
          </rPr>
          <t>Автор:</t>
        </r>
        <r>
          <rPr>
            <sz val="9"/>
            <color indexed="81"/>
            <rFont val="Tahoma"/>
            <family val="2"/>
            <charset val="204"/>
          </rPr>
          <t xml:space="preserve">
Инфоомация о размере доходов и расходов в % к активам также доступна на сайте FDIC. Это одна из двух опций ($ или % к активам). Ручной расчет через средние активы дает примерно те же результаты</t>
        </r>
      </text>
    </comment>
    <comment ref="Q8" authorId="0" shapeId="0" xr:uid="{00000000-0006-0000-0C00-000002000000}">
      <text>
        <r>
          <rPr>
            <b/>
            <sz val="9"/>
            <color indexed="81"/>
            <rFont val="Tahoma"/>
            <family val="2"/>
            <charset val="204"/>
          </rPr>
          <t>Автор:</t>
        </r>
        <r>
          <rPr>
            <sz val="9"/>
            <color indexed="81"/>
            <rFont val="Tahoma"/>
            <family val="2"/>
            <charset val="204"/>
          </rPr>
          <t xml:space="preserve">
Расчитано по данным  Отчета о развитии банковского сектора и банковского надзора в 2013 (раздел "Финансовые результаты деятельности КО")</t>
        </r>
      </text>
    </comment>
    <comment ref="R8" authorId="0" shapeId="0" xr:uid="{00000000-0006-0000-0C00-000003000000}">
      <text>
        <r>
          <rPr>
            <b/>
            <sz val="9"/>
            <color indexed="81"/>
            <rFont val="Tahoma"/>
            <family val="2"/>
            <charset val="204"/>
          </rPr>
          <t>Автор:</t>
        </r>
        <r>
          <rPr>
            <sz val="9"/>
            <color indexed="81"/>
            <rFont val="Tahoma"/>
            <family val="2"/>
            <charset val="204"/>
          </rPr>
          <t xml:space="preserve">
Расчитано по данным: 
- Отчета о развитии банковского сектора и банковского надзора в 2014 (раздел "Финансовые результаты деятельности КО")
- Обзора банковского сектора за август 2015</t>
        </r>
      </text>
    </comment>
    <comment ref="S8" authorId="0" shapeId="0" xr:uid="{00000000-0006-0000-0C00-000004000000}">
      <text>
        <r>
          <rPr>
            <b/>
            <sz val="9"/>
            <color indexed="81"/>
            <rFont val="Tahoma"/>
            <family val="2"/>
            <charset val="204"/>
          </rPr>
          <t>Автор:</t>
        </r>
        <r>
          <rPr>
            <sz val="9"/>
            <color indexed="81"/>
            <rFont val="Tahoma"/>
            <family val="2"/>
            <charset val="204"/>
          </rPr>
          <t xml:space="preserve">
Расчитано по данным: 
- Отчета о развитии банковского сектора и банковского надзора в 2014 (раздел "Финансовые результаты деятельности КО")
- Обзора банковского сектора за август 2015</t>
        </r>
      </text>
    </comment>
    <comment ref="AG8" authorId="0" shapeId="0" xr:uid="{00000000-0006-0000-0C00-000005000000}">
      <text>
        <r>
          <rPr>
            <b/>
            <sz val="11"/>
            <color indexed="81"/>
            <rFont val="Tahoma"/>
            <family val="2"/>
            <charset val="204"/>
          </rPr>
          <t>Автор:</t>
        </r>
        <r>
          <rPr>
            <sz val="11"/>
            <color indexed="81"/>
            <rFont val="Tahoma"/>
            <family val="2"/>
            <charset val="204"/>
          </rPr>
          <t xml:space="preserve">
По данным FDIC
1) https://www2.fdic.gov/SDI/main.asp
2) https://www5.fdic.gov/sdi/main.asp?formname=standard</t>
        </r>
      </text>
    </comment>
    <comment ref="R62" authorId="0" shapeId="0" xr:uid="{00000000-0006-0000-0C00-000006000000}">
      <text>
        <r>
          <rPr>
            <b/>
            <sz val="9"/>
            <color indexed="81"/>
            <rFont val="Tahoma"/>
            <family val="2"/>
            <charset val="204"/>
          </rPr>
          <t>Автор:</t>
        </r>
        <r>
          <rPr>
            <sz val="9"/>
            <color indexed="81"/>
            <rFont val="Tahoma"/>
            <family val="2"/>
            <charset val="204"/>
          </rPr>
          <t xml:space="preserve">
В Очтете о развитии банковского сектора &lt;...&gt; в 2014 году содержится значение 589 млрд. руб.</t>
        </r>
      </text>
    </comment>
    <comment ref="S62" authorId="0" shapeId="0" xr:uid="{00000000-0006-0000-0C00-000007000000}">
      <text>
        <r>
          <rPr>
            <b/>
            <sz val="9"/>
            <color indexed="81"/>
            <rFont val="Tahoma"/>
            <family val="2"/>
            <charset val="204"/>
          </rPr>
          <t>Автор:</t>
        </r>
        <r>
          <rPr>
            <sz val="9"/>
            <color indexed="81"/>
            <rFont val="Tahoma"/>
            <family val="2"/>
            <charset val="204"/>
          </rPr>
          <t xml:space="preserve">
В Очтете о развитии банковского сектора &lt;...&gt; в 2015 году содержится значение 192 млрд. руб.</t>
        </r>
      </text>
    </comment>
    <comment ref="T62" authorId="0" shapeId="0" xr:uid="{00000000-0006-0000-0C00-000008000000}">
      <text>
        <r>
          <rPr>
            <b/>
            <sz val="9"/>
            <color indexed="81"/>
            <rFont val="Tahoma"/>
            <family val="2"/>
            <charset val="204"/>
          </rPr>
          <t>Автор:</t>
        </r>
        <r>
          <rPr>
            <sz val="9"/>
            <color indexed="81"/>
            <rFont val="Tahoma"/>
            <family val="2"/>
            <charset val="204"/>
          </rPr>
          <t xml:space="preserve">
В Очтете о развитии банковского сектора &lt;...&gt; в 2016 году содержится значение 930 млрд. руб.</t>
        </r>
      </text>
    </comment>
    <comment ref="U62" authorId="0" shapeId="0" xr:uid="{00000000-0006-0000-0C00-000009000000}">
      <text>
        <r>
          <rPr>
            <b/>
            <sz val="9"/>
            <color indexed="81"/>
            <rFont val="Tahoma"/>
            <family val="2"/>
            <charset val="204"/>
          </rPr>
          <t>Автор:</t>
        </r>
        <r>
          <rPr>
            <sz val="9"/>
            <color indexed="81"/>
            <rFont val="Tahoma"/>
            <family val="2"/>
            <charset val="204"/>
          </rPr>
          <t xml:space="preserve">
В Обзоре банковского сектора прибыль указана в размере 789,66 млрд руб</t>
        </r>
      </text>
    </comment>
    <comment ref="B73" authorId="0" shapeId="0" xr:uid="{00000000-0006-0000-0C00-00000A000000}">
      <text>
        <r>
          <rPr>
            <b/>
            <sz val="11"/>
            <color indexed="81"/>
            <rFont val="Tahoma"/>
            <family val="2"/>
            <charset val="204"/>
          </rPr>
          <t>Автор:</t>
        </r>
        <r>
          <rPr>
            <sz val="11"/>
            <color indexed="81"/>
            <rFont val="Tahoma"/>
            <family val="2"/>
            <charset val="204"/>
          </rPr>
          <t xml:space="preserve">
Рекомендуемое значение &lt; 0,5</t>
        </r>
      </text>
    </comment>
    <comment ref="Q136" authorId="0" shapeId="0" xr:uid="{00000000-0006-0000-0C00-00000B000000}">
      <text>
        <r>
          <rPr>
            <b/>
            <sz val="9"/>
            <color indexed="81"/>
            <rFont val="Tahoma"/>
            <family val="2"/>
            <charset val="204"/>
          </rPr>
          <t>Автор:</t>
        </r>
        <r>
          <rPr>
            <sz val="9"/>
            <color indexed="81"/>
            <rFont val="Tahoma"/>
            <family val="2"/>
            <charset val="204"/>
          </rPr>
          <t xml:space="preserve">
Д.Ч.: Экспертная оценка: 835тыс. чел.</t>
        </r>
      </text>
    </comment>
    <comment ref="R136" authorId="0" shapeId="0" xr:uid="{00000000-0006-0000-0C00-00000C000000}">
      <text>
        <r>
          <rPr>
            <b/>
            <sz val="9"/>
            <color indexed="81"/>
            <rFont val="Tahoma"/>
            <family val="2"/>
            <charset val="204"/>
          </rPr>
          <t>Автор:</t>
        </r>
        <r>
          <rPr>
            <sz val="9"/>
            <color indexed="81"/>
            <rFont val="Tahoma"/>
            <family val="2"/>
            <charset val="204"/>
          </rPr>
          <t xml:space="preserve">
Отчет о развитии банковского секттора и банковского надзора. ЦБ РФ. 2015. С. 35</t>
        </r>
      </text>
    </comment>
    <comment ref="S136" authorId="0" shapeId="0" xr:uid="{00000000-0006-0000-0C00-00000D000000}">
      <text>
        <r>
          <rPr>
            <b/>
            <sz val="9"/>
            <color indexed="81"/>
            <rFont val="Tahoma"/>
            <family val="2"/>
            <charset val="204"/>
          </rPr>
          <t>Автор:</t>
        </r>
        <r>
          <rPr>
            <sz val="9"/>
            <color indexed="81"/>
            <rFont val="Tahoma"/>
            <family val="2"/>
            <charset val="204"/>
          </rPr>
          <t xml:space="preserve">
Отчет о развитии банковского секттора и банковского надзора. ЦБ РФ. 2015. С. 35</t>
        </r>
      </text>
    </comment>
    <comment ref="T136" authorId="0" shapeId="0" xr:uid="{00000000-0006-0000-0C00-00000E000000}">
      <text>
        <r>
          <rPr>
            <b/>
            <sz val="9"/>
            <color indexed="81"/>
            <rFont val="Tahoma"/>
            <family val="2"/>
            <charset val="204"/>
          </rPr>
          <t>Автор:</t>
        </r>
        <r>
          <rPr>
            <sz val="9"/>
            <color indexed="81"/>
            <rFont val="Tahoma"/>
            <family val="2"/>
            <charset val="204"/>
          </rPr>
          <t xml:space="preserve">
аналогично данным за 2015 год - 3%
</t>
        </r>
      </text>
    </comment>
    <comment ref="U136" authorId="0" shapeId="0" xr:uid="{00000000-0006-0000-0C00-00000F000000}">
      <text>
        <r>
          <rPr>
            <b/>
            <sz val="9"/>
            <color indexed="81"/>
            <rFont val="Tahoma"/>
            <family val="2"/>
            <charset val="204"/>
          </rPr>
          <t>Автор:</t>
        </r>
        <r>
          <rPr>
            <sz val="9"/>
            <color indexed="81"/>
            <rFont val="Tahoma"/>
            <family val="2"/>
            <charset val="204"/>
          </rPr>
          <t xml:space="preserve">
На уровне прошлого года   -3%</t>
        </r>
      </text>
    </comment>
    <comment ref="AE136" authorId="0" shapeId="0" xr:uid="{00000000-0006-0000-0C00-000010000000}">
      <text>
        <r>
          <rPr>
            <b/>
            <sz val="9"/>
            <color indexed="81"/>
            <rFont val="Tahoma"/>
            <family val="2"/>
            <charset val="204"/>
          </rPr>
          <t>Автор:</t>
        </r>
        <r>
          <rPr>
            <sz val="9"/>
            <color indexed="81"/>
            <rFont val="Tahoma"/>
            <family val="2"/>
            <charset val="204"/>
          </rPr>
          <t xml:space="preserve">
На 31.12.2013. По данным </t>
        </r>
        <r>
          <rPr>
            <b/>
            <sz val="9"/>
            <color indexed="81"/>
            <rFont val="Tahoma"/>
            <family val="2"/>
            <charset val="204"/>
          </rPr>
          <t>FDIC</t>
        </r>
        <r>
          <rPr>
            <sz val="9"/>
            <color indexed="81"/>
            <rFont val="Tahoma"/>
            <family val="2"/>
            <charset val="204"/>
          </rPr>
          <t xml:space="preserve"> (https://www5.fdic.gov/sdi/main.asp?formname=standard)</t>
        </r>
      </text>
    </comment>
    <comment ref="AF136" authorId="0" shapeId="0" xr:uid="{00000000-0006-0000-0C00-000011000000}">
      <text>
        <r>
          <rPr>
            <b/>
            <sz val="9"/>
            <color indexed="81"/>
            <rFont val="Tahoma"/>
            <family val="2"/>
            <charset val="204"/>
          </rPr>
          <t>Автор:</t>
        </r>
        <r>
          <rPr>
            <sz val="9"/>
            <color indexed="81"/>
            <rFont val="Tahoma"/>
            <family val="2"/>
            <charset val="204"/>
          </rPr>
          <t xml:space="preserve">
На 31.12.2014</t>
        </r>
      </text>
    </comment>
    <comment ref="AG136" authorId="0" shapeId="0" xr:uid="{00000000-0006-0000-0C00-000012000000}">
      <text>
        <r>
          <rPr>
            <b/>
            <sz val="9"/>
            <color indexed="81"/>
            <rFont val="Tahoma"/>
            <family val="2"/>
            <charset val="204"/>
          </rPr>
          <t>Автор:</t>
        </r>
        <r>
          <rPr>
            <sz val="9"/>
            <color indexed="81"/>
            <rFont val="Tahoma"/>
            <family val="2"/>
            <charset val="204"/>
          </rPr>
          <t xml:space="preserve">
На 31.12.2015</t>
        </r>
      </text>
    </comment>
    <comment ref="AH136" authorId="0" shapeId="0" xr:uid="{00000000-0006-0000-0C00-000013000000}">
      <text>
        <r>
          <rPr>
            <b/>
            <sz val="9"/>
            <color indexed="81"/>
            <rFont val="Tahoma"/>
            <family val="2"/>
            <charset val="204"/>
          </rPr>
          <t>Автор:</t>
        </r>
        <r>
          <rPr>
            <sz val="9"/>
            <color indexed="81"/>
            <rFont val="Tahoma"/>
            <family val="2"/>
            <charset val="204"/>
          </rPr>
          <t xml:space="preserve">
На 31.12.2016</t>
        </r>
      </text>
    </comment>
    <comment ref="AI136" authorId="0" shapeId="0" xr:uid="{00000000-0006-0000-0C00-000014000000}">
      <text>
        <r>
          <rPr>
            <b/>
            <sz val="9"/>
            <color indexed="81"/>
            <rFont val="Tahoma"/>
            <family val="2"/>
            <charset val="204"/>
          </rPr>
          <t>Автор:</t>
        </r>
        <r>
          <rPr>
            <sz val="9"/>
            <color indexed="81"/>
            <rFont val="Tahoma"/>
            <family val="2"/>
            <charset val="204"/>
          </rPr>
          <t xml:space="preserve">
на 31.12.2017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C14" authorId="0" shapeId="0" xr:uid="{00000000-0006-0000-0D00-000001000000}">
      <text>
        <r>
          <rPr>
            <b/>
            <sz val="9"/>
            <color indexed="81"/>
            <rFont val="Tahoma"/>
            <family val="2"/>
            <charset val="204"/>
          </rPr>
          <t>Автор:</t>
        </r>
        <r>
          <rPr>
            <sz val="9"/>
            <color indexed="81"/>
            <rFont val="Tahoma"/>
            <family val="2"/>
            <charset val="204"/>
          </rPr>
          <t xml:space="preserve">
Покупка у клиентов ц/б с обязательством обратной продажи</t>
        </r>
      </text>
    </comment>
    <comment ref="C39" authorId="0" shapeId="0" xr:uid="{00000000-0006-0000-0D00-000002000000}">
      <text>
        <r>
          <rPr>
            <b/>
            <sz val="9"/>
            <color indexed="81"/>
            <rFont val="Tahoma"/>
            <family val="2"/>
            <charset val="204"/>
          </rPr>
          <t>Автор:</t>
        </r>
        <r>
          <rPr>
            <sz val="9"/>
            <color indexed="81"/>
            <rFont val="Tahoma"/>
            <family val="2"/>
            <charset val="204"/>
          </rPr>
          <t xml:space="preserve">
Покупка у клиентов ц/б с обязательством обратной продажи</t>
        </r>
      </text>
    </comment>
    <comment ref="C65" authorId="0" shapeId="0" xr:uid="{00000000-0006-0000-0D00-000003000000}">
      <text>
        <r>
          <rPr>
            <b/>
            <sz val="9"/>
            <color indexed="81"/>
            <rFont val="Tahoma"/>
            <family val="2"/>
            <charset val="204"/>
          </rPr>
          <t>Автор:</t>
        </r>
        <r>
          <rPr>
            <sz val="9"/>
            <color indexed="81"/>
            <rFont val="Tahoma"/>
            <family val="2"/>
            <charset val="204"/>
          </rPr>
          <t xml:space="preserve">
Покупка у клиентов ц/б с обязательством обратной продажи</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AJ7" authorId="0" shapeId="0" xr:uid="{00000000-0006-0000-0E00-000001000000}">
      <text>
        <r>
          <rPr>
            <b/>
            <sz val="9"/>
            <color indexed="81"/>
            <rFont val="Tahoma"/>
            <family val="2"/>
            <charset val="204"/>
          </rPr>
          <t>Автор:</t>
        </r>
        <r>
          <rPr>
            <sz val="9"/>
            <color indexed="81"/>
            <rFont val="Tahoma"/>
            <family val="2"/>
            <charset val="204"/>
          </rPr>
          <t xml:space="preserve">
Инфоомация о размере доходов и расходов в % к активам также доступна на сайте FDIC. Это одна из двух опций ($ или % к активам). Ручной расчет через средние активы дает примерно те же результаты</t>
        </r>
      </text>
    </comment>
    <comment ref="Q8" authorId="0" shapeId="0" xr:uid="{00000000-0006-0000-0E00-000002000000}">
      <text>
        <r>
          <rPr>
            <b/>
            <sz val="9"/>
            <color indexed="81"/>
            <rFont val="Tahoma"/>
            <family val="2"/>
            <charset val="204"/>
          </rPr>
          <t>Автор:</t>
        </r>
        <r>
          <rPr>
            <sz val="9"/>
            <color indexed="81"/>
            <rFont val="Tahoma"/>
            <family val="2"/>
            <charset val="204"/>
          </rPr>
          <t xml:space="preserve">
Расчитано по данным  Отчета о развитии банковского сектора и банковского надзора в 2013 (раздел "Финансовые результаты деятельности КО")</t>
        </r>
      </text>
    </comment>
    <comment ref="R8" authorId="0" shapeId="0" xr:uid="{00000000-0006-0000-0E00-000003000000}">
      <text>
        <r>
          <rPr>
            <b/>
            <sz val="9"/>
            <color indexed="81"/>
            <rFont val="Tahoma"/>
            <family val="2"/>
            <charset val="204"/>
          </rPr>
          <t>Автор:</t>
        </r>
        <r>
          <rPr>
            <sz val="9"/>
            <color indexed="81"/>
            <rFont val="Tahoma"/>
            <family val="2"/>
            <charset val="204"/>
          </rPr>
          <t xml:space="preserve">
Расчитано по данным: 
- Отчета о развитии банковского сектора и банковского надзора в 2014 (раздел "Финансовые результаты деятельности КО")
- Обзора банковского сектора за август 2015</t>
        </r>
      </text>
    </comment>
    <comment ref="S8" authorId="0" shapeId="0" xr:uid="{00000000-0006-0000-0E00-000004000000}">
      <text>
        <r>
          <rPr>
            <b/>
            <sz val="9"/>
            <color indexed="81"/>
            <rFont val="Tahoma"/>
            <family val="2"/>
            <charset val="204"/>
          </rPr>
          <t>Автор:</t>
        </r>
        <r>
          <rPr>
            <sz val="9"/>
            <color indexed="81"/>
            <rFont val="Tahoma"/>
            <family val="2"/>
            <charset val="204"/>
          </rPr>
          <t xml:space="preserve">
Расчитано по данным: 
- Отчета о развитии банковского сектора и банковского надзора в 2014 (раздел "Финансовые результаты деятельности КО")
- Обзора банковского сектора за август 2015</t>
        </r>
      </text>
    </comment>
    <comment ref="AE8" authorId="0" shapeId="0" xr:uid="{00000000-0006-0000-0E00-000005000000}">
      <text>
        <r>
          <rPr>
            <b/>
            <sz val="11"/>
            <color indexed="81"/>
            <rFont val="Tahoma"/>
            <family val="2"/>
            <charset val="204"/>
          </rPr>
          <t>Автор:</t>
        </r>
        <r>
          <rPr>
            <sz val="11"/>
            <color indexed="81"/>
            <rFont val="Tahoma"/>
            <family val="2"/>
            <charset val="204"/>
          </rPr>
          <t xml:space="preserve">
По данным FDIC
1) https://www2.fdic.gov/SDI/main.asp
2) https://www5.fdic.gov/sdi/main.asp?formname=standard</t>
        </r>
      </text>
    </comment>
    <comment ref="B14" authorId="0" shapeId="0" xr:uid="{00000000-0006-0000-0E00-000006000000}">
      <text>
        <r>
          <rPr>
            <b/>
            <sz val="11"/>
            <color indexed="81"/>
            <rFont val="Tahoma"/>
            <family val="2"/>
            <charset val="204"/>
          </rPr>
          <t>Автор:</t>
        </r>
        <r>
          <rPr>
            <sz val="11"/>
            <color indexed="81"/>
            <rFont val="Tahoma"/>
            <family val="2"/>
            <charset val="204"/>
          </rPr>
          <t xml:space="preserve">
Рекомендуемое значение &lt; 0,5</t>
        </r>
      </text>
    </comment>
    <comment ref="A52" authorId="0" shapeId="0" xr:uid="{00000000-0006-0000-0E00-000007000000}">
      <text>
        <r>
          <rPr>
            <b/>
            <sz val="9"/>
            <color indexed="81"/>
            <rFont val="Tahoma"/>
            <family val="2"/>
            <charset val="204"/>
          </rPr>
          <t>Автор:</t>
        </r>
        <r>
          <rPr>
            <sz val="9"/>
            <color indexed="81"/>
            <rFont val="Tahoma"/>
            <family val="2"/>
            <charset val="204"/>
          </rPr>
          <t xml:space="preserve">
С</t>
        </r>
        <r>
          <rPr>
            <sz val="12"/>
            <color indexed="81"/>
            <rFont val="Tahoma"/>
            <family val="2"/>
            <charset val="204"/>
          </rPr>
          <t xml:space="preserve"> 01.01.2016 - мин. 8%</t>
        </r>
        <r>
          <rPr>
            <sz val="9"/>
            <color indexed="81"/>
            <rFont val="Tahoma"/>
            <family val="2"/>
            <charset val="204"/>
          </rPr>
          <t xml:space="preserve">
</t>
        </r>
      </text>
    </comment>
    <comment ref="A53" authorId="0" shapeId="0" xr:uid="{00000000-0006-0000-0E00-000008000000}">
      <text>
        <r>
          <rPr>
            <b/>
            <sz val="12"/>
            <color indexed="81"/>
            <rFont val="Tahoma"/>
            <family val="2"/>
            <charset val="204"/>
          </rPr>
          <t>Автор:</t>
        </r>
        <r>
          <rPr>
            <sz val="12"/>
            <color indexed="81"/>
            <rFont val="Tahoma"/>
            <family val="2"/>
            <charset val="204"/>
          </rPr>
          <t xml:space="preserve">
С 01.01.15 - 6%</t>
        </r>
      </text>
    </comment>
    <comment ref="A54" authorId="0" shapeId="0" xr:uid="{00000000-0006-0000-0E00-000009000000}">
      <text>
        <r>
          <rPr>
            <b/>
            <sz val="12"/>
            <color indexed="81"/>
            <rFont val="Tahoma"/>
            <family val="2"/>
            <charset val="204"/>
          </rPr>
          <t>Автор:</t>
        </r>
        <r>
          <rPr>
            <sz val="12"/>
            <color indexed="81"/>
            <rFont val="Tahoma"/>
            <family val="2"/>
            <charset val="204"/>
          </rPr>
          <t xml:space="preserve">
С 01.01.16 - 4,5%</t>
        </r>
      </text>
    </comment>
    <comment ref="B71" authorId="0" shapeId="0" xr:uid="{00000000-0006-0000-0E00-00000A000000}">
      <text>
        <r>
          <rPr>
            <b/>
            <sz val="9"/>
            <color indexed="81"/>
            <rFont val="Tahoma"/>
            <family val="2"/>
            <charset val="204"/>
          </rPr>
          <t>Автор:</t>
        </r>
        <r>
          <rPr>
            <sz val="9"/>
            <color indexed="81"/>
            <rFont val="Tahoma"/>
            <family val="2"/>
            <charset val="204"/>
          </rPr>
          <t xml:space="preserve">
Сумма всех крупных кредитных рисков к одной группе лиц (5% от капитала) к величине капитала банка</t>
        </r>
      </text>
    </comment>
    <comment ref="B72" authorId="0" shapeId="0" xr:uid="{00000000-0006-0000-0E00-00000B000000}">
      <text>
        <r>
          <rPr>
            <b/>
            <sz val="9"/>
            <color indexed="81"/>
            <rFont val="Tahoma"/>
            <family val="2"/>
            <charset val="204"/>
          </rPr>
          <t>Автор:</t>
        </r>
        <r>
          <rPr>
            <sz val="9"/>
            <color indexed="81"/>
            <rFont val="Tahoma"/>
            <family val="2"/>
            <charset val="204"/>
          </rPr>
          <t xml:space="preserve">
Сумма кредитных рисков к каждому акционеру (с долей &gt;5%) к капиталу банка</t>
        </r>
      </text>
    </comment>
    <comment ref="B73" authorId="0" shapeId="0" xr:uid="{00000000-0006-0000-0E00-00000C000000}">
      <text>
        <r>
          <rPr>
            <b/>
            <sz val="9"/>
            <color indexed="81"/>
            <rFont val="Tahoma"/>
            <family val="2"/>
            <charset val="204"/>
          </rPr>
          <t>Автор:</t>
        </r>
        <r>
          <rPr>
            <sz val="9"/>
            <color indexed="81"/>
            <rFont val="Tahoma"/>
            <family val="2"/>
            <charset val="204"/>
          </rPr>
          <t xml:space="preserve">
Сумма риска на инсайдеров банка к капиталу банка</t>
        </r>
      </text>
    </comment>
    <comment ref="B74" authorId="0" shapeId="0" xr:uid="{00000000-0006-0000-0E00-00000D000000}">
      <text>
        <r>
          <rPr>
            <b/>
            <sz val="9"/>
            <color indexed="81"/>
            <rFont val="Tahoma"/>
            <family val="2"/>
            <charset val="204"/>
          </rPr>
          <t>Автор:</t>
        </r>
        <r>
          <rPr>
            <sz val="9"/>
            <color indexed="81"/>
            <rFont val="Tahoma"/>
            <family val="2"/>
            <charset val="204"/>
          </rPr>
          <t xml:space="preserve">
Сумма вложений в акции (доли) юр. лиц (пакет от 5% и выше), кроме 
1. спекулятивных, краткосрочных целей, 
2. учтетенных при расчете капитала
2. тех, по которым расчитывается рыночный риск
к капиталу банка</t>
        </r>
      </text>
    </comment>
    <comment ref="Q141" authorId="0" shapeId="0" xr:uid="{00000000-0006-0000-0E00-00000E000000}">
      <text>
        <r>
          <rPr>
            <b/>
            <sz val="9"/>
            <color indexed="81"/>
            <rFont val="Tahoma"/>
            <family val="2"/>
            <charset val="204"/>
          </rPr>
          <t>Автор:</t>
        </r>
        <r>
          <rPr>
            <sz val="9"/>
            <color indexed="81"/>
            <rFont val="Tahoma"/>
            <family val="2"/>
            <charset val="204"/>
          </rPr>
          <t xml:space="preserve">
Д.Ч.: Экспертная оценка: 835тыс. чел.</t>
        </r>
      </text>
    </comment>
    <comment ref="R141" authorId="0" shapeId="0" xr:uid="{00000000-0006-0000-0E00-00000F000000}">
      <text>
        <r>
          <rPr>
            <b/>
            <sz val="9"/>
            <color indexed="81"/>
            <rFont val="Tahoma"/>
            <family val="2"/>
            <charset val="204"/>
          </rPr>
          <t>Автор:</t>
        </r>
        <r>
          <rPr>
            <sz val="9"/>
            <color indexed="81"/>
            <rFont val="Tahoma"/>
            <family val="2"/>
            <charset val="204"/>
          </rPr>
          <t xml:space="preserve">
Отчет о развитии банковского секттора и банковского надзора. ЦБ РФ. 2015. С. 35</t>
        </r>
      </text>
    </comment>
    <comment ref="S141" authorId="0" shapeId="0" xr:uid="{00000000-0006-0000-0E00-000010000000}">
      <text>
        <r>
          <rPr>
            <b/>
            <sz val="9"/>
            <color indexed="81"/>
            <rFont val="Tahoma"/>
            <family val="2"/>
            <charset val="204"/>
          </rPr>
          <t>Автор:</t>
        </r>
        <r>
          <rPr>
            <sz val="9"/>
            <color indexed="81"/>
            <rFont val="Tahoma"/>
            <family val="2"/>
            <charset val="204"/>
          </rPr>
          <t xml:space="preserve">
Отчет о развитии банковского секттора и банковского надзора. ЦБ РФ. 2015. С. 35</t>
        </r>
      </text>
    </comment>
    <comment ref="AC141" authorId="0" shapeId="0" xr:uid="{00000000-0006-0000-0E00-000011000000}">
      <text>
        <r>
          <rPr>
            <b/>
            <sz val="9"/>
            <color indexed="81"/>
            <rFont val="Tahoma"/>
            <family val="2"/>
            <charset val="204"/>
          </rPr>
          <t>Автор:</t>
        </r>
        <r>
          <rPr>
            <sz val="9"/>
            <color indexed="81"/>
            <rFont val="Tahoma"/>
            <family val="2"/>
            <charset val="204"/>
          </rPr>
          <t xml:space="preserve">
На 31.12.2013. По данным </t>
        </r>
        <r>
          <rPr>
            <b/>
            <sz val="9"/>
            <color indexed="81"/>
            <rFont val="Tahoma"/>
            <family val="2"/>
            <charset val="204"/>
          </rPr>
          <t>FDIC</t>
        </r>
        <r>
          <rPr>
            <sz val="9"/>
            <color indexed="81"/>
            <rFont val="Tahoma"/>
            <family val="2"/>
            <charset val="204"/>
          </rPr>
          <t xml:space="preserve"> (https://www5.fdic.gov/sdi/main.asp?formname=standard)</t>
        </r>
      </text>
    </comment>
    <comment ref="AD141" authorId="0" shapeId="0" xr:uid="{00000000-0006-0000-0E00-000012000000}">
      <text>
        <r>
          <rPr>
            <b/>
            <sz val="9"/>
            <color indexed="81"/>
            <rFont val="Tahoma"/>
            <family val="2"/>
            <charset val="204"/>
          </rPr>
          <t>Автор:</t>
        </r>
        <r>
          <rPr>
            <sz val="9"/>
            <color indexed="81"/>
            <rFont val="Tahoma"/>
            <family val="2"/>
            <charset val="204"/>
          </rPr>
          <t xml:space="preserve">
На 31.12.2014</t>
        </r>
      </text>
    </comment>
    <comment ref="AE141" authorId="0" shapeId="0" xr:uid="{00000000-0006-0000-0E00-000013000000}">
      <text>
        <r>
          <rPr>
            <b/>
            <sz val="9"/>
            <color indexed="81"/>
            <rFont val="Tahoma"/>
            <family val="2"/>
            <charset val="204"/>
          </rPr>
          <t>Автор:</t>
        </r>
        <r>
          <rPr>
            <sz val="9"/>
            <color indexed="81"/>
            <rFont val="Tahoma"/>
            <family val="2"/>
            <charset val="204"/>
          </rPr>
          <t xml:space="preserve">
На 31.12.2015</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63E580-793F-4D0D-B5E5-93F3E5144EC5}" keepAlive="1" name="Запрос — Ф_101_2021" description="Соединение с запросом &quot;Ф_101_2021&quot; в книге." type="5" refreshedVersion="0" background="1">
    <dbPr connection="Provider=Microsoft.Mashup.OleDb.1;Data Source=$Workbook$;Location=Ф_101_2021;Extended Properties=&quot;&quot;" command="SELECT * FROM [Ф_101_2021]"/>
  </connection>
  <connection id="2" xr16:uid="{5AA40483-1A93-4ACC-A55E-1FCFB9F4867C}" keepAlive="1" name="Запрос — Ф_101_2023" description="Соединение с запросом &quot;Ф_101_2023&quot; в книге." type="5" refreshedVersion="0" background="1">
    <dbPr connection="Provider=Microsoft.Mashup.OleDb.1;Data Source=$Workbook$;Location=Ф_101_2023;Extended Properties=&quot;&quot;" command="SELECT * FROM [Ф_101_2023]"/>
  </connection>
  <connection id="3" xr16:uid="{4E919A56-54E4-4F73-9C4D-080DC643EC1A}" keepAlive="1" name="Запрос — Ф_101_2024" description="Соединение с запросом &quot;Ф_101_2024&quot; в книге." type="5" refreshedVersion="0" background="1">
    <dbPr connection="Provider=Microsoft.Mashup.OleDb.1;Data Source=$Workbook$;Location=Ф_101_2024;Extended Properties=&quot;&quot;" command="SELECT * FROM [Ф_101_2024]"/>
  </connection>
  <connection id="4" xr16:uid="{66DA186D-C7E8-4F61-91D8-E6A8D1C8EA73}" keepAlive="1" name="Запрос — Ф_101_2025" description="Соединение с запросом &quot;Ф_101_2025&quot; в книге." type="5" refreshedVersion="0" background="1">
    <dbPr connection="Provider=Microsoft.Mashup.OleDb.1;Data Source=$Workbook$;Location=Ф_101_2025;Extended Properties=&quot;&quot;" command="SELECT * FROM [Ф_101_2025]"/>
  </connection>
  <connection id="5" xr16:uid="{BA99F57F-3606-4700-9A92-8A666BE69050}" keepAlive="1" name="Запрос — Ф_102_2016" description="Соединение с запросом &quot;Ф_102_2016&quot; в книге." type="5" refreshedVersion="8" background="1" saveData="1">
    <dbPr connection="Provider=Microsoft.Mashup.OleDb.1;Data Source=$Workbook$;Location=Ф_102_2016;Extended Properties=&quot;&quot;" command="SELECT * FROM [Ф_102_2016]"/>
  </connection>
  <connection id="6" xr16:uid="{DCC162A7-0A29-4EC0-9F5D-80BAC46AB348}" keepAlive="1" name="Запрос — Ф_102_2017" description="Соединение с запросом &quot;Ф_102_2017&quot; в книге." type="5" refreshedVersion="8" background="1" saveData="1">
    <dbPr connection="Provider=Microsoft.Mashup.OleDb.1;Data Source=$Workbook$;Location=Ф_102_2017;Extended Properties=&quot;&quot;" command="SELECT * FROM [Ф_102_2017]"/>
  </connection>
  <connection id="7" xr16:uid="{48B1B0EF-408D-4155-BCD4-AE1F8212C8B7}" keepAlive="1" name="Запрос — Ф_102_2018" description="Соединение с запросом &quot;Ф_102_2018&quot; в книге." type="5" refreshedVersion="8" background="1" saveData="1">
    <dbPr connection="Provider=Microsoft.Mashup.OleDb.1;Data Source=$Workbook$;Location=Ф_102_2018;Extended Properties=&quot;&quot;" command="SELECT * FROM [Ф_102_2018]"/>
  </connection>
  <connection id="8" xr16:uid="{0E0A4E71-B4C4-46D2-A17E-EBB17ADC2895}" keepAlive="1" name="Запрос — Ф_102_2019" description="Соединение с запросом &quot;Ф_102_2019&quot; в книге." type="5" refreshedVersion="8" background="1" saveData="1">
    <dbPr connection="Provider=Microsoft.Mashup.OleDb.1;Data Source=$Workbook$;Location=Ф_102_2019;Extended Properties=&quot;&quot;" command="SELECT * FROM [Ф_102_2019]"/>
  </connection>
  <connection id="9" xr16:uid="{D93E6638-B549-49C8-9AF5-2C5F4DCE1226}" keepAlive="1" name="Запрос — Ф_102_2020" description="Соединение с запросом &quot;Ф_102_2020&quot; в книге." type="5" refreshedVersion="8" background="1" saveData="1">
    <dbPr connection="Provider=Microsoft.Mashup.OleDb.1;Data Source=$Workbook$;Location=Ф_102_2020;Extended Properties=&quot;&quot;" command="SELECT * FROM [Ф_102_2020]"/>
  </connection>
  <connection id="10" xr16:uid="{3AC91DBC-F078-4C26-89A7-CC4CEFAAD204}" keepAlive="1" name="Запрос — Ф_102_2021" description="Соединение с запросом &quot;Ф_102_2021&quot; в книге." type="5" refreshedVersion="8" background="1" saveData="1">
    <dbPr connection="Provider=Microsoft.Mashup.OleDb.1;Data Source=$Workbook$;Location=Ф_102_2021;Extended Properties=&quot;&quot;" command="SELECT * FROM [Ф_102_2021]"/>
  </connection>
  <connection id="11" xr16:uid="{984D901F-EFD5-49B8-8536-2FC943ECBFDE}" keepAlive="1" name="Запрос — Ф_123_2015" description="Соединение с запросом &quot;Ф_123_2015&quot; в книге." type="5" refreshedVersion="8" background="1" saveData="1">
    <dbPr connection="Provider=Microsoft.Mashup.OleDb.1;Data Source=$Workbook$;Location=Ф_123_2015;Extended Properties=&quot;&quot;" command="SELECT * FROM [Ф_123_2015]"/>
  </connection>
  <connection id="12" xr16:uid="{26173371-E39E-41E9-84ED-B90B9C2774D8}" keepAlive="1" name="Запрос — Ф_123_2016" description="Соединение с запросом &quot;Ф_123_2016&quot; в книге." type="5" refreshedVersion="8" background="1" saveData="1">
    <dbPr connection="Provider=Microsoft.Mashup.OleDb.1;Data Source=$Workbook$;Location=Ф_123_2016;Extended Properties=&quot;&quot;" command="SELECT * FROM [Ф_123_2016]"/>
  </connection>
  <connection id="13" xr16:uid="{9A8BD164-8E71-4580-A367-21249DB90ED7}" keepAlive="1" name="Запрос — Ф_123_2017" description="Соединение с запросом &quot;Ф_123_2017&quot; в книге." type="5" refreshedVersion="8" background="1" saveData="1">
    <dbPr connection="Provider=Microsoft.Mashup.OleDb.1;Data Source=$Workbook$;Location=Ф_123_2017;Extended Properties=&quot;&quot;" command="SELECT * FROM [Ф_123_2017]"/>
  </connection>
  <connection id="14" xr16:uid="{2D32D725-8172-4FC8-95C8-D6F9E71BB935}" keepAlive="1" name="Запрос — Ф_123_2018" description="Соединение с запросом &quot;Ф_123_2018&quot; в книге." type="5" refreshedVersion="8" background="1" saveData="1">
    <dbPr connection="Provider=Microsoft.Mashup.OleDb.1;Data Source=$Workbook$;Location=Ф_123_2018;Extended Properties=&quot;&quot;" command="SELECT * FROM [Ф_123_2018]"/>
  </connection>
  <connection id="15" xr16:uid="{16E4B18E-28CC-44E9-9366-854C166B6C1C}" keepAlive="1" name="Запрос — Ф_123_2019" description="Соединение с запросом &quot;Ф_123_2019&quot; в книге." type="5" refreshedVersion="8" background="1" saveData="1">
    <dbPr connection="Provider=Microsoft.Mashup.OleDb.1;Data Source=$Workbook$;Location=Ф_123_2019;Extended Properties=&quot;&quot;" command="SELECT * FROM [Ф_123_2019]"/>
  </connection>
  <connection id="16" xr16:uid="{9414189B-DD1E-4DB4-9A94-A49FC48FD400}" keepAlive="1" name="Запрос — Ф_123_2020" description="Соединение с запросом &quot;Ф_123_2020&quot; в книге." type="5" refreshedVersion="8" background="1" saveData="1">
    <dbPr connection="Provider=Microsoft.Mashup.OleDb.1;Data Source=$Workbook$;Location=Ф_123_2020;Extended Properties=&quot;&quot;" command="SELECT * FROM [Ф_123_2020]"/>
  </connection>
  <connection id="17" xr16:uid="{B37F0237-16B7-445C-BFE8-005936A92C57}" keepAlive="1" name="Запрос — Ф_123_2021" description="Соединение с запросом &quot;Ф_123_2021&quot; в книге." type="5" refreshedVersion="8" background="1" saveData="1">
    <dbPr connection="Provider=Microsoft.Mashup.OleDb.1;Data Source=$Workbook$;Location=Ф_123_2021;Extended Properties=&quot;&quot;" command="SELECT * FROM [Ф_123_2021]"/>
  </connection>
  <connection id="18" xr16:uid="{43D6CCC0-347E-4601-9138-35B1BB0FBB0C}" keepAlive="1" name="Запрос — Ф_135_2015" description="Соединение с запросом &quot;Ф_135_2015&quot; в книге." type="5" refreshedVersion="0" background="1">
    <dbPr connection="Provider=Microsoft.Mashup.OleDb.1;Data Source=$Workbook$;Location=Ф_135_2015;Extended Properties=&quot;&quot;" command="SELECT * FROM [Ф_135_2015]"/>
  </connection>
  <connection id="19" xr16:uid="{9E4A6928-2648-4252-A14E-D308F8F8A094}" keepAlive="1" name="Запрос — Ф_135_2016" description="Соединение с запросом &quot;Ф_135_2016&quot; в книге." type="5" refreshedVersion="0" background="1">
    <dbPr connection="Provider=Microsoft.Mashup.OleDb.1;Data Source=$Workbook$;Location=Ф_135_2016;Extended Properties=&quot;&quot;" command="SELECT * FROM [Ф_135_2016]"/>
  </connection>
  <connection id="20" xr16:uid="{60F633D9-A602-4569-A1C8-0D09EE0AE3BE}" keepAlive="1" name="Запрос — Ф_135_2017" description="Соединение с запросом &quot;Ф_135_2017&quot; в книге." type="5" refreshedVersion="0" background="1">
    <dbPr connection="Provider=Microsoft.Mashup.OleDb.1;Data Source=$Workbook$;Location=Ф_135_2017;Extended Properties=&quot;&quot;" command="SELECT * FROM [Ф_135_2017]"/>
  </connection>
  <connection id="21" xr16:uid="{9812E99C-7835-4F46-8B2E-E08F3295EEBC}" keepAlive="1" name="Запрос — Ф_135_2017-2015" description="Соединение с запросом &quot;Ф_135_2017-2015&quot; в книге." type="5" refreshedVersion="8" background="1" saveData="1">
    <dbPr connection="Provider=Microsoft.Mashup.OleDb.1;Data Source=$Workbook$;Location=Ф_135_2017-2015;Extended Properties=&quot;&quot;" command="SELECT * FROM [Ф_135_2017-2015]"/>
  </connection>
  <connection id="22" xr16:uid="{103E765C-BC3A-4509-90EB-7A7DA6E0D0B6}" keepAlive="1" name="Запрос — Ф_135_2018" description="Соединение с запросом &quot;Ф_135_2018&quot; в книге." type="5" refreshedVersion="0" background="1">
    <dbPr connection="Provider=Microsoft.Mashup.OleDb.1;Data Source=$Workbook$;Location=Ф_135_2018;Extended Properties=&quot;&quot;" command="SELECT * FROM [Ф_135_2018]"/>
  </connection>
  <connection id="23" xr16:uid="{D696FC11-014C-4EC7-A511-8E15CDE95F45}" keepAlive="1" name="Запрос — Ф_135_2019" description="Соединение с запросом &quot;Ф_135_2019&quot; в книге." type="5" refreshedVersion="0" background="1">
    <dbPr connection="Provider=Microsoft.Mashup.OleDb.1;Data Source=$Workbook$;Location=Ф_135_2019;Extended Properties=&quot;&quot;" command="SELECT * FROM [Ф_135_2019]"/>
  </connection>
  <connection id="24" xr16:uid="{A5615328-1D6E-49F4-8B0B-736613D93605}" keepAlive="1" name="Запрос — Ф_135_2020" description="Соединение с запросом &quot;Ф_135_2020&quot; в книге." type="5" refreshedVersion="0" background="1">
    <dbPr connection="Provider=Microsoft.Mashup.OleDb.1;Data Source=$Workbook$;Location=Ф_135_2020;Extended Properties=&quot;&quot;" command="SELECT * FROM [Ф_135_2020]"/>
  </connection>
  <connection id="25" xr16:uid="{570FE3DA-46C0-4E98-A87A-41412146066A}" keepAlive="1" name="Запрос — Ф_135_2021" description="Соединение с запросом &quot;Ф_135_2021&quot; в книге." type="5" refreshedVersion="0" background="1">
    <dbPr connection="Provider=Microsoft.Mashup.OleDb.1;Data Source=$Workbook$;Location=Ф_135_2021;Extended Properties=&quot;&quot;" command="SELECT * FROM [Ф_135_2021]"/>
  </connection>
  <connection id="26" xr16:uid="{7AFE023B-2DAA-4568-AA3F-58867B800CED}" keepAlive="1" name="Запрос — Ф_135_2023" description="Соединение с запросом &quot;Ф_135_2023&quot; в книге." type="5" refreshedVersion="0" background="1">
    <dbPr connection="Provider=Microsoft.Mashup.OleDb.1;Data Source=$Workbook$;Location=Ф_135_2023;Extended Properties=&quot;&quot;" command="SELECT * FROM [Ф_135_2023]"/>
  </connection>
  <connection id="27" xr16:uid="{0C9878E9-D4CF-474E-A136-117B17C67AA9}" keepAlive="1" name="Запрос — Ф_135_2024" description="Соединение с запросом &quot;Ф_135_2024&quot; в книге." type="5" refreshedVersion="0" background="1">
    <dbPr connection="Provider=Microsoft.Mashup.OleDb.1;Data Source=$Workbook$;Location=Ф_135_2024;Extended Properties=&quot;&quot;" command="SELECT * FROM [Ф_135_2024]"/>
  </connection>
  <connection id="28" xr16:uid="{FDBA5D24-1B79-4609-BBF6-A404CC41CA1C}" keepAlive="1" name="Запрос — Ф_135_2024-2018" description="Соединение с запросом &quot;Ф_135_2024-2018&quot; в книге." type="5" refreshedVersion="8" background="1" saveData="1">
    <dbPr connection="Provider=Microsoft.Mashup.OleDb.1;Data Source=$Workbook$;Location=Ф_135_2024-2018;Extended Properties=&quot;&quot;" command="SELECT * FROM [Ф_135_2024-2018]"/>
  </connection>
  <connection id="29" xr16:uid="{F930E599-6D77-44FB-B777-3F366FE49B95}" keepAlive="1" name="Запрос — Ф_135_2025" description="Соединение с запросом &quot;Ф_135_2025&quot; в книге." type="5" refreshedVersion="0" background="1">
    <dbPr connection="Provider=Microsoft.Mashup.OleDb.1;Data Source=$Workbook$;Location=Ф_135_2025;Extended Properties=&quot;&quot;" command="SELECT * FROM [Ф_135_2025]"/>
  </connection>
  <connection id="30" xr16:uid="{EB97A173-31AE-42FD-9455-DA132D535865}" keepAlive="1" name="Запрос — Ф_806_2016" description="Соединение с запросом &quot;Ф_806_2016&quot; в книге." type="5" refreshedVersion="0" background="1">
    <dbPr connection="Provider=Microsoft.Mashup.OleDb.1;Data Source=$Workbook$;Location=Ф_806_2016;Extended Properties=&quot;&quot;" command="SELECT * FROM [Ф_806_2016]"/>
  </connection>
  <connection id="31" xr16:uid="{93018454-FBD7-479D-888A-12687BB02D8A}" keepAlive="1" name="Запрос — Ф_806_2018-2015" description="Соединение с запросом &quot;Ф_806_2018-2015&quot; в книге." type="5" refreshedVersion="8" background="1" saveData="1">
    <dbPr connection="Provider=Microsoft.Mashup.OleDb.1;Data Source=$Workbook$;Location=Ф_806_2018-2015;Extended Properties=&quot;&quot;" command="SELECT * FROM [Ф_806_2018-2015]"/>
  </connection>
  <connection id="32" xr16:uid="{0FB0B1FF-76C9-4095-AA7B-4508E46D90C4}" keepAlive="1" name="Запрос — Ф_806_2020" description="Соединение с запросом &quot;Ф_806_2020&quot; в книге." type="5" refreshedVersion="0" background="1">
    <dbPr connection="Provider=Microsoft.Mashup.OleDb.1;Data Source=$Workbook$;Location=Ф_806_2020;Extended Properties=&quot;&quot;" command="SELECT * FROM [Ф_806_2020]"/>
  </connection>
  <connection id="33" xr16:uid="{F3C875CD-AF9B-4EBA-8E86-48C09D28E857}" keepAlive="1" name="Запрос — Ф_806_2022" description="Соединение с запросом &quot;Ф_806_2022&quot; в книге." type="5" refreshedVersion="0" background="1">
    <dbPr connection="Provider=Microsoft.Mashup.OleDb.1;Data Source=$Workbook$;Location=Ф_806_2022;Extended Properties=&quot;&quot;" command="SELECT * FROM [Ф_806_2022]"/>
  </connection>
  <connection id="34" xr16:uid="{037F5587-78EB-4ECB-AAAF-1F6D15E3E00B}" keepAlive="1" name="Запрос — Ф_806_2023-2019" description="Соединение с запросом &quot;Ф_806_2023-2019&quot; в книге." type="5" refreshedVersion="8" background="1" saveData="1">
    <dbPr connection="Provider=Microsoft.Mashup.OleDb.1;Data Source=$Workbook$;Location=Ф_806_2023-2019;Extended Properties=&quot;&quot;" command="SELECT * FROM [Ф_806_2023-2019]"/>
  </connection>
  <connection id="35" xr16:uid="{34D08B94-9CF7-44C0-8433-0E7A339CC598}" keepAlive="1" name="Запрос — Ф_806_2024" description="Соединение с запросом &quot;Ф_806_2024&quot; в книге." type="5" refreshedVersion="8" background="1" saveData="1">
    <dbPr connection="Provider=Microsoft.Mashup.OleDb.1;Data Source=$Workbook$;Location=Ф_806_2024;Extended Properties=&quot;&quot;" command="SELECT * FROM [Ф_806_2024]"/>
  </connection>
  <connection id="36" xr16:uid="{34F92298-EBF5-4A36-87B6-64584AE7EEE9}" keepAlive="1" name="Запрос — Ф_807_2016" description="Соединение с запросом &quot;Ф_807_2016&quot; в книге." type="5" refreshedVersion="0" background="1">
    <dbPr connection="Provider=Microsoft.Mashup.OleDb.1;Data Source=$Workbook$;Location=Ф_807_2016;Extended Properties=&quot;&quot;" command="SELECT * FROM [Ф_807_2016]"/>
  </connection>
  <connection id="37" xr16:uid="{CFCC8128-E853-4069-828C-969BCAD81A63}" keepAlive="1" name="Запрос — Ф_807_2016_ПСД" description="Соединение с запросом &quot;Ф_807_2016_ПСД&quot; в книге." type="5" refreshedVersion="0" background="1">
    <dbPr connection="Provider=Microsoft.Mashup.OleDb.1;Data Source=$Workbook$;Location=Ф_807_2016_ПСД;Extended Properties=&quot;&quot;" command="SELECT * FROM [Ф_807_2016_ПСД]"/>
  </connection>
  <connection id="38" xr16:uid="{D58EBEA3-22EB-4698-BF70-DA03FE43F48C}" keepAlive="1" name="Запрос — Ф_807_2018" description="Соединение с запросом &quot;Ф_807_2018&quot; в книге." type="5" refreshedVersion="0" background="1">
    <dbPr connection="Provider=Microsoft.Mashup.OleDb.1;Data Source=$Workbook$;Location=Ф_807_2018;Extended Properties=&quot;&quot;" command="SELECT * FROM [Ф_807_2018]"/>
  </connection>
  <connection id="39" xr16:uid="{4945F825-D398-49C7-B770-9C544202C870}" keepAlive="1" name="Запрос — Ф_807_2018-2015_ПСД" description="Соединение с запросом &quot;Ф_807_2018-2015_ПСД&quot; в книге." type="5" refreshedVersion="0" background="1">
    <dbPr connection="Provider=Microsoft.Mashup.OleDb.1;Data Source=$Workbook$;Location=Ф_807_2018-2015_ПСД;Extended Properties=&quot;&quot;" command="SELECT * FROM [Ф_807_2018-2015_ПСД]"/>
  </connection>
  <connection id="40" xr16:uid="{430E56F7-43B1-4AE2-BA97-2BBAE89E60CB}" keepAlive="1" name="Запрос — Ф_807_2020" description="Соединение с запросом &quot;Ф_807_2020&quot; в книге." type="5" refreshedVersion="0" background="1">
    <dbPr connection="Provider=Microsoft.Mashup.OleDb.1;Data Source=$Workbook$;Location=Ф_807_2020;Extended Properties=&quot;&quot;" command="SELECT * FROM [Ф_807_2020]"/>
  </connection>
  <connection id="41" xr16:uid="{5D88E27A-20EB-4BEB-BF16-95912FFB3BA9}" keepAlive="1" name="Запрос — Ф_807_2020_ПСД" description="Соединение с запросом &quot;Ф_807_2020_ПСД&quot; в книге." type="5" refreshedVersion="0" background="1">
    <dbPr connection="Provider=Microsoft.Mashup.OleDb.1;Data Source=$Workbook$;Location=Ф_807_2020_ПСД;Extended Properties=&quot;&quot;" command="SELECT * FROM [Ф_807_2020_ПСД]"/>
  </connection>
  <connection id="42" xr16:uid="{F4EC64F1-E40C-4291-8451-A027A064A146}" keepAlive="1" name="Запрос — Ф_807_2020-2015" description="Соединение с запросом &quot;Ф_807_2020-2015&quot; в книге." type="5" refreshedVersion="8" background="1" saveData="1">
    <dbPr connection="Provider=Microsoft.Mashup.OleDb.1;Data Source=$Workbook$;Location=Ф_807_2020-2015;Extended Properties=&quot;&quot;" command="SELECT * FROM [Ф_807_2020-2015]"/>
  </connection>
  <connection id="43" xr16:uid="{7BB82F8B-7140-438C-A257-1CC19F0F6D47}" keepAlive="1" name="Запрос — Ф_807_2022" description="Соединение с запросом &quot;Ф_807_2022&quot; в книге." type="5" refreshedVersion="0" background="1">
    <dbPr connection="Provider=Microsoft.Mashup.OleDb.1;Data Source=$Workbook$;Location=Ф_807_2022;Extended Properties=&quot;&quot;" command="SELECT * FROM [Ф_807_2022]"/>
  </connection>
  <connection id="44" xr16:uid="{3DF0DE07-B57C-4BBA-949C-3D7C335CD7E3}" keepAlive="1" name="Запрос — Ф_807_2022_ПСД" description="Соединение с запросом &quot;Ф_807_2022_ПСД&quot; в книге." type="5" refreshedVersion="0" background="1">
    <dbPr connection="Provider=Microsoft.Mashup.OleDb.1;Data Source=$Workbook$;Location=Ф_807_2022_ПСД;Extended Properties=&quot;&quot;" command="SELECT * FROM [Ф_807_2022_ПСД]"/>
  </connection>
  <connection id="45" xr16:uid="{53E4BCF9-E65A-470A-BD93-E8DF35C48BA9}" keepAlive="1" name="Запрос — Ф_807_2023" description="Соединение с запросом &quot;Ф_807_2023&quot; в книге." type="5" refreshedVersion="8" background="1" saveData="1">
    <dbPr connection="Provider=Microsoft.Mashup.OleDb.1;Data Source=$Workbook$;Location=Ф_807_2023;Extended Properties=&quot;&quot;" command="SELECT * FROM [Ф_807_2023]"/>
  </connection>
  <connection id="46" xr16:uid="{4CD9AF5C-9265-4504-8A65-170270115AF1}" keepAlive="1" name="Запрос — Ф_807_2023-2019_ПСД" description="Соединение с запросом &quot;Ф_807_2023-2019_ПСД&quot; в книге." type="5" refreshedVersion="0" background="1">
    <dbPr connection="Provider=Microsoft.Mashup.OleDb.1;Data Source=$Workbook$;Location=Ф_807_2023-2019_ПСД;Extended Properties=&quot;&quot;" command="SELECT * FROM [Ф_807_2023-2019_ПСД]"/>
  </connection>
  <connection id="47" xr16:uid="{2A56D1DD-4B98-4227-A0D3-B20CEADD3D55}" keepAlive="1" name="Запрос — Ф_807_2023-2021" description="Соединение с запросом &quot;Ф_807_2023-2021&quot; в книге." type="5" refreshedVersion="8" background="1" saveData="1">
    <dbPr connection="Provider=Microsoft.Mashup.OleDb.1;Data Source=$Workbook$;Location=Ф_807_2023-2021;Extended Properties=&quot;&quot;" command="SELECT * FROM [Ф_807_2023-2021]"/>
  </connection>
  <connection id="48" xr16:uid="{D118986B-7151-46A1-9215-D9B8FADF05EF}" keepAlive="1" name="Запрос — Ф_807_2024" description="Соединение с запросом &quot;Ф_807_2024&quot; в книге." type="5" refreshedVersion="0" background="1">
    <dbPr connection="Provider=Microsoft.Mashup.OleDb.1;Data Source=$Workbook$;Location=Ф_807_2024;Extended Properties=&quot;&quot;" command="SELECT * FROM [Ф_807_2024]"/>
  </connection>
  <connection id="49" xr16:uid="{4DB6577D-7610-4FB3-A3F4-806BD3C0E2A3}" keepAlive="1" name="Запрос — Ф_808_2016-2015" description="Соединение с запросом &quot;Ф_808_2016-2015&quot; в книге." type="5" refreshedVersion="8" background="1" saveData="1">
    <dbPr connection="Provider=Microsoft.Mashup.OleDb.1;Data Source=$Workbook$;Location=Ф_808_2016-2015;Extended Properties=&quot;&quot;" command="SELECT * FROM [Ф_808_2016-2015]"/>
  </connection>
  <connection id="50" xr16:uid="{2D43A6DA-36A0-451B-88D7-715091F67DB1}" keepAlive="1" name="Запрос — Ф_808_2018-2017" description="Соединение с запросом &quot;Ф_808_2018-2017&quot; в книге." type="5" refreshedVersion="0" background="1">
    <dbPr connection="Provider=Microsoft.Mashup.OleDb.1;Data Source=$Workbook$;Location=Ф_808_2018-2017;Extended Properties=&quot;&quot;" command="SELECT * FROM [Ф_808_2018-2017]"/>
  </connection>
  <connection id="51" xr16:uid="{450E136F-8797-47D3-8622-AD639A401E0F}" keepAlive="1" name="Запрос — Ф_808_2020-2019" description="Соединение с запросом &quot;Ф_808_2020-2019&quot; в книге." type="5" refreshedVersion="0" background="1">
    <dbPr connection="Provider=Microsoft.Mashup.OleDb.1;Data Source=$Workbook$;Location=Ф_808_2020-2019;Extended Properties=&quot;&quot;" command="SELECT * FROM [Ф_808_2020-2019]"/>
  </connection>
  <connection id="52" xr16:uid="{01012419-2EE5-4E1E-8CAE-E14AF53A041D}" keepAlive="1" name="Запрос — Ф_808_2022-2021" description="Соединение с запросом &quot;Ф_808_2022-2021&quot; в книге." type="5" refreshedVersion="0" background="1">
    <dbPr connection="Provider=Microsoft.Mashup.OleDb.1;Data Source=$Workbook$;Location=Ф_808_2022-2021;Extended Properties=&quot;&quot;" command="SELECT * FROM [Ф_808_2022-2021]"/>
  </connection>
  <connection id="53" xr16:uid="{09040CE5-0C2C-41CD-AF85-97278E68C007}" keepAlive="1" name="Запрос — Ф_808_2023-2017" description="Соединение с запросом &quot;Ф_808_2023-2017&quot; в книге." type="5" refreshedVersion="8" background="1" saveData="1">
    <dbPr connection="Provider=Microsoft.Mashup.OleDb.1;Data Source=$Workbook$;Location=Ф_808_2023-2017;Extended Properties=&quot;&quot;" command="SELECT * FROM [Ф_808_2023-2017]"/>
  </connection>
  <connection id="54" xr16:uid="{2F3595C0-1D31-44E6-9209-20BA5DDD60B3}" keepAlive="1" name="Запрос — Ф_808_2023-2022" description="Соединение с запросом &quot;Ф_808_2023-2022&quot; в книге." type="5" refreshedVersion="8" background="1" saveData="1">
    <dbPr connection="Provider=Microsoft.Mashup.OleDb.1;Data Source=$Workbook$;Location=Ф_808_2023-2022;Extended Properties=&quot;&quot;" command="SELECT * FROM [Ф_808_2023-2022]"/>
  </connection>
  <connection id="55" xr16:uid="{6FEFFA87-1418-470C-986A-CA686E14D186}" keepAlive="1" name="Запрос — Ф_808_2024-2023" description="Соединение с запросом &quot;Ф_808_2024-2023&quot; в книге." type="5" refreshedVersion="0" background="1">
    <dbPr connection="Provider=Microsoft.Mashup.OleDb.1;Data Source=$Workbook$;Location=Ф_808_2024-2023;Extended Properties=&quot;&quot;" command="SELECT * FROM [Ф_808_2024-2023]"/>
  </connection>
  <connection id="56" xr16:uid="{6839AE9D-BF61-48FB-B72B-37F4D8EEEAD6}" keepAlive="1" name="Запрос — Ф_814_2016" description="Соединение с запросом &quot;Ф_814_2016&quot; в книге." type="5" refreshedVersion="0" background="1">
    <dbPr connection="Provider=Microsoft.Mashup.OleDb.1;Data Source=$Workbook$;Location=Ф_814_2016;Extended Properties=&quot;&quot;" command="SELECT * FROM [Ф_814_2016]"/>
  </connection>
  <connection id="57" xr16:uid="{309731A7-17E8-434B-94AA-84DC22F8D220}" keepAlive="1" name="Запрос — Ф_814_2018" description="Соединение с запросом &quot;Ф_814_2018&quot; в книге." type="5" refreshedVersion="0" background="1">
    <dbPr connection="Provider=Microsoft.Mashup.OleDb.1;Data Source=$Workbook$;Location=Ф_814_2018;Extended Properties=&quot;&quot;" command="SELECT * FROM [Ф_814_2018]"/>
  </connection>
  <connection id="58" xr16:uid="{62AB7D99-E49C-43E7-AA5E-6718D3EBD701}" keepAlive="1" name="Запрос — Ф_814_2020-2015" description="Соединение с запросом &quot;Ф_814_2020-2015&quot; в книге." type="5" refreshedVersion="8" background="1" saveData="1">
    <dbPr connection="Provider=Microsoft.Mashup.OleDb.1;Data Source=$Workbook$;Location=Ф_814_2020-2015;Extended Properties=&quot;&quot;" command="SELECT * FROM [Ф_814_2020-2015]"/>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<sst xmlns="http://schemas.openxmlformats.org/spreadsheetml/2006/main" count="31345" uniqueCount="3475">
  <si>
    <t>млрд. руб.</t>
  </si>
  <si>
    <t>Портфель кассовых активов</t>
  </si>
  <si>
    <t>1.</t>
  </si>
  <si>
    <t>Финансовые активы, оцениваемые по справедливой стоимости через прибыль или убыток</t>
  </si>
  <si>
    <t>1.1</t>
  </si>
  <si>
    <t>1.2</t>
  </si>
  <si>
    <t>2.1</t>
  </si>
  <si>
    <t>2.2</t>
  </si>
  <si>
    <t>Инвестиции в ДЗО</t>
  </si>
  <si>
    <t>2.3</t>
  </si>
  <si>
    <t>3.1</t>
  </si>
  <si>
    <t>3.2</t>
  </si>
  <si>
    <t>4. Порфель внеоборотных активов и запасов</t>
  </si>
  <si>
    <t>5. Портфель прочих активов</t>
  </si>
  <si>
    <t>1.3</t>
  </si>
  <si>
    <t>2.</t>
  </si>
  <si>
    <t>3.</t>
  </si>
  <si>
    <t>В % к итогу</t>
  </si>
  <si>
    <t>Итого</t>
  </si>
  <si>
    <t>Финансовые коэффициенты</t>
  </si>
  <si>
    <t>Средства кредитных организаций</t>
  </si>
  <si>
    <t>Финансовые обязательства, оцениваемые по справедливой стоимости через прибыль или убыток</t>
  </si>
  <si>
    <t>Прочие обязательства</t>
  </si>
  <si>
    <t>Средства банков</t>
  </si>
  <si>
    <t>Ценные бумаги и финансовые инструменты</t>
  </si>
  <si>
    <t>4.</t>
  </si>
  <si>
    <t>5.</t>
  </si>
  <si>
    <t>6.</t>
  </si>
  <si>
    <t>Собственные средства</t>
  </si>
  <si>
    <t>6.1</t>
  </si>
  <si>
    <t>Уставный капитал</t>
  </si>
  <si>
    <t>6.2</t>
  </si>
  <si>
    <t>Эмиссионный доход</t>
  </si>
  <si>
    <t>Резервный фонд</t>
  </si>
  <si>
    <t>6.3</t>
  </si>
  <si>
    <t>Процентные доходы</t>
  </si>
  <si>
    <t>Чистый процентный доход</t>
  </si>
  <si>
    <t>Прибыль до налогообложения</t>
  </si>
  <si>
    <t>Первчиные резервы/ Депозиты</t>
  </si>
  <si>
    <t>(Первчиные резервы + Вторичные резервы)/ Депозиты</t>
  </si>
  <si>
    <t xml:space="preserve">Первичные резервы (ликвидности) </t>
  </si>
  <si>
    <t>остатки средств в кассе, банкоматах</t>
  </si>
  <si>
    <t>остатки на корр/ счетах в ЦБ и коммерческих банках</t>
  </si>
  <si>
    <t>депозиты в ЦБ и коммерческих банках</t>
  </si>
  <si>
    <t>+</t>
  </si>
  <si>
    <t>=</t>
  </si>
  <si>
    <t>высоколиквидные ц/б (гос. и некоторые корпоративные)</t>
  </si>
  <si>
    <t>Вторичные резервы (ликвидности)</t>
  </si>
  <si>
    <t xml:space="preserve">Резервы (ликвидности) </t>
  </si>
  <si>
    <t>СК – собственный капитал,</t>
  </si>
  <si>
    <t>Р – сумма резервов на возможные потери по активным операциям.</t>
  </si>
  <si>
    <r>
      <rPr>
        <b/>
        <sz val="12"/>
        <color theme="1"/>
        <rFont val="Arial"/>
        <family val="2"/>
        <charset val="204"/>
      </rPr>
      <t>К</t>
    </r>
    <r>
      <rPr>
        <b/>
        <vertAlign val="subscript"/>
        <sz val="12"/>
        <color theme="1"/>
        <rFont val="Arial"/>
        <family val="2"/>
        <charset val="204"/>
      </rPr>
      <t>1</t>
    </r>
    <r>
      <rPr>
        <b/>
        <sz val="12"/>
        <color theme="1"/>
        <rFont val="Arial"/>
        <family val="2"/>
        <charset val="204"/>
      </rPr>
      <t xml:space="preserve"> </t>
    </r>
    <r>
      <rPr>
        <sz val="12"/>
        <color theme="1"/>
        <rFont val="Arial"/>
        <family val="2"/>
        <charset val="204"/>
      </rPr>
      <t>- агрегированный показатель качества активов,</t>
    </r>
  </si>
  <si>
    <r>
      <t>А</t>
    </r>
    <r>
      <rPr>
        <vertAlign val="subscript"/>
        <sz val="12"/>
        <color theme="1"/>
        <rFont val="Arial"/>
        <family val="2"/>
        <charset val="204"/>
      </rPr>
      <t>i</t>
    </r>
    <r>
      <rPr>
        <sz val="12"/>
        <color theme="1"/>
        <rFont val="Arial"/>
        <family val="2"/>
        <charset val="204"/>
      </rPr>
      <t xml:space="preserve"> – сумма i-того актива банка,</t>
    </r>
  </si>
  <si>
    <r>
      <t>k</t>
    </r>
    <r>
      <rPr>
        <vertAlign val="subscript"/>
        <sz val="12"/>
        <color theme="1"/>
        <rFont val="Arial"/>
        <family val="2"/>
        <charset val="204"/>
      </rPr>
      <t>i</t>
    </r>
    <r>
      <rPr>
        <sz val="12"/>
        <color theme="1"/>
        <rFont val="Arial"/>
        <family val="2"/>
        <charset val="204"/>
      </rPr>
      <t xml:space="preserve"> – коэффициент риска i-того актива банка (не путать с коэффициентом взвешивания в рамках методики оценки достаточности капитала),</t>
    </r>
  </si>
  <si>
    <t>Рейтинг</t>
  </si>
  <si>
    <t>До 5%</t>
  </si>
  <si>
    <t>От 5% до 15%</t>
  </si>
  <si>
    <t>От 15% до 30%</t>
  </si>
  <si>
    <t>От 30% до 50%</t>
  </si>
  <si>
    <t>Свыше 50%</t>
  </si>
  <si>
    <r>
      <t>Диапазон значений К</t>
    </r>
    <r>
      <rPr>
        <b/>
        <vertAlign val="subscript"/>
        <sz val="11"/>
        <color theme="1"/>
        <rFont val="Arial"/>
        <family val="2"/>
        <charset val="204"/>
      </rPr>
      <t>1</t>
    </r>
  </si>
  <si>
    <t>Средства юридических лиц</t>
  </si>
  <si>
    <t>Средства физических лиц</t>
  </si>
  <si>
    <t>Соотношение собственных и привлеченных средств</t>
  </si>
  <si>
    <t>Соответствие структуры привлеченных средств мировым стандартам и активным операциям</t>
  </si>
  <si>
    <t>Оценка стабильной части депозитов</t>
  </si>
  <si>
    <t>Оценка степени диверсификации привлеченных средств</t>
  </si>
  <si>
    <t>Мировая практика</t>
  </si>
  <si>
    <t>Доля депозитов до востребования, текущих счетов</t>
  </si>
  <si>
    <t>Другие привлеченные средства</t>
  </si>
  <si>
    <t>~ 30%</t>
  </si>
  <si>
    <t>20-40%</t>
  </si>
  <si>
    <t>20-50%</t>
  </si>
  <si>
    <t>Оценка эффективности использования депозитных ресурсов</t>
  </si>
  <si>
    <t>-</t>
  </si>
  <si>
    <r>
      <rPr>
        <b/>
        <sz val="11"/>
        <color theme="1"/>
        <rFont val="Arial"/>
        <family val="2"/>
        <charset val="204"/>
      </rPr>
      <t>Отложенные налоговые активы</t>
    </r>
    <r>
      <rPr>
        <sz val="11"/>
        <color theme="1"/>
        <rFont val="Arial"/>
        <family val="2"/>
        <charset val="204"/>
      </rPr>
      <t xml:space="preserve"> - сумма налога на прибыль, подлежащая возмещению в будущих отчетных периодах в отношении перенесенных на будущее убытков, учитываемых при расчете налога на прибыль</t>
    </r>
  </si>
  <si>
    <t>*</t>
  </si>
  <si>
    <t>Базовый капитал</t>
  </si>
  <si>
    <t>Добавочный капитал</t>
  </si>
  <si>
    <t>Дополнительный капитал (II уровня)</t>
  </si>
  <si>
    <t>Основной капитал (I уровня) = Базовый + Добавочный</t>
  </si>
  <si>
    <t>Собственный капитал, итого</t>
  </si>
  <si>
    <t>Активы, взвешенные по риску, всего</t>
  </si>
  <si>
    <t>Активы, всего</t>
  </si>
  <si>
    <t>Норматив достаточности</t>
  </si>
  <si>
    <t>ОАО "Банк Москвы"</t>
  </si>
  <si>
    <t>то же в % к активам</t>
  </si>
  <si>
    <t>собственного капитала (норматив - не ниже 10%)</t>
  </si>
  <si>
    <t>базового капитала (норматив - не ниже 5%)</t>
  </si>
  <si>
    <t>основного капитала (норматив - не ниже 5,5%, с 01.01.15 - 6%)</t>
  </si>
  <si>
    <t>Собственный капитал (брутто)</t>
  </si>
  <si>
    <t>Собственный капитал (нетто)</t>
  </si>
  <si>
    <t>I</t>
  </si>
  <si>
    <t>II</t>
  </si>
  <si>
    <t xml:space="preserve">Анализ сложившейся ситуации (внутренней и внешней среды), выделение приоритетных факторов, влияющих на формирование </t>
  </si>
  <si>
    <t>ресурсной базы, прогноз сильных/ слабых сторон, возможностей/ опасностей мобилизации депозитной базы</t>
  </si>
  <si>
    <t>тренд развития отраслей клиентов банка</t>
  </si>
  <si>
    <t>динамика ВВП и общие макроэкономические показатели</t>
  </si>
  <si>
    <t>уровень доходов и сбережений населения</t>
  </si>
  <si>
    <t>государственная экономическая политика</t>
  </si>
  <si>
    <t>политическая стабильность</t>
  </si>
  <si>
    <t>сложившаяся клиентская база и ее изменение</t>
  </si>
  <si>
    <t>объем и динамика депозитов</t>
  </si>
  <si>
    <t>квалификация персонала в области реализации депозитной политики</t>
  </si>
  <si>
    <t>Оценка временной структуры депозитов и уровня "преданности" клиентов (зависит от срока обслуживания)</t>
  </si>
  <si>
    <t>Кредиты/ депозиты</t>
  </si>
  <si>
    <t>Оценка риска трансформации</t>
  </si>
  <si>
    <t>III</t>
  </si>
  <si>
    <t>Ставка дефицита ресурсов = (Депозиты на срок t - Кредиты на срок t) / Депозиты на срок t</t>
  </si>
  <si>
    <t>К трансформации краткосрочных депозитных ресурсов = (Краткосрочные ресурсы - Краткосрочные активы)/ Краткосрочные пассивы</t>
  </si>
  <si>
    <t>Оценка уровня стабильности депозитных ресурсов</t>
  </si>
  <si>
    <r>
      <t xml:space="preserve">К стабильности = </t>
    </r>
    <r>
      <rPr>
        <sz val="14"/>
        <color theme="1"/>
        <rFont val="Arial"/>
        <family val="2"/>
        <charset val="204"/>
      </rPr>
      <t>σ</t>
    </r>
    <r>
      <rPr>
        <sz val="9"/>
        <color theme="1"/>
        <rFont val="Arial"/>
        <family val="2"/>
        <charset val="204"/>
      </rPr>
      <t xml:space="preserve">x/ </t>
    </r>
    <r>
      <rPr>
        <sz val="14"/>
        <color theme="1"/>
        <rFont val="Arial"/>
        <family val="2"/>
        <charset val="204"/>
      </rPr>
      <t>X</t>
    </r>
    <r>
      <rPr>
        <sz val="9"/>
        <color theme="1"/>
        <rFont val="Arial"/>
        <family val="2"/>
        <charset val="204"/>
      </rPr>
      <t>сред</t>
    </r>
  </si>
  <si>
    <t>σx</t>
  </si>
  <si>
    <t xml:space="preserve"> модуль среднего абсолютного отклонения фактических остатков депозитных ресурсов от среднего</t>
  </si>
  <si>
    <t>Критериальный уровень ~ 75-80%</t>
  </si>
  <si>
    <t>Хсред  -  средние фактические остатки депозитов за период</t>
  </si>
  <si>
    <t>К оседания средств во вклады = (ОВк - ОВнач)/ ПВ пер</t>
  </si>
  <si>
    <t>ОВ н - остаток вкладов на началов периода</t>
  </si>
  <si>
    <t>ОВ к - остаток вкладов на конец периода+</t>
  </si>
  <si>
    <t>ПВ пер - поступление вкладов за период</t>
  </si>
  <si>
    <t xml:space="preserve">Рассчитывается по банку, филиалу, отделению, </t>
  </si>
  <si>
    <t>используется для сравнения с конкурентами</t>
  </si>
  <si>
    <t>IV</t>
  </si>
  <si>
    <t>Оценка сбалансированности активов и пассивов банка</t>
  </si>
  <si>
    <t>выявление излишка/дефицита ресурсов того или иного срока</t>
  </si>
  <si>
    <t>построение реструктурированного баланса (исходя из принципов распределения ресурсов)</t>
  </si>
  <si>
    <t>Активы (пассивы)</t>
  </si>
  <si>
    <t>Кредиты нефинансовым организациям</t>
  </si>
  <si>
    <t>Кредиты финансовым организациям-резидентам (кроме кредитных организаций)</t>
  </si>
  <si>
    <t>Кредиты физическим лицам</t>
  </si>
  <si>
    <t>Необеспеченные потребительские ссуды (портфель однородных ссуд)</t>
  </si>
  <si>
    <t>Капитал и финансовый результат</t>
  </si>
  <si>
    <t>Капитал (собственные средства)</t>
  </si>
  <si>
    <t>Достаточность капитала H1.0, %</t>
  </si>
  <si>
    <t>Прибыль текущего года</t>
  </si>
  <si>
    <t>Обязательства</t>
  </si>
  <si>
    <t>Вклады физических лиц</t>
  </si>
  <si>
    <t>Кредиты, полученные от Банка России</t>
  </si>
  <si>
    <t>21-50</t>
  </si>
  <si>
    <t>51-200</t>
  </si>
  <si>
    <t>201-500</t>
  </si>
  <si>
    <t>501-884</t>
  </si>
  <si>
    <t>Отдельные показатели деятельности кредитных организаций, сгруппированных по величине активов, по состоянию на 1 июля 2014 года</t>
  </si>
  <si>
    <t>Источник: Банк России</t>
  </si>
  <si>
    <t>http://www.cbr.ru/statistics/print.aspx?file=bank_system/4-1-3_010714.htm&amp;pid=pdko_sub&amp;sid=opdkovo</t>
  </si>
  <si>
    <t>Активы</t>
  </si>
  <si>
    <t>Группы кредитных организаций, ранжированных по величине активов (по убыванию)</t>
  </si>
  <si>
    <t>1-5</t>
  </si>
  <si>
    <t>6-20</t>
  </si>
  <si>
    <t>Рентабельность активов (ROA), %</t>
  </si>
  <si>
    <t>Рентабельность капитала (ROE), %</t>
  </si>
  <si>
    <t xml:space="preserve">ROE = </t>
  </si>
  <si>
    <t>Чистая прибыль</t>
  </si>
  <si>
    <t>Чистая прибыль/ Валовый доход (PM)</t>
  </si>
  <si>
    <t>Декомпозиционный анализ ROE (модель Дюпона)</t>
  </si>
  <si>
    <t>ROA =</t>
  </si>
  <si>
    <t>Основные коэффициенты для анализа рентабельности банка</t>
  </si>
  <si>
    <t>Коэффициент</t>
  </si>
  <si>
    <t>Числитель</t>
  </si>
  <si>
    <t>Знаменатель</t>
  </si>
  <si>
    <t>Нормативный уровень</t>
  </si>
  <si>
    <t>К1 (процентная маржа)</t>
  </si>
  <si>
    <t>К2 (процентная маржа)</t>
  </si>
  <si>
    <t>Чистый процентный доход (ЧПД) за период</t>
  </si>
  <si>
    <t>Средний за период остаток активов</t>
  </si>
  <si>
    <t>Средний за период остаток работающих активов (кредиты, ц/б, лизинг. факторинг)</t>
  </si>
  <si>
    <t>К3</t>
  </si>
  <si>
    <t>Беспроцентный (комиссионный) доход</t>
  </si>
  <si>
    <t>К4</t>
  </si>
  <si>
    <t>Операционные расходы (оплата труда, содержание зданий и т.п.)</t>
  </si>
  <si>
    <t>К5</t>
  </si>
  <si>
    <t>Затраты на оплату труда</t>
  </si>
  <si>
    <t>~ 2%</t>
  </si>
  <si>
    <t>К6</t>
  </si>
  <si>
    <r>
      <rPr>
        <b/>
        <sz val="12"/>
        <color theme="1"/>
        <rFont val="Arial"/>
        <family val="2"/>
        <charset val="204"/>
      </rPr>
      <t>до 3-3,5%</t>
    </r>
    <r>
      <rPr>
        <sz val="12"/>
        <color theme="1"/>
        <rFont val="Arial"/>
        <family val="2"/>
        <charset val="204"/>
      </rPr>
      <t xml:space="preserve">
- РФ'13 ~ 2,2%
- США'08 ~2,9%</t>
    </r>
  </si>
  <si>
    <t>ЧПД</t>
  </si>
  <si>
    <r>
      <rPr>
        <b/>
        <sz val="12"/>
        <color theme="1"/>
        <rFont val="Arial"/>
        <family val="2"/>
        <charset val="204"/>
      </rPr>
      <t>3-5%</t>
    </r>
    <r>
      <rPr>
        <sz val="12"/>
        <color theme="1"/>
        <rFont val="Arial"/>
        <family val="2"/>
        <charset val="204"/>
      </rPr>
      <t xml:space="preserve"> (важнейший источник прибыли банка, его "хлеб насущный")
Зависит от страновых особенностей
- РФ'13 ~ 3,7%
- США'05-08  ~ 3,4%, США'13 ~ 2,9%</t>
    </r>
  </si>
  <si>
    <r>
      <rPr>
        <b/>
        <sz val="12"/>
        <color theme="1"/>
        <rFont val="Arial"/>
        <family val="2"/>
        <charset val="204"/>
      </rPr>
      <t>~ 1%</t>
    </r>
    <r>
      <rPr>
        <sz val="12"/>
        <color theme="1"/>
        <rFont val="Arial"/>
        <family val="2"/>
        <charset val="204"/>
      </rPr>
      <t xml:space="preserve">
- РФ'13 ~ 1,5%
- США'13  ~ 1,1%</t>
    </r>
  </si>
  <si>
    <r>
      <t xml:space="preserve">0,4-0,6 
(!) Однако обычно значение показателя </t>
    </r>
    <r>
      <rPr>
        <u/>
        <sz val="12"/>
        <color theme="1"/>
        <rFont val="Arial"/>
        <family val="2"/>
        <charset val="204"/>
      </rPr>
      <t>отрицательное</t>
    </r>
    <r>
      <rPr>
        <sz val="12"/>
        <color theme="1"/>
        <rFont val="Arial"/>
        <family val="2"/>
        <charset val="204"/>
      </rPr>
      <t xml:space="preserve"> ("бремя")</t>
    </r>
  </si>
  <si>
    <t>[Полученные % по ссудам/ Средний за период остаток кредитов] - [Уплаченные проценты по депозитам/ Средний за период остаток депозитов]</t>
  </si>
  <si>
    <t>не менее 1,25%</t>
  </si>
  <si>
    <t>США</t>
  </si>
  <si>
    <t>Коэффициенты для оценки уровня прибыли коммерческого банка</t>
  </si>
  <si>
    <t>Коэффициенты для оценки уровня доходов и расходов</t>
  </si>
  <si>
    <t>~ 1,5%
Зависит от страновых особенностей, в т.ч. в области налогообложения</t>
  </si>
  <si>
    <t>Средний за период остаток собственного капитала</t>
  </si>
  <si>
    <r>
      <rPr>
        <b/>
        <sz val="12"/>
        <color theme="1"/>
        <rFont val="Arial"/>
        <family val="2"/>
        <charset val="204"/>
      </rPr>
      <t>~ 1%</t>
    </r>
    <r>
      <rPr>
        <sz val="12"/>
        <color theme="1"/>
        <rFont val="Arial"/>
        <family val="2"/>
        <charset val="204"/>
      </rPr>
      <t xml:space="preserve">
Зависит от страновых особенностей (в развивающихся странах выше)
- РФ'13 ~ 1,9%
- США'13 ~ 1,1%</t>
    </r>
  </si>
  <si>
    <t>Среднесписочная численность сотрудников</t>
  </si>
  <si>
    <t>К8 (спред)</t>
  </si>
  <si>
    <t>К9 (ROA)</t>
  </si>
  <si>
    <t>К10 (ROA bt)</t>
  </si>
  <si>
    <t>К11 (ROE)</t>
  </si>
  <si>
    <t>К12</t>
  </si>
  <si>
    <t>К7 (efficiency ratio)</t>
  </si>
  <si>
    <t>Непроцентные (комиссионные) доходы - Непроцентные расходы</t>
  </si>
  <si>
    <t>Непроцентные расходы</t>
  </si>
  <si>
    <t>ЧПД +комиссионный доход</t>
  </si>
  <si>
    <r>
      <rPr>
        <b/>
        <sz val="12"/>
        <color theme="1"/>
        <rFont val="Arial"/>
        <family val="2"/>
        <charset val="204"/>
      </rPr>
      <t>не выше 0,5</t>
    </r>
    <r>
      <rPr>
        <sz val="12"/>
        <color theme="1"/>
        <rFont val="Arial"/>
        <family val="2"/>
        <charset val="204"/>
      </rPr>
      <t xml:space="preserve">
РФ'13 ~ 0,48
США'13 ~ 0,60</t>
    </r>
  </si>
  <si>
    <r>
      <rPr>
        <b/>
        <sz val="12"/>
        <color theme="1"/>
        <rFont val="Arial"/>
        <family val="2"/>
        <charset val="204"/>
      </rPr>
      <t>10-20%</t>
    </r>
    <r>
      <rPr>
        <sz val="12"/>
        <color theme="1"/>
        <rFont val="Arial"/>
        <family val="2"/>
        <charset val="204"/>
      </rPr>
      <t xml:space="preserve">
РФ'13 ~ 15,1%
США'13 ~ 9,6%</t>
    </r>
  </si>
  <si>
    <t>3,5 - 5,5%
Зависит от страновых особенностей</t>
  </si>
  <si>
    <t>нет данных
США'13 ~ 78 тыс. $</t>
  </si>
  <si>
    <t>Чистый непроцентный доход ("бремя")</t>
  </si>
  <si>
    <t>Изменение суммы резервов</t>
  </si>
  <si>
    <t>Налоги</t>
  </si>
  <si>
    <t>V</t>
  </si>
  <si>
    <t>VI</t>
  </si>
  <si>
    <t>Чистый процентный доход (NIM)</t>
  </si>
  <si>
    <t xml:space="preserve">Стабильный источник </t>
  </si>
  <si>
    <t>Нестабильный источник</t>
  </si>
  <si>
    <t>Результат</t>
  </si>
  <si>
    <t>Отражение риска</t>
  </si>
  <si>
    <t>Налоговая система</t>
  </si>
  <si>
    <r>
      <t xml:space="preserve">Чистый доход от </t>
    </r>
    <r>
      <rPr>
        <b/>
        <u/>
        <sz val="18"/>
        <color theme="1"/>
        <rFont val="Arial"/>
        <family val="2"/>
        <charset val="204"/>
      </rPr>
      <t>нестабильных</t>
    </r>
    <r>
      <rPr>
        <sz val="18"/>
        <color theme="1"/>
        <rFont val="Arial"/>
        <family val="2"/>
        <charset val="204"/>
      </rPr>
      <t xml:space="preserve"> источников (от спекулятивных операций, переоценка активов, разовые операции)</t>
    </r>
  </si>
  <si>
    <t>Анализ уровня ликвидности ОАО "Банк Москвы"</t>
  </si>
  <si>
    <t>Норматив Н2 (МИН=15%)</t>
  </si>
  <si>
    <t>Норматив Н3 (МИН=50%)</t>
  </si>
  <si>
    <t>Норматив Н4 (МАКС=120%)</t>
  </si>
  <si>
    <t>Внебалансовые обязательства</t>
  </si>
  <si>
    <t>Условные обязательства некредитного характера</t>
  </si>
  <si>
    <t>Валовые доходы</t>
  </si>
  <si>
    <t>3. Кредитный портфель (нетто)</t>
  </si>
  <si>
    <t>Процентые расходы</t>
  </si>
  <si>
    <t>Работающие активы (на дату)</t>
  </si>
  <si>
    <t>Отрицательная величина добавочного капитала</t>
  </si>
  <si>
    <t>Убытки предшествующих лет</t>
  </si>
  <si>
    <t>Сумма налога на прибыль, подлежащая возмещению в будущих периодах</t>
  </si>
  <si>
    <t>НМА</t>
  </si>
  <si>
    <t>Убыток текущего года</t>
  </si>
  <si>
    <t>Прирост стоимости имущества за счет переоценки</t>
  </si>
  <si>
    <t>Прибыль текущего года, не подтвержденная аудитором</t>
  </si>
  <si>
    <t>Часть нераспределенной прибыли текущего года</t>
  </si>
  <si>
    <t>Нераспределенная прибыль предшествующих лет</t>
  </si>
  <si>
    <t>Субординированный заем с дополнительными условиями</t>
  </si>
  <si>
    <t>Непокрытые убытки прошлых лет</t>
  </si>
  <si>
    <t>Вложения в акции (доли) ДЗО и кредитных организаций-резидентов</t>
  </si>
  <si>
    <t>Отрицательная величина дополнительного капитала</t>
  </si>
  <si>
    <t>Основной капитал (I уровня)</t>
  </si>
  <si>
    <t>Прирост стоимости имущества от переоценки</t>
  </si>
  <si>
    <t>Часть резервного фонда (за счет прибыли текущего года)</t>
  </si>
  <si>
    <t>Часть резервного фонда (за счет прибыль текущего года)</t>
  </si>
  <si>
    <t>Нераспределенная прибыль текущего года</t>
  </si>
  <si>
    <t xml:space="preserve">Субординированный кредит по остаточной стоимости </t>
  </si>
  <si>
    <t>Часть УК, сформированного за счет капитализации прироста стиомости имущества при переоценке</t>
  </si>
  <si>
    <t>Часть привилегированных акций</t>
  </si>
  <si>
    <t>Элементы основного капитала, сформированные за счет ненадлежащих источников</t>
  </si>
  <si>
    <t>Элементы дополнительного капитала, сформированные за счет ненадлежащих источников</t>
  </si>
  <si>
    <t>Показатели, уменьшающие величину собственного капитала</t>
  </si>
  <si>
    <t>Величина недосозданного резерва по ссудам II-V кат. кач.</t>
  </si>
  <si>
    <t>Величина недосозданного резерва на возможные потери</t>
  </si>
  <si>
    <t>Величина недосозданного резерва под операции с резидентами офшорных зон</t>
  </si>
  <si>
    <t>Просроченная ДЗ длительностью свыше 30 календ. дней</t>
  </si>
  <si>
    <t>Собственные акции, выкупленные у акционеров</t>
  </si>
  <si>
    <t>Часть резервного фонда (за счет прибыль прошлых лет)</t>
  </si>
  <si>
    <t xml:space="preserve">Иммобилизованные активы </t>
  </si>
  <si>
    <t>Собственный капитал (215-П), итого</t>
  </si>
  <si>
    <t>внеоборотные активы и запасы</t>
  </si>
  <si>
    <t>Собственный капитал (баланс), итого</t>
  </si>
  <si>
    <t>Доля собственного капитала на покрытие иммобилизации (&lt;50%)</t>
  </si>
  <si>
    <t xml:space="preserve">Основной капитал (I уровня) </t>
  </si>
  <si>
    <t>н/п</t>
  </si>
  <si>
    <t>обыкновенные акции</t>
  </si>
  <si>
    <t>привилигированные акции</t>
  </si>
  <si>
    <t>Нераспределенная прибыль</t>
  </si>
  <si>
    <t>прошлых лет</t>
  </si>
  <si>
    <t>отчетного года</t>
  </si>
  <si>
    <t>Вычитаются:</t>
  </si>
  <si>
    <t>Инвестиции в капитал финансовых организаций</t>
  </si>
  <si>
    <t>существенные</t>
  </si>
  <si>
    <t>несущественные</t>
  </si>
  <si>
    <t>Привилигированные акции особого типа</t>
  </si>
  <si>
    <t>Эмиссионный доход от выпуска вышеуказанных привилегированных акций</t>
  </si>
  <si>
    <t>Субординированный кредит без ограничения срока привлечения</t>
  </si>
  <si>
    <t>Вложения в собственные привилегированные акции особого типа</t>
  </si>
  <si>
    <t>Предоставленные субординированные кредиты и займы на условиях выше</t>
  </si>
  <si>
    <t>Привилегированые акции (после 1 марта 2013), кроме указанных выше</t>
  </si>
  <si>
    <t>Привилегированые акции (до 1 марта 2013), кроме указанных выше</t>
  </si>
  <si>
    <t>Эмисионный доход от выпуска привилегированных акций данного раздела</t>
  </si>
  <si>
    <t>Резервный фонд за счет прибыли текущего  или прошлого года до подтверждения аудитором</t>
  </si>
  <si>
    <t>Прибыль предшествующих лет, не подтвержденная аудитором</t>
  </si>
  <si>
    <t>Субординированный кредит (остаточная стоимость в последние 5 лет)</t>
  </si>
  <si>
    <t>Часть УК, сформированного за счет капитализации стоимости имущества при переоценке до его выбытия</t>
  </si>
  <si>
    <t>Вложения в собственные привилегированные акции, указанные в этом разделе</t>
  </si>
  <si>
    <t>Вложения в привилегировванные акции финансовых организаций (относящиеся к этому разделу)</t>
  </si>
  <si>
    <t>Обязательства банка по приобретению включенных в этот раздел источников собственного капитала</t>
  </si>
  <si>
    <t>Просроченная ДЗ сроком свыше 30 кален. дней</t>
  </si>
  <si>
    <t>Сумма кредитов, гарантий, поручительств, предоставленных банком своим акционерам и инсайдерам, сверх ее максимального размера</t>
  </si>
  <si>
    <t>млрд руб.</t>
  </si>
  <si>
    <t>ИТОГО за период</t>
  </si>
  <si>
    <t>Внутренние источники</t>
  </si>
  <si>
    <t>Нераспределенная прибыль+ резервный капитал</t>
  </si>
  <si>
    <t>Непокрытые убытки</t>
  </si>
  <si>
    <t>Внешние источники</t>
  </si>
  <si>
    <t>Привилегированные акции</t>
  </si>
  <si>
    <t>Субординированные обязательства</t>
  </si>
  <si>
    <t>Прочие</t>
  </si>
  <si>
    <t>Итого прирост</t>
  </si>
  <si>
    <t>Источник: Отчет о развитии банковского сектора и банковского надзора в 2014, стр. 27</t>
  </si>
  <si>
    <t xml:space="preserve">Вложения в акции ДЗО </t>
  </si>
  <si>
    <t>прочие</t>
  </si>
  <si>
    <t>Анализ источников прироста собственного капитала по укрупненным статьям (за год) (Положение 215-П)</t>
  </si>
  <si>
    <t>Анализ источников прироста собственного капитала по укрупненным статьям (за год) (Базель III)</t>
  </si>
  <si>
    <t>Отложенные налоговые активы</t>
  </si>
  <si>
    <t>Иное</t>
  </si>
  <si>
    <t>Расчет преращен после 01.01.2015</t>
  </si>
  <si>
    <t>млрд $</t>
  </si>
  <si>
    <t>Источник: Отчет о развитии банковского сектора и банковского надзора в 2015, стр. 32</t>
  </si>
  <si>
    <t>просроченная задолженность за минусом РВПС</t>
  </si>
  <si>
    <t>Строительство</t>
  </si>
  <si>
    <t>Транспорт и связь</t>
  </si>
  <si>
    <t>Торговля</t>
  </si>
  <si>
    <t>Структура Активов, взвешенных по риску (знаменатель в формуле Н1)</t>
  </si>
  <si>
    <t>Кредитный риск по балансовым активам (Аi)</t>
  </si>
  <si>
    <t>Операции с повышенным коэффициентом (ПК и ПКв)</t>
  </si>
  <si>
    <t>Рыночный риск (РР)</t>
  </si>
  <si>
    <t>Операционный риск (ОР) с k=12,5</t>
  </si>
  <si>
    <t>Кредитный риск по словным обязательствам кредитного характера (КРВ)</t>
  </si>
  <si>
    <t>Требования к связанным лицам (код 8957)</t>
  </si>
  <si>
    <t>Прочие элементы</t>
  </si>
  <si>
    <t>Активы, взвешенные по риску (RWA)</t>
  </si>
  <si>
    <t>Активы, взвешенные по риску, всего (RWA)</t>
  </si>
  <si>
    <r>
      <t>базового капитала (</t>
    </r>
    <r>
      <rPr>
        <sz val="11"/>
        <color rgb="FFC00000"/>
        <rFont val="Arial Narrow"/>
        <family val="2"/>
        <charset val="204"/>
      </rPr>
      <t>норматив 1.1</t>
    </r>
    <r>
      <rPr>
        <sz val="11"/>
        <color theme="1"/>
        <rFont val="Arial Narrow"/>
        <family val="2"/>
        <charset val="204"/>
      </rPr>
      <t xml:space="preserve"> - не ниже 5%, с 01.01.16 - </t>
    </r>
    <r>
      <rPr>
        <sz val="11"/>
        <color rgb="FFC00000"/>
        <rFont val="Arial Narrow"/>
        <family val="2"/>
        <charset val="204"/>
      </rPr>
      <t>4,5%</t>
    </r>
    <r>
      <rPr>
        <sz val="11"/>
        <color theme="1"/>
        <rFont val="Arial Narrow"/>
        <family val="2"/>
        <charset val="204"/>
      </rPr>
      <t>)</t>
    </r>
  </si>
  <si>
    <r>
      <t>основного капитала (</t>
    </r>
    <r>
      <rPr>
        <sz val="11"/>
        <color rgb="FFC00000"/>
        <rFont val="Arial Narrow"/>
        <family val="2"/>
        <charset val="204"/>
      </rPr>
      <t>норматив 1.2</t>
    </r>
    <r>
      <rPr>
        <sz val="11"/>
        <color theme="1"/>
        <rFont val="Arial Narrow"/>
        <family val="2"/>
        <charset val="204"/>
      </rPr>
      <t xml:space="preserve"> - не ниже 5,5%, с 01.01.15 - </t>
    </r>
    <r>
      <rPr>
        <sz val="11"/>
        <color rgb="FFC00000"/>
        <rFont val="Arial Narrow"/>
        <family val="2"/>
        <charset val="204"/>
      </rPr>
      <t>6%</t>
    </r>
    <r>
      <rPr>
        <sz val="11"/>
        <color theme="1"/>
        <rFont val="Arial Narrow"/>
        <family val="2"/>
        <charset val="204"/>
      </rPr>
      <t>)</t>
    </r>
  </si>
  <si>
    <r>
      <t>собственного капитала (</t>
    </r>
    <r>
      <rPr>
        <sz val="11"/>
        <color rgb="FFC00000"/>
        <rFont val="Arial Narrow"/>
        <family val="2"/>
        <charset val="204"/>
      </rPr>
      <t xml:space="preserve">норматив 1.0 </t>
    </r>
    <r>
      <rPr>
        <sz val="11"/>
        <color theme="1"/>
        <rFont val="Arial Narrow"/>
        <family val="2"/>
        <charset val="204"/>
      </rPr>
      <t xml:space="preserve">- не ниже 10%, с 01.01.16 - </t>
    </r>
    <r>
      <rPr>
        <sz val="11"/>
        <color rgb="FFC00000"/>
        <rFont val="Arial Narrow"/>
        <family val="2"/>
        <charset val="204"/>
      </rPr>
      <t>8%</t>
    </r>
    <r>
      <rPr>
        <sz val="11"/>
        <color theme="1"/>
        <rFont val="Arial Narrow"/>
        <family val="2"/>
        <charset val="204"/>
      </rPr>
      <t>)</t>
    </r>
  </si>
  <si>
    <t>Устанавливается каждый квартал. Вступает в силу не ранее чем через 6 мес.</t>
  </si>
  <si>
    <r>
      <t xml:space="preserve">Надбавка должна быть покрыта за счет </t>
    </r>
    <r>
      <rPr>
        <sz val="11"/>
        <color rgb="FF0000FF"/>
        <rFont val="Arial Narrow"/>
        <family val="2"/>
        <charset val="204"/>
      </rPr>
      <t>базового</t>
    </r>
    <r>
      <rPr>
        <sz val="11"/>
        <color theme="1"/>
        <rFont val="Arial Narrow"/>
        <family val="2"/>
        <charset val="204"/>
      </rPr>
      <t xml:space="preserve"> капитала</t>
    </r>
  </si>
  <si>
    <r>
      <t xml:space="preserve">Нормативы увеличиваются на величину </t>
    </r>
    <r>
      <rPr>
        <b/>
        <sz val="11"/>
        <color rgb="FF0000FF"/>
        <rFont val="Arial Narrow"/>
        <family val="2"/>
        <charset val="204"/>
      </rPr>
      <t>антициклической надбавки (от 0% до 2,5% от RWA)</t>
    </r>
  </si>
  <si>
    <t xml:space="preserve"> изменение</t>
  </si>
  <si>
    <t>Денежные средства и краткосрочные активы</t>
  </si>
  <si>
    <t>МСФО</t>
  </si>
  <si>
    <t>1.2.</t>
  </si>
  <si>
    <t>Обязательные резервы в центральных банках</t>
  </si>
  <si>
    <t>Средства в банках</t>
  </si>
  <si>
    <t>Отчет о финансовом положении</t>
  </si>
  <si>
    <t>Наименование банка</t>
  </si>
  <si>
    <t>Тип отчетности</t>
  </si>
  <si>
    <t>Консолидированная</t>
  </si>
  <si>
    <t>Финансовые активы, предназначенные для торговли</t>
  </si>
  <si>
    <t>Финансовые активы, заложенные по договорам "репо"</t>
  </si>
  <si>
    <t>Кредиты и авансы клиентам</t>
  </si>
  <si>
    <t>Финансовые активы, имеющиеся в наличии для продажи</t>
  </si>
  <si>
    <t>Инвестиционные ценные бумаги, удерживаемые для погашения</t>
  </si>
  <si>
    <t>Инвестиции в ассоциированные компании</t>
  </si>
  <si>
    <t>Основные средства и нематериальные активы</t>
  </si>
  <si>
    <t>Инвестиционная недвижимость</t>
  </si>
  <si>
    <t>Активы, предназначенные для продажи</t>
  </si>
  <si>
    <t>Текущие налоговые активы</t>
  </si>
  <si>
    <t>Прочие активы</t>
  </si>
  <si>
    <t>Итого активы</t>
  </si>
  <si>
    <t>На 31.12'</t>
  </si>
  <si>
    <t>Средства, привлеченные от ЦБ РФ</t>
  </si>
  <si>
    <t>Финансовые обязательства, предназначенные для торговли</t>
  </si>
  <si>
    <t>Средства клиентов</t>
  </si>
  <si>
    <t>Выпущенные долговые ценные бумаги</t>
  </si>
  <si>
    <t>Средства, привлеченные от ГК "АСВ"</t>
  </si>
  <si>
    <t>Обязательства, связанные с активами, предназначенными для продажи</t>
  </si>
  <si>
    <t>Текущие налоговые обязательства</t>
  </si>
  <si>
    <t>Отложенные налоговые обязательства</t>
  </si>
  <si>
    <t>Субординированная задолженность</t>
  </si>
  <si>
    <t>Итого обязательства</t>
  </si>
  <si>
    <t>Фонд переоценки финансовых активов, имеющихся в наличии для продажи</t>
  </si>
  <si>
    <t>Фонд переоценки основных средств</t>
  </si>
  <si>
    <t>Фонд накопленных курсовых разниц</t>
  </si>
  <si>
    <t>Собственные средства, принадлежащие акционерам</t>
  </si>
  <si>
    <t>Неконтрольные доли участия</t>
  </si>
  <si>
    <t>Итого собственные средства</t>
  </si>
  <si>
    <t>Итого обязательства и собственные средства</t>
  </si>
  <si>
    <t>Проверка баланса</t>
  </si>
  <si>
    <t>Отчет о прибылях и убытках</t>
  </si>
  <si>
    <t>За год, закончившийся 31.12'</t>
  </si>
  <si>
    <t>Процентные расходы</t>
  </si>
  <si>
    <t>Чистые процентные доходы</t>
  </si>
  <si>
    <t>Создание резерва под обесценение средств в банках и кредитов и авансов клиентам</t>
  </si>
  <si>
    <t>Комиссионные доходы</t>
  </si>
  <si>
    <t>Комиссионные расходы</t>
  </si>
  <si>
    <t>Прибыль/ (убыток) от первоначального признания и реструктуризации финансовых обязательств</t>
  </si>
  <si>
    <t>Доходы за вычетом расходов от операций с финансовыми инструментами, предназначенными для торговли</t>
  </si>
  <si>
    <t>Доходы за вычетом расходов от реализации финансовых активов, имеющихся в наличии для продажи</t>
  </si>
  <si>
    <t>Доходы за вычетом расходов по операциям с иностранной валютой и драгметаллами</t>
  </si>
  <si>
    <t>Расходы за вычетом доходов от переоценки валютных статей</t>
  </si>
  <si>
    <t>Доходы за вычетом расходов от переоценки инвестиционной недвижимости</t>
  </si>
  <si>
    <t>Прочие доходы/ (расходы) от восстановления/ (создания) резервов</t>
  </si>
  <si>
    <t>Заработанные страховые премии, нетто</t>
  </si>
  <si>
    <t>Состоявшиеся страховые выплаты, нетто, и изменение обязательств перед страхователями</t>
  </si>
  <si>
    <t>Доходы от небанковской деятельности</t>
  </si>
  <si>
    <t>Расходы от небанковской деятельности</t>
  </si>
  <si>
    <t>Прочие доходы за вычетом расходов</t>
  </si>
  <si>
    <t>Убыток от обесценения групп выбытия, классифицрованных как предназначенные для продажи</t>
  </si>
  <si>
    <t>Чистые непроцентные доходы</t>
  </si>
  <si>
    <t>Операционные доходы</t>
  </si>
  <si>
    <t>Общие и административные расходы</t>
  </si>
  <si>
    <t>Расходы на содержание персонала</t>
  </si>
  <si>
    <t>Доля в чистой прибыли ассоциированных компаний</t>
  </si>
  <si>
    <t>Чистая прибыль/ (убыток) от приобретения и выбытия дочерних и ассоциированных компаний</t>
  </si>
  <si>
    <t>Убыток по чистой монетарной позиции</t>
  </si>
  <si>
    <t>(Расходы)/ Экономия по налогу на прибыль</t>
  </si>
  <si>
    <t>Чистая прибыль после налогообложения</t>
  </si>
  <si>
    <t>Прибыль/ (убыток) после налогообложения от дочерних компаний, приобретенных исключительно для продажи</t>
  </si>
  <si>
    <t>Чистая прибыль, приходящаяся на:</t>
  </si>
  <si>
    <t>Акционеров банка</t>
  </si>
  <si>
    <t>Прибыль на акцию: базовая и с учетом разводнения (в рублях на 1 акцию)</t>
  </si>
  <si>
    <t>Прибыль на акцию: базовая и с учетом разводнения до прибыли после налогообложения, полученной от дочерних компаний, приобретенных исключительно в целях перепродажи (в рублях на 1 акцию)</t>
  </si>
  <si>
    <t>Отчет о совокупном доходе</t>
  </si>
  <si>
    <t>Чистая прибыль за период</t>
  </si>
  <si>
    <t>Прочий совокупный доход/ (расход), подлежащий реклассификации в прибыли и убытк в последующих периодах:</t>
  </si>
  <si>
    <t>Нереализованная прибыль/ (непокрытый) убыток от переоценки финансовых активов, имеющихся в наличии для продажи, за вычетом налога</t>
  </si>
  <si>
    <t>Реклассификация ранее признанного результата от переоценки финансовых активов, имеющихся в наличии для продажи, в связи с их продажей, за вычетом налога</t>
  </si>
  <si>
    <t>Влияние пересчета валют, за вычетом налога</t>
  </si>
  <si>
    <t>Доля в прочем совокупном доходе ассоциированных компаний и совместных предприятий</t>
  </si>
  <si>
    <t>Прочий совокупный доход, не подлежащий реклассификации в прибыли и убытки в последующих периодах:</t>
  </si>
  <si>
    <t>Признанный резерв переоценки основных средств</t>
  </si>
  <si>
    <t>Итого прочие совокупный доход/ (расход) за период</t>
  </si>
  <si>
    <t>Совокупный доход/ (расход) за период, итого</t>
  </si>
  <si>
    <t>Совокупный доход/ (расход), приходящийся на:</t>
  </si>
  <si>
    <t>Собственные средства, выкупленные у акционеров</t>
  </si>
  <si>
    <t xml:space="preserve">Чистые процентные доходы после создания резервов под обесценение </t>
  </si>
  <si>
    <t>Проверка чистой прибыли</t>
  </si>
  <si>
    <t>Проверка совокупного дохода</t>
  </si>
  <si>
    <t>Обесценение финансовых активов, имеющихся в наличии для продажи</t>
  </si>
  <si>
    <t>Расходы за вычетом доходов от досрочного погашения обязательств</t>
  </si>
  <si>
    <t>Стандарт составления отчетности</t>
  </si>
  <si>
    <t>Расшифровки</t>
  </si>
  <si>
    <t>Кредиты юридическим лицам</t>
  </si>
  <si>
    <t>Кредиты малому и среднему бизнесу</t>
  </si>
  <si>
    <t>Кредиты государственным и муниципальным органам</t>
  </si>
  <si>
    <t>Итого кредиты юридическим лицам</t>
  </si>
  <si>
    <t>Потребительские кредиты</t>
  </si>
  <si>
    <t>Ипотечные кредиты</t>
  </si>
  <si>
    <t>Кредитные карты</t>
  </si>
  <si>
    <t>Автокредиты</t>
  </si>
  <si>
    <t>Итого кредиты физическим лицам</t>
  </si>
  <si>
    <t>За вычетов резерва под обесценение</t>
  </si>
  <si>
    <t>Итого кредиты и авансы клиентам</t>
  </si>
  <si>
    <t>Физические лица</t>
  </si>
  <si>
    <t>Финансовые услуги</t>
  </si>
  <si>
    <t>Государственные органы</t>
  </si>
  <si>
    <t>Производство</t>
  </si>
  <si>
    <t>Энергетика</t>
  </si>
  <si>
    <t>Металлургия</t>
  </si>
  <si>
    <t>Пищевая промышленность</t>
  </si>
  <si>
    <t>Сельское хозяйство и рыболовство</t>
  </si>
  <si>
    <t>Химическая промышленность</t>
  </si>
  <si>
    <t>Нефть и газ</t>
  </si>
  <si>
    <t>Итого кредиты и авансы клиентам (брутто)</t>
  </si>
  <si>
    <t>Итого кредиты и авансы клиентам (нетто)</t>
  </si>
  <si>
    <t>Ценные бумаги в рублях</t>
  </si>
  <si>
    <t>Облигации корпоративных эмитентов</t>
  </si>
  <si>
    <t>Векселя корпоративных эмитентов</t>
  </si>
  <si>
    <t>Ценные бумаги в прочих валютых</t>
  </si>
  <si>
    <t>Производные финансовые инструменты</t>
  </si>
  <si>
    <t>Итого финансовые активы, предназначенные для торговли</t>
  </si>
  <si>
    <t>Финансовые активы, заложенные по договорам РЕПО</t>
  </si>
  <si>
    <t>Облигации российских компаний и банков</t>
  </si>
  <si>
    <t>ОФЗ</t>
  </si>
  <si>
    <t>Итого финансовые активы, имеющиеся в наличии для продажи</t>
  </si>
  <si>
    <t>Итого финансовые активы, заложенные по договорам РЕПО</t>
  </si>
  <si>
    <t>Обесценение по кредитам и авансам клиентам</t>
  </si>
  <si>
    <t>Корпоративные кредиты</t>
  </si>
  <si>
    <t>Итого обесценение по кредитам юридическим лицам</t>
  </si>
  <si>
    <t>Проверка</t>
  </si>
  <si>
    <t>Итого обесценение по кредитам физическим лицам</t>
  </si>
  <si>
    <t>Итого обесценение по кредитам и авансам клиентам</t>
  </si>
  <si>
    <t>Долевые инструменты</t>
  </si>
  <si>
    <t>Инвестиционные ценные бумаги, удерживаемые до погашения</t>
  </si>
  <si>
    <t>Облигации субъектов РФ и местных органов власти</t>
  </si>
  <si>
    <t>Облигации МФ РФ, субъектов РФ и местных органов власти</t>
  </si>
  <si>
    <t>Долевые ценные бумаги</t>
  </si>
  <si>
    <t>Еврооблигации РФ</t>
  </si>
  <si>
    <t>(Евро)Облигации российских компаний и банков</t>
  </si>
  <si>
    <t>Договоры обратного РЕПО</t>
  </si>
  <si>
    <t>Векселя российских компаний и банков</t>
  </si>
  <si>
    <t>Еврооблигации корпоративных эмитентов</t>
  </si>
  <si>
    <t>Облигации иностранных государств</t>
  </si>
  <si>
    <t>Еврооблигации субъектов РФ и местных органов власти</t>
  </si>
  <si>
    <t>Еврооблигации российских компаний и банков</t>
  </si>
  <si>
    <t>Проверка с балансом</t>
  </si>
  <si>
    <t>Итого инвестиционные ценные бумаги, удерживаемые до погашения</t>
  </si>
  <si>
    <t xml:space="preserve">Анализ портфеля активов и пассивов </t>
  </si>
  <si>
    <t>Портфель финансовых активов (ц/б и ПФИ)</t>
  </si>
  <si>
    <t>2.4</t>
  </si>
  <si>
    <t>2.5</t>
  </si>
  <si>
    <t>4.1</t>
  </si>
  <si>
    <t>4.2</t>
  </si>
  <si>
    <t>4.3</t>
  </si>
  <si>
    <t>5.1</t>
  </si>
  <si>
    <t>5.2</t>
  </si>
  <si>
    <t>5.3</t>
  </si>
  <si>
    <t>Итого портфель активов</t>
  </si>
  <si>
    <t>ОФЗ, облигации РФ</t>
  </si>
  <si>
    <t>Проверка с листом "Ввод"</t>
  </si>
  <si>
    <t>Доля бумаг, заложенных по операциям РЕПО (без кредитов клиентам), в % от общей суммы портфелей</t>
  </si>
  <si>
    <t xml:space="preserve">Кредиты/ Депозиты (Loan-to-Deposit), без средств ЦБ РФ и ГК "АСВ" </t>
  </si>
  <si>
    <t>Кредиты/ Депозиты (Loan-to-Deposit), плюс средства ГС "АСВ"</t>
  </si>
  <si>
    <t>Кассовые активы, в % от активов</t>
  </si>
  <si>
    <t>Высоколиквидные активы (кассовые + гос. облигации), в % от активов</t>
  </si>
  <si>
    <t>`</t>
  </si>
  <si>
    <t>Срочные депозиты и кредиты других банков</t>
  </si>
  <si>
    <t>Корреспондентские счета других банков</t>
  </si>
  <si>
    <t>Итого средства банков</t>
  </si>
  <si>
    <t>Договоры РЕПО с Банком России</t>
  </si>
  <si>
    <t>Кредиты Банка России</t>
  </si>
  <si>
    <t>Государственные органы власти</t>
  </si>
  <si>
    <t>Текущие, расчетные счета</t>
  </si>
  <si>
    <t>Срочные депозиты</t>
  </si>
  <si>
    <t>Прочие юридические лица</t>
  </si>
  <si>
    <t>Средства клиентов по секторам экономики</t>
  </si>
  <si>
    <t>Финансовые и прочие услуги</t>
  </si>
  <si>
    <t>Топливно-энергетические комплекс</t>
  </si>
  <si>
    <t>Итого средства клиентов</t>
  </si>
  <si>
    <t>Итого средства, привлеченные от ЦБ РФ</t>
  </si>
  <si>
    <t>Облигации</t>
  </si>
  <si>
    <t>Сберегательные сертификаты</t>
  </si>
  <si>
    <t>Векселя</t>
  </si>
  <si>
    <t>Еврооблигации</t>
  </si>
  <si>
    <t>Итого выпущенные долговые обязательства</t>
  </si>
  <si>
    <t>Оценочная справедливая стоимость</t>
  </si>
  <si>
    <t>Кредиты, требования по которым обеспечивают займ ГК "АСВ"</t>
  </si>
  <si>
    <t>Для справки</t>
  </si>
  <si>
    <t>Итого прочие обязательства</t>
  </si>
  <si>
    <t>Прочие финансовые обязательства</t>
  </si>
  <si>
    <t>Прочие нефинансовые обязательства</t>
  </si>
  <si>
    <t>Резервы под условные обязательства</t>
  </si>
  <si>
    <t>Страховые резервы</t>
  </si>
  <si>
    <t>Прочее</t>
  </si>
  <si>
    <t>Договоры РЕПО с другими банками</t>
  </si>
  <si>
    <t>Те же кредиты (за минусом резерва)</t>
  </si>
  <si>
    <t>Кредиты (за минусом резерва)/ Займ ГК "АСВ"</t>
  </si>
  <si>
    <t>Синдицированные кредиты иностранных банков</t>
  </si>
  <si>
    <t>Из отчетности 2011 года</t>
  </si>
  <si>
    <t>Из отчетности 2015 года</t>
  </si>
  <si>
    <t>5.4</t>
  </si>
  <si>
    <t>5.5</t>
  </si>
  <si>
    <t>7.</t>
  </si>
  <si>
    <t>7.1</t>
  </si>
  <si>
    <t>7.2</t>
  </si>
  <si>
    <t>7.3</t>
  </si>
  <si>
    <t>7.4</t>
  </si>
  <si>
    <t>7.5</t>
  </si>
  <si>
    <t>7.6</t>
  </si>
  <si>
    <t>7.7</t>
  </si>
  <si>
    <t>7.8</t>
  </si>
  <si>
    <t>1.4</t>
  </si>
  <si>
    <t>Средства юридических лиц и гос. органов власти</t>
  </si>
  <si>
    <t>Технические показатели</t>
  </si>
  <si>
    <t>Средства в банках (кредиты и депозиты)</t>
  </si>
  <si>
    <t>Значения на дату</t>
  </si>
  <si>
    <t>~ 10%</t>
  </si>
  <si>
    <t>Доля межбанковских кредитов и кредитов ЦБ РФ</t>
  </si>
  <si>
    <t>Расчетные, текущие счета, остатки на счетах банков</t>
  </si>
  <si>
    <t>Кредиты, привлеченные от банков и ЦБ РФ, включая РЕПО</t>
  </si>
  <si>
    <t>Привлеченные средства, итого</t>
  </si>
  <si>
    <t>Управление капиталом и достаточность капитала</t>
  </si>
  <si>
    <t>Минимальный показатель достаточности собственного капитала</t>
  </si>
  <si>
    <t>Минимальный показатель достаточности основного капитала</t>
  </si>
  <si>
    <t>Капитал 1 уровня Группы</t>
  </si>
  <si>
    <t>Капитал 2 уровня Группы</t>
  </si>
  <si>
    <t>Итого собственный капитал (регуляторный) Группы</t>
  </si>
  <si>
    <t>Активы, взвешенные с учетом риска (RWA) Группы</t>
  </si>
  <si>
    <t>Достаточность собственного капитала Группы</t>
  </si>
  <si>
    <t>Достаточность основного капитала Группы</t>
  </si>
  <si>
    <t>РСБУ</t>
  </si>
  <si>
    <t>Индивидуальная (публикуемая)</t>
  </si>
  <si>
    <t>Денежные средства</t>
  </si>
  <si>
    <t>Обязательные резервы</t>
  </si>
  <si>
    <t>Средства в кредитных организациях</t>
  </si>
  <si>
    <t>Чистая ссудная задолженность</t>
  </si>
  <si>
    <t>Чистые вложения в ценные бумаги и другие финансовые активы, имеющиеся в наличии для продажи</t>
  </si>
  <si>
    <t>Требование по текущему налогу на прибыль</t>
  </si>
  <si>
    <t>Отложенный налоговый актив</t>
  </si>
  <si>
    <t>Средства клиентов, не являющихся кредитными организациями</t>
  </si>
  <si>
    <t>Выпущенные долговые обязательства</t>
  </si>
  <si>
    <t>Резервы на возможные потери по условным обязательствам кредитного характера, прочим возможным потерям и операциям с резидентами офшорных зон</t>
  </si>
  <si>
    <t>Средства акционеров (участников)</t>
  </si>
  <si>
    <t>Собственные акции (доли), выкупленные у акционеров (участников)</t>
  </si>
  <si>
    <t>Переоценка по справедливой стоимости ценных бумаг, имеющихся в наличии для продажи, уменьшенная на отложенное налоговое обязательство (увеличенная на отложенный налоговый актив)</t>
  </si>
  <si>
    <t>Переоценка основных средств, уменьшенная на отложенное налоговое обязательство</t>
  </si>
  <si>
    <t>Безотзывные обязательства кредитной организации</t>
  </si>
  <si>
    <t>Выданные кредитной организацией гарантии и поручительства</t>
  </si>
  <si>
    <t>Бухгалтерский баланс</t>
  </si>
  <si>
    <t>Процентные доходы, всего, в том числе:</t>
  </si>
  <si>
    <t>От размещения средств в кредитных организациях</t>
  </si>
  <si>
    <t>От ссуд, предоставленных клиентам, не являющимся кредитными организациями</t>
  </si>
  <si>
    <t>От оказания услуг по финансовой аренде (лизингу)</t>
  </si>
  <si>
    <t>От вложений в ценные бумаги</t>
  </si>
  <si>
    <t>Процентные расходы, всего, в том числе:</t>
  </si>
  <si>
    <t>По привлеченным средствам кредитных организаций</t>
  </si>
  <si>
    <t>По привлеченным средствам клиентов, не являющихся кредитными организациями</t>
  </si>
  <si>
    <t>По выпущенным долговым обязательствам</t>
  </si>
  <si>
    <t>Чистые процентные доходы (отрицательная процентная маржа)</t>
  </si>
  <si>
    <t>Чистые процентные доходы (отрицательная процентная маржа) после создания резерва на возможные потери</t>
  </si>
  <si>
    <t>Чистые доходы от операций с финансовыми активами, оцениваемыми по справедливой стоимости через прибыль или убыток</t>
  </si>
  <si>
    <t>Чистые доходы от операций с иностранной валютой</t>
  </si>
  <si>
    <t>Чистые доходы от переоценки иностранной валюты</t>
  </si>
  <si>
    <t>Доходы от участия в капитале других юридических лиц</t>
  </si>
  <si>
    <t>Изменение резерва на возможные потери по ценным бумагам, имеющимся в наличии для продажи</t>
  </si>
  <si>
    <t>Изменение резерва на возможные потери по ценным бумагам, удерживаемым до погашения</t>
  </si>
  <si>
    <t>Изменение резерва по прочим потерям</t>
  </si>
  <si>
    <t>Прочие операционные доходы</t>
  </si>
  <si>
    <t>Чистые доходы (расходы)</t>
  </si>
  <si>
    <t>Операционные расходы</t>
  </si>
  <si>
    <t>Прибыль (убыток) до налогообложения</t>
  </si>
  <si>
    <t>Возмещение (расход) по налогам</t>
  </si>
  <si>
    <t>Отчет о финансовых результатах</t>
  </si>
  <si>
    <t>Нематериальные активы</t>
  </si>
  <si>
    <t>Расчёт собственных средств (капитала) (Положение 215-П)</t>
  </si>
  <si>
    <t>Собственные средства (капитал), итого,</t>
  </si>
  <si>
    <t>Основной капитал</t>
  </si>
  <si>
    <t>Уставный капитал кредитной организации</t>
  </si>
  <si>
    <t>Эмиссионный доход кредитной организации</t>
  </si>
  <si>
    <t>Часть резервного фонда кредитной организации, сформированного за счет прибыли предшествующих лет</t>
  </si>
  <si>
    <t>Часть нераспределенной прибыли текущего года,</t>
  </si>
  <si>
    <t>104.1</t>
  </si>
  <si>
    <t>переоценка ценных бумаг, текущая (справедливая) стоимость которых определяется как средневзвешенная цена, раскрываемая организатором торговли на рынке ценных бумаг</t>
  </si>
  <si>
    <t>Часть резервного фонда кредитной организации, сформированного из прибыли текущего года</t>
  </si>
  <si>
    <t>Нераспределенная прибыль предшествующих лет (ее часть)</t>
  </si>
  <si>
    <t>Источники основного капитала, итого</t>
  </si>
  <si>
    <t>Собственные акции (доли участников), приобретенные (выкупленные) кредитной организацией у акционеров (участников)</t>
  </si>
  <si>
    <t>Непокрытые убытки предшествующих лет</t>
  </si>
  <si>
    <t>Убыток текущего года,</t>
  </si>
  <si>
    <t>112.1</t>
  </si>
  <si>
    <t>Вложения кредитной организации в акции (доли) дочерних и зависимых юридических лиц и уставный капитал кредитных организаций-резидентов</t>
  </si>
  <si>
    <t>Уставный капитал (его часть) и иные источники собственных средств (эмиссионный доход, нераспределенная прибыль, резервный фонд) (их часть), для формирования которых инвесторами использованы ненадлежащие активы</t>
  </si>
  <si>
    <t>Основной капитал, итого</t>
  </si>
  <si>
    <t>Дополнительный капитал</t>
  </si>
  <si>
    <t>Прирост стоимости имущества кредитной организации за счет переоценки</t>
  </si>
  <si>
    <t>Часть резервного фонда, сформированного за счет отчислений из прибыли текущего года</t>
  </si>
  <si>
    <t>Нераспределенная прибыль текущего года (ее часть),</t>
  </si>
  <si>
    <t>203.1</t>
  </si>
  <si>
    <t>Субординированный кредит (займ, депозит, облигационный займ) по остаточной стоимости</t>
  </si>
  <si>
    <t>Часть уставного капитала, сформированного за счет капитализации прироста стоимости имущества при переоценке</t>
  </si>
  <si>
    <t>Часть привилегированных (включая кумулятивные) акций</t>
  </si>
  <si>
    <t>Источники (часть источников) дополнительного капитала (уставного капитала, нераспределенной прибыли, резервного фонда, субординированного кредита), для формирования которых инвесторами использованы ненадлежащие активы</t>
  </si>
  <si>
    <t>Источники дополнительного капитала, итого</t>
  </si>
  <si>
    <t>Дополнительный капитал, итого</t>
  </si>
  <si>
    <t>Показатели, уменьшающие сумму основного и дополнительного капитала</t>
  </si>
  <si>
    <t>Величина недосозданного резерва на возможные потери по ссудам II - V категорий качества</t>
  </si>
  <si>
    <t>Просроченная дебиторская задолженность длительностью свыше 30 календарных дней</t>
  </si>
  <si>
    <t>Субординированные кредиты (депозиты, займы, облигационные займы), в том числе субординированные займы с дополнительными условиями, предоставленные кредитным организациям-резидентам</t>
  </si>
  <si>
    <t>Промежуточный итог</t>
  </si>
  <si>
    <t>Величина превышения совокупной суммы кредитов, банковских гарантий и поручительств, предоставленных кредитной организацией своим участникам (акционерам) и инсайдерам, над ее максимальным размером, предусмотренным федеральными законами и нормативными актами Банка России</t>
  </si>
  <si>
    <t>Превышающие сумму источников основного и дополнительного капитала вложения в сооружение (строительство), создание (изготовление) и приобретение основных средств, стоимость основных средств, а также материальных запасов</t>
  </si>
  <si>
    <t>Разница между действительной стоимостью доли, причитающейся вышедшим из общества участникам, и стоимостью, по которой доля была реализована другому участнику</t>
  </si>
  <si>
    <t>104.2</t>
  </si>
  <si>
    <t>104.3</t>
  </si>
  <si>
    <t>х</t>
  </si>
  <si>
    <t>Собственные средства (капитал), итого, в том числе:</t>
  </si>
  <si>
    <t>Источники базового капитала:</t>
  </si>
  <si>
    <t>100.1</t>
  </si>
  <si>
    <t>Уставный капитал кредитной организации:</t>
  </si>
  <si>
    <t>100.1.1</t>
  </si>
  <si>
    <t>сформированный обыкновенными акциями</t>
  </si>
  <si>
    <t>100.1.2</t>
  </si>
  <si>
    <t>сформированный привилегированными акциями</t>
  </si>
  <si>
    <t>100.1.3</t>
  </si>
  <si>
    <t>сформированный долями</t>
  </si>
  <si>
    <t>100.2</t>
  </si>
  <si>
    <t>Эмиссионный доход:</t>
  </si>
  <si>
    <t>100.2.1</t>
  </si>
  <si>
    <t>кредитной организации в организационно-правовой форме акционерного общества, всего, в том числе:</t>
  </si>
  <si>
    <t>100.2.1.1</t>
  </si>
  <si>
    <t>сформированный при размещении обыкновенных акций</t>
  </si>
  <si>
    <t>100.2.1.2</t>
  </si>
  <si>
    <t>сформированный при размещении привилегированных акций</t>
  </si>
  <si>
    <t>100.2.2</t>
  </si>
  <si>
    <t>кредитной организации в организационно-правовой форме общества с ограниченной ответственностью</t>
  </si>
  <si>
    <t>100.3</t>
  </si>
  <si>
    <t>Часть резервного фонда кредитной организации, сформированная за счет прибыли предшествующих лет</t>
  </si>
  <si>
    <t>100.4</t>
  </si>
  <si>
    <t>Часть резервного фонда кредитной организации, сформированная за счет прибыли текущего года</t>
  </si>
  <si>
    <t>100.5</t>
  </si>
  <si>
    <t>Прибыль текущего года в части, подтвержденной аудиторской организацией, всего, в том числе:</t>
  </si>
  <si>
    <t>100.6</t>
  </si>
  <si>
    <t>Прибыль предшествующих лет, данные о которой подтверждены аудиторской организацией, всего, в том числе:</t>
  </si>
  <si>
    <t>Показатели, уменьшающие сумму источников базового капитала:</t>
  </si>
  <si>
    <t>101.1</t>
  </si>
  <si>
    <t>101.10</t>
  </si>
  <si>
    <t>Вложения кредитной организации в обыкновенные акции (доли) финансовых организаций (в том числе финансовых организаций - нерезидентов), всего, в том числе:</t>
  </si>
  <si>
    <t>101.10.1</t>
  </si>
  <si>
    <t>несущественные вложения кредитной организации в обыкновенные акции (доли) финансовых организаций</t>
  </si>
  <si>
    <t>101.10.2</t>
  </si>
  <si>
    <t>существенные вложения кредитной организации в обыкновенные акции (доли) финансовых организаций</t>
  </si>
  <si>
    <t>101.10.3</t>
  </si>
  <si>
    <t>совокупная сумма существенных вложений в обыкновенные акции (доли) финансовых организаций и совокупная сумма отложенных налоговых активов, не зависящих от будущей прибыли кредитной организации</t>
  </si>
  <si>
    <t>101.11</t>
  </si>
  <si>
    <t>101.12</t>
  </si>
  <si>
    <t>Обязательства кредитной организации по приобретению источников базового капитала кредитной организации, а также обязательства кредитной организации по предоставлению прямо или косвенно денежных средств (или иного обеспечения рисков) для совершения третьими лицами сделок по приобретению прав на источники базового капитала, включенные в расчет собственных средств (капитала)</t>
  </si>
  <si>
    <t>101.13</t>
  </si>
  <si>
    <t>Средства, поступившие в оплату акций (долей) кредитной организации, включаемых в состав базового капитала, в случае если основное или дочернее общество кредитной организации или любое дочернее общество основного общества кредитной организации предоставило владельцу акций (долей) обязательство, связанное с владением акциями (долями) кредитной организации</t>
  </si>
  <si>
    <t>101.14</t>
  </si>
  <si>
    <t>101.2</t>
  </si>
  <si>
    <t>Сумма налога на прибыль, подлежащая возмещению в будущих отчетных периодах в отношении перенесенных на будущее убытков, учитываемых при расчете налога на прибыль</t>
  </si>
  <si>
    <t>101.3</t>
  </si>
  <si>
    <t>Сумма налога на прибыль, подлежащая возмещению в будущих отчетных периодах в отношении вычитаемых временных разниц</t>
  </si>
  <si>
    <t>101.4</t>
  </si>
  <si>
    <t>101.5</t>
  </si>
  <si>
    <t>Вложения в доли участников, а также перешедшие к кредитной организации доли участников, всего, в том числе:</t>
  </si>
  <si>
    <t>101.6</t>
  </si>
  <si>
    <t>Доли участников, приобретенные третьими лицами</t>
  </si>
  <si>
    <t>101.7</t>
  </si>
  <si>
    <t>Доли участников кредитной организации, по которым у кредитной организации возникло обязательство об их обратном выкупе на иных основаниях</t>
  </si>
  <si>
    <t>101.8</t>
  </si>
  <si>
    <t>Убытки предшествующих лет, всего, в том числе:</t>
  </si>
  <si>
    <t>101.9</t>
  </si>
  <si>
    <t>Убыток текущего года, всего, в том числе:</t>
  </si>
  <si>
    <t>Базовый капитал, итого</t>
  </si>
  <si>
    <t>Источники добавочного капитала:</t>
  </si>
  <si>
    <t>103.1</t>
  </si>
  <si>
    <t>Уставный капитал кредитной организации в организационно-правовой форме акционерного общества, сформированный в результате выпуска и размещения привилегированных акций, всего, в том числе:</t>
  </si>
  <si>
    <t>103.1.1</t>
  </si>
  <si>
    <t>привилегированные акции, выпущенные в соответствии с Федеральным законом N 181-ФЗ</t>
  </si>
  <si>
    <t>103.2</t>
  </si>
  <si>
    <t>103.3</t>
  </si>
  <si>
    <t>103.4</t>
  </si>
  <si>
    <t>Показатели, уменьшающие сумму источников добавочного капитала:</t>
  </si>
  <si>
    <t>Вложения в собственные привилегированные акции, всего, в том числе:</t>
  </si>
  <si>
    <t>Вложения кредитной организации в акции финансовых организаций, всего, в том числе:</t>
  </si>
  <si>
    <t>Субординированные кредиты (депозиты, займы, облигационные займы), предоставленные финансовым организациям - резидентам, а также финансовым организациям - нерезидентам, всего, в том числе:</t>
  </si>
  <si>
    <t>104.4</t>
  </si>
  <si>
    <t>104.5</t>
  </si>
  <si>
    <t>Обязательства кредитной организации по приобретению источников добавочного капитала кредитной организации, а также обязательства кредитной организации по предоставлению прямо или косвенно средств (или иного обеспечения рисков) для совершения третьими лицами сделок по приобретению прав на источники добавочного капитала, включенные в расчет собственных средств (капитала)</t>
  </si>
  <si>
    <t>104.6</t>
  </si>
  <si>
    <t>Средства, поступившие в оплату акций кредитной организации, включаемых в состав добавочного капитала, в случае если основное или дочернее общество кредитной организации или любое дочернее общество основного общества кредитной организации предоставило владельцу акций (долей) обязательство, связанное с владением акциями (долями) кредитной организации</t>
  </si>
  <si>
    <t>104.7</t>
  </si>
  <si>
    <t>Показатели, определенные в соответствии с пунктом 2 приложения к Положению Банка России N 395-П, всего, в том числе:</t>
  </si>
  <si>
    <t>Добавочный капитал, итого</t>
  </si>
  <si>
    <t>Источники дополнительного капитала:</t>
  </si>
  <si>
    <t>200.1</t>
  </si>
  <si>
    <t>200.2</t>
  </si>
  <si>
    <t>Часть уставного капитала кредитной организации, сформированного за счет капитализации прироста стоимости имущества при переоценке до выбытия имущества</t>
  </si>
  <si>
    <t>200.3</t>
  </si>
  <si>
    <t>Эмиссионный доход кредитной организации в организационно-правовой форме акционерного общества</t>
  </si>
  <si>
    <t>200.4</t>
  </si>
  <si>
    <t>200.5</t>
  </si>
  <si>
    <t>Прибыль текущего года (ее часть), не подтвержденная аудиторской организацией, всего, в том числе:</t>
  </si>
  <si>
    <t>200.6</t>
  </si>
  <si>
    <t>Прибыль предшествующих лет до аудиторского подтверждения, всего, в том числе:</t>
  </si>
  <si>
    <t>200.7</t>
  </si>
  <si>
    <t>Субординированный кредит (депозит, заем, облигационный заем) по остаточной стоимости, всего, в том числе:</t>
  </si>
  <si>
    <t>200.7.1</t>
  </si>
  <si>
    <t>200.7.2</t>
  </si>
  <si>
    <t>200.8</t>
  </si>
  <si>
    <t>200.9</t>
  </si>
  <si>
    <t>Сумма источников дополнительного капитала, итого</t>
  </si>
  <si>
    <t>Показатели, уменьшающие сумму источников дополнительного капитала:</t>
  </si>
  <si>
    <t>201.1</t>
  </si>
  <si>
    <t>201.2</t>
  </si>
  <si>
    <t>201.3</t>
  </si>
  <si>
    <t>201.4</t>
  </si>
  <si>
    <t>Обязательства кредитной организации по приобретению источников дополнительного капитала кредитной организации, а также обязательства кредитной организации по предоставлению прямо или косвенно средств (или иного обеспечения рисков) для совершения третьими лицами сделок по приобретению прав на инструменты дополнительного капитала, включенные в расчет источников собственных средств (капитала)</t>
  </si>
  <si>
    <t>201.5</t>
  </si>
  <si>
    <t>Средства, поступившие в оплату акций кредитной организации, включаемых в состав дополнительного капитала, в случае если основное или дочернее общество кредитной организации или любое дочернее общество основного общества кредитной организации предоставило владельцу акций (долей) обязательство, связанное с владением акциями кредитной организации</t>
  </si>
  <si>
    <t>201.6</t>
  </si>
  <si>
    <t>201.7</t>
  </si>
  <si>
    <t>Показатели, определенные в соответствии с пунктами 3, 4 и 5 приложения к Положению Банка России N 395-П, всего, в том числе:</t>
  </si>
  <si>
    <t>202.1</t>
  </si>
  <si>
    <t>202.2</t>
  </si>
  <si>
    <t>202.3</t>
  </si>
  <si>
    <t>Превышающие сумму источников основного и дополнительного капитала вложения, в том числе:</t>
  </si>
  <si>
    <t>202.4</t>
  </si>
  <si>
    <t>Индивидуальная</t>
  </si>
  <si>
    <t>Анализ собственного капитала (Положение 215-П)</t>
  </si>
  <si>
    <t>Предоставленные кредитным организациям субординированные кредиты</t>
  </si>
  <si>
    <t xml:space="preserve">Нормативы </t>
  </si>
  <si>
    <t>мин 15%</t>
  </si>
  <si>
    <t>мин 50%</t>
  </si>
  <si>
    <t>макс. 120%</t>
  </si>
  <si>
    <t>макс. 800%</t>
  </si>
  <si>
    <t>мин 10%</t>
  </si>
  <si>
    <t>Норматив совокупной величины риска по инсайдерам банка (Н10.1)</t>
  </si>
  <si>
    <t>Норматив достаточности собственного капитала (Н1.0)</t>
  </si>
  <si>
    <t>Норматив мгновенной ликвидности (Н2)</t>
  </si>
  <si>
    <t>Норматив текущей ликвидности (Н3)</t>
  </si>
  <si>
    <t>Норматив долгосрочной ликвидности (Н4)</t>
  </si>
  <si>
    <t>Норматив макимального размера кредитов, гарантий и поручительств для акционеров (Н9.1)</t>
  </si>
  <si>
    <t>макс 50%</t>
  </si>
  <si>
    <t>макс 3%</t>
  </si>
  <si>
    <t>макс 25%</t>
  </si>
  <si>
    <t>Норматив достаточности базового капитала (Н1.1)</t>
  </si>
  <si>
    <t>Норматив достаточности основного капитала (Н1.2)</t>
  </si>
  <si>
    <t>Максимальный размер риска на связанное с банком лицо (группу связанных лиц) (Н25)</t>
  </si>
  <si>
    <t>макс 20%</t>
  </si>
  <si>
    <t>Норматив максимального размера крупных кредитных рисков (Н7) (Н22 для банковской Группы)</t>
  </si>
  <si>
    <t>Норматив использования собственных средств для приобретения акций (долей) других юридических лиц (Н12) (Н23 для банковской Группы)</t>
  </si>
  <si>
    <t>Норматив краткосрочной ликвидности банковской группы (Н26), банка (Н27)</t>
  </si>
  <si>
    <t>мин 5%</t>
  </si>
  <si>
    <t>мин 5,5%</t>
  </si>
  <si>
    <t>Абсолютный прирост за год</t>
  </si>
  <si>
    <t>Собственный капитал по всей совокупности российских банков</t>
  </si>
  <si>
    <t>субординированные кредиты, привлеченные до 1 марта 2013 года</t>
  </si>
  <si>
    <t>субординированные кредиты, предоставленные в соответствии с  Законом N 173-ФЗ и Законом N 175-ФЗ</t>
  </si>
  <si>
    <t>доли</t>
  </si>
  <si>
    <t>Проверка с листом ввода</t>
  </si>
  <si>
    <t>200.1.1</t>
  </si>
  <si>
    <t>200.1.2</t>
  </si>
  <si>
    <r>
      <t>уставный капитал кредитной организации в организационно-правовой форме акционерного общества, сформированный в результате выпуска и размещения привилегированных акций, проведенных</t>
    </r>
    <r>
      <rPr>
        <b/>
        <sz val="12"/>
        <color theme="1"/>
        <rFont val="Arial"/>
        <family val="2"/>
        <charset val="204"/>
      </rPr>
      <t xml:space="preserve"> до 1 марта 2013 года</t>
    </r>
  </si>
  <si>
    <r>
      <t xml:space="preserve">уставный капитал кредитной организации в организационно-правовой форме акционерного общества, сформированный в результате выпуска и размещения привилегированных акций, проведенных </t>
    </r>
    <r>
      <rPr>
        <b/>
        <sz val="12"/>
        <color theme="1"/>
        <rFont val="Arial"/>
        <family val="2"/>
        <charset val="204"/>
      </rPr>
      <t>после 1 марта 2013</t>
    </r>
    <r>
      <rPr>
        <sz val="12"/>
        <color theme="1"/>
        <rFont val="Arial"/>
        <family val="2"/>
        <charset val="204"/>
      </rPr>
      <t xml:space="preserve"> года</t>
    </r>
  </si>
  <si>
    <t>Показатели, определенные в соответствии с п. 3, 4 и 5 приложения к Положению N 395-П</t>
  </si>
  <si>
    <t>Собственный капитал (баланс)</t>
  </si>
  <si>
    <t>Активы балансовые, всего</t>
  </si>
  <si>
    <t>Активы, взвешенные по уровню риска (RWA)</t>
  </si>
  <si>
    <t>для определения достаточности собственного капитала</t>
  </si>
  <si>
    <t>Обыкновенные акции/ доли</t>
  </si>
  <si>
    <t>Субординированные обязательства (173-ФЗ и 175-ФЗ)</t>
  </si>
  <si>
    <t>Субординированные обязательства (кроме 173-ФЗ и 175-ФЗ)</t>
  </si>
  <si>
    <t>Муультипликатор (Активы/ СК)</t>
  </si>
  <si>
    <t>Процентные доходы и расходы</t>
  </si>
  <si>
    <t>Финансовые активы, переоцениваемые по справедливой стоимости через прибыль или убыток</t>
  </si>
  <si>
    <t>Финансовые активы, не переоцениваемые по справедливой
стоимости через прибыль или убыток</t>
  </si>
  <si>
    <t>Итого процентные доходы</t>
  </si>
  <si>
    <t>Итого процентные расходы</t>
  </si>
  <si>
    <t>Средства, привлеченные от Банка России</t>
  </si>
  <si>
    <t>Средства, полученные от ГК "АСВ"</t>
  </si>
  <si>
    <t>Стабильные источники прибыли от банковской деятельности</t>
  </si>
  <si>
    <t>1.5</t>
  </si>
  <si>
    <t>Финансовые активы, оцениваемые по справ. стоимости через ПиУ</t>
  </si>
  <si>
    <t>2.6</t>
  </si>
  <si>
    <t>Анализ рентабельности и структуры прибыли</t>
  </si>
  <si>
    <t>Чистый непроцентный доход (бремя)</t>
  </si>
  <si>
    <t>Проверка процентных доходов</t>
  </si>
  <si>
    <t>Проверка процентных расходов</t>
  </si>
  <si>
    <t>Нестабильные источники прибыли от банковской деятельности</t>
  </si>
  <si>
    <t>Чистые доходы от операций с финансовыми инструментами</t>
  </si>
  <si>
    <t>Чистые доходы по операциям с ин. валютой и драгметаллами</t>
  </si>
  <si>
    <t>Чистые доходы от переоценки валютных статей</t>
  </si>
  <si>
    <t>Итого нестабальных источников прибыли от банковской деятельности</t>
  </si>
  <si>
    <t>Источники прибыли от небанковской операционной деятельности</t>
  </si>
  <si>
    <t>Прочие доходы и расходы</t>
  </si>
  <si>
    <t>Итого источников прибыли от небанковской операционной деятельности</t>
  </si>
  <si>
    <t>Обесценение и чистое создание резервов</t>
  </si>
  <si>
    <t>Итого прочие доходы и расходы</t>
  </si>
  <si>
    <t>Чистые доходы от операций с финансовыми инструментами для торговли</t>
  </si>
  <si>
    <t>Чистые доходы от реализации финансовых активов, имеющихся в наличии для продажи</t>
  </si>
  <si>
    <t>15.1</t>
  </si>
  <si>
    <t>15.2</t>
  </si>
  <si>
    <t>15.3</t>
  </si>
  <si>
    <t>Прибыль/ (убыток) после н/о от дочерних компаний, приобретенных исключительно для продажи</t>
  </si>
  <si>
    <t>Прочие показатели</t>
  </si>
  <si>
    <t>Среднегодовая численность сотрудников Группы</t>
  </si>
  <si>
    <t>в т.ч. Банка Москвы</t>
  </si>
  <si>
    <t>Численность сотрудников</t>
  </si>
  <si>
    <t>Финансовые показатели</t>
  </si>
  <si>
    <t>Спред</t>
  </si>
  <si>
    <t>Чистая процентная маржа (NIM)</t>
  </si>
  <si>
    <t>Чистая процентная маржа (NIM) (по активам)</t>
  </si>
  <si>
    <t>Средние активы</t>
  </si>
  <si>
    <t>Средний собственный (бухгалтерский) капитал</t>
  </si>
  <si>
    <t>Пассивы, по которым уплачиваются проценты</t>
  </si>
  <si>
    <t>Рентабельность активов (ROA)</t>
  </si>
  <si>
    <t>Рентабельность собственного (бухгалтерского) капитала (ROE)</t>
  </si>
  <si>
    <t>Расходы/ Доходы (Сost-to-Income Ratio, CIR)</t>
  </si>
  <si>
    <t>В % к ср. активам</t>
  </si>
  <si>
    <t>Среднегодовая численность сотрудников Группы, чел.</t>
  </si>
  <si>
    <t>Чистая прибыль на 1 сотрудника, млн руб. на 1 сотрудника</t>
  </si>
  <si>
    <t>Курс доллара (ЦБ РФ) на дату</t>
  </si>
  <si>
    <t>Чистая прибыль на 1 сотрудника, тыс. долларов США на 1 сотрудника (по курсу ЦБ РФ на дату)</t>
  </si>
  <si>
    <t>Валовый доход / Средние активы (AU)</t>
  </si>
  <si>
    <t>Средние активы/ средний собственный (бухг.) капитал (EM)</t>
  </si>
  <si>
    <t>Структурный анализ прибыли (рентабельности активов)</t>
  </si>
  <si>
    <t>Прибыль от небанковской операционной деятельности</t>
  </si>
  <si>
    <t>Обесценение и создание резервов</t>
  </si>
  <si>
    <t xml:space="preserve">ROA = </t>
  </si>
  <si>
    <t>Проверка ROA</t>
  </si>
  <si>
    <t>Проверка ROE</t>
  </si>
  <si>
    <t>Российские банки (данные ЦБ РФ)</t>
  </si>
  <si>
    <t>Технические показатели (Россия)</t>
  </si>
  <si>
    <t>Россия</t>
  </si>
  <si>
    <t>ROE =</t>
  </si>
  <si>
    <t>NIM =</t>
  </si>
  <si>
    <t>Застрахованные банки США (данные FDIC)</t>
  </si>
  <si>
    <t>млрд долларов США</t>
  </si>
  <si>
    <r>
      <t>Технические показатели (</t>
    </r>
    <r>
      <rPr>
        <b/>
        <sz val="11"/>
        <color rgb="FFC00000"/>
        <rFont val="Arial"/>
        <family val="2"/>
        <charset val="204"/>
      </rPr>
      <t>США</t>
    </r>
    <r>
      <rPr>
        <b/>
        <sz val="11"/>
        <color rgb="FF0000FF"/>
        <rFont val="Arial"/>
        <family val="2"/>
        <charset val="204"/>
      </rPr>
      <t>)</t>
    </r>
  </si>
  <si>
    <t>Доходы и расходы за период</t>
  </si>
  <si>
    <t>Доходная база</t>
  </si>
  <si>
    <t>Активы, кооторые генерируют процентный доход (средние)</t>
  </si>
  <si>
    <t>Пассивы, по которым уплачиваются проценты (средние)</t>
  </si>
  <si>
    <t>Работающие активы (приносящие доход) (на отчетную дату)</t>
  </si>
  <si>
    <t>Активы (на отчетную дату)</t>
  </si>
  <si>
    <t>Средние кредиты и авансы клиентам (брутто)</t>
  </si>
  <si>
    <t>Средние средства в банках (кредиты и депозиты)</t>
  </si>
  <si>
    <t>Анализ кредитного портфеля</t>
  </si>
  <si>
    <t>Кредиты юридическим лицам (брутто)</t>
  </si>
  <si>
    <t>Кредиты физическим лицам (брутто)</t>
  </si>
  <si>
    <t>Просроченная задолженность (обесцененная и необесцененная) со сроком задержки более 3 мес.</t>
  </si>
  <si>
    <t>Итого просроченная задолженность (90+) по кредитам юридическим лицам</t>
  </si>
  <si>
    <t>Итого просроченная задолженность (90+) по кредитам физическим лицам</t>
  </si>
  <si>
    <t>Итого просроченная задолженность (90+) по кредитам</t>
  </si>
  <si>
    <t>Резерв под обесценение просроченных кредитов (90+) юридическим лицам</t>
  </si>
  <si>
    <t>Резерв под обесценение просроченных кредитов (90+) физическим лицам</t>
  </si>
  <si>
    <t>Резерв под обесценение просроченных кредитов (90+)</t>
  </si>
  <si>
    <t>Итого просроченная задолженность (90+) по кредитам за  минусом резерва под обесценение</t>
  </si>
  <si>
    <t>Доля просроченной задолженности (90+) в сумме кредитов (брутто)</t>
  </si>
  <si>
    <t>Итого для просрочки (90+) по кредитам юридическим лицам</t>
  </si>
  <si>
    <t>Итого для просрочки (90+) по кредитам физическим лицам</t>
  </si>
  <si>
    <t>Итого доля просрочки (90+) по кредитам и авансам клиентам</t>
  </si>
  <si>
    <t>Отраслевая структура кредитов и авансов клиентам</t>
  </si>
  <si>
    <t>Перестройка отраслевой структуры кредитов юридическим лицам для построения графика</t>
  </si>
  <si>
    <t>Энергетика, нефть и газ</t>
  </si>
  <si>
    <t>Рентабельность</t>
  </si>
  <si>
    <t>Мультипликатор (Балансовые активы/ СК бухгалтерский)</t>
  </si>
  <si>
    <t>Мультипликатор по Группе (Балансовые активы/ СК бухгалтерский)</t>
  </si>
  <si>
    <t>Доля риск-взвешенных активов (RWA) в общей сумме активов (Группы)</t>
  </si>
  <si>
    <t>Достаточность собственного капитала Банка (Норматив Н1.0)</t>
  </si>
  <si>
    <t>Достаточность основного капитала Банка (Норматив Н1.2)</t>
  </si>
  <si>
    <t>Достаточность базового капитала Банка (Норматив Н1.1)</t>
  </si>
  <si>
    <t>Доля риск-взвешенных активов (RWA) в общей сумме активов (Банка)</t>
  </si>
  <si>
    <t>Мультипликатор по Банку (Балансовые активы/ СК бухгалтерский)</t>
  </si>
  <si>
    <t>Доля резервов под обесценение в сумме кредитов и авансов клиентам (брутто)</t>
  </si>
  <si>
    <t>кредиты юридическим лицам</t>
  </si>
  <si>
    <t>кредиты физическим лицам</t>
  </si>
  <si>
    <t>кредиты клиентам, всего</t>
  </si>
  <si>
    <t>В % к итогу кредитов и авансов клиентам (брутто)</t>
  </si>
  <si>
    <t>Нормативы (Банк)</t>
  </si>
  <si>
    <t>мин 8%</t>
  </si>
  <si>
    <t>мин 4%</t>
  </si>
  <si>
    <t>Доля просроченной задолженности (NPL 90+) в сумме кредитов (брутто)</t>
  </si>
  <si>
    <t>Доля просроченной задолженности за минусом резервов к капиталу (регуляторному)</t>
  </si>
  <si>
    <t>Ликвидность</t>
  </si>
  <si>
    <t>0,7-0,9</t>
  </si>
  <si>
    <t>Собственные средства (бухг.)/ Активы балансовые</t>
  </si>
  <si>
    <t>Ситуационный анализ ресурсной базы</t>
  </si>
  <si>
    <t>Структурный анализ ресурсной базы</t>
  </si>
  <si>
    <t>Финансовые коэффициенты для оценки привлеченных средств</t>
  </si>
  <si>
    <t>Кредитный риск</t>
  </si>
  <si>
    <t>Просроченная задолженность (обесцененная и необесцененная) за минусом резервов под обесценение</t>
  </si>
  <si>
    <t>Итого по всем кредитам и авансам клиентам</t>
  </si>
  <si>
    <t>Долговые ценные бумаги</t>
  </si>
  <si>
    <t>Итого кредиты юридическим лицам (нетто)</t>
  </si>
  <si>
    <t>Итого кредиты юридическим лицам (брутто)</t>
  </si>
  <si>
    <t>За вычетом резерва на возможные потери</t>
  </si>
  <si>
    <t>Итого кредиты физическим лицам (нетто)</t>
  </si>
  <si>
    <t>Кредиты кредитным организациям</t>
  </si>
  <si>
    <t>Прочая ссудная задолженность</t>
  </si>
  <si>
    <t>Итого ссудная задолженность (брутто)</t>
  </si>
  <si>
    <t>Итого чистая ссудная задолженность (нетто)</t>
  </si>
  <si>
    <t>Итого кредиты физическим лицам (брутто)</t>
  </si>
  <si>
    <t>Итого кредиты кредитным организациям (нетто)</t>
  </si>
  <si>
    <t>Итого кредиты кредитным организациям (брутто)</t>
  </si>
  <si>
    <t>Кредиты юридическим лицам (корпоративные и СМП) по секторам экономики</t>
  </si>
  <si>
    <t>Облигации федеральных органов власти и Банка России</t>
  </si>
  <si>
    <t>Вложения в уставные капиталы (с долей владения менее 20%)</t>
  </si>
  <si>
    <t>Переданные по договорам прямого РЕПО</t>
  </si>
  <si>
    <t>Просроченные долговые обязательства</t>
  </si>
  <si>
    <t>Вложения в ценные бумаги, удерживаемые до погашения</t>
  </si>
  <si>
    <t>Итого финансовые активы, имеющиеся в наличии для продажи (нетто)</t>
  </si>
  <si>
    <t>Переданные по договорам прямого РЕПО, в т.ч.</t>
  </si>
  <si>
    <t xml:space="preserve"> - Облигации федеральных органов власти и Банка России</t>
  </si>
  <si>
    <t xml:space="preserve">Итого </t>
  </si>
  <si>
    <t>Итого (брутто)</t>
  </si>
  <si>
    <t>Кредиты, депозиты и прочие средства, привлеченные от ЦБ РФ</t>
  </si>
  <si>
    <t>Полученные кредиты и привлеченные депозиты</t>
  </si>
  <si>
    <t>Договоры РЕПО</t>
  </si>
  <si>
    <t>Корреспондентские счета</t>
  </si>
  <si>
    <t>Торговля и мелкий ремонт</t>
  </si>
  <si>
    <t>Обязательства к исполнению по выпущенным сберегательным сертификатам и векселям</t>
  </si>
  <si>
    <t>Просроченная ссудная задолженность</t>
  </si>
  <si>
    <t>Итого просроченные кредиты юридическим лицам (брутто)</t>
  </si>
  <si>
    <t>Итого просроченные кредиты физическим лицам (брутто)</t>
  </si>
  <si>
    <t>Итого просроченные кредиты кредитным организациям (брутто)</t>
  </si>
  <si>
    <t>Итого просроченная ссудная задолженность (брутто)</t>
  </si>
  <si>
    <t>Просроченная ссудная задолженность (сроком свыше 90 дней)</t>
  </si>
  <si>
    <t>Итого просроченные кредиты 90+ (брутто)</t>
  </si>
  <si>
    <t>Облигации органов власти субъектов РФ и муниципальных образований</t>
  </si>
  <si>
    <t>Итого финансовые активы, оцениваемые по справедливой стоимости через прибыль или убыток</t>
  </si>
  <si>
    <t>Средства в ЦБ РФ</t>
  </si>
  <si>
    <t>Средства в кредитных организациях (корр. счета)</t>
  </si>
  <si>
    <t>Облигации фед. органов власти и Банка России</t>
  </si>
  <si>
    <t>Основные средства, нематериальные активы и мат. запасы</t>
  </si>
  <si>
    <t>Итого кредиты клиентам (брутто), без МБК</t>
  </si>
  <si>
    <t>Итого кредиты клиентам (нетто), без МБК</t>
  </si>
  <si>
    <t>Средние значения по балансу</t>
  </si>
  <si>
    <t>Ценные бумаги, переданные по договорам РЕПО</t>
  </si>
  <si>
    <t>Активы, которые генерируют процентный доход (нетто)</t>
  </si>
  <si>
    <t>Значения по балансу на дату</t>
  </si>
  <si>
    <t>Кредиты/ Депозиты (Loan-to-Deposit)</t>
  </si>
  <si>
    <t>&gt; 5%</t>
  </si>
  <si>
    <t>&gt; 10%</t>
  </si>
  <si>
    <t>Отраслевая структура депозитов клиентов</t>
  </si>
  <si>
    <t>Перестройка отраслевой структуры депозитов (юридических лиц) для построения графика</t>
  </si>
  <si>
    <t>Доля бумаг, заложенных по операциям РЕПО, в % от портфеля ц/б</t>
  </si>
  <si>
    <t>Итого стабильных источников прибыли от банковской деятельности</t>
  </si>
  <si>
    <t>Чистые доходы по операциям с ин. валютой</t>
  </si>
  <si>
    <t>Чистое создание резервов</t>
  </si>
  <si>
    <t>Изменение РВПС всего</t>
  </si>
  <si>
    <t>15.4</t>
  </si>
  <si>
    <t>Активы, которые генерируют процентный доход (средние)</t>
  </si>
  <si>
    <t>Средние кредиты клиентам (брутто)</t>
  </si>
  <si>
    <t>Средние кредиты и депозиты в банках</t>
  </si>
  <si>
    <t>Среднегодовая численность сотрудников Банка, чел.</t>
  </si>
  <si>
    <t>Итого кредиты клиентам (брутто)</t>
  </si>
  <si>
    <t>За вычетов резерва на возможные потери по ссудам</t>
  </si>
  <si>
    <t>Доля резервов на возможные потери в сумме кредитов клиентам (брутто)</t>
  </si>
  <si>
    <t>Доля просроченной задолженности в сумме кредитов клиентам (брутто)</t>
  </si>
  <si>
    <t>Итого доля просрочки по кредитам клиентам</t>
  </si>
  <si>
    <t>Доля просроченной задолженности (90+) за минусом резервов по ней к капиталу</t>
  </si>
  <si>
    <t>Доля просрочки (90+) за минусом резервов по ней к капиталу (регуляторному)</t>
  </si>
  <si>
    <t xml:space="preserve">Кредиты клиентам </t>
  </si>
  <si>
    <t>Отраслевая структура кредитов клиентам</t>
  </si>
  <si>
    <t>Структура активов, взвешенных по уровню риска (RWA)</t>
  </si>
  <si>
    <t>Итого активы, взвешенные по уровню риска</t>
  </si>
  <si>
    <t>базового капитала Н1.1 (норматив - не ниже 4,5%)</t>
  </si>
  <si>
    <t>основного капитала Н1.2 (норматив - не ниже 6,0%)</t>
  </si>
  <si>
    <t>собственного капитала Н1.0 (норматив - не ниже 8%)</t>
  </si>
  <si>
    <t>мин 4,5%</t>
  </si>
  <si>
    <t>Курс доллара США (ЦБ РФ) на дату</t>
  </si>
  <si>
    <t>Доля просрочки по кредитам клиентам за минусом РВПС к капиталу (регуляторному)</t>
  </si>
  <si>
    <t>Источник: Отчет о развитии банковского сектора и банковского надзора в 2016, стр. 36</t>
  </si>
  <si>
    <t>Кредиты и авансы клиентам-нетто (по видам валют)</t>
  </si>
  <si>
    <t>Рубли</t>
  </si>
  <si>
    <t>Доллар США</t>
  </si>
  <si>
    <t>Евро</t>
  </si>
  <si>
    <t>Прочие валюты</t>
  </si>
  <si>
    <t>Из них</t>
  </si>
  <si>
    <t>Отчет о движении денежных средств</t>
  </si>
  <si>
    <t>Проценты полученные</t>
  </si>
  <si>
    <t>Проценты уплаченные</t>
  </si>
  <si>
    <t>Комиссии полученные</t>
  </si>
  <si>
    <t>Комиссии уплаченные</t>
  </si>
  <si>
    <t>Выплаченные дивиденды</t>
  </si>
  <si>
    <t>Сравнение с Отчетом о движении денежных средств</t>
  </si>
  <si>
    <t>Процентны начисленные (Отчет о фин. результате)</t>
  </si>
  <si>
    <t>то же в % к процентам начисленным</t>
  </si>
  <si>
    <t>Доход от полученных комиссий (Отчет о фин. результате)</t>
  </si>
  <si>
    <t>Комиссии полученные (ОДДС)</t>
  </si>
  <si>
    <t>Разница между начисленными и уплаченными комиссиями</t>
  </si>
  <si>
    <t>то же в % к начисленному доходу от комиссий</t>
  </si>
  <si>
    <t>Проценты полученные (ОДДС)</t>
  </si>
  <si>
    <t>Разница между % начисленными и % фактически полученными</t>
  </si>
  <si>
    <t>Итого депозиты клиентов</t>
  </si>
  <si>
    <t>Итого депозиты корпоративных клиентов</t>
  </si>
  <si>
    <t>Стоимость риска (Cost of Rosk, CoR)</t>
  </si>
  <si>
    <t>Чистое создание РВПС за год, деленное на средний размер кредитов клиентам за тот же год</t>
  </si>
  <si>
    <t>Структура заемных и привлеченных средств, в % к итогу</t>
  </si>
  <si>
    <t>Анализ степени концентрации на источниках формирования ресурсной базы</t>
  </si>
  <si>
    <t>Выделим 4 группы ресурсов</t>
  </si>
  <si>
    <t>Средства физ. лиц</t>
  </si>
  <si>
    <t>Средства юрид. лиц</t>
  </si>
  <si>
    <t>Заемные средства (от ЦБ РФ и кредитных организаций)</t>
  </si>
  <si>
    <t>То же, в % к итогу</t>
  </si>
  <si>
    <t>&lt; 30%</t>
  </si>
  <si>
    <t>Доля крупнейшего источника</t>
  </si>
  <si>
    <t>Если доля крупнейшего &gt; 60%, это тревожный индикатор</t>
  </si>
  <si>
    <t>Доля средств Банка России в совокупных обязательствах, %</t>
  </si>
  <si>
    <t>&lt; 10%</t>
  </si>
  <si>
    <t>Если доля средств Банка России &gt;30%, это тревожный сигнал</t>
  </si>
  <si>
    <t>Зависимость от операций рефинансирования Банка России</t>
  </si>
  <si>
    <t>Норматив чистого стабильного фондирования банковской группы (Н28), банка (Н29)</t>
  </si>
  <si>
    <t>мин 100%</t>
  </si>
  <si>
    <t>мин 3%</t>
  </si>
  <si>
    <t>мин 6,0%</t>
  </si>
  <si>
    <t>мин. 100%</t>
  </si>
  <si>
    <t>Долгосрочные активы, предназначенные для продажи</t>
  </si>
  <si>
    <t>Переоценка обязательств (требований) по выплате долгосрочных вознаграждений</t>
  </si>
  <si>
    <t>Переоценка инструментов хеджирования</t>
  </si>
  <si>
    <t>Чистые доходы от операций с финансовыми обязательствами, оцениваемыми по справедливой стоимости через прибыль или убыток</t>
  </si>
  <si>
    <t>Чистые доходы от операций с драгоценными металлами</t>
  </si>
  <si>
    <t xml:space="preserve"> Прибыль (убыток) от продолжающейся деятельности</t>
  </si>
  <si>
    <t>Прибыль (убыток) от прекращенной деятельности</t>
  </si>
  <si>
    <t>Прибыль (убыток) за отчетный период</t>
  </si>
  <si>
    <t>7.9</t>
  </si>
  <si>
    <t>7.10</t>
  </si>
  <si>
    <t>7.11</t>
  </si>
  <si>
    <t>Денежные средства безвозмездного финансирования (вклады в имущество)</t>
  </si>
  <si>
    <t>6.4</t>
  </si>
  <si>
    <t>Средства кредитной организации, осуществляющей функции центрального контрагента, качество управления которой признано Банком России удовлетворительным, предназначенные для целей:</t>
  </si>
  <si>
    <t>Субординированный кредит (депозит, заем) без указания срока возврата (субординированный облигационный заем, срок погашения которого не установлен), всего, в том числе:</t>
  </si>
  <si>
    <t>200.7.3</t>
  </si>
  <si>
    <t>субординированный кредит (депозит, заем), привлеченный до 1 марта 2013 года, облигационный заем, размещенный до 1 марта 2013 года</t>
  </si>
  <si>
    <t>субординированный кредит, предоставленный в соответствии с Федеральным законом № 173-ФЗ и (или) в рамках реализации участия государственной корпорации "Агентство по страхованию вкладов" в осуществлении мер по предупреждению банкротства банка в соответствии с Федеральным законом № 127-ФЗ</t>
  </si>
  <si>
    <t>субординированный кредит (депозит, заем, облигационный заем), привлеченный на срок не менее 50 лет, кредитором по которому является резидент</t>
  </si>
  <si>
    <t>субординированный кредит (депозит, заем, облигационный заем) на срок не менее 50 лет, от резидента</t>
  </si>
  <si>
    <t>Анализ стабильности и структуры операционного дохода</t>
  </si>
  <si>
    <t>(1)</t>
  </si>
  <si>
    <t>Стабильная составляющая</t>
  </si>
  <si>
    <t>Процентный доход</t>
  </si>
  <si>
    <t>Комиссионный доход</t>
  </si>
  <si>
    <t>(2)</t>
  </si>
  <si>
    <t>Нестабильная составляющая</t>
  </si>
  <si>
    <t>Нетто-доходы по операциям с ценными бумагами (включая переоценку)</t>
  </si>
  <si>
    <t>Доходы от участия в капитале других юр. лиц</t>
  </si>
  <si>
    <t>Темп прироста, год к году</t>
  </si>
  <si>
    <t>Доля нестабильной составляющей, в % к итогу</t>
  </si>
  <si>
    <t>Если операционный доход снизился более чем на 25% за год или доля нестабильной части превышает 25%, это тревожный сигнал</t>
  </si>
  <si>
    <t>Достаточность капитала и совокупный риск банка (риск-взвешенные активы)</t>
  </si>
  <si>
    <t>Нормативы достаточности</t>
  </si>
  <si>
    <t>Иммобилизация собственного капитала</t>
  </si>
  <si>
    <t>Коэффиициент усредненной генерации капитала (КУГК)</t>
  </si>
  <si>
    <t>Нестабильные/ нерегулярные доходы</t>
  </si>
  <si>
    <t>Дивиденды</t>
  </si>
  <si>
    <t>Чистый выкуп акций</t>
  </si>
  <si>
    <t>Числитель для расчета генерации капитала</t>
  </si>
  <si>
    <t>Совокупный риск (риск-взвешенные активы) для расчета достаточности основного капитала</t>
  </si>
  <si>
    <t>Генерация капитала</t>
  </si>
  <si>
    <t>КУГК</t>
  </si>
  <si>
    <t>Норматив 1.2</t>
  </si>
  <si>
    <t>Дивидендная политика</t>
  </si>
  <si>
    <t>Дивиденды уплаченные</t>
  </si>
  <si>
    <t>Доля дивидендов в прибыли</t>
  </si>
  <si>
    <t>Прибыль после налогообложения (за год, предшествовавший выплате дивидендов)</t>
  </si>
  <si>
    <t>Стоимость риска</t>
  </si>
  <si>
    <t>Чистое создание РВПС (за год), согласно ОПИУ</t>
  </si>
  <si>
    <t>Средние за год кредиты клиентам, брутто</t>
  </si>
  <si>
    <t>Стоимость риска (CoR)</t>
  </si>
  <si>
    <t>Активы, которые генерируют процентный доход (брутто)</t>
  </si>
  <si>
    <t>К процентных доходов</t>
  </si>
  <si>
    <t>К процентных расходов</t>
  </si>
  <si>
    <t xml:space="preserve"> Расходы на содержание персонала</t>
  </si>
  <si>
    <t xml:space="preserve"> Расходы по операциям с ОС и НМА</t>
  </si>
  <si>
    <t>Амортизация по ОС и НМА</t>
  </si>
  <si>
    <t>Прочие расходы, связанные с обеспечением деятельности кредитной организации</t>
  </si>
  <si>
    <t>Итого операционные расходы</t>
  </si>
  <si>
    <t>Проверка с ОПИУ</t>
  </si>
  <si>
    <t>Спред = К процентных расходов - К процентных расходов</t>
  </si>
  <si>
    <r>
      <t>Чистая процентная маржа (</t>
    </r>
    <r>
      <rPr>
        <b/>
        <sz val="11"/>
        <color rgb="FFC00000"/>
        <rFont val="Arial"/>
        <family val="2"/>
        <charset val="204"/>
      </rPr>
      <t>NIM</t>
    </r>
    <r>
      <rPr>
        <sz val="11"/>
        <color theme="1"/>
        <rFont val="Arial"/>
        <family val="2"/>
        <charset val="204"/>
      </rPr>
      <t>) (по средним активам)</t>
    </r>
  </si>
  <si>
    <r>
      <t>Рентабельность активов (</t>
    </r>
    <r>
      <rPr>
        <b/>
        <sz val="11"/>
        <color rgb="FFC00000"/>
        <rFont val="Arial"/>
        <family val="2"/>
        <charset val="204"/>
      </rPr>
      <t>ROA</t>
    </r>
    <r>
      <rPr>
        <sz val="11"/>
        <color theme="1"/>
        <rFont val="Arial"/>
        <family val="2"/>
        <charset val="204"/>
      </rPr>
      <t>)</t>
    </r>
  </si>
  <si>
    <r>
      <t>Рентабельность собственного (бухгалтерского) капитала (</t>
    </r>
    <r>
      <rPr>
        <b/>
        <sz val="11"/>
        <color rgb="FFC00000"/>
        <rFont val="Arial"/>
        <family val="2"/>
        <charset val="204"/>
      </rPr>
      <t>ROE</t>
    </r>
    <r>
      <rPr>
        <sz val="11"/>
        <color theme="1"/>
        <rFont val="Arial"/>
        <family val="2"/>
        <charset val="204"/>
      </rPr>
      <t>)</t>
    </r>
  </si>
  <si>
    <t>Доходная база (= работающие активы /  активы, всего)</t>
  </si>
  <si>
    <t>Операционная эффективность</t>
  </si>
  <si>
    <t>Средняя процентная маржа (NIM) за 3 года</t>
  </si>
  <si>
    <t>Среднее значение CTI (CIR) за 3 года</t>
  </si>
  <si>
    <t>Высокий уровень операционной эффективности</t>
  </si>
  <si>
    <t>Средний уровень</t>
  </si>
  <si>
    <t>Низкий</t>
  </si>
  <si>
    <t>Критический</t>
  </si>
  <si>
    <t>При отсутствии данных по сопоставимым данным можно воспользоваться следующим примерным распределением</t>
  </si>
  <si>
    <t>&lt; 50%</t>
  </si>
  <si>
    <t>Величина кредитного риска с учетом надбавок, рассчитанная на основе ПВР для целей включения в норматив достаточности капитала (КРП и код 8770)</t>
  </si>
  <si>
    <t>Показатель, предусматривающий применение повышенных требований по покрытию капиталом соответствующего уровня отдельных активов банка в соответствии с международными подходами к повышению устойчивости банковского сектора (БК)</t>
  </si>
  <si>
    <t>Для расчетов</t>
  </si>
  <si>
    <t>Собственный (бухгалтерский) капитал</t>
  </si>
  <si>
    <t>Собственный (регуляторный) капитал (брутто)</t>
  </si>
  <si>
    <t>Собственный (регуляторный) капитал, итого</t>
  </si>
  <si>
    <t>Совокупный чистый доход (методика Банка России)</t>
  </si>
  <si>
    <t>Расчёт собственных средств (капитала) (Положение 646-П) (Базель III)</t>
  </si>
  <si>
    <t>Прочие операционные расходы</t>
  </si>
  <si>
    <t>Анализ стабильности и структуры совокупного операционного дохода</t>
  </si>
  <si>
    <t>Совокупный операционный доход = (1) + (2)</t>
  </si>
  <si>
    <t>Облигации ….</t>
  </si>
  <si>
    <t>Облигации …</t>
  </si>
  <si>
    <t xml:space="preserve"> - Облигации …</t>
  </si>
  <si>
    <t>РВА</t>
  </si>
  <si>
    <t>СК</t>
  </si>
  <si>
    <t>Н1.0</t>
  </si>
  <si>
    <t>Рекомендованный уровень</t>
  </si>
  <si>
    <t>~ 45%</t>
  </si>
  <si>
    <t>Срочные вклады населения</t>
  </si>
  <si>
    <t>Срочные депозиты юрид. лиц</t>
  </si>
  <si>
    <t>~ 20%</t>
  </si>
  <si>
    <t>~ 35%</t>
  </si>
  <si>
    <t xml:space="preserve"> Расходы на содержание персонала (Итого по символам 48101 - 48113)</t>
  </si>
  <si>
    <t xml:space="preserve"> Расходы по операциям с ОС и НМА (Итого по символам 48201 - 48209)</t>
  </si>
  <si>
    <t>Амортизация по ОС и НМА (Итого по символам 48301 - 48303)</t>
  </si>
  <si>
    <t>Прочие расходы, связанные с обеспечением деятельности кредитной организации (Итого по символам 48601 - 48611)</t>
  </si>
  <si>
    <t>Административно-управленческие расходы</t>
  </si>
  <si>
    <t>Итого административно-управленческие расходы</t>
  </si>
  <si>
    <t>ВСЕГО операционные расходы</t>
  </si>
  <si>
    <t>Итого прочие операционные расходы</t>
  </si>
  <si>
    <t>Структура операционных расходов</t>
  </si>
  <si>
    <t>Коэффициенты операционной эффективности</t>
  </si>
  <si>
    <t>Ссудная задолженность по категориям качества</t>
  </si>
  <si>
    <t>I категория качества</t>
  </si>
  <si>
    <t>II категория качества</t>
  </si>
  <si>
    <t>III категория качества</t>
  </si>
  <si>
    <t>IV категория качества</t>
  </si>
  <si>
    <t>V категория качества</t>
  </si>
  <si>
    <t>Кредитование отраслей с повышенным риском</t>
  </si>
  <si>
    <t>Операции с недвижимым имуществом (и аренда)</t>
  </si>
  <si>
    <t>Итого кредиты компаниям из отраслей с высоким риском</t>
  </si>
  <si>
    <t>то же в % к корпоративному кредитному портфелю</t>
  </si>
  <si>
    <t>то же в % к основному капиталу</t>
  </si>
  <si>
    <t>Аналогичные им (при наличии) - написать название</t>
  </si>
  <si>
    <t>Итого кредиты и авансы корпоративным клиентам (брутто)</t>
  </si>
  <si>
    <t>Отраслевая структура корпоративного кредитного портфеля</t>
  </si>
  <si>
    <t>Анализ структуры комиссионного дохода</t>
  </si>
  <si>
    <t>От расчетного и кассового обслуживания</t>
  </si>
  <si>
    <t>От операций с валютными ценностями</t>
  </si>
  <si>
    <t>От осуществления переводов денежных средств</t>
  </si>
  <si>
    <t>От операций по выдаче банковских гарантий и поручительств</t>
  </si>
  <si>
    <t>От оказания посреднических услуг по брокерским и аналогичным договорам</t>
  </si>
  <si>
    <t>От оказания консультационных и информационных услуг</t>
  </si>
  <si>
    <t>Итого комиссионные доходы</t>
  </si>
  <si>
    <t>Проверка с ОПиУ</t>
  </si>
  <si>
    <t>В % к итого комиссионных доходов</t>
  </si>
  <si>
    <t>Процентные доходы по предоставленным и приобретенным кредитам, размещенным средствам и депозитам</t>
  </si>
  <si>
    <t>Символы в форме № 102</t>
  </si>
  <si>
    <t>Банкам</t>
  </si>
  <si>
    <t>Индивидуальным предпринимателям</t>
  </si>
  <si>
    <t>Физическим лицам</t>
  </si>
  <si>
    <t>Субъектам Федерации, внебюджетным фондам и муниципалитетам</t>
  </si>
  <si>
    <t>Нетто-доходы по операциям с ин. валютой и драг. металлами (включая переоценку)</t>
  </si>
  <si>
    <t>27101 - 27104</t>
  </si>
  <si>
    <t>27201 - 27204</t>
  </si>
  <si>
    <t>27401 - 27409</t>
  </si>
  <si>
    <t>27501 - 27504</t>
  </si>
  <si>
    <t>27601 - 27604</t>
  </si>
  <si>
    <t>27701 - 27704</t>
  </si>
  <si>
    <t>27801 - 27804</t>
  </si>
  <si>
    <t>От открытия и ведения банковских счетов</t>
  </si>
  <si>
    <t>От операций доверительного управления имуществом</t>
  </si>
  <si>
    <t>Диверсификация структуры операционного дохода (Индекс Херфиндаля-Хиршмана)</t>
  </si>
  <si>
    <t>(3)</t>
  </si>
  <si>
    <t>Прочие доходы</t>
  </si>
  <si>
    <t>Итого совокупный операционный доход</t>
  </si>
  <si>
    <t>Индекс Херфиндаля-Хиршмана</t>
  </si>
  <si>
    <t>В % к итогу совокупного операционного дохода</t>
  </si>
  <si>
    <t>Значение</t>
  </si>
  <si>
    <t>&lt; 0,2</t>
  </si>
  <si>
    <t>0,21-0,25</t>
  </si>
  <si>
    <t>0,26-0,3</t>
  </si>
  <si>
    <t>0,31-0,35</t>
  </si>
  <si>
    <t>0,36-0,4</t>
  </si>
  <si>
    <t>&gt; 0,41</t>
  </si>
  <si>
    <t>Оценка</t>
  </si>
  <si>
    <t>1 (высшая)</t>
  </si>
  <si>
    <t>6 (худшая)</t>
  </si>
  <si>
    <t>Оценка по методике агентства "АКРА"</t>
  </si>
  <si>
    <t>Юридическим лицам</t>
  </si>
  <si>
    <t>Оценка по методике агентства "АКРА" (от 1 до 6)</t>
  </si>
  <si>
    <t>Административно-управленческие расходы/ Средние активы</t>
  </si>
  <si>
    <r>
      <t>Коэффициент операционной эффективности (Сost-to-Income Ratio,</t>
    </r>
    <r>
      <rPr>
        <b/>
        <sz val="11"/>
        <color rgb="FFC00000"/>
        <rFont val="Arial"/>
        <family val="2"/>
        <charset val="204"/>
      </rPr>
      <t xml:space="preserve"> CTI / CIR</t>
    </r>
    <r>
      <rPr>
        <sz val="11"/>
        <color theme="1"/>
        <rFont val="Arial"/>
        <family val="2"/>
        <charset val="204"/>
      </rPr>
      <t>)</t>
    </r>
  </si>
  <si>
    <t>Организационные и управленческие расходы (аренда, реклама, услуги связи и ИТ-систем, др.)</t>
  </si>
  <si>
    <t>Доля проблемных кредитов клиентам (ссуды IV и V категорий качества)</t>
  </si>
  <si>
    <t>Чистые доходы от операций с ценными бумагами, оцениваемыми по справедливой стоимости через прочий совокупный доход</t>
  </si>
  <si>
    <t>Чистые доходы от операций с ценными бумагами, оцениваемым по амортизированной стоимости</t>
  </si>
  <si>
    <r>
      <t>Чистые вложения в ценные бумаги и иные финансовые активы, оцениваемые по амортизированной стоимости (кроме ссудной задолженности) (</t>
    </r>
    <r>
      <rPr>
        <b/>
        <sz val="12"/>
        <color theme="1"/>
        <rFont val="Arial"/>
        <family val="2"/>
        <charset val="204"/>
      </rPr>
      <t>до 2019 г</t>
    </r>
    <r>
      <rPr>
        <sz val="12"/>
        <color theme="1"/>
        <rFont val="Arial"/>
        <family val="2"/>
        <charset val="204"/>
      </rPr>
      <t xml:space="preserve">. - </t>
    </r>
    <r>
      <rPr>
        <i/>
        <sz val="12"/>
        <color theme="1"/>
        <rFont val="Arial"/>
        <family val="2"/>
        <charset val="204"/>
      </rPr>
      <t>Чистые вложения в ценные бумаги, удерживаемые до погашения</t>
    </r>
    <r>
      <rPr>
        <sz val="12"/>
        <color theme="1"/>
        <rFont val="Arial"/>
        <family val="2"/>
        <charset val="204"/>
      </rPr>
      <t>)</t>
    </r>
  </si>
  <si>
    <r>
      <t>Чистые вложения в финансовые активы, оцениваемые по справедливой стоимости через прочий совокупный доход (</t>
    </r>
    <r>
      <rPr>
        <b/>
        <sz val="12"/>
        <color theme="1"/>
        <rFont val="Arial"/>
        <family val="2"/>
        <charset val="204"/>
      </rPr>
      <t>до 2019</t>
    </r>
    <r>
      <rPr>
        <sz val="12"/>
        <color theme="1"/>
        <rFont val="Arial"/>
        <family val="2"/>
        <charset val="204"/>
      </rPr>
      <t xml:space="preserve"> - </t>
    </r>
    <r>
      <rPr>
        <i/>
        <sz val="12"/>
        <color theme="1"/>
        <rFont val="Arial"/>
        <family val="2"/>
        <charset val="204"/>
      </rPr>
      <t>Чистые вложения в ценные бумаги и другие финансовые активы, имеющиеся в наличии для продажи</t>
    </r>
    <r>
      <rPr>
        <sz val="12"/>
        <color theme="1"/>
        <rFont val="Arial"/>
        <family val="2"/>
        <charset val="204"/>
      </rPr>
      <t>)</t>
    </r>
  </si>
  <si>
    <r>
      <t>Чистая ссудная задолженность, оцениваемая по амортизированной стоимости (</t>
    </r>
    <r>
      <rPr>
        <b/>
        <sz val="12"/>
        <color theme="1"/>
        <rFont val="Arial"/>
        <family val="2"/>
        <charset val="204"/>
      </rPr>
      <t>до 2019 г. -</t>
    </r>
    <r>
      <rPr>
        <b/>
        <i/>
        <sz val="12"/>
        <color theme="1"/>
        <rFont val="Arial"/>
        <family val="2"/>
        <charset val="204"/>
      </rPr>
      <t xml:space="preserve"> </t>
    </r>
    <r>
      <rPr>
        <i/>
        <sz val="12"/>
        <color theme="1"/>
        <rFont val="Arial"/>
        <family val="2"/>
        <charset val="204"/>
      </rPr>
      <t>Чистая ссудная задолженность</t>
    </r>
    <r>
      <rPr>
        <sz val="12"/>
        <color theme="1"/>
        <rFont val="Arial"/>
        <family val="2"/>
        <charset val="204"/>
      </rPr>
      <t>)</t>
    </r>
  </si>
  <si>
    <t>Инвестиции в дочерние и зависимые организации (до 2019 г. показывались внутри ц/б для перепродажи, с 2019 г. - отдельной строкой)</t>
  </si>
  <si>
    <t>8</t>
  </si>
  <si>
    <t>Чистые вложения в финансовые активы, оцениваемые по справедливой стоимости через прочий совокупный доход</t>
  </si>
  <si>
    <t>Чистые вложения в ценные бумаги и иные финансовые активы, оцениваемые по амортизированной стоимости</t>
  </si>
  <si>
    <t>2.4.</t>
  </si>
  <si>
    <r>
      <t>Инвестиции в дочерние и зависимые организации (</t>
    </r>
    <r>
      <rPr>
        <i/>
        <sz val="12"/>
        <color theme="1"/>
        <rFont val="Arial"/>
        <family val="2"/>
        <charset val="204"/>
      </rPr>
      <t>до 2019 г. показывались внутри ц/б для перепродажи, с 2019 г. - отдельной строкой)</t>
    </r>
  </si>
  <si>
    <t>3. Кредиты клиентам (нетто) (без МБК)</t>
  </si>
  <si>
    <t>Кредиты и депозиты в кредитных организациях (МБК выданные)</t>
  </si>
  <si>
    <t>Показатели ликвидности и качества ресурсной базы (привлеченные и заемные средства)</t>
  </si>
  <si>
    <t>Рекомендуемые значения</t>
  </si>
  <si>
    <t>(Касса + Корр/ счета) / Активы</t>
  </si>
  <si>
    <t>(Касса + Корр/ счета + гос. облигации) / Активы</t>
  </si>
  <si>
    <t>(Кредиты клиентам-нетто + Иммобилизация) / Активы</t>
  </si>
  <si>
    <t>&lt; 70%</t>
  </si>
  <si>
    <t>(Касса + Корр/ счета)/ Счета до востребования</t>
  </si>
  <si>
    <t>&gt; 15%</t>
  </si>
  <si>
    <t>Активы торгового портфеля / Рыночные обяз-ва</t>
  </si>
  <si>
    <t>&gt; 30%</t>
  </si>
  <si>
    <t>Кредиты клиентам-брутто/ Депозиты (Loan-to-Deposit Ratio)</t>
  </si>
  <si>
    <t>75-85%</t>
  </si>
  <si>
    <t xml:space="preserve">Активы, взвешенные по степени риска (РВА) / Активы, всего </t>
  </si>
  <si>
    <t>~ 75%</t>
  </si>
  <si>
    <t>&lt; 3%</t>
  </si>
  <si>
    <t>В % от суммы депозитов (средств клиентов)</t>
  </si>
  <si>
    <t>Кредиты клиентам (брутто)</t>
  </si>
  <si>
    <t>Кредиты клиентам (IV и V кат. кач.) / Кредиты клиентам-брутто</t>
  </si>
  <si>
    <t>&lt; 5%</t>
  </si>
  <si>
    <t>Анализ структуры депозитов клиентов</t>
  </si>
  <si>
    <t>Нормативы</t>
  </si>
  <si>
    <t>Н7</t>
  </si>
  <si>
    <t>Н10.1</t>
  </si>
  <si>
    <t>Н12</t>
  </si>
  <si>
    <t>Н25</t>
  </si>
  <si>
    <t>&lt; 800%</t>
  </si>
  <si>
    <t>&lt; 25%</t>
  </si>
  <si>
    <t>&lt; 20%</t>
  </si>
  <si>
    <t>Первичные резервы/ Депозиты</t>
  </si>
  <si>
    <t>(Первичные резервы + Вторичные резервы)/ Депозиты</t>
  </si>
  <si>
    <t>Нормативы ликвидности</t>
  </si>
  <si>
    <t>&gt; 50%</t>
  </si>
  <si>
    <t>&lt; 120%</t>
  </si>
  <si>
    <t>&gt; 100%</t>
  </si>
  <si>
    <t>Доля просроченной задолженности за минусом РВПС к собственному капиталу</t>
  </si>
  <si>
    <t>Расходы от уступки прав требования</t>
  </si>
  <si>
    <t>Прочие операционные расходы (без учета расходов от уступки прав)</t>
  </si>
  <si>
    <t>Норматив Н1.4 (показатель финансового рычага) (Базель III)</t>
  </si>
  <si>
    <t>Прибыль после налообложения</t>
  </si>
  <si>
    <t>Скорректированая прибыль после н/о</t>
  </si>
  <si>
    <t>Итого депозитов клиентов</t>
  </si>
  <si>
    <t>1.1. Кредитный риск (стандартный подход)</t>
  </si>
  <si>
    <t>1.2. Кредитный риск (финализированный подход)</t>
  </si>
  <si>
    <t>1.3. Кредитный риск на основе внутренних рейтингов (ПВР)</t>
  </si>
  <si>
    <t>1.4. Макропруденциальные надбавки</t>
  </si>
  <si>
    <t>2. Повышенный риск по вложениям в акции (доли) и отложенные налоговые активы</t>
  </si>
  <si>
    <t>3. Операционный риск</t>
  </si>
  <si>
    <t>4. Рыночный риск</t>
  </si>
  <si>
    <t>1. Кредитные риски всего, из них</t>
  </si>
  <si>
    <t>Структура доходов и расходов кредитных организаций в России (по данным ЦБ РФ)</t>
  </si>
  <si>
    <t>Работающие активы</t>
  </si>
  <si>
    <t>Итого активов</t>
  </si>
  <si>
    <t>Среднегодовая численность сотрудников, чел.</t>
  </si>
  <si>
    <t>Если расход, то ставим с "-", хотя в таблице ЦБ расход стоит с "+"</t>
  </si>
  <si>
    <t>Прочий совокупный доход</t>
  </si>
  <si>
    <t>Total interest income</t>
  </si>
  <si>
    <t>Total interest expense</t>
  </si>
  <si>
    <t>Net interest income</t>
  </si>
  <si>
    <t>Provision for credit losses *</t>
  </si>
  <si>
    <t>Total noninterest income</t>
  </si>
  <si>
    <t>Fiduciary activities</t>
  </si>
  <si>
    <t>Service charges on deposit accounts</t>
  </si>
  <si>
    <t>Trading account gains &amp; fees</t>
  </si>
  <si>
    <t>Total noninterest expense</t>
  </si>
  <si>
    <t>Salaries and employee benefits</t>
  </si>
  <si>
    <t>Premises and equipment expense</t>
  </si>
  <si>
    <t>Securities gains (losses)</t>
  </si>
  <si>
    <t>Applicable income taxes</t>
  </si>
  <si>
    <t>Net charge-offs</t>
  </si>
  <si>
    <t>Cash dividends</t>
  </si>
  <si>
    <t>Net operating income</t>
  </si>
  <si>
    <t>Номер</t>
  </si>
  <si>
    <t>строки</t>
  </si>
  <si>
    <t>Наименование статьи отчета о финансовых результатах (публикуемой формы)</t>
  </si>
  <si>
    <r>
      <t xml:space="preserve">Символы отчетности по </t>
    </r>
    <r>
      <rPr>
        <sz val="12"/>
        <color rgb="FF000000"/>
        <rFont val="Times New Roman"/>
        <family val="1"/>
        <charset val="204"/>
      </rPr>
      <t>форме 0409102</t>
    </r>
    <r>
      <rPr>
        <sz val="12"/>
        <color theme="1"/>
        <rFont val="Times New Roman"/>
        <family val="1"/>
        <charset val="204"/>
      </rPr>
      <t xml:space="preserve"> и их расшифровки в соответствии с отчетностью по </t>
    </r>
    <r>
      <rPr>
        <sz val="12"/>
        <color rgb="FF000000"/>
        <rFont val="Times New Roman"/>
        <family val="1"/>
        <charset val="204"/>
      </rPr>
      <t>форме 0409110</t>
    </r>
    <r>
      <rPr>
        <vertAlign val="superscript"/>
        <sz val="12"/>
        <color rgb="FF000000"/>
        <rFont val="Times New Roman"/>
        <family val="1"/>
        <charset val="204"/>
      </rPr>
      <t>1</t>
    </r>
  </si>
  <si>
    <t>Раздел 1. Прибыли и убытки</t>
  </si>
  <si>
    <r>
      <t>Процентные доходы, всего (</t>
    </r>
    <r>
      <rPr>
        <sz val="12"/>
        <color rgb="FF000000"/>
        <rFont val="Times New Roman"/>
        <family val="1"/>
        <charset val="204"/>
      </rPr>
      <t>стр. 1.1</t>
    </r>
    <r>
      <rPr>
        <sz val="12"/>
        <color theme="1"/>
        <rFont val="Times New Roman"/>
        <family val="1"/>
        <charset val="204"/>
      </rPr>
      <t xml:space="preserve"> + </t>
    </r>
    <r>
      <rPr>
        <sz val="12"/>
        <color rgb="FF000000"/>
        <rFont val="Times New Roman"/>
        <family val="1"/>
        <charset val="204"/>
      </rPr>
      <t>стр. 1.2</t>
    </r>
    <r>
      <rPr>
        <sz val="12"/>
        <color theme="1"/>
        <rFont val="Times New Roman"/>
        <family val="1"/>
        <charset val="204"/>
      </rPr>
      <t xml:space="preserve"> + </t>
    </r>
    <r>
      <rPr>
        <sz val="12"/>
        <color rgb="FF000000"/>
        <rFont val="Times New Roman"/>
        <family val="1"/>
        <charset val="204"/>
      </rPr>
      <t>стр. 1.3</t>
    </r>
    <r>
      <rPr>
        <sz val="12"/>
        <color theme="1"/>
        <rFont val="Times New Roman"/>
        <family val="1"/>
        <charset val="204"/>
      </rPr>
      <t xml:space="preserve"> + </t>
    </r>
    <r>
      <rPr>
        <sz val="12"/>
        <color rgb="FF000000"/>
        <rFont val="Times New Roman"/>
        <family val="1"/>
        <charset val="204"/>
      </rPr>
      <t>стр. 1.4</t>
    </r>
    <r>
      <rPr>
        <sz val="12"/>
        <color theme="1"/>
        <rFont val="Times New Roman"/>
        <family val="1"/>
        <charset val="204"/>
      </rPr>
      <t>), в том числе:</t>
    </r>
  </si>
  <si>
    <t>от размещения средств в кредитных организациях</t>
  </si>
  <si>
    <r>
      <t>11118</t>
    </r>
    <r>
      <rPr>
        <sz val="12"/>
        <color theme="1"/>
        <rFont val="Times New Roman"/>
        <family val="1"/>
        <charset val="204"/>
      </rPr>
      <t xml:space="preserve"> + </t>
    </r>
    <r>
      <rPr>
        <sz val="12"/>
        <color rgb="FF000000"/>
        <rFont val="Times New Roman"/>
        <family val="1"/>
        <charset val="204"/>
      </rPr>
      <t xml:space="preserve">11119 </t>
    </r>
    <r>
      <rPr>
        <sz val="12"/>
        <color theme="1"/>
        <rFont val="Times New Roman"/>
        <family val="1"/>
        <charset val="204"/>
      </rPr>
      <t xml:space="preserve">+ </t>
    </r>
    <r>
      <rPr>
        <sz val="12"/>
        <color rgb="FF000000"/>
        <rFont val="Times New Roman"/>
        <family val="1"/>
        <charset val="204"/>
      </rPr>
      <t>11215</t>
    </r>
    <r>
      <rPr>
        <sz val="12"/>
        <color theme="1"/>
        <rFont val="Times New Roman"/>
        <family val="1"/>
        <charset val="204"/>
      </rPr>
      <t xml:space="preserve"> + </t>
    </r>
    <r>
      <rPr>
        <sz val="12"/>
        <color rgb="FF000000"/>
        <rFont val="Times New Roman"/>
        <family val="1"/>
        <charset val="204"/>
      </rPr>
      <t>11216</t>
    </r>
    <r>
      <rPr>
        <sz val="12"/>
        <color theme="1"/>
        <rFont val="Times New Roman"/>
        <family val="1"/>
        <charset val="204"/>
      </rPr>
      <t xml:space="preserve"> + </t>
    </r>
    <r>
      <rPr>
        <sz val="12"/>
        <color rgb="FF000000"/>
        <rFont val="Times New Roman"/>
        <family val="1"/>
        <charset val="204"/>
      </rPr>
      <t>11217</t>
    </r>
    <r>
      <rPr>
        <sz val="12"/>
        <color theme="1"/>
        <rFont val="Times New Roman"/>
        <family val="1"/>
        <charset val="204"/>
      </rPr>
      <t xml:space="preserve"> + </t>
    </r>
    <r>
      <rPr>
        <sz val="12"/>
        <color rgb="FF000000"/>
        <rFont val="Times New Roman"/>
        <family val="1"/>
        <charset val="204"/>
      </rPr>
      <t>113</t>
    </r>
    <r>
      <rPr>
        <sz val="12"/>
        <color theme="1"/>
        <rFont val="Times New Roman"/>
        <family val="1"/>
        <charset val="204"/>
      </rPr>
      <t xml:space="preserve"> + </t>
    </r>
    <r>
      <rPr>
        <sz val="12"/>
        <color rgb="FF000000"/>
        <rFont val="Times New Roman"/>
        <family val="1"/>
        <charset val="204"/>
      </rPr>
      <t>114</t>
    </r>
    <r>
      <rPr>
        <sz val="12"/>
        <color theme="1"/>
        <rFont val="Times New Roman"/>
        <family val="1"/>
        <charset val="204"/>
      </rPr>
      <t xml:space="preserve"> + </t>
    </r>
    <r>
      <rPr>
        <sz val="12"/>
        <color rgb="FF000000"/>
        <rFont val="Times New Roman"/>
        <family val="1"/>
        <charset val="204"/>
      </rPr>
      <t>11803</t>
    </r>
    <r>
      <rPr>
        <sz val="12"/>
        <color theme="1"/>
        <rFont val="Times New Roman"/>
        <family val="1"/>
        <charset val="204"/>
      </rPr>
      <t xml:space="preserve"> +</t>
    </r>
    <r>
      <rPr>
        <sz val="12"/>
        <color rgb="FF000000"/>
        <rFont val="Times New Roman"/>
        <family val="1"/>
        <charset val="204"/>
      </rPr>
      <t>11807</t>
    </r>
    <r>
      <rPr>
        <sz val="12"/>
        <color theme="1"/>
        <rFont val="Times New Roman"/>
        <family val="1"/>
        <charset val="204"/>
      </rPr>
      <t xml:space="preserve">+ </t>
    </r>
    <r>
      <rPr>
        <sz val="12"/>
        <color rgb="FF000000"/>
        <rFont val="Times New Roman"/>
        <family val="1"/>
        <charset val="204"/>
      </rPr>
      <t>12118</t>
    </r>
    <r>
      <rPr>
        <sz val="12"/>
        <color theme="1"/>
        <rFont val="Times New Roman"/>
        <family val="1"/>
        <charset val="204"/>
      </rPr>
      <t xml:space="preserve"> + </t>
    </r>
    <r>
      <rPr>
        <sz val="12"/>
        <color rgb="FF000000"/>
        <rFont val="Times New Roman"/>
        <family val="1"/>
        <charset val="204"/>
      </rPr>
      <t>12119</t>
    </r>
    <r>
      <rPr>
        <sz val="12"/>
        <color theme="1"/>
        <rFont val="Times New Roman"/>
        <family val="1"/>
        <charset val="204"/>
      </rPr>
      <t xml:space="preserve"> + </t>
    </r>
    <r>
      <rPr>
        <sz val="12"/>
        <color rgb="FF000000"/>
        <rFont val="Times New Roman"/>
        <family val="1"/>
        <charset val="204"/>
      </rPr>
      <t>12215</t>
    </r>
    <r>
      <rPr>
        <sz val="12"/>
        <color theme="1"/>
        <rFont val="Times New Roman"/>
        <family val="1"/>
        <charset val="204"/>
      </rPr>
      <t xml:space="preserve"> + </t>
    </r>
    <r>
      <rPr>
        <sz val="12"/>
        <color rgb="FF000000"/>
        <rFont val="Times New Roman"/>
        <family val="1"/>
        <charset val="204"/>
      </rPr>
      <t>12216</t>
    </r>
    <r>
      <rPr>
        <sz val="12"/>
        <color theme="1"/>
        <rFont val="Times New Roman"/>
        <family val="1"/>
        <charset val="204"/>
      </rPr>
      <t xml:space="preserve"> + </t>
    </r>
    <r>
      <rPr>
        <sz val="12"/>
        <color rgb="FF000000"/>
        <rFont val="Times New Roman"/>
        <family val="1"/>
        <charset val="204"/>
      </rPr>
      <t>12217</t>
    </r>
    <r>
      <rPr>
        <sz val="12"/>
        <color theme="1"/>
        <rFont val="Times New Roman"/>
        <family val="1"/>
        <charset val="204"/>
      </rPr>
      <t xml:space="preserve"> + </t>
    </r>
    <r>
      <rPr>
        <sz val="12"/>
        <color rgb="FF000000"/>
        <rFont val="Times New Roman"/>
        <family val="1"/>
        <charset val="204"/>
      </rPr>
      <t>123</t>
    </r>
    <r>
      <rPr>
        <sz val="12"/>
        <color theme="1"/>
        <rFont val="Times New Roman"/>
        <family val="1"/>
        <charset val="204"/>
      </rPr>
      <t xml:space="preserve"> + </t>
    </r>
    <r>
      <rPr>
        <sz val="12"/>
        <color rgb="FF000000"/>
        <rFont val="Times New Roman"/>
        <family val="1"/>
        <charset val="204"/>
      </rPr>
      <t>13118</t>
    </r>
    <r>
      <rPr>
        <sz val="12"/>
        <color theme="1"/>
        <rFont val="Times New Roman"/>
        <family val="1"/>
        <charset val="204"/>
      </rPr>
      <t xml:space="preserve"> + </t>
    </r>
    <r>
      <rPr>
        <sz val="12"/>
        <color rgb="FF000000"/>
        <rFont val="Times New Roman"/>
        <family val="1"/>
        <charset val="204"/>
      </rPr>
      <t>13119</t>
    </r>
    <r>
      <rPr>
        <sz val="12"/>
        <color theme="1"/>
        <rFont val="Times New Roman"/>
        <family val="1"/>
        <charset val="204"/>
      </rPr>
      <t xml:space="preserve"> + </t>
    </r>
    <r>
      <rPr>
        <sz val="12"/>
        <color rgb="FF000000"/>
        <rFont val="Times New Roman"/>
        <family val="1"/>
        <charset val="204"/>
      </rPr>
      <t>13215</t>
    </r>
    <r>
      <rPr>
        <sz val="12"/>
        <color theme="1"/>
        <rFont val="Times New Roman"/>
        <family val="1"/>
        <charset val="204"/>
      </rPr>
      <t xml:space="preserve"> + </t>
    </r>
    <r>
      <rPr>
        <sz val="12"/>
        <color rgb="FF000000"/>
        <rFont val="Times New Roman"/>
        <family val="1"/>
        <charset val="204"/>
      </rPr>
      <t>13216</t>
    </r>
    <r>
      <rPr>
        <sz val="12"/>
        <color theme="1"/>
        <rFont val="Times New Roman"/>
        <family val="1"/>
        <charset val="204"/>
      </rPr>
      <t xml:space="preserve"> + </t>
    </r>
    <r>
      <rPr>
        <sz val="12"/>
        <color rgb="FF000000"/>
        <rFont val="Times New Roman"/>
        <family val="1"/>
        <charset val="204"/>
      </rPr>
      <t>13217</t>
    </r>
    <r>
      <rPr>
        <sz val="12"/>
        <color theme="1"/>
        <rFont val="Times New Roman"/>
        <family val="1"/>
        <charset val="204"/>
      </rPr>
      <t xml:space="preserve"> + </t>
    </r>
    <r>
      <rPr>
        <sz val="12"/>
        <color rgb="FF000000"/>
        <rFont val="Times New Roman"/>
        <family val="1"/>
        <charset val="204"/>
      </rPr>
      <t>133</t>
    </r>
    <r>
      <rPr>
        <sz val="12"/>
        <color theme="1"/>
        <rFont val="Times New Roman"/>
        <family val="1"/>
        <charset val="204"/>
      </rPr>
      <t xml:space="preserve"> + </t>
    </r>
    <r>
      <rPr>
        <sz val="12"/>
        <color rgb="FF000000"/>
        <rFont val="Times New Roman"/>
        <family val="1"/>
        <charset val="204"/>
      </rPr>
      <t>134</t>
    </r>
    <r>
      <rPr>
        <sz val="12"/>
        <color theme="1"/>
        <rFont val="Times New Roman"/>
        <family val="1"/>
        <charset val="204"/>
      </rPr>
      <t xml:space="preserve"> + </t>
    </r>
    <r>
      <rPr>
        <sz val="12"/>
        <color rgb="FF000000"/>
        <rFont val="Times New Roman"/>
        <family val="1"/>
        <charset val="204"/>
      </rPr>
      <t>13803</t>
    </r>
    <r>
      <rPr>
        <sz val="12"/>
        <color theme="1"/>
        <rFont val="Times New Roman"/>
        <family val="1"/>
        <charset val="204"/>
      </rPr>
      <t xml:space="preserve"> + </t>
    </r>
    <r>
      <rPr>
        <sz val="12"/>
        <color rgb="FF000000"/>
        <rFont val="Times New Roman"/>
        <family val="1"/>
        <charset val="204"/>
      </rPr>
      <t>13807</t>
    </r>
    <r>
      <rPr>
        <sz val="12"/>
        <color theme="1"/>
        <rFont val="Times New Roman"/>
        <family val="1"/>
        <charset val="204"/>
      </rPr>
      <t xml:space="preserve"> + </t>
    </r>
    <r>
      <rPr>
        <sz val="12"/>
        <color rgb="FF000000"/>
        <rFont val="Times New Roman"/>
        <family val="1"/>
        <charset val="204"/>
      </rPr>
      <t>S27801/1.1</t>
    </r>
    <r>
      <rPr>
        <sz val="12"/>
        <color theme="1"/>
        <rFont val="Times New Roman"/>
        <family val="1"/>
        <charset val="204"/>
      </rPr>
      <t xml:space="preserve"> + </t>
    </r>
    <r>
      <rPr>
        <sz val="12"/>
        <color rgb="FF000000"/>
        <rFont val="Times New Roman"/>
        <family val="1"/>
        <charset val="204"/>
      </rPr>
      <t>S28401/1.1</t>
    </r>
    <r>
      <rPr>
        <sz val="12"/>
        <color theme="1"/>
        <rFont val="Times New Roman"/>
        <family val="1"/>
        <charset val="204"/>
      </rPr>
      <t xml:space="preserve"> - </t>
    </r>
    <r>
      <rPr>
        <sz val="12"/>
        <color rgb="FF000000"/>
        <rFont val="Times New Roman"/>
        <family val="1"/>
        <charset val="204"/>
      </rPr>
      <t>33118</t>
    </r>
    <r>
      <rPr>
        <sz val="12"/>
        <color theme="1"/>
        <rFont val="Times New Roman"/>
        <family val="1"/>
        <charset val="204"/>
      </rPr>
      <t xml:space="preserve"> - </t>
    </r>
    <r>
      <rPr>
        <sz val="12"/>
        <color rgb="FF000000"/>
        <rFont val="Times New Roman"/>
        <family val="1"/>
        <charset val="204"/>
      </rPr>
      <t>33119</t>
    </r>
    <r>
      <rPr>
        <sz val="12"/>
        <color theme="1"/>
        <rFont val="Times New Roman"/>
        <family val="1"/>
        <charset val="204"/>
      </rPr>
      <t xml:space="preserve"> - </t>
    </r>
    <r>
      <rPr>
        <sz val="12"/>
        <color rgb="FF000000"/>
        <rFont val="Times New Roman"/>
        <family val="1"/>
        <charset val="204"/>
      </rPr>
      <t>33215</t>
    </r>
    <r>
      <rPr>
        <sz val="12"/>
        <color theme="1"/>
        <rFont val="Times New Roman"/>
        <family val="1"/>
        <charset val="204"/>
      </rPr>
      <t xml:space="preserve"> - </t>
    </r>
    <r>
      <rPr>
        <sz val="12"/>
        <color rgb="FF000000"/>
        <rFont val="Times New Roman"/>
        <family val="1"/>
        <charset val="204"/>
      </rPr>
      <t>33216</t>
    </r>
    <r>
      <rPr>
        <sz val="12"/>
        <color theme="1"/>
        <rFont val="Times New Roman"/>
        <family val="1"/>
        <charset val="204"/>
      </rPr>
      <t xml:space="preserve"> - </t>
    </r>
    <r>
      <rPr>
        <sz val="12"/>
        <color rgb="FF000000"/>
        <rFont val="Times New Roman"/>
        <family val="1"/>
        <charset val="204"/>
      </rPr>
      <t>33217</t>
    </r>
    <r>
      <rPr>
        <sz val="12"/>
        <color theme="1"/>
        <rFont val="Times New Roman"/>
        <family val="1"/>
        <charset val="204"/>
      </rPr>
      <t xml:space="preserve"> - </t>
    </r>
    <r>
      <rPr>
        <sz val="12"/>
        <color rgb="FF000000"/>
        <rFont val="Times New Roman"/>
        <family val="1"/>
        <charset val="204"/>
      </rPr>
      <t>333</t>
    </r>
    <r>
      <rPr>
        <sz val="12"/>
        <color theme="1"/>
        <rFont val="Times New Roman"/>
        <family val="1"/>
        <charset val="204"/>
      </rPr>
      <t xml:space="preserve"> - </t>
    </r>
    <r>
      <rPr>
        <sz val="12"/>
        <color rgb="FF000000"/>
        <rFont val="Times New Roman"/>
        <family val="1"/>
        <charset val="204"/>
      </rPr>
      <t>334</t>
    </r>
    <r>
      <rPr>
        <sz val="12"/>
        <color theme="1"/>
        <rFont val="Times New Roman"/>
        <family val="1"/>
        <charset val="204"/>
      </rPr>
      <t xml:space="preserve"> - </t>
    </r>
    <r>
      <rPr>
        <sz val="12"/>
        <color rgb="FF000000"/>
        <rFont val="Times New Roman"/>
        <family val="1"/>
        <charset val="204"/>
      </rPr>
      <t>33803</t>
    </r>
    <r>
      <rPr>
        <sz val="12"/>
        <color theme="1"/>
        <rFont val="Times New Roman"/>
        <family val="1"/>
        <charset val="204"/>
      </rPr>
      <t xml:space="preserve"> - </t>
    </r>
    <r>
      <rPr>
        <sz val="12"/>
        <color rgb="FF000000"/>
        <rFont val="Times New Roman"/>
        <family val="1"/>
        <charset val="204"/>
      </rPr>
      <t>33807</t>
    </r>
    <r>
      <rPr>
        <sz val="12"/>
        <color theme="1"/>
        <rFont val="Times New Roman"/>
        <family val="1"/>
        <charset val="204"/>
      </rPr>
      <t xml:space="preserve"> - </t>
    </r>
    <r>
      <rPr>
        <sz val="12"/>
        <color rgb="FF000000"/>
        <rFont val="Times New Roman"/>
        <family val="1"/>
        <charset val="204"/>
      </rPr>
      <t>34118</t>
    </r>
    <r>
      <rPr>
        <sz val="12"/>
        <color theme="1"/>
        <rFont val="Times New Roman"/>
        <family val="1"/>
        <charset val="204"/>
      </rPr>
      <t xml:space="preserve"> - </t>
    </r>
    <r>
      <rPr>
        <sz val="12"/>
        <color rgb="FF000000"/>
        <rFont val="Times New Roman"/>
        <family val="1"/>
        <charset val="204"/>
      </rPr>
      <t>34119</t>
    </r>
    <r>
      <rPr>
        <sz val="12"/>
        <color theme="1"/>
        <rFont val="Times New Roman"/>
        <family val="1"/>
        <charset val="204"/>
      </rPr>
      <t xml:space="preserve"> - </t>
    </r>
    <r>
      <rPr>
        <sz val="12"/>
        <color rgb="FF000000"/>
        <rFont val="Times New Roman"/>
        <family val="1"/>
        <charset val="204"/>
      </rPr>
      <t>34215</t>
    </r>
    <r>
      <rPr>
        <sz val="12"/>
        <color theme="1"/>
        <rFont val="Times New Roman"/>
        <family val="1"/>
        <charset val="204"/>
      </rPr>
      <t xml:space="preserve"> - </t>
    </r>
    <r>
      <rPr>
        <sz val="12"/>
        <color rgb="FF000000"/>
        <rFont val="Times New Roman"/>
        <family val="1"/>
        <charset val="204"/>
      </rPr>
      <t>34216</t>
    </r>
    <r>
      <rPr>
        <sz val="12"/>
        <color theme="1"/>
        <rFont val="Times New Roman"/>
        <family val="1"/>
        <charset val="204"/>
      </rPr>
      <t xml:space="preserve"> - </t>
    </r>
    <r>
      <rPr>
        <sz val="12"/>
        <color rgb="FF000000"/>
        <rFont val="Times New Roman"/>
        <family val="1"/>
        <charset val="204"/>
      </rPr>
      <t>34217</t>
    </r>
    <r>
      <rPr>
        <sz val="12"/>
        <color theme="1"/>
        <rFont val="Times New Roman"/>
        <family val="1"/>
        <charset val="204"/>
      </rPr>
      <t xml:space="preserve"> - </t>
    </r>
    <r>
      <rPr>
        <sz val="12"/>
        <color rgb="FF000000"/>
        <rFont val="Times New Roman"/>
        <family val="1"/>
        <charset val="204"/>
      </rPr>
      <t>34603</t>
    </r>
    <r>
      <rPr>
        <sz val="12"/>
        <color theme="1"/>
        <rFont val="Times New Roman"/>
        <family val="1"/>
        <charset val="204"/>
      </rPr>
      <t xml:space="preserve"> - </t>
    </r>
    <r>
      <rPr>
        <sz val="12"/>
        <color rgb="FF000000"/>
        <rFont val="Times New Roman"/>
        <family val="1"/>
        <charset val="204"/>
      </rPr>
      <t>34607</t>
    </r>
    <r>
      <rPr>
        <sz val="12"/>
        <color theme="1"/>
        <rFont val="Times New Roman"/>
        <family val="1"/>
        <charset val="204"/>
      </rPr>
      <t xml:space="preserve"> - </t>
    </r>
    <r>
      <rPr>
        <sz val="12"/>
        <color rgb="FF000000"/>
        <rFont val="Times New Roman"/>
        <family val="1"/>
        <charset val="204"/>
      </rPr>
      <t>35118</t>
    </r>
    <r>
      <rPr>
        <sz val="12"/>
        <color theme="1"/>
        <rFont val="Times New Roman"/>
        <family val="1"/>
        <charset val="204"/>
      </rPr>
      <t xml:space="preserve"> - </t>
    </r>
    <r>
      <rPr>
        <sz val="12"/>
        <color rgb="FF000000"/>
        <rFont val="Times New Roman"/>
        <family val="1"/>
        <charset val="204"/>
      </rPr>
      <t>35119</t>
    </r>
    <r>
      <rPr>
        <sz val="12"/>
        <color theme="1"/>
        <rFont val="Times New Roman"/>
        <family val="1"/>
        <charset val="204"/>
      </rPr>
      <t xml:space="preserve"> - </t>
    </r>
    <r>
      <rPr>
        <sz val="12"/>
        <color rgb="FF000000"/>
        <rFont val="Times New Roman"/>
        <family val="1"/>
        <charset val="204"/>
      </rPr>
      <t>35215</t>
    </r>
    <r>
      <rPr>
        <sz val="12"/>
        <color theme="1"/>
        <rFont val="Times New Roman"/>
        <family val="1"/>
        <charset val="204"/>
      </rPr>
      <t xml:space="preserve"> - </t>
    </r>
    <r>
      <rPr>
        <sz val="12"/>
        <color rgb="FF000000"/>
        <rFont val="Times New Roman"/>
        <family val="1"/>
        <charset val="204"/>
      </rPr>
      <t>35216</t>
    </r>
    <r>
      <rPr>
        <sz val="12"/>
        <color theme="1"/>
        <rFont val="Times New Roman"/>
        <family val="1"/>
        <charset val="204"/>
      </rPr>
      <t xml:space="preserve"> - </t>
    </r>
    <r>
      <rPr>
        <sz val="12"/>
        <color rgb="FF000000"/>
        <rFont val="Times New Roman"/>
        <family val="1"/>
        <charset val="204"/>
      </rPr>
      <t>35217</t>
    </r>
    <r>
      <rPr>
        <sz val="12"/>
        <color theme="1"/>
        <rFont val="Times New Roman"/>
        <family val="1"/>
        <charset val="204"/>
      </rPr>
      <t xml:space="preserve"> - </t>
    </r>
    <r>
      <rPr>
        <sz val="12"/>
        <color rgb="FF000000"/>
        <rFont val="Times New Roman"/>
        <family val="1"/>
        <charset val="204"/>
      </rPr>
      <t>353</t>
    </r>
    <r>
      <rPr>
        <sz val="12"/>
        <color theme="1"/>
        <rFont val="Times New Roman"/>
        <family val="1"/>
        <charset val="204"/>
      </rPr>
      <t xml:space="preserve"> - </t>
    </r>
    <r>
      <rPr>
        <sz val="12"/>
        <color rgb="FF000000"/>
        <rFont val="Times New Roman"/>
        <family val="1"/>
        <charset val="204"/>
      </rPr>
      <t>354</t>
    </r>
    <r>
      <rPr>
        <sz val="12"/>
        <color theme="1"/>
        <rFont val="Times New Roman"/>
        <family val="1"/>
        <charset val="204"/>
      </rPr>
      <t xml:space="preserve"> - </t>
    </r>
    <r>
      <rPr>
        <sz val="12"/>
        <color rgb="FF000000"/>
        <rFont val="Times New Roman"/>
        <family val="1"/>
        <charset val="204"/>
      </rPr>
      <t>35803</t>
    </r>
    <r>
      <rPr>
        <sz val="12"/>
        <color theme="1"/>
        <rFont val="Times New Roman"/>
        <family val="1"/>
        <charset val="204"/>
      </rPr>
      <t xml:space="preserve"> - </t>
    </r>
    <r>
      <rPr>
        <sz val="12"/>
        <color rgb="FF000000"/>
        <rFont val="Times New Roman"/>
        <family val="1"/>
        <charset val="204"/>
      </rPr>
      <t>35807</t>
    </r>
    <r>
      <rPr>
        <sz val="12"/>
        <color theme="1"/>
        <rFont val="Times New Roman"/>
        <family val="1"/>
        <charset val="204"/>
      </rPr>
      <t xml:space="preserve"> + </t>
    </r>
    <r>
      <rPr>
        <sz val="12"/>
        <color rgb="FF000000"/>
        <rFont val="Times New Roman"/>
        <family val="1"/>
        <charset val="204"/>
      </rPr>
      <t>S211/1.1</t>
    </r>
  </si>
  <si>
    <t>от ссуд, предоставленных клиентам, не являющимся кредитными организациями</t>
  </si>
  <si>
    <r>
      <t>111</t>
    </r>
    <r>
      <rPr>
        <sz val="12"/>
        <color theme="1"/>
        <rFont val="Times New Roman"/>
        <family val="1"/>
        <charset val="204"/>
      </rPr>
      <t xml:space="preserve"> (кроме </t>
    </r>
    <r>
      <rPr>
        <sz val="12"/>
        <color rgb="FF000000"/>
        <rFont val="Times New Roman"/>
        <family val="1"/>
        <charset val="204"/>
      </rPr>
      <t>11118</t>
    </r>
    <r>
      <rPr>
        <sz val="12"/>
        <color theme="1"/>
        <rFont val="Times New Roman"/>
        <family val="1"/>
        <charset val="204"/>
      </rPr>
      <t xml:space="preserve">, </t>
    </r>
    <r>
      <rPr>
        <sz val="12"/>
        <color rgb="FF000000"/>
        <rFont val="Times New Roman"/>
        <family val="1"/>
        <charset val="204"/>
      </rPr>
      <t>11119</t>
    </r>
    <r>
      <rPr>
        <sz val="12"/>
        <color theme="1"/>
        <rFont val="Times New Roman"/>
        <family val="1"/>
        <charset val="204"/>
      </rPr>
      <t xml:space="preserve">) + </t>
    </r>
    <r>
      <rPr>
        <sz val="12"/>
        <color rgb="FF000000"/>
        <rFont val="Times New Roman"/>
        <family val="1"/>
        <charset val="204"/>
      </rPr>
      <t>112</t>
    </r>
    <r>
      <rPr>
        <sz val="12"/>
        <color theme="1"/>
        <rFont val="Times New Roman"/>
        <family val="1"/>
        <charset val="204"/>
      </rPr>
      <t xml:space="preserve"> (кроме </t>
    </r>
    <r>
      <rPr>
        <sz val="12"/>
        <color rgb="FF000000"/>
        <rFont val="Times New Roman"/>
        <family val="1"/>
        <charset val="204"/>
      </rPr>
      <t>11215</t>
    </r>
    <r>
      <rPr>
        <sz val="12"/>
        <color theme="1"/>
        <rFont val="Times New Roman"/>
        <family val="1"/>
        <charset val="204"/>
      </rPr>
      <t xml:space="preserve">, </t>
    </r>
    <r>
      <rPr>
        <sz val="12"/>
        <color rgb="FF000000"/>
        <rFont val="Times New Roman"/>
        <family val="1"/>
        <charset val="204"/>
      </rPr>
      <t>11216</t>
    </r>
    <r>
      <rPr>
        <sz val="12"/>
        <color theme="1"/>
        <rFont val="Times New Roman"/>
        <family val="1"/>
        <charset val="204"/>
      </rPr>
      <t xml:space="preserve">, </t>
    </r>
    <r>
      <rPr>
        <sz val="12"/>
        <color rgb="FF000000"/>
        <rFont val="Times New Roman"/>
        <family val="1"/>
        <charset val="204"/>
      </rPr>
      <t>11217</t>
    </r>
    <r>
      <rPr>
        <sz val="12"/>
        <color theme="1"/>
        <rFont val="Times New Roman"/>
        <family val="1"/>
        <charset val="204"/>
      </rPr>
      <t xml:space="preserve">) + </t>
    </r>
    <r>
      <rPr>
        <sz val="12"/>
        <color rgb="FF000000"/>
        <rFont val="Times New Roman"/>
        <family val="1"/>
        <charset val="204"/>
      </rPr>
      <t>118</t>
    </r>
    <r>
      <rPr>
        <sz val="12"/>
        <color theme="1"/>
        <rFont val="Times New Roman"/>
        <family val="1"/>
        <charset val="204"/>
      </rPr>
      <t xml:space="preserve"> (кроме </t>
    </r>
    <r>
      <rPr>
        <sz val="12"/>
        <color rgb="FF000000"/>
        <rFont val="Times New Roman"/>
        <family val="1"/>
        <charset val="204"/>
      </rPr>
      <t>11803</t>
    </r>
    <r>
      <rPr>
        <sz val="12"/>
        <color theme="1"/>
        <rFont val="Times New Roman"/>
        <family val="1"/>
        <charset val="204"/>
      </rPr>
      <t xml:space="preserve">, </t>
    </r>
    <r>
      <rPr>
        <sz val="12"/>
        <color rgb="FF000000"/>
        <rFont val="Times New Roman"/>
        <family val="1"/>
        <charset val="204"/>
      </rPr>
      <t>11807</t>
    </r>
    <r>
      <rPr>
        <sz val="12"/>
        <color theme="1"/>
        <rFont val="Times New Roman"/>
        <family val="1"/>
        <charset val="204"/>
      </rPr>
      <t xml:space="preserve">) + </t>
    </r>
    <r>
      <rPr>
        <sz val="12"/>
        <color rgb="FF000000"/>
        <rFont val="Times New Roman"/>
        <family val="1"/>
        <charset val="204"/>
      </rPr>
      <t>121</t>
    </r>
    <r>
      <rPr>
        <sz val="12"/>
        <color theme="1"/>
        <rFont val="Times New Roman"/>
        <family val="1"/>
        <charset val="204"/>
      </rPr>
      <t xml:space="preserve"> (кроме </t>
    </r>
    <r>
      <rPr>
        <sz val="12"/>
        <color rgb="FF000000"/>
        <rFont val="Times New Roman"/>
        <family val="1"/>
        <charset val="204"/>
      </rPr>
      <t>12118</t>
    </r>
    <r>
      <rPr>
        <sz val="12"/>
        <color theme="1"/>
        <rFont val="Times New Roman"/>
        <family val="1"/>
        <charset val="204"/>
      </rPr>
      <t xml:space="preserve">, </t>
    </r>
    <r>
      <rPr>
        <sz val="12"/>
        <color rgb="FF000000"/>
        <rFont val="Times New Roman"/>
        <family val="1"/>
        <charset val="204"/>
      </rPr>
      <t>12119</t>
    </r>
    <r>
      <rPr>
        <sz val="12"/>
        <color theme="1"/>
        <rFont val="Times New Roman"/>
        <family val="1"/>
        <charset val="204"/>
      </rPr>
      <t xml:space="preserve">) + </t>
    </r>
    <r>
      <rPr>
        <sz val="12"/>
        <color rgb="FF000000"/>
        <rFont val="Times New Roman"/>
        <family val="1"/>
        <charset val="204"/>
      </rPr>
      <t>122</t>
    </r>
    <r>
      <rPr>
        <sz val="12"/>
        <color theme="1"/>
        <rFont val="Times New Roman"/>
        <family val="1"/>
        <charset val="204"/>
      </rPr>
      <t xml:space="preserve"> (кроме </t>
    </r>
    <r>
      <rPr>
        <sz val="12"/>
        <color rgb="FF000000"/>
        <rFont val="Times New Roman"/>
        <family val="1"/>
        <charset val="204"/>
      </rPr>
      <t>12215</t>
    </r>
    <r>
      <rPr>
        <sz val="12"/>
        <color theme="1"/>
        <rFont val="Times New Roman"/>
        <family val="1"/>
        <charset val="204"/>
      </rPr>
      <t xml:space="preserve">, </t>
    </r>
    <r>
      <rPr>
        <sz val="12"/>
        <color rgb="FF000000"/>
        <rFont val="Times New Roman"/>
        <family val="1"/>
        <charset val="204"/>
      </rPr>
      <t>12216</t>
    </r>
    <r>
      <rPr>
        <sz val="12"/>
        <color theme="1"/>
        <rFont val="Times New Roman"/>
        <family val="1"/>
        <charset val="204"/>
      </rPr>
      <t xml:space="preserve">, </t>
    </r>
    <r>
      <rPr>
        <sz val="12"/>
        <color rgb="FF000000"/>
        <rFont val="Times New Roman"/>
        <family val="1"/>
        <charset val="204"/>
      </rPr>
      <t>12217</t>
    </r>
    <r>
      <rPr>
        <sz val="12"/>
        <color theme="1"/>
        <rFont val="Times New Roman"/>
        <family val="1"/>
        <charset val="204"/>
      </rPr>
      <t xml:space="preserve">) + </t>
    </r>
    <r>
      <rPr>
        <sz val="12"/>
        <color rgb="FF000000"/>
        <rFont val="Times New Roman"/>
        <family val="1"/>
        <charset val="204"/>
      </rPr>
      <t>131</t>
    </r>
    <r>
      <rPr>
        <sz val="12"/>
        <color theme="1"/>
        <rFont val="Times New Roman"/>
        <family val="1"/>
        <charset val="204"/>
      </rPr>
      <t xml:space="preserve"> (кроме </t>
    </r>
    <r>
      <rPr>
        <sz val="12"/>
        <color rgb="FF000000"/>
        <rFont val="Times New Roman"/>
        <family val="1"/>
        <charset val="204"/>
      </rPr>
      <t>13118</t>
    </r>
    <r>
      <rPr>
        <sz val="12"/>
        <color theme="1"/>
        <rFont val="Times New Roman"/>
        <family val="1"/>
        <charset val="204"/>
      </rPr>
      <t xml:space="preserve">, </t>
    </r>
    <r>
      <rPr>
        <sz val="12"/>
        <color rgb="FF000000"/>
        <rFont val="Times New Roman"/>
        <family val="1"/>
        <charset val="204"/>
      </rPr>
      <t>13119</t>
    </r>
    <r>
      <rPr>
        <sz val="12"/>
        <color theme="1"/>
        <rFont val="Times New Roman"/>
        <family val="1"/>
        <charset val="204"/>
      </rPr>
      <t xml:space="preserve">) + </t>
    </r>
    <r>
      <rPr>
        <sz val="12"/>
        <color rgb="FF000000"/>
        <rFont val="Times New Roman"/>
        <family val="1"/>
        <charset val="204"/>
      </rPr>
      <t>132</t>
    </r>
    <r>
      <rPr>
        <sz val="12"/>
        <color theme="1"/>
        <rFont val="Times New Roman"/>
        <family val="1"/>
        <charset val="204"/>
      </rPr>
      <t xml:space="preserve"> (кроме </t>
    </r>
    <r>
      <rPr>
        <sz val="12"/>
        <color rgb="FF000000"/>
        <rFont val="Times New Roman"/>
        <family val="1"/>
        <charset val="204"/>
      </rPr>
      <t>13215</t>
    </r>
    <r>
      <rPr>
        <sz val="12"/>
        <color theme="1"/>
        <rFont val="Times New Roman"/>
        <family val="1"/>
        <charset val="204"/>
      </rPr>
      <t xml:space="preserve">, </t>
    </r>
    <r>
      <rPr>
        <sz val="12"/>
        <color rgb="FF000000"/>
        <rFont val="Times New Roman"/>
        <family val="1"/>
        <charset val="204"/>
      </rPr>
      <t>13216</t>
    </r>
    <r>
      <rPr>
        <sz val="12"/>
        <color theme="1"/>
        <rFont val="Times New Roman"/>
        <family val="1"/>
        <charset val="204"/>
      </rPr>
      <t xml:space="preserve">, </t>
    </r>
    <r>
      <rPr>
        <sz val="12"/>
        <color rgb="FF000000"/>
        <rFont val="Times New Roman"/>
        <family val="1"/>
        <charset val="204"/>
      </rPr>
      <t>13217</t>
    </r>
    <r>
      <rPr>
        <sz val="12"/>
        <color theme="1"/>
        <rFont val="Times New Roman"/>
        <family val="1"/>
        <charset val="204"/>
      </rPr>
      <t xml:space="preserve">) + </t>
    </r>
    <r>
      <rPr>
        <sz val="12"/>
        <color rgb="FF000000"/>
        <rFont val="Times New Roman"/>
        <family val="1"/>
        <charset val="204"/>
      </rPr>
      <t>138</t>
    </r>
    <r>
      <rPr>
        <sz val="12"/>
        <color theme="1"/>
        <rFont val="Times New Roman"/>
        <family val="1"/>
        <charset val="204"/>
      </rPr>
      <t xml:space="preserve"> (кроме </t>
    </r>
    <r>
      <rPr>
        <sz val="12"/>
        <color rgb="FF000000"/>
        <rFont val="Times New Roman"/>
        <family val="1"/>
        <charset val="204"/>
      </rPr>
      <t>13803</t>
    </r>
    <r>
      <rPr>
        <sz val="12"/>
        <color theme="1"/>
        <rFont val="Times New Roman"/>
        <family val="1"/>
        <charset val="204"/>
      </rPr>
      <t xml:space="preserve">, </t>
    </r>
    <r>
      <rPr>
        <sz val="12"/>
        <color rgb="FF000000"/>
        <rFont val="Times New Roman"/>
        <family val="1"/>
        <charset val="204"/>
      </rPr>
      <t>13807</t>
    </r>
    <r>
      <rPr>
        <sz val="12"/>
        <color theme="1"/>
        <rFont val="Times New Roman"/>
        <family val="1"/>
        <charset val="204"/>
      </rPr>
      <t xml:space="preserve">) + </t>
    </r>
    <r>
      <rPr>
        <sz val="12"/>
        <color rgb="FF000000"/>
        <rFont val="Times New Roman"/>
        <family val="1"/>
        <charset val="204"/>
      </rPr>
      <t>28401</t>
    </r>
    <r>
      <rPr>
        <sz val="12"/>
        <color theme="1"/>
        <rFont val="Times New Roman"/>
        <family val="1"/>
        <charset val="204"/>
      </rPr>
      <t xml:space="preserve"> + </t>
    </r>
    <r>
      <rPr>
        <sz val="12"/>
        <color rgb="FF000000"/>
        <rFont val="Times New Roman"/>
        <family val="1"/>
        <charset val="204"/>
      </rPr>
      <t>S278/1.2</t>
    </r>
    <r>
      <rPr>
        <sz val="12"/>
        <color theme="1"/>
        <rFont val="Times New Roman"/>
        <family val="1"/>
        <charset val="204"/>
      </rPr>
      <t xml:space="preserve"> - </t>
    </r>
    <r>
      <rPr>
        <sz val="12"/>
        <color rgb="FF000000"/>
        <rFont val="Times New Roman"/>
        <family val="1"/>
        <charset val="204"/>
      </rPr>
      <t>S28401/1.1</t>
    </r>
    <r>
      <rPr>
        <sz val="12"/>
        <color theme="1"/>
        <rFont val="Times New Roman"/>
        <family val="1"/>
        <charset val="204"/>
      </rPr>
      <t xml:space="preserve"> - </t>
    </r>
    <r>
      <rPr>
        <sz val="12"/>
        <color rgb="FF000000"/>
        <rFont val="Times New Roman"/>
        <family val="1"/>
        <charset val="204"/>
      </rPr>
      <t>331</t>
    </r>
    <r>
      <rPr>
        <sz val="12"/>
        <color theme="1"/>
        <rFont val="Times New Roman"/>
        <family val="1"/>
        <charset val="204"/>
      </rPr>
      <t xml:space="preserve"> (кроме </t>
    </r>
    <r>
      <rPr>
        <sz val="12"/>
        <color rgb="FF000000"/>
        <rFont val="Times New Roman"/>
        <family val="1"/>
        <charset val="204"/>
      </rPr>
      <t>33118</t>
    </r>
    <r>
      <rPr>
        <sz val="12"/>
        <color theme="1"/>
        <rFont val="Times New Roman"/>
        <family val="1"/>
        <charset val="204"/>
      </rPr>
      <t xml:space="preserve">, </t>
    </r>
    <r>
      <rPr>
        <sz val="12"/>
        <color rgb="FF000000"/>
        <rFont val="Times New Roman"/>
        <family val="1"/>
        <charset val="204"/>
      </rPr>
      <t>33119</t>
    </r>
    <r>
      <rPr>
        <sz val="12"/>
        <color theme="1"/>
        <rFont val="Times New Roman"/>
        <family val="1"/>
        <charset val="204"/>
      </rPr>
      <t xml:space="preserve">) - </t>
    </r>
    <r>
      <rPr>
        <sz val="12"/>
        <color rgb="FF000000"/>
        <rFont val="Times New Roman"/>
        <family val="1"/>
        <charset val="204"/>
      </rPr>
      <t>332</t>
    </r>
    <r>
      <rPr>
        <sz val="12"/>
        <color theme="1"/>
        <rFont val="Times New Roman"/>
        <family val="1"/>
        <charset val="204"/>
      </rPr>
      <t xml:space="preserve"> (кроме </t>
    </r>
    <r>
      <rPr>
        <sz val="12"/>
        <color rgb="FF000000"/>
        <rFont val="Times New Roman"/>
        <family val="1"/>
        <charset val="204"/>
      </rPr>
      <t>33215</t>
    </r>
    <r>
      <rPr>
        <sz val="12"/>
        <color theme="1"/>
        <rFont val="Times New Roman"/>
        <family val="1"/>
        <charset val="204"/>
      </rPr>
      <t xml:space="preserve">, </t>
    </r>
    <r>
      <rPr>
        <sz val="12"/>
        <color rgb="FF000000"/>
        <rFont val="Times New Roman"/>
        <family val="1"/>
        <charset val="204"/>
      </rPr>
      <t>33216</t>
    </r>
    <r>
      <rPr>
        <sz val="12"/>
        <color theme="1"/>
        <rFont val="Times New Roman"/>
        <family val="1"/>
        <charset val="204"/>
      </rPr>
      <t xml:space="preserve">, </t>
    </r>
    <r>
      <rPr>
        <sz val="12"/>
        <color rgb="FF000000"/>
        <rFont val="Times New Roman"/>
        <family val="1"/>
        <charset val="204"/>
      </rPr>
      <t>33217</t>
    </r>
    <r>
      <rPr>
        <sz val="12"/>
        <color theme="1"/>
        <rFont val="Times New Roman"/>
        <family val="1"/>
        <charset val="204"/>
      </rPr>
      <t xml:space="preserve">) - </t>
    </r>
    <r>
      <rPr>
        <sz val="12"/>
        <color rgb="FF000000"/>
        <rFont val="Times New Roman"/>
        <family val="1"/>
        <charset val="204"/>
      </rPr>
      <t>338</t>
    </r>
    <r>
      <rPr>
        <sz val="12"/>
        <color theme="1"/>
        <rFont val="Times New Roman"/>
        <family val="1"/>
        <charset val="204"/>
      </rPr>
      <t xml:space="preserve"> (кроме </t>
    </r>
    <r>
      <rPr>
        <sz val="12"/>
        <color rgb="FF000000"/>
        <rFont val="Times New Roman"/>
        <family val="1"/>
        <charset val="204"/>
      </rPr>
      <t>33803</t>
    </r>
    <r>
      <rPr>
        <sz val="12"/>
        <color theme="1"/>
        <rFont val="Times New Roman"/>
        <family val="1"/>
        <charset val="204"/>
      </rPr>
      <t xml:space="preserve">, </t>
    </r>
    <r>
      <rPr>
        <sz val="12"/>
        <color rgb="FF000000"/>
        <rFont val="Times New Roman"/>
        <family val="1"/>
        <charset val="204"/>
      </rPr>
      <t>33807</t>
    </r>
    <r>
      <rPr>
        <sz val="12"/>
        <color theme="1"/>
        <rFont val="Times New Roman"/>
        <family val="1"/>
        <charset val="204"/>
      </rPr>
      <t xml:space="preserve">) - </t>
    </r>
    <r>
      <rPr>
        <sz val="12"/>
        <color rgb="FF000000"/>
        <rFont val="Times New Roman"/>
        <family val="1"/>
        <charset val="204"/>
      </rPr>
      <t>341</t>
    </r>
    <r>
      <rPr>
        <sz val="12"/>
        <color theme="1"/>
        <rFont val="Times New Roman"/>
        <family val="1"/>
        <charset val="204"/>
      </rPr>
      <t xml:space="preserve"> (кроме </t>
    </r>
    <r>
      <rPr>
        <sz val="12"/>
        <color rgb="FF000000"/>
        <rFont val="Times New Roman"/>
        <family val="1"/>
        <charset val="204"/>
      </rPr>
      <t>34118</t>
    </r>
    <r>
      <rPr>
        <sz val="12"/>
        <color theme="1"/>
        <rFont val="Times New Roman"/>
        <family val="1"/>
        <charset val="204"/>
      </rPr>
      <t xml:space="preserve">, </t>
    </r>
    <r>
      <rPr>
        <sz val="12"/>
        <color rgb="FF000000"/>
        <rFont val="Times New Roman"/>
        <family val="1"/>
        <charset val="204"/>
      </rPr>
      <t>34119</t>
    </r>
    <r>
      <rPr>
        <sz val="12"/>
        <color theme="1"/>
        <rFont val="Times New Roman"/>
        <family val="1"/>
        <charset val="204"/>
      </rPr>
      <t xml:space="preserve">) - </t>
    </r>
    <r>
      <rPr>
        <sz val="12"/>
        <color rgb="FF000000"/>
        <rFont val="Times New Roman"/>
        <family val="1"/>
        <charset val="204"/>
      </rPr>
      <t>342</t>
    </r>
    <r>
      <rPr>
        <sz val="12"/>
        <color theme="1"/>
        <rFont val="Times New Roman"/>
        <family val="1"/>
        <charset val="204"/>
      </rPr>
      <t xml:space="preserve"> (кроме </t>
    </r>
    <r>
      <rPr>
        <sz val="12"/>
        <color rgb="FF000000"/>
        <rFont val="Times New Roman"/>
        <family val="1"/>
        <charset val="204"/>
      </rPr>
      <t>34215</t>
    </r>
    <r>
      <rPr>
        <sz val="12"/>
        <color theme="1"/>
        <rFont val="Times New Roman"/>
        <family val="1"/>
        <charset val="204"/>
      </rPr>
      <t xml:space="preserve">, </t>
    </r>
    <r>
      <rPr>
        <sz val="12"/>
        <color rgb="FF000000"/>
        <rFont val="Times New Roman"/>
        <family val="1"/>
        <charset val="204"/>
      </rPr>
      <t>34216</t>
    </r>
    <r>
      <rPr>
        <sz val="12"/>
        <color theme="1"/>
        <rFont val="Times New Roman"/>
        <family val="1"/>
        <charset val="204"/>
      </rPr>
      <t xml:space="preserve">, </t>
    </r>
    <r>
      <rPr>
        <sz val="12"/>
        <color rgb="FF000000"/>
        <rFont val="Times New Roman"/>
        <family val="1"/>
        <charset val="204"/>
      </rPr>
      <t>34217</t>
    </r>
    <r>
      <rPr>
        <sz val="12"/>
        <color theme="1"/>
        <rFont val="Times New Roman"/>
        <family val="1"/>
        <charset val="204"/>
      </rPr>
      <t xml:space="preserve">) - </t>
    </r>
    <r>
      <rPr>
        <sz val="12"/>
        <color rgb="FF000000"/>
        <rFont val="Times New Roman"/>
        <family val="1"/>
        <charset val="204"/>
      </rPr>
      <t>346</t>
    </r>
    <r>
      <rPr>
        <sz val="12"/>
        <color theme="1"/>
        <rFont val="Times New Roman"/>
        <family val="1"/>
        <charset val="204"/>
      </rPr>
      <t xml:space="preserve"> (кроме </t>
    </r>
    <r>
      <rPr>
        <sz val="12"/>
        <color rgb="FF000000"/>
        <rFont val="Times New Roman"/>
        <family val="1"/>
        <charset val="204"/>
      </rPr>
      <t>34603</t>
    </r>
    <r>
      <rPr>
        <sz val="12"/>
        <color theme="1"/>
        <rFont val="Times New Roman"/>
        <family val="1"/>
        <charset val="204"/>
      </rPr>
      <t xml:space="preserve">, </t>
    </r>
    <r>
      <rPr>
        <sz val="12"/>
        <color rgb="FF000000"/>
        <rFont val="Times New Roman"/>
        <family val="1"/>
        <charset val="204"/>
      </rPr>
      <t>34607</t>
    </r>
    <r>
      <rPr>
        <sz val="12"/>
        <color theme="1"/>
        <rFont val="Times New Roman"/>
        <family val="1"/>
        <charset val="204"/>
      </rPr>
      <t xml:space="preserve">) - </t>
    </r>
    <r>
      <rPr>
        <sz val="12"/>
        <color rgb="FF000000"/>
        <rFont val="Times New Roman"/>
        <family val="1"/>
        <charset val="204"/>
      </rPr>
      <t>351</t>
    </r>
    <r>
      <rPr>
        <sz val="12"/>
        <color theme="1"/>
        <rFont val="Times New Roman"/>
        <family val="1"/>
        <charset val="204"/>
      </rPr>
      <t xml:space="preserve"> (кроме </t>
    </r>
    <r>
      <rPr>
        <sz val="12"/>
        <color rgb="FF000000"/>
        <rFont val="Times New Roman"/>
        <family val="1"/>
        <charset val="204"/>
      </rPr>
      <t>35118</t>
    </r>
    <r>
      <rPr>
        <sz val="12"/>
        <color theme="1"/>
        <rFont val="Times New Roman"/>
        <family val="1"/>
        <charset val="204"/>
      </rPr>
      <t xml:space="preserve">, </t>
    </r>
    <r>
      <rPr>
        <sz val="12"/>
        <color rgb="FF000000"/>
        <rFont val="Times New Roman"/>
        <family val="1"/>
        <charset val="204"/>
      </rPr>
      <t>35119</t>
    </r>
    <r>
      <rPr>
        <sz val="12"/>
        <color theme="1"/>
        <rFont val="Times New Roman"/>
        <family val="1"/>
        <charset val="204"/>
      </rPr>
      <t xml:space="preserve">) - </t>
    </r>
    <r>
      <rPr>
        <sz val="12"/>
        <color rgb="FF000000"/>
        <rFont val="Times New Roman"/>
        <family val="1"/>
        <charset val="204"/>
      </rPr>
      <t>352</t>
    </r>
    <r>
      <rPr>
        <sz val="12"/>
        <color theme="1"/>
        <rFont val="Times New Roman"/>
        <family val="1"/>
        <charset val="204"/>
      </rPr>
      <t xml:space="preserve"> (кроме </t>
    </r>
    <r>
      <rPr>
        <sz val="12"/>
        <color rgb="FF000000"/>
        <rFont val="Times New Roman"/>
        <family val="1"/>
        <charset val="204"/>
      </rPr>
      <t>35215</t>
    </r>
    <r>
      <rPr>
        <sz val="12"/>
        <color theme="1"/>
        <rFont val="Times New Roman"/>
        <family val="1"/>
        <charset val="204"/>
      </rPr>
      <t xml:space="preserve">, </t>
    </r>
    <r>
      <rPr>
        <sz val="12"/>
        <color rgb="FF000000"/>
        <rFont val="Times New Roman"/>
        <family val="1"/>
        <charset val="204"/>
      </rPr>
      <t>35216</t>
    </r>
    <r>
      <rPr>
        <sz val="12"/>
        <color theme="1"/>
        <rFont val="Times New Roman"/>
        <family val="1"/>
        <charset val="204"/>
      </rPr>
      <t xml:space="preserve">, </t>
    </r>
    <r>
      <rPr>
        <sz val="12"/>
        <color rgb="FF000000"/>
        <rFont val="Times New Roman"/>
        <family val="1"/>
        <charset val="204"/>
      </rPr>
      <t>35217</t>
    </r>
    <r>
      <rPr>
        <sz val="12"/>
        <color theme="1"/>
        <rFont val="Times New Roman"/>
        <family val="1"/>
        <charset val="204"/>
      </rPr>
      <t xml:space="preserve">) - </t>
    </r>
    <r>
      <rPr>
        <sz val="12"/>
        <color rgb="FF000000"/>
        <rFont val="Times New Roman"/>
        <family val="1"/>
        <charset val="204"/>
      </rPr>
      <t>358</t>
    </r>
    <r>
      <rPr>
        <sz val="12"/>
        <color theme="1"/>
        <rFont val="Times New Roman"/>
        <family val="1"/>
        <charset val="204"/>
      </rPr>
      <t xml:space="preserve"> (кроме </t>
    </r>
    <r>
      <rPr>
        <sz val="12"/>
        <color rgb="FF000000"/>
        <rFont val="Times New Roman"/>
        <family val="1"/>
        <charset val="204"/>
      </rPr>
      <t>35803</t>
    </r>
    <r>
      <rPr>
        <sz val="12"/>
        <color theme="1"/>
        <rFont val="Times New Roman"/>
        <family val="1"/>
        <charset val="204"/>
      </rPr>
      <t xml:space="preserve">, </t>
    </r>
    <r>
      <rPr>
        <sz val="12"/>
        <color rgb="FF000000"/>
        <rFont val="Times New Roman"/>
        <family val="1"/>
        <charset val="204"/>
      </rPr>
      <t>35807</t>
    </r>
    <r>
      <rPr>
        <sz val="12"/>
        <color theme="1"/>
        <rFont val="Times New Roman"/>
        <family val="1"/>
        <charset val="204"/>
      </rPr>
      <t xml:space="preserve">) + </t>
    </r>
    <r>
      <rPr>
        <sz val="12"/>
        <color rgb="FF000000"/>
        <rFont val="Times New Roman"/>
        <family val="1"/>
        <charset val="204"/>
      </rPr>
      <t>S211/1.2</t>
    </r>
  </si>
  <si>
    <t>от оказания услуг по финансовой аренде (лизингу)</t>
  </si>
  <si>
    <t>от вложений в ценные бумаги</t>
  </si>
  <si>
    <r>
      <t>115</t>
    </r>
    <r>
      <rPr>
        <sz val="12"/>
        <color theme="1"/>
        <rFont val="Times New Roman"/>
        <family val="1"/>
        <charset val="204"/>
      </rPr>
      <t xml:space="preserve"> + </t>
    </r>
    <r>
      <rPr>
        <sz val="12"/>
        <color rgb="FF000000"/>
        <rFont val="Times New Roman"/>
        <family val="1"/>
        <charset val="204"/>
      </rPr>
      <t>116</t>
    </r>
    <r>
      <rPr>
        <sz val="12"/>
        <color theme="1"/>
        <rFont val="Times New Roman"/>
        <family val="1"/>
        <charset val="204"/>
      </rPr>
      <t xml:space="preserve"> + </t>
    </r>
    <r>
      <rPr>
        <sz val="12"/>
        <color rgb="FF000000"/>
        <rFont val="Times New Roman"/>
        <family val="1"/>
        <charset val="204"/>
      </rPr>
      <t>117</t>
    </r>
    <r>
      <rPr>
        <sz val="12"/>
        <color theme="1"/>
        <rFont val="Times New Roman"/>
        <family val="1"/>
        <charset val="204"/>
      </rPr>
      <t xml:space="preserve"> + </t>
    </r>
    <r>
      <rPr>
        <sz val="12"/>
        <color rgb="FF000000"/>
        <rFont val="Times New Roman"/>
        <family val="1"/>
        <charset val="204"/>
      </rPr>
      <t>135</t>
    </r>
    <r>
      <rPr>
        <sz val="12"/>
        <color theme="1"/>
        <rFont val="Times New Roman"/>
        <family val="1"/>
        <charset val="204"/>
      </rPr>
      <t xml:space="preserve"> + </t>
    </r>
    <r>
      <rPr>
        <sz val="12"/>
        <color rgb="FF000000"/>
        <rFont val="Times New Roman"/>
        <family val="1"/>
        <charset val="204"/>
      </rPr>
      <t>136</t>
    </r>
    <r>
      <rPr>
        <sz val="12"/>
        <color theme="1"/>
        <rFont val="Times New Roman"/>
        <family val="1"/>
        <charset val="204"/>
      </rPr>
      <t xml:space="preserve"> + </t>
    </r>
    <r>
      <rPr>
        <sz val="12"/>
        <color rgb="FF000000"/>
        <rFont val="Times New Roman"/>
        <family val="1"/>
        <charset val="204"/>
      </rPr>
      <t>137</t>
    </r>
    <r>
      <rPr>
        <sz val="12"/>
        <color theme="1"/>
        <rFont val="Times New Roman"/>
        <family val="1"/>
        <charset val="204"/>
      </rPr>
      <t xml:space="preserve"> - </t>
    </r>
    <r>
      <rPr>
        <sz val="12"/>
        <color rgb="FF000000"/>
        <rFont val="Times New Roman"/>
        <family val="1"/>
        <charset val="204"/>
      </rPr>
      <t>335</t>
    </r>
    <r>
      <rPr>
        <sz val="12"/>
        <color theme="1"/>
        <rFont val="Times New Roman"/>
        <family val="1"/>
        <charset val="204"/>
      </rPr>
      <t xml:space="preserve"> - </t>
    </r>
    <r>
      <rPr>
        <sz val="12"/>
        <color rgb="FF000000"/>
        <rFont val="Times New Roman"/>
        <family val="1"/>
        <charset val="204"/>
      </rPr>
      <t>336</t>
    </r>
    <r>
      <rPr>
        <sz val="12"/>
        <color theme="1"/>
        <rFont val="Times New Roman"/>
        <family val="1"/>
        <charset val="204"/>
      </rPr>
      <t xml:space="preserve"> - </t>
    </r>
    <r>
      <rPr>
        <sz val="12"/>
        <color rgb="FF000000"/>
        <rFont val="Times New Roman"/>
        <family val="1"/>
        <charset val="204"/>
      </rPr>
      <t>337</t>
    </r>
    <r>
      <rPr>
        <sz val="12"/>
        <color theme="1"/>
        <rFont val="Times New Roman"/>
        <family val="1"/>
        <charset val="204"/>
      </rPr>
      <t xml:space="preserve"> - </t>
    </r>
    <r>
      <rPr>
        <sz val="12"/>
        <color rgb="FF000000"/>
        <rFont val="Times New Roman"/>
        <family val="1"/>
        <charset val="204"/>
      </rPr>
      <t>343</t>
    </r>
    <r>
      <rPr>
        <sz val="12"/>
        <color theme="1"/>
        <rFont val="Times New Roman"/>
        <family val="1"/>
        <charset val="204"/>
      </rPr>
      <t xml:space="preserve"> - </t>
    </r>
    <r>
      <rPr>
        <sz val="12"/>
        <color rgb="FF000000"/>
        <rFont val="Times New Roman"/>
        <family val="1"/>
        <charset val="204"/>
      </rPr>
      <t>344</t>
    </r>
    <r>
      <rPr>
        <sz val="12"/>
        <color theme="1"/>
        <rFont val="Times New Roman"/>
        <family val="1"/>
        <charset val="204"/>
      </rPr>
      <t xml:space="preserve"> - </t>
    </r>
    <r>
      <rPr>
        <sz val="12"/>
        <color rgb="FF000000"/>
        <rFont val="Times New Roman"/>
        <family val="1"/>
        <charset val="204"/>
      </rPr>
      <t>345</t>
    </r>
    <r>
      <rPr>
        <sz val="12"/>
        <color theme="1"/>
        <rFont val="Times New Roman"/>
        <family val="1"/>
        <charset val="204"/>
      </rPr>
      <t xml:space="preserve"> - </t>
    </r>
    <r>
      <rPr>
        <sz val="12"/>
        <color rgb="FF000000"/>
        <rFont val="Times New Roman"/>
        <family val="1"/>
        <charset val="204"/>
      </rPr>
      <t>355</t>
    </r>
    <r>
      <rPr>
        <sz val="12"/>
        <color theme="1"/>
        <rFont val="Times New Roman"/>
        <family val="1"/>
        <charset val="204"/>
      </rPr>
      <t xml:space="preserve"> - </t>
    </r>
    <r>
      <rPr>
        <sz val="12"/>
        <color rgb="FF000000"/>
        <rFont val="Times New Roman"/>
        <family val="1"/>
        <charset val="204"/>
      </rPr>
      <t>356</t>
    </r>
    <r>
      <rPr>
        <sz val="12"/>
        <color theme="1"/>
        <rFont val="Times New Roman"/>
        <family val="1"/>
        <charset val="204"/>
      </rPr>
      <t xml:space="preserve"> - </t>
    </r>
    <r>
      <rPr>
        <sz val="12"/>
        <color rgb="FF000000"/>
        <rFont val="Times New Roman"/>
        <family val="1"/>
        <charset val="204"/>
      </rPr>
      <t>357</t>
    </r>
  </si>
  <si>
    <t>Разработочная таблица для составления Отчета о финансовых результатах (публикуемой формы)</t>
  </si>
  <si>
    <r>
      <t>Процентные расходы, всего (</t>
    </r>
    <r>
      <rPr>
        <sz val="12"/>
        <color rgb="FF000000"/>
        <rFont val="Times New Roman"/>
        <family val="1"/>
        <charset val="204"/>
      </rPr>
      <t>стр. 2.1</t>
    </r>
    <r>
      <rPr>
        <sz val="12"/>
        <color theme="1"/>
        <rFont val="Times New Roman"/>
        <family val="1"/>
        <charset val="204"/>
      </rPr>
      <t xml:space="preserve"> + </t>
    </r>
    <r>
      <rPr>
        <sz val="12"/>
        <color rgb="FF000000"/>
        <rFont val="Times New Roman"/>
        <family val="1"/>
        <charset val="204"/>
      </rPr>
      <t>стр. 2.2</t>
    </r>
    <r>
      <rPr>
        <sz val="12"/>
        <color theme="1"/>
        <rFont val="Times New Roman"/>
        <family val="1"/>
        <charset val="204"/>
      </rPr>
      <t xml:space="preserve"> + </t>
    </r>
    <r>
      <rPr>
        <sz val="12"/>
        <color rgb="FF000000"/>
        <rFont val="Times New Roman"/>
        <family val="1"/>
        <charset val="204"/>
      </rPr>
      <t>стр. 2.3</t>
    </r>
    <r>
      <rPr>
        <sz val="12"/>
        <color theme="1"/>
        <rFont val="Times New Roman"/>
        <family val="1"/>
        <charset val="204"/>
      </rPr>
      <t>),</t>
    </r>
  </si>
  <si>
    <t>в том числе:</t>
  </si>
  <si>
    <t>по привлеченным средствам кредитных организаций</t>
  </si>
  <si>
    <r>
      <t>311</t>
    </r>
    <r>
      <rPr>
        <sz val="12"/>
        <color theme="1"/>
        <rFont val="Times New Roman"/>
        <family val="1"/>
        <charset val="204"/>
      </rPr>
      <t xml:space="preserve"> (кроме </t>
    </r>
    <r>
      <rPr>
        <sz val="12"/>
        <color rgb="FF000000"/>
        <rFont val="Times New Roman"/>
        <family val="1"/>
        <charset val="204"/>
      </rPr>
      <t>31104</t>
    </r>
    <r>
      <rPr>
        <sz val="12"/>
        <color theme="1"/>
        <rFont val="Times New Roman"/>
        <family val="1"/>
        <charset val="204"/>
      </rPr>
      <t xml:space="preserve">, </t>
    </r>
    <r>
      <rPr>
        <sz val="12"/>
        <color rgb="FF000000"/>
        <rFont val="Times New Roman"/>
        <family val="1"/>
        <charset val="204"/>
      </rPr>
      <t>31105</t>
    </r>
    <r>
      <rPr>
        <sz val="12"/>
        <color theme="1"/>
        <rFont val="Times New Roman"/>
        <family val="1"/>
        <charset val="204"/>
      </rPr>
      <t xml:space="preserve">) + </t>
    </r>
    <r>
      <rPr>
        <sz val="12"/>
        <color rgb="FF000000"/>
        <rFont val="Times New Roman"/>
        <family val="1"/>
        <charset val="204"/>
      </rPr>
      <t xml:space="preserve">31210 </t>
    </r>
    <r>
      <rPr>
        <sz val="12"/>
        <color theme="1"/>
        <rFont val="Times New Roman"/>
        <family val="1"/>
        <charset val="204"/>
      </rPr>
      <t xml:space="preserve">+ </t>
    </r>
    <r>
      <rPr>
        <sz val="12"/>
        <color rgb="FF000000"/>
        <rFont val="Times New Roman"/>
        <family val="1"/>
        <charset val="204"/>
      </rPr>
      <t>31211</t>
    </r>
    <r>
      <rPr>
        <sz val="12"/>
        <color theme="1"/>
        <rFont val="Times New Roman"/>
        <family val="1"/>
        <charset val="204"/>
      </rPr>
      <t xml:space="preserve"> + </t>
    </r>
    <r>
      <rPr>
        <sz val="12"/>
        <color rgb="FF000000"/>
        <rFont val="Times New Roman"/>
        <family val="1"/>
        <charset val="204"/>
      </rPr>
      <t>31315</t>
    </r>
    <r>
      <rPr>
        <sz val="12"/>
        <color theme="1"/>
        <rFont val="Times New Roman"/>
        <family val="1"/>
        <charset val="204"/>
      </rPr>
      <t xml:space="preserve"> + </t>
    </r>
    <r>
      <rPr>
        <sz val="12"/>
        <color rgb="FF000000"/>
        <rFont val="Times New Roman"/>
        <family val="1"/>
        <charset val="204"/>
      </rPr>
      <t>31316</t>
    </r>
    <r>
      <rPr>
        <sz val="12"/>
        <color theme="1"/>
        <rFont val="Times New Roman"/>
        <family val="1"/>
        <charset val="204"/>
      </rPr>
      <t xml:space="preserve"> + </t>
    </r>
    <r>
      <rPr>
        <sz val="12"/>
        <color rgb="FF000000"/>
        <rFont val="Times New Roman"/>
        <family val="1"/>
        <charset val="204"/>
      </rPr>
      <t>31317</t>
    </r>
    <r>
      <rPr>
        <sz val="12"/>
        <color theme="1"/>
        <rFont val="Times New Roman"/>
        <family val="1"/>
        <charset val="204"/>
      </rPr>
      <t xml:space="preserve"> + </t>
    </r>
    <r>
      <rPr>
        <sz val="12"/>
        <color rgb="FF000000"/>
        <rFont val="Times New Roman"/>
        <family val="1"/>
        <charset val="204"/>
      </rPr>
      <t>31415</t>
    </r>
    <r>
      <rPr>
        <sz val="12"/>
        <color theme="1"/>
        <rFont val="Times New Roman"/>
        <family val="1"/>
        <charset val="204"/>
      </rPr>
      <t xml:space="preserve"> + </t>
    </r>
    <r>
      <rPr>
        <sz val="12"/>
        <color rgb="FF000000"/>
        <rFont val="Times New Roman"/>
        <family val="1"/>
        <charset val="204"/>
      </rPr>
      <t>31416</t>
    </r>
    <r>
      <rPr>
        <sz val="12"/>
        <color theme="1"/>
        <rFont val="Times New Roman"/>
        <family val="1"/>
        <charset val="204"/>
      </rPr>
      <t xml:space="preserve"> + </t>
    </r>
    <r>
      <rPr>
        <sz val="12"/>
        <color rgb="FF000000"/>
        <rFont val="Times New Roman"/>
        <family val="1"/>
        <charset val="204"/>
      </rPr>
      <t>31417</t>
    </r>
    <r>
      <rPr>
        <sz val="12"/>
        <color theme="1"/>
        <rFont val="Times New Roman"/>
        <family val="1"/>
        <charset val="204"/>
      </rPr>
      <t xml:space="preserve"> + </t>
    </r>
    <r>
      <rPr>
        <sz val="12"/>
        <color rgb="FF000000"/>
        <rFont val="Times New Roman"/>
        <family val="1"/>
        <charset val="204"/>
      </rPr>
      <t>319</t>
    </r>
    <r>
      <rPr>
        <sz val="12"/>
        <color theme="1"/>
        <rFont val="Times New Roman"/>
        <family val="1"/>
        <charset val="204"/>
      </rPr>
      <t xml:space="preserve"> + </t>
    </r>
    <r>
      <rPr>
        <sz val="12"/>
        <color rgb="FF000000"/>
        <rFont val="Times New Roman"/>
        <family val="1"/>
        <charset val="204"/>
      </rPr>
      <t>321</t>
    </r>
    <r>
      <rPr>
        <sz val="12"/>
        <color theme="1"/>
        <rFont val="Times New Roman"/>
        <family val="1"/>
        <charset val="204"/>
      </rPr>
      <t xml:space="preserve"> (кроме </t>
    </r>
    <r>
      <rPr>
        <sz val="12"/>
        <color rgb="FF000000"/>
        <rFont val="Times New Roman"/>
        <family val="1"/>
        <charset val="204"/>
      </rPr>
      <t>32104</t>
    </r>
    <r>
      <rPr>
        <sz val="12"/>
        <color theme="1"/>
        <rFont val="Times New Roman"/>
        <family val="1"/>
        <charset val="204"/>
      </rPr>
      <t xml:space="preserve">, </t>
    </r>
    <r>
      <rPr>
        <sz val="12"/>
        <color rgb="FF000000"/>
        <rFont val="Times New Roman"/>
        <family val="1"/>
        <charset val="204"/>
      </rPr>
      <t>32105</t>
    </r>
    <r>
      <rPr>
        <sz val="12"/>
        <color theme="1"/>
        <rFont val="Times New Roman"/>
        <family val="1"/>
        <charset val="204"/>
      </rPr>
      <t xml:space="preserve">) + </t>
    </r>
    <r>
      <rPr>
        <sz val="12"/>
        <color rgb="FF000000"/>
        <rFont val="Times New Roman"/>
        <family val="1"/>
        <charset val="204"/>
      </rPr>
      <t>32215</t>
    </r>
    <r>
      <rPr>
        <sz val="12"/>
        <color theme="1"/>
        <rFont val="Times New Roman"/>
        <family val="1"/>
        <charset val="204"/>
      </rPr>
      <t xml:space="preserve"> + </t>
    </r>
    <r>
      <rPr>
        <sz val="12"/>
        <color rgb="FF000000"/>
        <rFont val="Times New Roman"/>
        <family val="1"/>
        <charset val="204"/>
      </rPr>
      <t>32216</t>
    </r>
    <r>
      <rPr>
        <sz val="12"/>
        <color theme="1"/>
        <rFont val="Times New Roman"/>
        <family val="1"/>
        <charset val="204"/>
      </rPr>
      <t xml:space="preserve"> + </t>
    </r>
    <r>
      <rPr>
        <sz val="12"/>
        <color rgb="FF000000"/>
        <rFont val="Times New Roman"/>
        <family val="1"/>
        <charset val="204"/>
      </rPr>
      <t>32217</t>
    </r>
    <r>
      <rPr>
        <sz val="12"/>
        <color theme="1"/>
        <rFont val="Times New Roman"/>
        <family val="1"/>
        <charset val="204"/>
      </rPr>
      <t xml:space="preserve"> + </t>
    </r>
    <r>
      <rPr>
        <sz val="12"/>
        <color rgb="FF000000"/>
        <rFont val="Times New Roman"/>
        <family val="1"/>
        <charset val="204"/>
      </rPr>
      <t>32315</t>
    </r>
    <r>
      <rPr>
        <sz val="12"/>
        <color theme="1"/>
        <rFont val="Times New Roman"/>
        <family val="1"/>
        <charset val="204"/>
      </rPr>
      <t xml:space="preserve"> + </t>
    </r>
    <r>
      <rPr>
        <sz val="12"/>
        <color rgb="FF000000"/>
        <rFont val="Times New Roman"/>
        <family val="1"/>
        <charset val="204"/>
      </rPr>
      <t>32316</t>
    </r>
    <r>
      <rPr>
        <sz val="12"/>
        <color theme="1"/>
        <rFont val="Times New Roman"/>
        <family val="1"/>
        <charset val="204"/>
      </rPr>
      <t xml:space="preserve"> + </t>
    </r>
    <r>
      <rPr>
        <sz val="12"/>
        <color rgb="FF000000"/>
        <rFont val="Times New Roman"/>
        <family val="1"/>
        <charset val="204"/>
      </rPr>
      <t>32317</t>
    </r>
    <r>
      <rPr>
        <sz val="12"/>
        <color theme="1"/>
        <rFont val="Times New Roman"/>
        <family val="1"/>
        <charset val="204"/>
      </rPr>
      <t xml:space="preserve"> + </t>
    </r>
    <r>
      <rPr>
        <sz val="12"/>
        <color rgb="FF000000"/>
        <rFont val="Times New Roman"/>
        <family val="1"/>
        <charset val="204"/>
      </rPr>
      <t>361</t>
    </r>
    <r>
      <rPr>
        <sz val="12"/>
        <color theme="1"/>
        <rFont val="Times New Roman"/>
        <family val="1"/>
        <charset val="204"/>
      </rPr>
      <t xml:space="preserve"> (кроме </t>
    </r>
    <r>
      <rPr>
        <sz val="12"/>
        <color rgb="FF000000"/>
        <rFont val="Times New Roman"/>
        <family val="1"/>
        <charset val="204"/>
      </rPr>
      <t>36104</t>
    </r>
    <r>
      <rPr>
        <sz val="12"/>
        <color theme="1"/>
        <rFont val="Times New Roman"/>
        <family val="1"/>
        <charset val="204"/>
      </rPr>
      <t xml:space="preserve">, </t>
    </r>
    <r>
      <rPr>
        <sz val="12"/>
        <color rgb="FF000000"/>
        <rFont val="Times New Roman"/>
        <family val="1"/>
        <charset val="204"/>
      </rPr>
      <t>36105</t>
    </r>
    <r>
      <rPr>
        <sz val="12"/>
        <color theme="1"/>
        <rFont val="Times New Roman"/>
        <family val="1"/>
        <charset val="204"/>
      </rPr>
      <t xml:space="preserve">) + </t>
    </r>
    <r>
      <rPr>
        <sz val="12"/>
        <color rgb="FF000000"/>
        <rFont val="Times New Roman"/>
        <family val="1"/>
        <charset val="204"/>
      </rPr>
      <t>36210</t>
    </r>
    <r>
      <rPr>
        <sz val="12"/>
        <color theme="1"/>
        <rFont val="Times New Roman"/>
        <family val="1"/>
        <charset val="204"/>
      </rPr>
      <t xml:space="preserve"> + </t>
    </r>
    <r>
      <rPr>
        <sz val="12"/>
        <color rgb="FF000000"/>
        <rFont val="Times New Roman"/>
        <family val="1"/>
        <charset val="204"/>
      </rPr>
      <t>36211</t>
    </r>
    <r>
      <rPr>
        <sz val="12"/>
        <color theme="1"/>
        <rFont val="Times New Roman"/>
        <family val="1"/>
        <charset val="204"/>
      </rPr>
      <t xml:space="preserve"> + </t>
    </r>
    <r>
      <rPr>
        <sz val="12"/>
        <color rgb="FF000000"/>
        <rFont val="Times New Roman"/>
        <family val="1"/>
        <charset val="204"/>
      </rPr>
      <t>36315</t>
    </r>
    <r>
      <rPr>
        <sz val="12"/>
        <color theme="1"/>
        <rFont val="Times New Roman"/>
        <family val="1"/>
        <charset val="204"/>
      </rPr>
      <t xml:space="preserve"> + </t>
    </r>
    <r>
      <rPr>
        <sz val="12"/>
        <color rgb="FF000000"/>
        <rFont val="Times New Roman"/>
        <family val="1"/>
        <charset val="204"/>
      </rPr>
      <t>36316</t>
    </r>
    <r>
      <rPr>
        <sz val="12"/>
        <color theme="1"/>
        <rFont val="Times New Roman"/>
        <family val="1"/>
        <charset val="204"/>
      </rPr>
      <t xml:space="preserve"> + </t>
    </r>
    <r>
      <rPr>
        <sz val="12"/>
        <color rgb="FF000000"/>
        <rFont val="Times New Roman"/>
        <family val="1"/>
        <charset val="204"/>
      </rPr>
      <t>36317</t>
    </r>
    <r>
      <rPr>
        <sz val="12"/>
        <color theme="1"/>
        <rFont val="Times New Roman"/>
        <family val="1"/>
        <charset val="204"/>
      </rPr>
      <t xml:space="preserve"> + </t>
    </r>
    <r>
      <rPr>
        <sz val="12"/>
        <color rgb="FF000000"/>
        <rFont val="Times New Roman"/>
        <family val="1"/>
        <charset val="204"/>
      </rPr>
      <t>36415</t>
    </r>
    <r>
      <rPr>
        <sz val="12"/>
        <color theme="1"/>
        <rFont val="Times New Roman"/>
        <family val="1"/>
        <charset val="204"/>
      </rPr>
      <t xml:space="preserve"> + </t>
    </r>
    <r>
      <rPr>
        <sz val="12"/>
        <color rgb="FF000000"/>
        <rFont val="Times New Roman"/>
        <family val="1"/>
        <charset val="204"/>
      </rPr>
      <t>36416</t>
    </r>
    <r>
      <rPr>
        <sz val="12"/>
        <color theme="1"/>
        <rFont val="Times New Roman"/>
        <family val="1"/>
        <charset val="204"/>
      </rPr>
      <t xml:space="preserve"> + </t>
    </r>
    <r>
      <rPr>
        <sz val="12"/>
        <color rgb="FF000000"/>
        <rFont val="Times New Roman"/>
        <family val="1"/>
        <charset val="204"/>
      </rPr>
      <t>36417</t>
    </r>
    <r>
      <rPr>
        <sz val="12"/>
        <color theme="1"/>
        <rFont val="Times New Roman"/>
        <family val="1"/>
        <charset val="204"/>
      </rPr>
      <t xml:space="preserve"> + </t>
    </r>
    <r>
      <rPr>
        <sz val="12"/>
        <color rgb="FF000000"/>
        <rFont val="Times New Roman"/>
        <family val="1"/>
        <charset val="204"/>
      </rPr>
      <t>S47401/2.1</t>
    </r>
    <r>
      <rPr>
        <sz val="12"/>
        <color theme="1"/>
        <rFont val="Times New Roman"/>
        <family val="1"/>
        <charset val="204"/>
      </rPr>
      <t xml:space="preserve"> - </t>
    </r>
    <r>
      <rPr>
        <sz val="12"/>
        <color rgb="FF000000"/>
        <rFont val="Times New Roman"/>
        <family val="1"/>
        <charset val="204"/>
      </rPr>
      <t>141</t>
    </r>
    <r>
      <rPr>
        <sz val="12"/>
        <color theme="1"/>
        <rFont val="Times New Roman"/>
        <family val="1"/>
        <charset val="204"/>
      </rPr>
      <t xml:space="preserve"> (кроме </t>
    </r>
    <r>
      <rPr>
        <sz val="12"/>
        <color rgb="FF000000"/>
        <rFont val="Times New Roman"/>
        <family val="1"/>
        <charset val="204"/>
      </rPr>
      <t>14104</t>
    </r>
    <r>
      <rPr>
        <sz val="12"/>
        <color theme="1"/>
        <rFont val="Times New Roman"/>
        <family val="1"/>
        <charset val="204"/>
      </rPr>
      <t xml:space="preserve">, </t>
    </r>
    <r>
      <rPr>
        <sz val="12"/>
        <color rgb="FF000000"/>
        <rFont val="Times New Roman"/>
        <family val="1"/>
        <charset val="204"/>
      </rPr>
      <t>14105</t>
    </r>
    <r>
      <rPr>
        <sz val="12"/>
        <color theme="1"/>
        <rFont val="Times New Roman"/>
        <family val="1"/>
        <charset val="204"/>
      </rPr>
      <t xml:space="preserve">) - </t>
    </r>
    <r>
      <rPr>
        <sz val="12"/>
        <color rgb="FF000000"/>
        <rFont val="Times New Roman"/>
        <family val="1"/>
        <charset val="204"/>
      </rPr>
      <t xml:space="preserve">14210 </t>
    </r>
    <r>
      <rPr>
        <sz val="12"/>
        <color theme="1"/>
        <rFont val="Times New Roman"/>
        <family val="1"/>
        <charset val="204"/>
      </rPr>
      <t xml:space="preserve">- </t>
    </r>
    <r>
      <rPr>
        <sz val="12"/>
        <color rgb="FF000000"/>
        <rFont val="Times New Roman"/>
        <family val="1"/>
        <charset val="204"/>
      </rPr>
      <t>14211</t>
    </r>
    <r>
      <rPr>
        <sz val="12"/>
        <color theme="1"/>
        <rFont val="Times New Roman"/>
        <family val="1"/>
        <charset val="204"/>
      </rPr>
      <t xml:space="preserve"> - </t>
    </r>
    <r>
      <rPr>
        <sz val="12"/>
        <color rgb="FF000000"/>
        <rFont val="Times New Roman"/>
        <family val="1"/>
        <charset val="204"/>
      </rPr>
      <t>14315</t>
    </r>
    <r>
      <rPr>
        <sz val="12"/>
        <color theme="1"/>
        <rFont val="Times New Roman"/>
        <family val="1"/>
        <charset val="204"/>
      </rPr>
      <t xml:space="preserve"> - </t>
    </r>
    <r>
      <rPr>
        <sz val="12"/>
        <color rgb="FF000000"/>
        <rFont val="Times New Roman"/>
        <family val="1"/>
        <charset val="204"/>
      </rPr>
      <t>14316</t>
    </r>
    <r>
      <rPr>
        <sz val="12"/>
        <color theme="1"/>
        <rFont val="Times New Roman"/>
        <family val="1"/>
        <charset val="204"/>
      </rPr>
      <t xml:space="preserve"> - </t>
    </r>
    <r>
      <rPr>
        <sz val="12"/>
        <color rgb="FF000000"/>
        <rFont val="Times New Roman"/>
        <family val="1"/>
        <charset val="204"/>
      </rPr>
      <t>14317</t>
    </r>
    <r>
      <rPr>
        <sz val="12"/>
        <color theme="1"/>
        <rFont val="Times New Roman"/>
        <family val="1"/>
        <charset val="204"/>
      </rPr>
      <t xml:space="preserve"> - </t>
    </r>
    <r>
      <rPr>
        <sz val="12"/>
        <color rgb="FF000000"/>
        <rFont val="Times New Roman"/>
        <family val="1"/>
        <charset val="204"/>
      </rPr>
      <t>14415</t>
    </r>
    <r>
      <rPr>
        <sz val="12"/>
        <color theme="1"/>
        <rFont val="Times New Roman"/>
        <family val="1"/>
        <charset val="204"/>
      </rPr>
      <t xml:space="preserve"> - </t>
    </r>
    <r>
      <rPr>
        <sz val="12"/>
        <color rgb="FF000000"/>
        <rFont val="Times New Roman"/>
        <family val="1"/>
        <charset val="204"/>
      </rPr>
      <t>14416</t>
    </r>
    <r>
      <rPr>
        <sz val="12"/>
        <color theme="1"/>
        <rFont val="Times New Roman"/>
        <family val="1"/>
        <charset val="204"/>
      </rPr>
      <t xml:space="preserve"> - </t>
    </r>
    <r>
      <rPr>
        <sz val="12"/>
        <color rgb="FF000000"/>
        <rFont val="Times New Roman"/>
        <family val="1"/>
        <charset val="204"/>
      </rPr>
      <t>14417</t>
    </r>
  </si>
  <si>
    <t>по привлеченным средствам клиентов, не являющихся кредитными организациями</t>
  </si>
  <si>
    <r>
      <t>31104</t>
    </r>
    <r>
      <rPr>
        <sz val="12"/>
        <color theme="1"/>
        <rFont val="Times New Roman"/>
        <family val="1"/>
        <charset val="204"/>
      </rPr>
      <t xml:space="preserve"> + </t>
    </r>
    <r>
      <rPr>
        <sz val="12"/>
        <color rgb="FF000000"/>
        <rFont val="Times New Roman"/>
        <family val="1"/>
        <charset val="204"/>
      </rPr>
      <t>31105</t>
    </r>
    <r>
      <rPr>
        <sz val="12"/>
        <color theme="1"/>
        <rFont val="Times New Roman"/>
        <family val="1"/>
        <charset val="204"/>
      </rPr>
      <t xml:space="preserve"> + </t>
    </r>
    <r>
      <rPr>
        <sz val="12"/>
        <color rgb="FF000000"/>
        <rFont val="Times New Roman"/>
        <family val="1"/>
        <charset val="204"/>
      </rPr>
      <t>312</t>
    </r>
    <r>
      <rPr>
        <sz val="12"/>
        <color theme="1"/>
        <rFont val="Times New Roman"/>
        <family val="1"/>
        <charset val="204"/>
      </rPr>
      <t xml:space="preserve"> (кроме </t>
    </r>
    <r>
      <rPr>
        <sz val="12"/>
        <color rgb="FF000000"/>
        <rFont val="Times New Roman"/>
        <family val="1"/>
        <charset val="204"/>
      </rPr>
      <t>31210</t>
    </r>
    <r>
      <rPr>
        <sz val="12"/>
        <color theme="1"/>
        <rFont val="Times New Roman"/>
        <family val="1"/>
        <charset val="204"/>
      </rPr>
      <t xml:space="preserve">, </t>
    </r>
    <r>
      <rPr>
        <sz val="12"/>
        <color rgb="FF000000"/>
        <rFont val="Times New Roman"/>
        <family val="1"/>
        <charset val="204"/>
      </rPr>
      <t>31211</t>
    </r>
    <r>
      <rPr>
        <sz val="12"/>
        <color theme="1"/>
        <rFont val="Times New Roman"/>
        <family val="1"/>
        <charset val="204"/>
      </rPr>
      <t xml:space="preserve">) + </t>
    </r>
    <r>
      <rPr>
        <sz val="12"/>
        <color rgb="FF000000"/>
        <rFont val="Times New Roman"/>
        <family val="1"/>
        <charset val="204"/>
      </rPr>
      <t>313</t>
    </r>
    <r>
      <rPr>
        <sz val="12"/>
        <color theme="1"/>
        <rFont val="Times New Roman"/>
        <family val="1"/>
        <charset val="204"/>
      </rPr>
      <t xml:space="preserve"> (кроме </t>
    </r>
    <r>
      <rPr>
        <sz val="12"/>
        <color rgb="FF000000"/>
        <rFont val="Times New Roman"/>
        <family val="1"/>
        <charset val="204"/>
      </rPr>
      <t>31315</t>
    </r>
    <r>
      <rPr>
        <sz val="12"/>
        <color theme="1"/>
        <rFont val="Times New Roman"/>
        <family val="1"/>
        <charset val="204"/>
      </rPr>
      <t xml:space="preserve">, </t>
    </r>
    <r>
      <rPr>
        <sz val="12"/>
        <color rgb="FF000000"/>
        <rFont val="Times New Roman"/>
        <family val="1"/>
        <charset val="204"/>
      </rPr>
      <t>31316</t>
    </r>
    <r>
      <rPr>
        <sz val="12"/>
        <color theme="1"/>
        <rFont val="Times New Roman"/>
        <family val="1"/>
        <charset val="204"/>
      </rPr>
      <t xml:space="preserve">, </t>
    </r>
    <r>
      <rPr>
        <sz val="12"/>
        <color rgb="FF000000"/>
        <rFont val="Times New Roman"/>
        <family val="1"/>
        <charset val="204"/>
      </rPr>
      <t>31317</t>
    </r>
    <r>
      <rPr>
        <sz val="12"/>
        <color theme="1"/>
        <rFont val="Times New Roman"/>
        <family val="1"/>
        <charset val="204"/>
      </rPr>
      <t xml:space="preserve">) + </t>
    </r>
    <r>
      <rPr>
        <sz val="12"/>
        <color rgb="FF000000"/>
        <rFont val="Times New Roman"/>
        <family val="1"/>
        <charset val="204"/>
      </rPr>
      <t>314</t>
    </r>
    <r>
      <rPr>
        <sz val="12"/>
        <color theme="1"/>
        <rFont val="Times New Roman"/>
        <family val="1"/>
        <charset val="204"/>
      </rPr>
      <t xml:space="preserve"> (кроме </t>
    </r>
    <r>
      <rPr>
        <sz val="12"/>
        <color rgb="FF000000"/>
        <rFont val="Times New Roman"/>
        <family val="1"/>
        <charset val="204"/>
      </rPr>
      <t>31415</t>
    </r>
    <r>
      <rPr>
        <sz val="12"/>
        <color theme="1"/>
        <rFont val="Times New Roman"/>
        <family val="1"/>
        <charset val="204"/>
      </rPr>
      <t xml:space="preserve">, </t>
    </r>
    <r>
      <rPr>
        <sz val="12"/>
        <color rgb="FF000000"/>
        <rFont val="Times New Roman"/>
        <family val="1"/>
        <charset val="204"/>
      </rPr>
      <t>31416</t>
    </r>
    <r>
      <rPr>
        <sz val="12"/>
        <color theme="1"/>
        <rFont val="Times New Roman"/>
        <family val="1"/>
        <charset val="204"/>
      </rPr>
      <t xml:space="preserve">, </t>
    </r>
    <r>
      <rPr>
        <sz val="12"/>
        <color rgb="FF000000"/>
        <rFont val="Times New Roman"/>
        <family val="1"/>
        <charset val="204"/>
      </rPr>
      <t>31417</t>
    </r>
    <r>
      <rPr>
        <sz val="12"/>
        <color theme="1"/>
        <rFont val="Times New Roman"/>
        <family val="1"/>
        <charset val="204"/>
      </rPr>
      <t xml:space="preserve">) + </t>
    </r>
    <r>
      <rPr>
        <sz val="12"/>
        <color rgb="FF000000"/>
        <rFont val="Times New Roman"/>
        <family val="1"/>
        <charset val="204"/>
      </rPr>
      <t>315</t>
    </r>
    <r>
      <rPr>
        <sz val="12"/>
        <color theme="1"/>
        <rFont val="Times New Roman"/>
        <family val="1"/>
        <charset val="204"/>
      </rPr>
      <t xml:space="preserve"> + </t>
    </r>
    <r>
      <rPr>
        <sz val="12"/>
        <color rgb="FF000000"/>
        <rFont val="Times New Roman"/>
        <family val="1"/>
        <charset val="204"/>
      </rPr>
      <t>316</t>
    </r>
    <r>
      <rPr>
        <sz val="12"/>
        <color theme="1"/>
        <rFont val="Times New Roman"/>
        <family val="1"/>
        <charset val="204"/>
      </rPr>
      <t xml:space="preserve"> + </t>
    </r>
    <r>
      <rPr>
        <sz val="12"/>
        <color rgb="FF000000"/>
        <rFont val="Times New Roman"/>
        <family val="1"/>
        <charset val="204"/>
      </rPr>
      <t>317</t>
    </r>
    <r>
      <rPr>
        <sz val="12"/>
        <color theme="1"/>
        <rFont val="Times New Roman"/>
        <family val="1"/>
        <charset val="204"/>
      </rPr>
      <t xml:space="preserve"> + </t>
    </r>
    <r>
      <rPr>
        <sz val="12"/>
        <color rgb="FF000000"/>
        <rFont val="Times New Roman"/>
        <family val="1"/>
        <charset val="204"/>
      </rPr>
      <t>32104</t>
    </r>
    <r>
      <rPr>
        <sz val="12"/>
        <color theme="1"/>
        <rFont val="Times New Roman"/>
        <family val="1"/>
        <charset val="204"/>
      </rPr>
      <t xml:space="preserve"> + </t>
    </r>
    <r>
      <rPr>
        <sz val="12"/>
        <color rgb="FF000000"/>
        <rFont val="Times New Roman"/>
        <family val="1"/>
        <charset val="204"/>
      </rPr>
      <t>32105</t>
    </r>
    <r>
      <rPr>
        <sz val="12"/>
        <color theme="1"/>
        <rFont val="Times New Roman"/>
        <family val="1"/>
        <charset val="204"/>
      </rPr>
      <t xml:space="preserve"> + </t>
    </r>
    <r>
      <rPr>
        <sz val="12"/>
        <color rgb="FF000000"/>
        <rFont val="Times New Roman"/>
        <family val="1"/>
        <charset val="204"/>
      </rPr>
      <t>322</t>
    </r>
    <r>
      <rPr>
        <sz val="12"/>
        <color theme="1"/>
        <rFont val="Times New Roman"/>
        <family val="1"/>
        <charset val="204"/>
      </rPr>
      <t xml:space="preserve"> (кроме </t>
    </r>
    <r>
      <rPr>
        <sz val="12"/>
        <color rgb="FF000000"/>
        <rFont val="Times New Roman"/>
        <family val="1"/>
        <charset val="204"/>
      </rPr>
      <t>32215</t>
    </r>
    <r>
      <rPr>
        <sz val="12"/>
        <color theme="1"/>
        <rFont val="Times New Roman"/>
        <family val="1"/>
        <charset val="204"/>
      </rPr>
      <t xml:space="preserve">, </t>
    </r>
    <r>
      <rPr>
        <sz val="12"/>
        <color rgb="FF000000"/>
        <rFont val="Times New Roman"/>
        <family val="1"/>
        <charset val="204"/>
      </rPr>
      <t>32216</t>
    </r>
    <r>
      <rPr>
        <sz val="12"/>
        <color theme="1"/>
        <rFont val="Times New Roman"/>
        <family val="1"/>
        <charset val="204"/>
      </rPr>
      <t xml:space="preserve">, </t>
    </r>
    <r>
      <rPr>
        <sz val="12"/>
        <color rgb="FF000000"/>
        <rFont val="Times New Roman"/>
        <family val="1"/>
        <charset val="204"/>
      </rPr>
      <t>32217</t>
    </r>
    <r>
      <rPr>
        <sz val="12"/>
        <color theme="1"/>
        <rFont val="Times New Roman"/>
        <family val="1"/>
        <charset val="204"/>
      </rPr>
      <t xml:space="preserve">) + </t>
    </r>
    <r>
      <rPr>
        <sz val="12"/>
        <color rgb="FF000000"/>
        <rFont val="Times New Roman"/>
        <family val="1"/>
        <charset val="204"/>
      </rPr>
      <t>323</t>
    </r>
    <r>
      <rPr>
        <sz val="12"/>
        <color theme="1"/>
        <rFont val="Times New Roman"/>
        <family val="1"/>
        <charset val="204"/>
      </rPr>
      <t xml:space="preserve"> (кроме </t>
    </r>
    <r>
      <rPr>
        <sz val="12"/>
        <color rgb="FF000000"/>
        <rFont val="Times New Roman"/>
        <family val="1"/>
        <charset val="204"/>
      </rPr>
      <t>32315</t>
    </r>
    <r>
      <rPr>
        <sz val="12"/>
        <color theme="1"/>
        <rFont val="Times New Roman"/>
        <family val="1"/>
        <charset val="204"/>
      </rPr>
      <t xml:space="preserve">, </t>
    </r>
    <r>
      <rPr>
        <sz val="12"/>
        <color rgb="FF000000"/>
        <rFont val="Times New Roman"/>
        <family val="1"/>
        <charset val="204"/>
      </rPr>
      <t>32316</t>
    </r>
    <r>
      <rPr>
        <sz val="12"/>
        <color theme="1"/>
        <rFont val="Times New Roman"/>
        <family val="1"/>
        <charset val="204"/>
      </rPr>
      <t xml:space="preserve">, </t>
    </r>
    <r>
      <rPr>
        <sz val="12"/>
        <color rgb="FF000000"/>
        <rFont val="Times New Roman"/>
        <family val="1"/>
        <charset val="204"/>
      </rPr>
      <t>32317</t>
    </r>
    <r>
      <rPr>
        <sz val="12"/>
        <color theme="1"/>
        <rFont val="Times New Roman"/>
        <family val="1"/>
        <charset val="204"/>
      </rPr>
      <t xml:space="preserve">) + </t>
    </r>
    <r>
      <rPr>
        <sz val="12"/>
        <color rgb="FF000000"/>
        <rFont val="Times New Roman"/>
        <family val="1"/>
        <charset val="204"/>
      </rPr>
      <t>324</t>
    </r>
    <r>
      <rPr>
        <sz val="12"/>
        <color theme="1"/>
        <rFont val="Times New Roman"/>
        <family val="1"/>
        <charset val="204"/>
      </rPr>
      <t xml:space="preserve"> + </t>
    </r>
    <r>
      <rPr>
        <sz val="12"/>
        <color rgb="FF000000"/>
        <rFont val="Times New Roman"/>
        <family val="1"/>
        <charset val="204"/>
      </rPr>
      <t>325</t>
    </r>
    <r>
      <rPr>
        <sz val="12"/>
        <color theme="1"/>
        <rFont val="Times New Roman"/>
        <family val="1"/>
        <charset val="204"/>
      </rPr>
      <t xml:space="preserve"> + </t>
    </r>
    <r>
      <rPr>
        <sz val="12"/>
        <color rgb="FF000000"/>
        <rFont val="Times New Roman"/>
        <family val="1"/>
        <charset val="204"/>
      </rPr>
      <t>36104</t>
    </r>
    <r>
      <rPr>
        <sz val="12"/>
        <color theme="1"/>
        <rFont val="Times New Roman"/>
        <family val="1"/>
        <charset val="204"/>
      </rPr>
      <t xml:space="preserve"> + </t>
    </r>
    <r>
      <rPr>
        <sz val="12"/>
        <color rgb="FF000000"/>
        <rFont val="Times New Roman"/>
        <family val="1"/>
        <charset val="204"/>
      </rPr>
      <t>36105</t>
    </r>
    <r>
      <rPr>
        <sz val="12"/>
        <color theme="1"/>
        <rFont val="Times New Roman"/>
        <family val="1"/>
        <charset val="204"/>
      </rPr>
      <t xml:space="preserve"> + </t>
    </r>
    <r>
      <rPr>
        <sz val="12"/>
        <color rgb="FF000000"/>
        <rFont val="Times New Roman"/>
        <family val="1"/>
        <charset val="204"/>
      </rPr>
      <t>362</t>
    </r>
    <r>
      <rPr>
        <sz val="12"/>
        <color theme="1"/>
        <rFont val="Times New Roman"/>
        <family val="1"/>
        <charset val="204"/>
      </rPr>
      <t xml:space="preserve"> (кроме </t>
    </r>
    <r>
      <rPr>
        <sz val="12"/>
        <color rgb="FF000000"/>
        <rFont val="Times New Roman"/>
        <family val="1"/>
        <charset val="204"/>
      </rPr>
      <t>36210</t>
    </r>
    <r>
      <rPr>
        <sz val="12"/>
        <color theme="1"/>
        <rFont val="Times New Roman"/>
        <family val="1"/>
        <charset val="204"/>
      </rPr>
      <t xml:space="preserve">, </t>
    </r>
    <r>
      <rPr>
        <sz val="12"/>
        <color rgb="FF000000"/>
        <rFont val="Times New Roman"/>
        <family val="1"/>
        <charset val="204"/>
      </rPr>
      <t>36211</t>
    </r>
    <r>
      <rPr>
        <sz val="12"/>
        <color theme="1"/>
        <rFont val="Times New Roman"/>
        <family val="1"/>
        <charset val="204"/>
      </rPr>
      <t xml:space="preserve">) + </t>
    </r>
    <r>
      <rPr>
        <sz val="12"/>
        <color rgb="FF000000"/>
        <rFont val="Times New Roman"/>
        <family val="1"/>
        <charset val="204"/>
      </rPr>
      <t>363</t>
    </r>
    <r>
      <rPr>
        <sz val="12"/>
        <color theme="1"/>
        <rFont val="Times New Roman"/>
        <family val="1"/>
        <charset val="204"/>
      </rPr>
      <t xml:space="preserve"> (кроме </t>
    </r>
    <r>
      <rPr>
        <sz val="12"/>
        <color rgb="FF000000"/>
        <rFont val="Times New Roman"/>
        <family val="1"/>
        <charset val="204"/>
      </rPr>
      <t>36315</t>
    </r>
    <r>
      <rPr>
        <sz val="12"/>
        <color theme="1"/>
        <rFont val="Times New Roman"/>
        <family val="1"/>
        <charset val="204"/>
      </rPr>
      <t xml:space="preserve">, </t>
    </r>
    <r>
      <rPr>
        <sz val="12"/>
        <color rgb="FF000000"/>
        <rFont val="Times New Roman"/>
        <family val="1"/>
        <charset val="204"/>
      </rPr>
      <t>36316</t>
    </r>
    <r>
      <rPr>
        <sz val="12"/>
        <color theme="1"/>
        <rFont val="Times New Roman"/>
        <family val="1"/>
        <charset val="204"/>
      </rPr>
      <t xml:space="preserve">, </t>
    </r>
    <r>
      <rPr>
        <sz val="12"/>
        <color rgb="FF000000"/>
        <rFont val="Times New Roman"/>
        <family val="1"/>
        <charset val="204"/>
      </rPr>
      <t>36317</t>
    </r>
    <r>
      <rPr>
        <sz val="12"/>
        <color theme="1"/>
        <rFont val="Times New Roman"/>
        <family val="1"/>
        <charset val="204"/>
      </rPr>
      <t xml:space="preserve">) + </t>
    </r>
    <r>
      <rPr>
        <sz val="12"/>
        <color rgb="FF000000"/>
        <rFont val="Times New Roman"/>
        <family val="1"/>
        <charset val="204"/>
      </rPr>
      <t>364</t>
    </r>
    <r>
      <rPr>
        <sz val="12"/>
        <color theme="1"/>
        <rFont val="Times New Roman"/>
        <family val="1"/>
        <charset val="204"/>
      </rPr>
      <t xml:space="preserve"> (кроме </t>
    </r>
    <r>
      <rPr>
        <sz val="12"/>
        <color rgb="FF000000"/>
        <rFont val="Times New Roman"/>
        <family val="1"/>
        <charset val="204"/>
      </rPr>
      <t>36415</t>
    </r>
    <r>
      <rPr>
        <sz val="12"/>
        <color theme="1"/>
        <rFont val="Times New Roman"/>
        <family val="1"/>
        <charset val="204"/>
      </rPr>
      <t xml:space="preserve">, </t>
    </r>
    <r>
      <rPr>
        <sz val="12"/>
        <color rgb="FF000000"/>
        <rFont val="Times New Roman"/>
        <family val="1"/>
        <charset val="204"/>
      </rPr>
      <t>36416</t>
    </r>
    <r>
      <rPr>
        <sz val="12"/>
        <color theme="1"/>
        <rFont val="Times New Roman"/>
        <family val="1"/>
        <charset val="204"/>
      </rPr>
      <t xml:space="preserve">, </t>
    </r>
    <r>
      <rPr>
        <sz val="12"/>
        <color rgb="FF000000"/>
        <rFont val="Times New Roman"/>
        <family val="1"/>
        <charset val="204"/>
      </rPr>
      <t>36417</t>
    </r>
    <r>
      <rPr>
        <sz val="12"/>
        <color theme="1"/>
        <rFont val="Times New Roman"/>
        <family val="1"/>
        <charset val="204"/>
      </rPr>
      <t xml:space="preserve">) + </t>
    </r>
    <r>
      <rPr>
        <sz val="12"/>
        <color rgb="FF000000"/>
        <rFont val="Times New Roman"/>
        <family val="1"/>
        <charset val="204"/>
      </rPr>
      <t>365</t>
    </r>
    <r>
      <rPr>
        <sz val="12"/>
        <color theme="1"/>
        <rFont val="Times New Roman"/>
        <family val="1"/>
        <charset val="204"/>
      </rPr>
      <t xml:space="preserve"> + </t>
    </r>
    <r>
      <rPr>
        <sz val="12"/>
        <color rgb="FF000000"/>
        <rFont val="Times New Roman"/>
        <family val="1"/>
        <charset val="204"/>
      </rPr>
      <t>366</t>
    </r>
    <r>
      <rPr>
        <sz val="12"/>
        <color theme="1"/>
        <rFont val="Times New Roman"/>
        <family val="1"/>
        <charset val="204"/>
      </rPr>
      <t xml:space="preserve"> + </t>
    </r>
    <r>
      <rPr>
        <sz val="12"/>
        <color rgb="FF000000"/>
        <rFont val="Times New Roman"/>
        <family val="1"/>
        <charset val="204"/>
      </rPr>
      <t>367</t>
    </r>
    <r>
      <rPr>
        <sz val="12"/>
        <color theme="1"/>
        <rFont val="Times New Roman"/>
        <family val="1"/>
        <charset val="204"/>
      </rPr>
      <t xml:space="preserve"> + </t>
    </r>
    <r>
      <rPr>
        <sz val="12"/>
        <color rgb="FF000000"/>
        <rFont val="Times New Roman"/>
        <family val="1"/>
        <charset val="204"/>
      </rPr>
      <t>47401</t>
    </r>
    <r>
      <rPr>
        <sz val="12"/>
        <color theme="1"/>
        <rFont val="Times New Roman"/>
        <family val="1"/>
        <charset val="204"/>
      </rPr>
      <t xml:space="preserve"> - </t>
    </r>
    <r>
      <rPr>
        <sz val="12"/>
        <color rgb="FF000000"/>
        <rFont val="Times New Roman"/>
        <family val="1"/>
        <charset val="204"/>
      </rPr>
      <t>S47401/2.1</t>
    </r>
    <r>
      <rPr>
        <sz val="12"/>
        <color theme="1"/>
        <rFont val="Times New Roman"/>
        <family val="1"/>
        <charset val="204"/>
      </rPr>
      <t xml:space="preserve"> - </t>
    </r>
    <r>
      <rPr>
        <sz val="12"/>
        <color rgb="FF000000"/>
        <rFont val="Times New Roman"/>
        <family val="1"/>
        <charset val="204"/>
      </rPr>
      <t>14104</t>
    </r>
    <r>
      <rPr>
        <sz val="12"/>
        <color theme="1"/>
        <rFont val="Times New Roman"/>
        <family val="1"/>
        <charset val="204"/>
      </rPr>
      <t xml:space="preserve"> - </t>
    </r>
    <r>
      <rPr>
        <sz val="12"/>
        <color rgb="FF000000"/>
        <rFont val="Times New Roman"/>
        <family val="1"/>
        <charset val="204"/>
      </rPr>
      <t>14105</t>
    </r>
    <r>
      <rPr>
        <sz val="12"/>
        <color theme="1"/>
        <rFont val="Times New Roman"/>
        <family val="1"/>
        <charset val="204"/>
      </rPr>
      <t xml:space="preserve"> - </t>
    </r>
    <r>
      <rPr>
        <sz val="12"/>
        <color rgb="FF000000"/>
        <rFont val="Times New Roman"/>
        <family val="1"/>
        <charset val="204"/>
      </rPr>
      <t>142</t>
    </r>
    <r>
      <rPr>
        <sz val="12"/>
        <color theme="1"/>
        <rFont val="Times New Roman"/>
        <family val="1"/>
        <charset val="204"/>
      </rPr>
      <t xml:space="preserve"> (кроме </t>
    </r>
    <r>
      <rPr>
        <sz val="12"/>
        <color rgb="FF000000"/>
        <rFont val="Times New Roman"/>
        <family val="1"/>
        <charset val="204"/>
      </rPr>
      <t>14210</t>
    </r>
    <r>
      <rPr>
        <sz val="12"/>
        <color theme="1"/>
        <rFont val="Times New Roman"/>
        <family val="1"/>
        <charset val="204"/>
      </rPr>
      <t xml:space="preserve">, </t>
    </r>
    <r>
      <rPr>
        <sz val="12"/>
        <color rgb="FF000000"/>
        <rFont val="Times New Roman"/>
        <family val="1"/>
        <charset val="204"/>
      </rPr>
      <t>14211</t>
    </r>
    <r>
      <rPr>
        <sz val="12"/>
        <color theme="1"/>
        <rFont val="Times New Roman"/>
        <family val="1"/>
        <charset val="204"/>
      </rPr>
      <t xml:space="preserve">) - </t>
    </r>
    <r>
      <rPr>
        <sz val="12"/>
        <color rgb="FF000000"/>
        <rFont val="Times New Roman"/>
        <family val="1"/>
        <charset val="204"/>
      </rPr>
      <t>143</t>
    </r>
    <r>
      <rPr>
        <sz val="12"/>
        <color theme="1"/>
        <rFont val="Times New Roman"/>
        <family val="1"/>
        <charset val="204"/>
      </rPr>
      <t xml:space="preserve"> (кроме </t>
    </r>
    <r>
      <rPr>
        <sz val="12"/>
        <color rgb="FF000000"/>
        <rFont val="Times New Roman"/>
        <family val="1"/>
        <charset val="204"/>
      </rPr>
      <t>14315</t>
    </r>
    <r>
      <rPr>
        <sz val="12"/>
        <color theme="1"/>
        <rFont val="Times New Roman"/>
        <family val="1"/>
        <charset val="204"/>
      </rPr>
      <t xml:space="preserve">, </t>
    </r>
    <r>
      <rPr>
        <sz val="12"/>
        <color rgb="FF000000"/>
        <rFont val="Times New Roman"/>
        <family val="1"/>
        <charset val="204"/>
      </rPr>
      <t>14316</t>
    </r>
    <r>
      <rPr>
        <sz val="12"/>
        <color theme="1"/>
        <rFont val="Times New Roman"/>
        <family val="1"/>
        <charset val="204"/>
      </rPr>
      <t xml:space="preserve">, </t>
    </r>
    <r>
      <rPr>
        <sz val="12"/>
        <color rgb="FF000000"/>
        <rFont val="Times New Roman"/>
        <family val="1"/>
        <charset val="204"/>
      </rPr>
      <t>14317</t>
    </r>
    <r>
      <rPr>
        <sz val="12"/>
        <color theme="1"/>
        <rFont val="Times New Roman"/>
        <family val="1"/>
        <charset val="204"/>
      </rPr>
      <t xml:space="preserve">) - </t>
    </r>
    <r>
      <rPr>
        <sz val="12"/>
        <color rgb="FF000000"/>
        <rFont val="Times New Roman"/>
        <family val="1"/>
        <charset val="204"/>
      </rPr>
      <t>144</t>
    </r>
    <r>
      <rPr>
        <sz val="12"/>
        <color theme="1"/>
        <rFont val="Times New Roman"/>
        <family val="1"/>
        <charset val="204"/>
      </rPr>
      <t xml:space="preserve"> (кроме </t>
    </r>
    <r>
      <rPr>
        <sz val="12"/>
        <color rgb="FF000000"/>
        <rFont val="Times New Roman"/>
        <family val="1"/>
        <charset val="204"/>
      </rPr>
      <t>14415</t>
    </r>
    <r>
      <rPr>
        <sz val="12"/>
        <color theme="1"/>
        <rFont val="Times New Roman"/>
        <family val="1"/>
        <charset val="204"/>
      </rPr>
      <t xml:space="preserve">, </t>
    </r>
    <r>
      <rPr>
        <sz val="12"/>
        <color rgb="FF000000"/>
        <rFont val="Times New Roman"/>
        <family val="1"/>
        <charset val="204"/>
      </rPr>
      <t>14416</t>
    </r>
    <r>
      <rPr>
        <sz val="12"/>
        <color theme="1"/>
        <rFont val="Times New Roman"/>
        <family val="1"/>
        <charset val="204"/>
      </rPr>
      <t xml:space="preserve">, </t>
    </r>
    <r>
      <rPr>
        <sz val="12"/>
        <color rgb="FF000000"/>
        <rFont val="Times New Roman"/>
        <family val="1"/>
        <charset val="204"/>
      </rPr>
      <t>14417</t>
    </r>
    <r>
      <rPr>
        <sz val="12"/>
        <color theme="1"/>
        <rFont val="Times New Roman"/>
        <family val="1"/>
        <charset val="204"/>
      </rPr>
      <t xml:space="preserve">) - </t>
    </r>
    <r>
      <rPr>
        <sz val="12"/>
        <color rgb="FF000000"/>
        <rFont val="Times New Roman"/>
        <family val="1"/>
        <charset val="204"/>
      </rPr>
      <t>145</t>
    </r>
    <r>
      <rPr>
        <sz val="12"/>
        <color theme="1"/>
        <rFont val="Times New Roman"/>
        <family val="1"/>
        <charset val="204"/>
      </rPr>
      <t xml:space="preserve"> - </t>
    </r>
    <r>
      <rPr>
        <sz val="12"/>
        <color rgb="FF000000"/>
        <rFont val="Times New Roman"/>
        <family val="1"/>
        <charset val="204"/>
      </rPr>
      <t>146</t>
    </r>
    <r>
      <rPr>
        <sz val="12"/>
        <color theme="1"/>
        <rFont val="Times New Roman"/>
        <family val="1"/>
        <charset val="204"/>
      </rPr>
      <t xml:space="preserve"> - </t>
    </r>
    <r>
      <rPr>
        <sz val="12"/>
        <color rgb="FF000000"/>
        <rFont val="Times New Roman"/>
        <family val="1"/>
        <charset val="204"/>
      </rPr>
      <t>147</t>
    </r>
  </si>
  <si>
    <t>по выпущенным ценным бумагам</t>
  </si>
  <si>
    <r>
      <t>318</t>
    </r>
    <r>
      <rPr>
        <sz val="12"/>
        <color theme="1"/>
        <rFont val="Times New Roman"/>
        <family val="1"/>
        <charset val="204"/>
      </rPr>
      <t xml:space="preserve"> + </t>
    </r>
    <r>
      <rPr>
        <sz val="12"/>
        <color rgb="FF000000"/>
        <rFont val="Times New Roman"/>
        <family val="1"/>
        <charset val="204"/>
      </rPr>
      <t>326</t>
    </r>
    <r>
      <rPr>
        <sz val="12"/>
        <color theme="1"/>
        <rFont val="Times New Roman"/>
        <family val="1"/>
        <charset val="204"/>
      </rPr>
      <t xml:space="preserve"> + </t>
    </r>
    <r>
      <rPr>
        <sz val="12"/>
        <color rgb="FF000000"/>
        <rFont val="Times New Roman"/>
        <family val="1"/>
        <charset val="204"/>
      </rPr>
      <t>368</t>
    </r>
    <r>
      <rPr>
        <sz val="12"/>
        <color theme="1"/>
        <rFont val="Times New Roman"/>
        <family val="1"/>
        <charset val="204"/>
      </rPr>
      <t xml:space="preserve"> - </t>
    </r>
    <r>
      <rPr>
        <sz val="12"/>
        <color rgb="FF000000"/>
        <rFont val="Times New Roman"/>
        <family val="1"/>
        <charset val="204"/>
      </rPr>
      <t>148</t>
    </r>
    <r>
      <rPr>
        <sz val="12"/>
        <color theme="1"/>
        <rFont val="Times New Roman"/>
        <family val="1"/>
        <charset val="204"/>
      </rPr>
      <t xml:space="preserve"> - </t>
    </r>
    <r>
      <rPr>
        <sz val="12"/>
        <color rgb="FF000000"/>
        <rFont val="Times New Roman"/>
        <family val="1"/>
        <charset val="204"/>
      </rPr>
      <t>161</t>
    </r>
  </si>
  <si>
    <r>
      <t>Чистые процентные доходы (отрицательная процентная маржа) (</t>
    </r>
    <r>
      <rPr>
        <sz val="12"/>
        <color rgb="FF000000"/>
        <rFont val="Times New Roman"/>
        <family val="1"/>
        <charset val="204"/>
      </rPr>
      <t>стр. 1</t>
    </r>
    <r>
      <rPr>
        <sz val="12"/>
        <color theme="1"/>
        <rFont val="Times New Roman"/>
        <family val="1"/>
        <charset val="204"/>
      </rPr>
      <t xml:space="preserve"> - </t>
    </r>
    <r>
      <rPr>
        <sz val="12"/>
        <color rgb="FF000000"/>
        <rFont val="Times New Roman"/>
        <family val="1"/>
        <charset val="204"/>
      </rPr>
      <t>стр. 2</t>
    </r>
    <r>
      <rPr>
        <sz val="12"/>
        <color theme="1"/>
        <rFont val="Times New Roman"/>
        <family val="1"/>
        <charset val="204"/>
      </rPr>
      <t>)</t>
    </r>
  </si>
  <si>
    <t>Изменение резерва на возможные потери и оценочного резерва под ожидаемые кредитные убытки по ссудам, ссудной и приравненной к ней задолженности, средствам, размещенным на корреспондентских счетах, а также начисленным процентным доходам, всего, в том числе:</t>
  </si>
  <si>
    <r>
      <t>151</t>
    </r>
    <r>
      <rPr>
        <sz val="12"/>
        <color theme="1"/>
        <rFont val="Times New Roman"/>
        <family val="1"/>
        <charset val="204"/>
      </rPr>
      <t xml:space="preserve"> + </t>
    </r>
    <r>
      <rPr>
        <sz val="12"/>
        <color rgb="FF000000"/>
        <rFont val="Times New Roman"/>
        <family val="1"/>
        <charset val="204"/>
      </rPr>
      <t>152</t>
    </r>
    <r>
      <rPr>
        <sz val="12"/>
        <color theme="1"/>
        <rFont val="Times New Roman"/>
        <family val="1"/>
        <charset val="204"/>
      </rPr>
      <t xml:space="preserve"> + </t>
    </r>
    <r>
      <rPr>
        <sz val="12"/>
        <color rgb="FF000000"/>
        <rFont val="Times New Roman"/>
        <family val="1"/>
        <charset val="204"/>
      </rPr>
      <t>153</t>
    </r>
    <r>
      <rPr>
        <sz val="12"/>
        <color theme="1"/>
        <rFont val="Times New Roman"/>
        <family val="1"/>
        <charset val="204"/>
      </rPr>
      <t xml:space="preserve"> + </t>
    </r>
    <r>
      <rPr>
        <sz val="12"/>
        <color rgb="FF000000"/>
        <rFont val="Times New Roman"/>
        <family val="1"/>
        <charset val="204"/>
      </rPr>
      <t>154</t>
    </r>
    <r>
      <rPr>
        <sz val="12"/>
        <color theme="1"/>
        <rFont val="Times New Roman"/>
        <family val="1"/>
        <charset val="204"/>
      </rPr>
      <t xml:space="preserve"> + </t>
    </r>
    <r>
      <rPr>
        <sz val="12"/>
        <color rgb="FF000000"/>
        <rFont val="Times New Roman"/>
        <family val="1"/>
        <charset val="204"/>
      </rPr>
      <t>155</t>
    </r>
    <r>
      <rPr>
        <sz val="12"/>
        <color theme="1"/>
        <rFont val="Times New Roman"/>
        <family val="1"/>
        <charset val="204"/>
      </rPr>
      <t xml:space="preserve"> - </t>
    </r>
    <r>
      <rPr>
        <sz val="12"/>
        <color rgb="FF000000"/>
        <rFont val="Times New Roman"/>
        <family val="1"/>
        <charset val="204"/>
      </rPr>
      <t>S155/16</t>
    </r>
    <r>
      <rPr>
        <sz val="12"/>
        <color theme="1"/>
        <rFont val="Times New Roman"/>
        <family val="1"/>
        <charset val="204"/>
      </rPr>
      <t xml:space="preserve"> + </t>
    </r>
    <r>
      <rPr>
        <sz val="12"/>
        <color rgb="FF000000"/>
        <rFont val="Times New Roman"/>
        <family val="1"/>
        <charset val="204"/>
      </rPr>
      <t>156</t>
    </r>
    <r>
      <rPr>
        <sz val="12"/>
        <color theme="1"/>
        <rFont val="Times New Roman"/>
        <family val="1"/>
        <charset val="204"/>
      </rPr>
      <t xml:space="preserve"> - </t>
    </r>
    <r>
      <rPr>
        <sz val="12"/>
        <color rgb="FF000000"/>
        <rFont val="Times New Roman"/>
        <family val="1"/>
        <charset val="204"/>
      </rPr>
      <t>S156/17</t>
    </r>
    <r>
      <rPr>
        <sz val="12"/>
        <color theme="1"/>
        <rFont val="Times New Roman"/>
        <family val="1"/>
        <charset val="204"/>
      </rPr>
      <t xml:space="preserve"> + </t>
    </r>
    <r>
      <rPr>
        <sz val="12"/>
        <color rgb="FF000000"/>
        <rFont val="Times New Roman"/>
        <family val="1"/>
        <charset val="204"/>
      </rPr>
      <t>157</t>
    </r>
    <r>
      <rPr>
        <sz val="12"/>
        <color theme="1"/>
        <rFont val="Times New Roman"/>
        <family val="1"/>
        <charset val="204"/>
      </rPr>
      <t xml:space="preserve"> + </t>
    </r>
    <r>
      <rPr>
        <sz val="12"/>
        <color rgb="FF000000"/>
        <rFont val="Times New Roman"/>
        <family val="1"/>
        <charset val="204"/>
      </rPr>
      <t>171</t>
    </r>
    <r>
      <rPr>
        <sz val="12"/>
        <color theme="1"/>
        <rFont val="Times New Roman"/>
        <family val="1"/>
        <charset val="204"/>
      </rPr>
      <t xml:space="preserve"> + </t>
    </r>
    <r>
      <rPr>
        <sz val="12"/>
        <color rgb="FF000000"/>
        <rFont val="Times New Roman"/>
        <family val="1"/>
        <charset val="204"/>
      </rPr>
      <t>172</t>
    </r>
    <r>
      <rPr>
        <sz val="12"/>
        <color theme="1"/>
        <rFont val="Times New Roman"/>
        <family val="1"/>
        <charset val="204"/>
      </rPr>
      <t xml:space="preserve"> + </t>
    </r>
    <r>
      <rPr>
        <sz val="12"/>
        <color rgb="FF000000"/>
        <rFont val="Times New Roman"/>
        <family val="1"/>
        <charset val="204"/>
      </rPr>
      <t>173</t>
    </r>
    <r>
      <rPr>
        <sz val="12"/>
        <color theme="1"/>
        <rFont val="Times New Roman"/>
        <family val="1"/>
        <charset val="204"/>
      </rPr>
      <t xml:space="preserve"> + </t>
    </r>
    <r>
      <rPr>
        <sz val="12"/>
        <color rgb="FF000000"/>
        <rFont val="Times New Roman"/>
        <family val="1"/>
        <charset val="204"/>
      </rPr>
      <t>174</t>
    </r>
    <r>
      <rPr>
        <sz val="12"/>
        <color theme="1"/>
        <rFont val="Times New Roman"/>
        <family val="1"/>
        <charset val="204"/>
      </rPr>
      <t xml:space="preserve"> + </t>
    </r>
    <r>
      <rPr>
        <sz val="12"/>
        <color rgb="FF000000"/>
        <rFont val="Times New Roman"/>
        <family val="1"/>
        <charset val="204"/>
      </rPr>
      <t>175</t>
    </r>
    <r>
      <rPr>
        <sz val="12"/>
        <color theme="1"/>
        <rFont val="Times New Roman"/>
        <family val="1"/>
        <charset val="204"/>
      </rPr>
      <t xml:space="preserve"> + </t>
    </r>
    <r>
      <rPr>
        <sz val="12"/>
        <color rgb="FF000000"/>
        <rFont val="Times New Roman"/>
        <family val="1"/>
        <charset val="204"/>
      </rPr>
      <t>176</t>
    </r>
    <r>
      <rPr>
        <sz val="12"/>
        <color theme="1"/>
        <rFont val="Times New Roman"/>
        <family val="1"/>
        <charset val="204"/>
      </rPr>
      <t xml:space="preserve"> + </t>
    </r>
    <r>
      <rPr>
        <sz val="12"/>
        <color rgb="FF000000"/>
        <rFont val="Times New Roman"/>
        <family val="1"/>
        <charset val="204"/>
      </rPr>
      <t>177</t>
    </r>
    <r>
      <rPr>
        <sz val="12"/>
        <color theme="1"/>
        <rFont val="Times New Roman"/>
        <family val="1"/>
        <charset val="204"/>
      </rPr>
      <t xml:space="preserve"> - </t>
    </r>
    <r>
      <rPr>
        <sz val="12"/>
        <color rgb="FF000000"/>
        <rFont val="Times New Roman"/>
        <family val="1"/>
        <charset val="204"/>
      </rPr>
      <t>S175/16</t>
    </r>
    <r>
      <rPr>
        <sz val="12"/>
        <color theme="1"/>
        <rFont val="Times New Roman"/>
        <family val="1"/>
        <charset val="204"/>
      </rPr>
      <t xml:space="preserve"> - </t>
    </r>
    <r>
      <rPr>
        <sz val="12"/>
        <color rgb="FF000000"/>
        <rFont val="Times New Roman"/>
        <family val="1"/>
        <charset val="204"/>
      </rPr>
      <t>S176/17</t>
    </r>
    <r>
      <rPr>
        <sz val="12"/>
        <color theme="1"/>
        <rFont val="Times New Roman"/>
        <family val="1"/>
        <charset val="204"/>
      </rPr>
      <t xml:space="preserve"> - </t>
    </r>
    <r>
      <rPr>
        <sz val="12"/>
        <color rgb="FF000000"/>
        <rFont val="Times New Roman"/>
        <family val="1"/>
        <charset val="204"/>
      </rPr>
      <t>371</t>
    </r>
    <r>
      <rPr>
        <sz val="12"/>
        <color theme="1"/>
        <rFont val="Times New Roman"/>
        <family val="1"/>
        <charset val="204"/>
      </rPr>
      <t xml:space="preserve"> - </t>
    </r>
    <r>
      <rPr>
        <sz val="12"/>
        <color rgb="FF000000"/>
        <rFont val="Times New Roman"/>
        <family val="1"/>
        <charset val="204"/>
      </rPr>
      <t>372</t>
    </r>
    <r>
      <rPr>
        <sz val="12"/>
        <color theme="1"/>
        <rFont val="Times New Roman"/>
        <family val="1"/>
        <charset val="204"/>
      </rPr>
      <t xml:space="preserve"> - </t>
    </r>
    <r>
      <rPr>
        <sz val="12"/>
        <color rgb="FF000000"/>
        <rFont val="Times New Roman"/>
        <family val="1"/>
        <charset val="204"/>
      </rPr>
      <t>373</t>
    </r>
    <r>
      <rPr>
        <sz val="12"/>
        <color theme="1"/>
        <rFont val="Times New Roman"/>
        <family val="1"/>
        <charset val="204"/>
      </rPr>
      <t xml:space="preserve"> - </t>
    </r>
    <r>
      <rPr>
        <sz val="12"/>
        <color rgb="FF000000"/>
        <rFont val="Times New Roman"/>
        <family val="1"/>
        <charset val="204"/>
      </rPr>
      <t>374</t>
    </r>
    <r>
      <rPr>
        <sz val="12"/>
        <color theme="1"/>
        <rFont val="Times New Roman"/>
        <family val="1"/>
        <charset val="204"/>
      </rPr>
      <t xml:space="preserve"> - </t>
    </r>
    <r>
      <rPr>
        <sz val="12"/>
        <color rgb="FF000000"/>
        <rFont val="Times New Roman"/>
        <family val="1"/>
        <charset val="204"/>
      </rPr>
      <t>375</t>
    </r>
    <r>
      <rPr>
        <sz val="12"/>
        <color theme="1"/>
        <rFont val="Times New Roman"/>
        <family val="1"/>
        <charset val="204"/>
      </rPr>
      <t xml:space="preserve"> + </t>
    </r>
    <r>
      <rPr>
        <sz val="12"/>
        <color rgb="FF000000"/>
        <rFont val="Times New Roman"/>
        <family val="1"/>
        <charset val="204"/>
      </rPr>
      <t>S375/16</t>
    </r>
    <r>
      <rPr>
        <sz val="12"/>
        <color theme="1"/>
        <rFont val="Times New Roman"/>
        <family val="1"/>
        <charset val="204"/>
      </rPr>
      <t xml:space="preserve"> - </t>
    </r>
    <r>
      <rPr>
        <sz val="12"/>
        <color rgb="FF000000"/>
        <rFont val="Times New Roman"/>
        <family val="1"/>
        <charset val="204"/>
      </rPr>
      <t>376</t>
    </r>
    <r>
      <rPr>
        <sz val="12"/>
        <color theme="1"/>
        <rFont val="Times New Roman"/>
        <family val="1"/>
        <charset val="204"/>
      </rPr>
      <t xml:space="preserve"> + </t>
    </r>
    <r>
      <rPr>
        <sz val="12"/>
        <color rgb="FF000000"/>
        <rFont val="Times New Roman"/>
        <family val="1"/>
        <charset val="204"/>
      </rPr>
      <t>S376/17</t>
    </r>
    <r>
      <rPr>
        <sz val="12"/>
        <color theme="1"/>
        <rFont val="Times New Roman"/>
        <family val="1"/>
        <charset val="204"/>
      </rPr>
      <t xml:space="preserve"> - </t>
    </r>
    <r>
      <rPr>
        <sz val="12"/>
        <color rgb="FF000000"/>
        <rFont val="Times New Roman"/>
        <family val="1"/>
        <charset val="204"/>
      </rPr>
      <t>377</t>
    </r>
    <r>
      <rPr>
        <sz val="12"/>
        <color theme="1"/>
        <rFont val="Times New Roman"/>
        <family val="1"/>
        <charset val="204"/>
      </rPr>
      <t xml:space="preserve"> - </t>
    </r>
    <r>
      <rPr>
        <sz val="12"/>
        <color rgb="FF000000"/>
        <rFont val="Times New Roman"/>
        <family val="1"/>
        <charset val="204"/>
      </rPr>
      <t>381</t>
    </r>
    <r>
      <rPr>
        <sz val="12"/>
        <color theme="1"/>
        <rFont val="Times New Roman"/>
        <family val="1"/>
        <charset val="204"/>
      </rPr>
      <t xml:space="preserve"> - </t>
    </r>
    <r>
      <rPr>
        <sz val="12"/>
        <color rgb="FF000000"/>
        <rFont val="Times New Roman"/>
        <family val="1"/>
        <charset val="204"/>
      </rPr>
      <t>382</t>
    </r>
    <r>
      <rPr>
        <sz val="12"/>
        <color theme="1"/>
        <rFont val="Times New Roman"/>
        <family val="1"/>
        <charset val="204"/>
      </rPr>
      <t xml:space="preserve"> - </t>
    </r>
    <r>
      <rPr>
        <sz val="12"/>
        <color rgb="FF000000"/>
        <rFont val="Times New Roman"/>
        <family val="1"/>
        <charset val="204"/>
      </rPr>
      <t>383</t>
    </r>
    <r>
      <rPr>
        <sz val="12"/>
        <color theme="1"/>
        <rFont val="Times New Roman"/>
        <family val="1"/>
        <charset val="204"/>
      </rPr>
      <t xml:space="preserve"> - </t>
    </r>
    <r>
      <rPr>
        <sz val="12"/>
        <color rgb="FF000000"/>
        <rFont val="Times New Roman"/>
        <family val="1"/>
        <charset val="204"/>
      </rPr>
      <t>384</t>
    </r>
    <r>
      <rPr>
        <sz val="12"/>
        <color theme="1"/>
        <rFont val="Times New Roman"/>
        <family val="1"/>
        <charset val="204"/>
      </rPr>
      <t xml:space="preserve"> - </t>
    </r>
    <r>
      <rPr>
        <sz val="12"/>
        <color rgb="FF000000"/>
        <rFont val="Times New Roman"/>
        <family val="1"/>
        <charset val="204"/>
      </rPr>
      <t>385</t>
    </r>
    <r>
      <rPr>
        <sz val="12"/>
        <color theme="1"/>
        <rFont val="Times New Roman"/>
        <family val="1"/>
        <charset val="204"/>
      </rPr>
      <t xml:space="preserve"> - </t>
    </r>
    <r>
      <rPr>
        <sz val="12"/>
        <color rgb="FF000000"/>
        <rFont val="Times New Roman"/>
        <family val="1"/>
        <charset val="204"/>
      </rPr>
      <t>386</t>
    </r>
    <r>
      <rPr>
        <sz val="12"/>
        <color theme="1"/>
        <rFont val="Times New Roman"/>
        <family val="1"/>
        <charset val="204"/>
      </rPr>
      <t xml:space="preserve"> - </t>
    </r>
    <r>
      <rPr>
        <sz val="12"/>
        <color rgb="FF000000"/>
        <rFont val="Times New Roman"/>
        <family val="1"/>
        <charset val="204"/>
      </rPr>
      <t>387</t>
    </r>
    <r>
      <rPr>
        <sz val="12"/>
        <color theme="1"/>
        <rFont val="Times New Roman"/>
        <family val="1"/>
        <charset val="204"/>
      </rPr>
      <t xml:space="preserve"> - </t>
    </r>
    <r>
      <rPr>
        <sz val="12"/>
        <color rgb="FF000000"/>
        <rFont val="Times New Roman"/>
        <family val="1"/>
        <charset val="204"/>
      </rPr>
      <t>S385/16</t>
    </r>
    <r>
      <rPr>
        <sz val="12"/>
        <color theme="1"/>
        <rFont val="Times New Roman"/>
        <family val="1"/>
        <charset val="204"/>
      </rPr>
      <t xml:space="preserve"> - </t>
    </r>
    <r>
      <rPr>
        <sz val="12"/>
        <color rgb="FF000000"/>
        <rFont val="Times New Roman"/>
        <family val="1"/>
        <charset val="204"/>
      </rPr>
      <t>S386/17</t>
    </r>
    <r>
      <rPr>
        <sz val="12"/>
        <color theme="1"/>
        <rFont val="Times New Roman"/>
        <family val="1"/>
        <charset val="204"/>
      </rPr>
      <t xml:space="preserve"> - </t>
    </r>
    <r>
      <rPr>
        <sz val="12"/>
        <color rgb="FF000000"/>
        <rFont val="Times New Roman"/>
        <family val="1"/>
        <charset val="204"/>
      </rPr>
      <t>S/18.1</t>
    </r>
    <r>
      <rPr>
        <sz val="12"/>
        <color theme="1"/>
        <rFont val="Times New Roman"/>
        <family val="1"/>
        <charset val="204"/>
      </rPr>
      <t xml:space="preserve"> + </t>
    </r>
    <r>
      <rPr>
        <sz val="12"/>
        <color rgb="FF000000"/>
        <rFont val="Times New Roman"/>
        <family val="1"/>
        <charset val="204"/>
      </rPr>
      <t>S/18.2</t>
    </r>
    <r>
      <rPr>
        <sz val="12"/>
        <color theme="1"/>
        <rFont val="Times New Roman"/>
        <family val="1"/>
        <charset val="204"/>
      </rPr>
      <t xml:space="preserve"> + </t>
    </r>
    <r>
      <rPr>
        <sz val="12"/>
        <color rgb="FF000000"/>
        <rFont val="Times New Roman"/>
        <family val="1"/>
        <charset val="204"/>
      </rPr>
      <t>S/4.5</t>
    </r>
    <r>
      <rPr>
        <sz val="12"/>
        <color theme="1"/>
        <rFont val="Times New Roman"/>
        <family val="1"/>
        <charset val="204"/>
      </rPr>
      <t xml:space="preserve"> - </t>
    </r>
    <r>
      <rPr>
        <sz val="12"/>
        <color rgb="FF000000"/>
        <rFont val="Times New Roman"/>
        <family val="1"/>
        <charset val="204"/>
      </rPr>
      <t>S/4.6</t>
    </r>
  </si>
  <si>
    <t>изменение резерва на возможные потери и оценочного резерва под ожидаемые кредитные убытки по начисленным процентным доходам</t>
  </si>
  <si>
    <r>
      <t>S/4.1</t>
    </r>
    <r>
      <rPr>
        <sz val="12"/>
        <color theme="1"/>
        <rFont val="Times New Roman"/>
        <family val="1"/>
        <charset val="204"/>
      </rPr>
      <t xml:space="preserve"> + </t>
    </r>
    <r>
      <rPr>
        <sz val="12"/>
        <color rgb="FF000000"/>
        <rFont val="Times New Roman"/>
        <family val="1"/>
        <charset val="204"/>
      </rPr>
      <t>S/4.2</t>
    </r>
    <r>
      <rPr>
        <sz val="12"/>
        <color theme="1"/>
        <rFont val="Times New Roman"/>
        <family val="1"/>
        <charset val="204"/>
      </rPr>
      <t xml:space="preserve"> - </t>
    </r>
    <r>
      <rPr>
        <sz val="12"/>
        <color rgb="FF000000"/>
        <rFont val="Times New Roman"/>
        <family val="1"/>
        <charset val="204"/>
      </rPr>
      <t>S/4.3</t>
    </r>
    <r>
      <rPr>
        <sz val="12"/>
        <color theme="1"/>
        <rFont val="Times New Roman"/>
        <family val="1"/>
        <charset val="204"/>
      </rPr>
      <t xml:space="preserve"> - </t>
    </r>
    <r>
      <rPr>
        <sz val="12"/>
        <color rgb="FF000000"/>
        <rFont val="Times New Roman"/>
        <family val="1"/>
        <charset val="204"/>
      </rPr>
      <t>S/4.4</t>
    </r>
    <r>
      <rPr>
        <sz val="12"/>
        <color theme="1"/>
        <rFont val="Times New Roman"/>
        <family val="1"/>
        <charset val="204"/>
      </rPr>
      <t xml:space="preserve"> + </t>
    </r>
    <r>
      <rPr>
        <sz val="12"/>
        <color rgb="FF000000"/>
        <rFont val="Times New Roman"/>
        <family val="1"/>
        <charset val="204"/>
      </rPr>
      <t>S282/4.1</t>
    </r>
    <r>
      <rPr>
        <sz val="12"/>
        <color theme="1"/>
        <rFont val="Times New Roman"/>
        <family val="1"/>
        <charset val="204"/>
      </rPr>
      <t xml:space="preserve"> - </t>
    </r>
    <r>
      <rPr>
        <sz val="12"/>
        <color rgb="FF000000"/>
        <rFont val="Times New Roman"/>
        <family val="1"/>
        <charset val="204"/>
      </rPr>
      <t>S473/4.1</t>
    </r>
  </si>
  <si>
    <r>
      <t>Чистые процентные доходы (отрицательная процентная маржа) после создания резерва на возможные потери (</t>
    </r>
    <r>
      <rPr>
        <sz val="12"/>
        <color rgb="FF000000"/>
        <rFont val="Times New Roman"/>
        <family val="1"/>
        <charset val="204"/>
      </rPr>
      <t>стр. 3</t>
    </r>
    <r>
      <rPr>
        <sz val="12"/>
        <color theme="1"/>
        <rFont val="Times New Roman"/>
        <family val="1"/>
        <charset val="204"/>
      </rPr>
      <t xml:space="preserve"> + </t>
    </r>
    <r>
      <rPr>
        <sz val="12"/>
        <color rgb="FF000000"/>
        <rFont val="Times New Roman"/>
        <family val="1"/>
        <charset val="204"/>
      </rPr>
      <t>стр. 4</t>
    </r>
    <r>
      <rPr>
        <sz val="12"/>
        <color theme="1"/>
        <rFont val="Times New Roman"/>
        <family val="1"/>
        <charset val="204"/>
      </rPr>
      <t>)</t>
    </r>
  </si>
  <si>
    <r>
      <t>221</t>
    </r>
    <r>
      <rPr>
        <sz val="12"/>
        <color theme="1"/>
        <rFont val="Times New Roman"/>
        <family val="1"/>
        <charset val="204"/>
      </rPr>
      <t xml:space="preserve"> + </t>
    </r>
    <r>
      <rPr>
        <sz val="12"/>
        <color rgb="FF000000"/>
        <rFont val="Times New Roman"/>
        <family val="1"/>
        <charset val="204"/>
      </rPr>
      <t>222</t>
    </r>
    <r>
      <rPr>
        <sz val="12"/>
        <color theme="1"/>
        <rFont val="Times New Roman"/>
        <family val="1"/>
        <charset val="204"/>
      </rPr>
      <t xml:space="preserve"> + </t>
    </r>
    <r>
      <rPr>
        <sz val="12"/>
        <color rgb="FF000000"/>
        <rFont val="Times New Roman"/>
        <family val="1"/>
        <charset val="204"/>
      </rPr>
      <t>231</t>
    </r>
    <r>
      <rPr>
        <sz val="12"/>
        <color theme="1"/>
        <rFont val="Times New Roman"/>
        <family val="1"/>
        <charset val="204"/>
      </rPr>
      <t xml:space="preserve"> + </t>
    </r>
    <r>
      <rPr>
        <sz val="12"/>
        <color rgb="FF000000"/>
        <rFont val="Times New Roman"/>
        <family val="1"/>
        <charset val="204"/>
      </rPr>
      <t>232</t>
    </r>
    <r>
      <rPr>
        <sz val="12"/>
        <color theme="1"/>
        <rFont val="Times New Roman"/>
        <family val="1"/>
        <charset val="204"/>
      </rPr>
      <t xml:space="preserve"> + </t>
    </r>
    <r>
      <rPr>
        <sz val="12"/>
        <color rgb="FF000000"/>
        <rFont val="Times New Roman"/>
        <family val="1"/>
        <charset val="204"/>
      </rPr>
      <t>251</t>
    </r>
    <r>
      <rPr>
        <sz val="12"/>
        <color theme="1"/>
        <rFont val="Times New Roman"/>
        <family val="1"/>
        <charset val="204"/>
      </rPr>
      <t xml:space="preserve"> + </t>
    </r>
    <r>
      <rPr>
        <sz val="12"/>
        <color rgb="FF000000"/>
        <rFont val="Times New Roman"/>
        <family val="1"/>
        <charset val="204"/>
      </rPr>
      <t>252</t>
    </r>
    <r>
      <rPr>
        <sz val="12"/>
        <color theme="1"/>
        <rFont val="Times New Roman"/>
        <family val="1"/>
        <charset val="204"/>
      </rPr>
      <t xml:space="preserve"> + </t>
    </r>
    <r>
      <rPr>
        <sz val="12"/>
        <color rgb="FF000000"/>
        <rFont val="Times New Roman"/>
        <family val="1"/>
        <charset val="204"/>
      </rPr>
      <t>253</t>
    </r>
    <r>
      <rPr>
        <sz val="12"/>
        <color theme="1"/>
        <rFont val="Times New Roman"/>
        <family val="1"/>
        <charset val="204"/>
      </rPr>
      <t xml:space="preserve"> + </t>
    </r>
    <r>
      <rPr>
        <sz val="12"/>
        <color rgb="FF000000"/>
        <rFont val="Times New Roman"/>
        <family val="1"/>
        <charset val="204"/>
      </rPr>
      <t>254</t>
    </r>
    <r>
      <rPr>
        <sz val="12"/>
        <color theme="1"/>
        <rFont val="Times New Roman"/>
        <family val="1"/>
        <charset val="204"/>
      </rPr>
      <t xml:space="preserve"> + </t>
    </r>
    <r>
      <rPr>
        <sz val="12"/>
        <color rgb="FF000000"/>
        <rFont val="Times New Roman"/>
        <family val="1"/>
        <charset val="204"/>
      </rPr>
      <t>255</t>
    </r>
    <r>
      <rPr>
        <sz val="12"/>
        <color theme="1"/>
        <rFont val="Times New Roman"/>
        <family val="1"/>
        <charset val="204"/>
      </rPr>
      <t xml:space="preserve"> + </t>
    </r>
    <r>
      <rPr>
        <sz val="12"/>
        <color rgb="FF000000"/>
        <rFont val="Times New Roman"/>
        <family val="1"/>
        <charset val="204"/>
      </rPr>
      <t>28104</t>
    </r>
    <r>
      <rPr>
        <sz val="12"/>
        <color theme="1"/>
        <rFont val="Times New Roman"/>
        <family val="1"/>
        <charset val="204"/>
      </rPr>
      <t xml:space="preserve"> + </t>
    </r>
    <r>
      <rPr>
        <sz val="12"/>
        <color rgb="FF000000"/>
        <rFont val="Times New Roman"/>
        <family val="1"/>
        <charset val="204"/>
      </rPr>
      <t>S256/6</t>
    </r>
    <r>
      <rPr>
        <sz val="12"/>
        <color theme="1"/>
        <rFont val="Times New Roman"/>
        <family val="1"/>
        <charset val="204"/>
      </rPr>
      <t xml:space="preserve"> - </t>
    </r>
    <r>
      <rPr>
        <sz val="12"/>
        <color rgb="FF000000"/>
        <rFont val="Times New Roman"/>
        <family val="1"/>
        <charset val="204"/>
      </rPr>
      <t>421</t>
    </r>
    <r>
      <rPr>
        <sz val="12"/>
        <color theme="1"/>
        <rFont val="Times New Roman"/>
        <family val="1"/>
        <charset val="204"/>
      </rPr>
      <t xml:space="preserve"> - </t>
    </r>
    <r>
      <rPr>
        <sz val="12"/>
        <color rgb="FF000000"/>
        <rFont val="Times New Roman"/>
        <family val="1"/>
        <charset val="204"/>
      </rPr>
      <t>422</t>
    </r>
    <r>
      <rPr>
        <sz val="12"/>
        <color theme="1"/>
        <rFont val="Times New Roman"/>
        <family val="1"/>
        <charset val="204"/>
      </rPr>
      <t xml:space="preserve"> - </t>
    </r>
    <r>
      <rPr>
        <sz val="12"/>
        <color rgb="FF000000"/>
        <rFont val="Times New Roman"/>
        <family val="1"/>
        <charset val="204"/>
      </rPr>
      <t>431</t>
    </r>
    <r>
      <rPr>
        <sz val="12"/>
        <color theme="1"/>
        <rFont val="Times New Roman"/>
        <family val="1"/>
        <charset val="204"/>
      </rPr>
      <t xml:space="preserve"> - </t>
    </r>
    <r>
      <rPr>
        <sz val="12"/>
        <color rgb="FF000000"/>
        <rFont val="Times New Roman"/>
        <family val="1"/>
        <charset val="204"/>
      </rPr>
      <t>432</t>
    </r>
    <r>
      <rPr>
        <sz val="12"/>
        <color theme="1"/>
        <rFont val="Times New Roman"/>
        <family val="1"/>
        <charset val="204"/>
      </rPr>
      <t xml:space="preserve"> - </t>
    </r>
    <r>
      <rPr>
        <sz val="12"/>
        <color rgb="FF000000"/>
        <rFont val="Times New Roman"/>
        <family val="1"/>
        <charset val="204"/>
      </rPr>
      <t>451</t>
    </r>
    <r>
      <rPr>
        <sz val="12"/>
        <color theme="1"/>
        <rFont val="Times New Roman"/>
        <family val="1"/>
        <charset val="204"/>
      </rPr>
      <t xml:space="preserve"> - </t>
    </r>
    <r>
      <rPr>
        <sz val="12"/>
        <color rgb="FF000000"/>
        <rFont val="Times New Roman"/>
        <family val="1"/>
        <charset val="204"/>
      </rPr>
      <t>452</t>
    </r>
    <r>
      <rPr>
        <sz val="12"/>
        <color theme="1"/>
        <rFont val="Times New Roman"/>
        <family val="1"/>
        <charset val="204"/>
      </rPr>
      <t xml:space="preserve"> - </t>
    </r>
    <r>
      <rPr>
        <sz val="12"/>
        <color rgb="FF000000"/>
        <rFont val="Times New Roman"/>
        <family val="1"/>
        <charset val="204"/>
      </rPr>
      <t>453</t>
    </r>
    <r>
      <rPr>
        <sz val="12"/>
        <color theme="1"/>
        <rFont val="Times New Roman"/>
        <family val="1"/>
        <charset val="204"/>
      </rPr>
      <t xml:space="preserve"> - </t>
    </r>
    <r>
      <rPr>
        <sz val="12"/>
        <color rgb="FF000000"/>
        <rFont val="Times New Roman"/>
        <family val="1"/>
        <charset val="204"/>
      </rPr>
      <t>454</t>
    </r>
    <r>
      <rPr>
        <sz val="12"/>
        <color theme="1"/>
        <rFont val="Times New Roman"/>
        <family val="1"/>
        <charset val="204"/>
      </rPr>
      <t xml:space="preserve"> - </t>
    </r>
    <r>
      <rPr>
        <sz val="12"/>
        <color rgb="FF000000"/>
        <rFont val="Times New Roman"/>
        <family val="1"/>
        <charset val="204"/>
      </rPr>
      <t>455</t>
    </r>
    <r>
      <rPr>
        <sz val="12"/>
        <color theme="1"/>
        <rFont val="Times New Roman"/>
        <family val="1"/>
        <charset val="204"/>
      </rPr>
      <t xml:space="preserve"> - </t>
    </r>
    <r>
      <rPr>
        <sz val="12"/>
        <color rgb="FF000000"/>
        <rFont val="Times New Roman"/>
        <family val="1"/>
        <charset val="204"/>
      </rPr>
      <t>S456/6</t>
    </r>
    <r>
      <rPr>
        <sz val="12"/>
        <color theme="1"/>
        <rFont val="Times New Roman"/>
        <family val="1"/>
        <charset val="204"/>
      </rPr>
      <t xml:space="preserve"> - </t>
    </r>
    <r>
      <rPr>
        <sz val="12"/>
        <color rgb="FF000000"/>
        <rFont val="Times New Roman"/>
        <family val="1"/>
        <charset val="204"/>
      </rPr>
      <t>47204</t>
    </r>
  </si>
  <si>
    <r>
      <t>28101</t>
    </r>
    <r>
      <rPr>
        <sz val="12"/>
        <color theme="1"/>
        <rFont val="Times New Roman"/>
        <family val="1"/>
        <charset val="204"/>
      </rPr>
      <t xml:space="preserve"> + </t>
    </r>
    <r>
      <rPr>
        <sz val="12"/>
        <color rgb="FF000000"/>
        <rFont val="Times New Roman"/>
        <family val="1"/>
        <charset val="204"/>
      </rPr>
      <t>28102</t>
    </r>
    <r>
      <rPr>
        <sz val="12"/>
        <color theme="1"/>
        <rFont val="Times New Roman"/>
        <family val="1"/>
        <charset val="204"/>
      </rPr>
      <t xml:space="preserve"> + </t>
    </r>
    <r>
      <rPr>
        <sz val="12"/>
        <color rgb="FF000000"/>
        <rFont val="Times New Roman"/>
        <family val="1"/>
        <charset val="204"/>
      </rPr>
      <t>28103</t>
    </r>
    <r>
      <rPr>
        <sz val="12"/>
        <color theme="1"/>
        <rFont val="Times New Roman"/>
        <family val="1"/>
        <charset val="204"/>
      </rPr>
      <t xml:space="preserve"> - </t>
    </r>
    <r>
      <rPr>
        <sz val="12"/>
        <color rgb="FF000000"/>
        <rFont val="Times New Roman"/>
        <family val="1"/>
        <charset val="204"/>
      </rPr>
      <t>47201</t>
    </r>
    <r>
      <rPr>
        <sz val="12"/>
        <color theme="1"/>
        <rFont val="Times New Roman"/>
        <family val="1"/>
        <charset val="204"/>
      </rPr>
      <t xml:space="preserve"> - </t>
    </r>
    <r>
      <rPr>
        <sz val="12"/>
        <color rgb="FF000000"/>
        <rFont val="Times New Roman"/>
        <family val="1"/>
        <charset val="204"/>
      </rPr>
      <t>47202</t>
    </r>
    <r>
      <rPr>
        <sz val="12"/>
        <color theme="1"/>
        <rFont val="Times New Roman"/>
        <family val="1"/>
        <charset val="204"/>
      </rPr>
      <t xml:space="preserve"> - </t>
    </r>
    <r>
      <rPr>
        <sz val="12"/>
        <color rgb="FF000000"/>
        <rFont val="Times New Roman"/>
        <family val="1"/>
        <charset val="204"/>
      </rPr>
      <t>47203</t>
    </r>
  </si>
  <si>
    <r>
      <t>223</t>
    </r>
    <r>
      <rPr>
        <sz val="12"/>
        <color theme="1"/>
        <rFont val="Times New Roman"/>
        <family val="1"/>
        <charset val="204"/>
      </rPr>
      <t xml:space="preserve"> + </t>
    </r>
    <r>
      <rPr>
        <sz val="12"/>
        <color rgb="FF000000"/>
        <rFont val="Times New Roman"/>
        <family val="1"/>
        <charset val="204"/>
      </rPr>
      <t>233</t>
    </r>
    <r>
      <rPr>
        <sz val="12"/>
        <color theme="1"/>
        <rFont val="Times New Roman"/>
        <family val="1"/>
        <charset val="204"/>
      </rPr>
      <t xml:space="preserve"> + </t>
    </r>
    <r>
      <rPr>
        <sz val="12"/>
        <color rgb="FF000000"/>
        <rFont val="Times New Roman"/>
        <family val="1"/>
        <charset val="204"/>
      </rPr>
      <t>S256/8</t>
    </r>
    <r>
      <rPr>
        <sz val="12"/>
        <color theme="1"/>
        <rFont val="Times New Roman"/>
        <family val="1"/>
        <charset val="204"/>
      </rPr>
      <t xml:space="preserve"> - </t>
    </r>
    <r>
      <rPr>
        <sz val="12"/>
        <color rgb="FF000000"/>
        <rFont val="Times New Roman"/>
        <family val="1"/>
        <charset val="204"/>
      </rPr>
      <t>423</t>
    </r>
    <r>
      <rPr>
        <sz val="12"/>
        <color theme="1"/>
        <rFont val="Times New Roman"/>
        <family val="1"/>
        <charset val="204"/>
      </rPr>
      <t xml:space="preserve"> - </t>
    </r>
    <r>
      <rPr>
        <sz val="12"/>
        <color rgb="FF000000"/>
        <rFont val="Times New Roman"/>
        <family val="1"/>
        <charset val="204"/>
      </rPr>
      <t>433</t>
    </r>
    <r>
      <rPr>
        <sz val="12"/>
        <color theme="1"/>
        <rFont val="Times New Roman"/>
        <family val="1"/>
        <charset val="204"/>
      </rPr>
      <t xml:space="preserve"> - </t>
    </r>
    <r>
      <rPr>
        <sz val="12"/>
        <color rgb="FF000000"/>
        <rFont val="Times New Roman"/>
        <family val="1"/>
        <charset val="204"/>
      </rPr>
      <t>S456/8</t>
    </r>
  </si>
  <si>
    <r>
      <t>25611</t>
    </r>
    <r>
      <rPr>
        <sz val="12"/>
        <color theme="1"/>
        <rFont val="Times New Roman"/>
        <family val="1"/>
        <charset val="204"/>
      </rPr>
      <t xml:space="preserve"> + </t>
    </r>
    <r>
      <rPr>
        <sz val="12"/>
        <color rgb="FF000000"/>
        <rFont val="Times New Roman"/>
        <family val="1"/>
        <charset val="204"/>
      </rPr>
      <t>25612</t>
    </r>
    <r>
      <rPr>
        <sz val="12"/>
        <color theme="1"/>
        <rFont val="Times New Roman"/>
        <family val="1"/>
        <charset val="204"/>
      </rPr>
      <t xml:space="preserve"> + </t>
    </r>
    <r>
      <rPr>
        <sz val="12"/>
        <color rgb="FF000000"/>
        <rFont val="Times New Roman"/>
        <family val="1"/>
        <charset val="204"/>
      </rPr>
      <t>25613</t>
    </r>
    <r>
      <rPr>
        <sz val="12"/>
        <color theme="1"/>
        <rFont val="Times New Roman"/>
        <family val="1"/>
        <charset val="204"/>
      </rPr>
      <t xml:space="preserve"> + </t>
    </r>
    <r>
      <rPr>
        <sz val="12"/>
        <color rgb="FF000000"/>
        <rFont val="Times New Roman"/>
        <family val="1"/>
        <charset val="204"/>
      </rPr>
      <t>25614</t>
    </r>
    <r>
      <rPr>
        <sz val="12"/>
        <color theme="1"/>
        <rFont val="Times New Roman"/>
        <family val="1"/>
        <charset val="204"/>
      </rPr>
      <t xml:space="preserve"> + </t>
    </r>
    <r>
      <rPr>
        <sz val="12"/>
        <color rgb="FF000000"/>
        <rFont val="Times New Roman"/>
        <family val="1"/>
        <charset val="204"/>
      </rPr>
      <t>25615</t>
    </r>
    <r>
      <rPr>
        <sz val="12"/>
        <color theme="1"/>
        <rFont val="Times New Roman"/>
        <family val="1"/>
        <charset val="204"/>
      </rPr>
      <t xml:space="preserve"> + </t>
    </r>
    <r>
      <rPr>
        <sz val="12"/>
        <color rgb="FF000000"/>
        <rFont val="Times New Roman"/>
        <family val="1"/>
        <charset val="204"/>
      </rPr>
      <t>224</t>
    </r>
    <r>
      <rPr>
        <sz val="12"/>
        <color theme="1"/>
        <rFont val="Times New Roman"/>
        <family val="1"/>
        <charset val="204"/>
      </rPr>
      <t xml:space="preserve"> - </t>
    </r>
    <r>
      <rPr>
        <sz val="12"/>
        <color rgb="FF000000"/>
        <rFont val="Times New Roman"/>
        <family val="1"/>
        <charset val="204"/>
      </rPr>
      <t>S256/6</t>
    </r>
    <r>
      <rPr>
        <sz val="12"/>
        <color theme="1"/>
        <rFont val="Times New Roman"/>
        <family val="1"/>
        <charset val="204"/>
      </rPr>
      <t xml:space="preserve"> - </t>
    </r>
    <r>
      <rPr>
        <sz val="12"/>
        <color rgb="FF000000"/>
        <rFont val="Times New Roman"/>
        <family val="1"/>
        <charset val="204"/>
      </rPr>
      <t>S256/8</t>
    </r>
    <r>
      <rPr>
        <sz val="12"/>
        <color theme="1"/>
        <rFont val="Times New Roman"/>
        <family val="1"/>
        <charset val="204"/>
      </rPr>
      <t xml:space="preserve"> - </t>
    </r>
    <r>
      <rPr>
        <sz val="12"/>
        <color rgb="FF000000"/>
        <rFont val="Times New Roman"/>
        <family val="1"/>
        <charset val="204"/>
      </rPr>
      <t>424</t>
    </r>
    <r>
      <rPr>
        <sz val="12"/>
        <color theme="1"/>
        <rFont val="Times New Roman"/>
        <family val="1"/>
        <charset val="204"/>
      </rPr>
      <t xml:space="preserve"> - </t>
    </r>
    <r>
      <rPr>
        <sz val="12"/>
        <color rgb="FF000000"/>
        <rFont val="Times New Roman"/>
        <family val="1"/>
        <charset val="204"/>
      </rPr>
      <t>45611</t>
    </r>
    <r>
      <rPr>
        <sz val="12"/>
        <color theme="1"/>
        <rFont val="Times New Roman"/>
        <family val="1"/>
        <charset val="204"/>
      </rPr>
      <t xml:space="preserve"> - </t>
    </r>
    <r>
      <rPr>
        <sz val="12"/>
        <color rgb="FF000000"/>
        <rFont val="Times New Roman"/>
        <family val="1"/>
        <charset val="204"/>
      </rPr>
      <t>45612</t>
    </r>
    <r>
      <rPr>
        <sz val="12"/>
        <color theme="1"/>
        <rFont val="Times New Roman"/>
        <family val="1"/>
        <charset val="204"/>
      </rPr>
      <t xml:space="preserve"> - </t>
    </r>
    <r>
      <rPr>
        <sz val="12"/>
        <color rgb="FF000000"/>
        <rFont val="Times New Roman"/>
        <family val="1"/>
        <charset val="204"/>
      </rPr>
      <t>45613</t>
    </r>
    <r>
      <rPr>
        <sz val="12"/>
        <color theme="1"/>
        <rFont val="Times New Roman"/>
        <family val="1"/>
        <charset val="204"/>
      </rPr>
      <t xml:space="preserve"> - </t>
    </r>
    <r>
      <rPr>
        <sz val="12"/>
        <color rgb="FF000000"/>
        <rFont val="Times New Roman"/>
        <family val="1"/>
        <charset val="204"/>
      </rPr>
      <t>45614</t>
    </r>
    <r>
      <rPr>
        <sz val="12"/>
        <color theme="1"/>
        <rFont val="Times New Roman"/>
        <family val="1"/>
        <charset val="204"/>
      </rPr>
      <t xml:space="preserve"> - </t>
    </r>
    <r>
      <rPr>
        <sz val="12"/>
        <color rgb="FF000000"/>
        <rFont val="Times New Roman"/>
        <family val="1"/>
        <charset val="204"/>
      </rPr>
      <t>45615</t>
    </r>
    <r>
      <rPr>
        <sz val="12"/>
        <color theme="1"/>
        <rFont val="Times New Roman"/>
        <family val="1"/>
        <charset val="204"/>
      </rPr>
      <t xml:space="preserve"> + </t>
    </r>
    <r>
      <rPr>
        <sz val="12"/>
        <color rgb="FF000000"/>
        <rFont val="Times New Roman"/>
        <family val="1"/>
        <charset val="204"/>
      </rPr>
      <t xml:space="preserve">S456/6 </t>
    </r>
    <r>
      <rPr>
        <sz val="12"/>
        <color theme="1"/>
        <rFont val="Times New Roman"/>
        <family val="1"/>
        <charset val="204"/>
      </rPr>
      <t xml:space="preserve">+ </t>
    </r>
    <r>
      <rPr>
        <sz val="12"/>
        <color rgb="FF000000"/>
        <rFont val="Times New Roman"/>
        <family val="1"/>
        <charset val="204"/>
      </rPr>
      <t>S456/8</t>
    </r>
  </si>
  <si>
    <r>
      <t>25601</t>
    </r>
    <r>
      <rPr>
        <sz val="12"/>
        <color theme="1"/>
        <rFont val="Times New Roman"/>
        <family val="1"/>
        <charset val="204"/>
      </rPr>
      <t xml:space="preserve"> + </t>
    </r>
    <r>
      <rPr>
        <sz val="12"/>
        <color rgb="FF000000"/>
        <rFont val="Times New Roman"/>
        <family val="1"/>
        <charset val="204"/>
      </rPr>
      <t>25602</t>
    </r>
    <r>
      <rPr>
        <sz val="12"/>
        <color theme="1"/>
        <rFont val="Times New Roman"/>
        <family val="1"/>
        <charset val="204"/>
      </rPr>
      <t xml:space="preserve"> + </t>
    </r>
    <r>
      <rPr>
        <sz val="12"/>
        <color rgb="FF000000"/>
        <rFont val="Times New Roman"/>
        <family val="1"/>
        <charset val="204"/>
      </rPr>
      <t>25603</t>
    </r>
    <r>
      <rPr>
        <sz val="12"/>
        <color theme="1"/>
        <rFont val="Times New Roman"/>
        <family val="1"/>
        <charset val="204"/>
      </rPr>
      <t xml:space="preserve"> + </t>
    </r>
    <r>
      <rPr>
        <sz val="12"/>
        <color rgb="FF000000"/>
        <rFont val="Times New Roman"/>
        <family val="1"/>
        <charset val="204"/>
      </rPr>
      <t>25604</t>
    </r>
    <r>
      <rPr>
        <sz val="12"/>
        <color theme="1"/>
        <rFont val="Times New Roman"/>
        <family val="1"/>
        <charset val="204"/>
      </rPr>
      <t xml:space="preserve"> + </t>
    </r>
    <r>
      <rPr>
        <sz val="12"/>
        <color rgb="FF000000"/>
        <rFont val="Times New Roman"/>
        <family val="1"/>
        <charset val="204"/>
      </rPr>
      <t>25605</t>
    </r>
    <r>
      <rPr>
        <sz val="12"/>
        <color theme="1"/>
        <rFont val="Times New Roman"/>
        <family val="1"/>
        <charset val="204"/>
      </rPr>
      <t xml:space="preserve"> + </t>
    </r>
    <r>
      <rPr>
        <sz val="12"/>
        <color rgb="FF000000"/>
        <rFont val="Times New Roman"/>
        <family val="1"/>
        <charset val="204"/>
      </rPr>
      <t>261</t>
    </r>
    <r>
      <rPr>
        <sz val="12"/>
        <color theme="1"/>
        <rFont val="Times New Roman"/>
        <family val="1"/>
        <charset val="204"/>
      </rPr>
      <t xml:space="preserve"> + </t>
    </r>
    <r>
      <rPr>
        <sz val="12"/>
        <color rgb="FF000000"/>
        <rFont val="Times New Roman"/>
        <family val="1"/>
        <charset val="204"/>
      </rPr>
      <t>262</t>
    </r>
    <r>
      <rPr>
        <sz val="12"/>
        <color theme="1"/>
        <rFont val="Times New Roman"/>
        <family val="1"/>
        <charset val="204"/>
      </rPr>
      <t xml:space="preserve">- </t>
    </r>
    <r>
      <rPr>
        <sz val="12"/>
        <color rgb="FF000000"/>
        <rFont val="Times New Roman"/>
        <family val="1"/>
        <charset val="204"/>
      </rPr>
      <t>45601</t>
    </r>
    <r>
      <rPr>
        <sz val="12"/>
        <color theme="1"/>
        <rFont val="Times New Roman"/>
        <family val="1"/>
        <charset val="204"/>
      </rPr>
      <t xml:space="preserve"> - </t>
    </r>
    <r>
      <rPr>
        <sz val="12"/>
        <color rgb="FF000000"/>
        <rFont val="Times New Roman"/>
        <family val="1"/>
        <charset val="204"/>
      </rPr>
      <t>45602</t>
    </r>
    <r>
      <rPr>
        <sz val="12"/>
        <color theme="1"/>
        <rFont val="Times New Roman"/>
        <family val="1"/>
        <charset val="204"/>
      </rPr>
      <t xml:space="preserve"> - </t>
    </r>
    <r>
      <rPr>
        <sz val="12"/>
        <color rgb="FF000000"/>
        <rFont val="Times New Roman"/>
        <family val="1"/>
        <charset val="204"/>
      </rPr>
      <t>45603</t>
    </r>
    <r>
      <rPr>
        <sz val="12"/>
        <color theme="1"/>
        <rFont val="Times New Roman"/>
        <family val="1"/>
        <charset val="204"/>
      </rPr>
      <t xml:space="preserve"> - </t>
    </r>
    <r>
      <rPr>
        <sz val="12"/>
        <color rgb="FF000000"/>
        <rFont val="Times New Roman"/>
        <family val="1"/>
        <charset val="204"/>
      </rPr>
      <t>45604</t>
    </r>
    <r>
      <rPr>
        <sz val="12"/>
        <color theme="1"/>
        <rFont val="Times New Roman"/>
        <family val="1"/>
        <charset val="204"/>
      </rPr>
      <t xml:space="preserve"> - </t>
    </r>
    <r>
      <rPr>
        <sz val="12"/>
        <color rgb="FF000000"/>
        <rFont val="Times New Roman"/>
        <family val="1"/>
        <charset val="204"/>
      </rPr>
      <t>45605</t>
    </r>
    <r>
      <rPr>
        <sz val="12"/>
        <color theme="1"/>
        <rFont val="Times New Roman"/>
        <family val="1"/>
        <charset val="204"/>
      </rPr>
      <t xml:space="preserve"> - </t>
    </r>
    <r>
      <rPr>
        <sz val="12"/>
        <color rgb="FF000000"/>
        <rFont val="Times New Roman"/>
        <family val="1"/>
        <charset val="204"/>
      </rPr>
      <t>461</t>
    </r>
    <r>
      <rPr>
        <sz val="12"/>
        <color theme="1"/>
        <rFont val="Times New Roman"/>
        <family val="1"/>
        <charset val="204"/>
      </rPr>
      <t xml:space="preserve"> - </t>
    </r>
    <r>
      <rPr>
        <sz val="12"/>
        <color rgb="FF000000"/>
        <rFont val="Times New Roman"/>
        <family val="1"/>
        <charset val="204"/>
      </rPr>
      <t>462</t>
    </r>
  </si>
  <si>
    <r>
      <t>263</t>
    </r>
    <r>
      <rPr>
        <sz val="12"/>
        <color theme="1"/>
        <rFont val="Times New Roman"/>
        <family val="1"/>
        <charset val="204"/>
      </rPr>
      <t xml:space="preserve"> - </t>
    </r>
    <r>
      <rPr>
        <sz val="12"/>
        <color rgb="FF000000"/>
        <rFont val="Times New Roman"/>
        <family val="1"/>
        <charset val="204"/>
      </rPr>
      <t>463</t>
    </r>
  </si>
  <si>
    <r>
      <t>25616</t>
    </r>
    <r>
      <rPr>
        <sz val="12"/>
        <color theme="1"/>
        <rFont val="Times New Roman"/>
        <family val="1"/>
        <charset val="204"/>
      </rPr>
      <t xml:space="preserve"> + </t>
    </r>
    <r>
      <rPr>
        <sz val="12"/>
        <color rgb="FF000000"/>
        <rFont val="Times New Roman"/>
        <family val="1"/>
        <charset val="204"/>
      </rPr>
      <t>25617</t>
    </r>
    <r>
      <rPr>
        <sz val="12"/>
        <color theme="1"/>
        <rFont val="Times New Roman"/>
        <family val="1"/>
        <charset val="204"/>
      </rPr>
      <t xml:space="preserve"> + </t>
    </r>
    <r>
      <rPr>
        <sz val="12"/>
        <color rgb="FF000000"/>
        <rFont val="Times New Roman"/>
        <family val="1"/>
        <charset val="204"/>
      </rPr>
      <t>25618</t>
    </r>
    <r>
      <rPr>
        <sz val="12"/>
        <color theme="1"/>
        <rFont val="Times New Roman"/>
        <family val="1"/>
        <charset val="204"/>
      </rPr>
      <t xml:space="preserve"> + </t>
    </r>
    <r>
      <rPr>
        <sz val="12"/>
        <color rgb="FF000000"/>
        <rFont val="Times New Roman"/>
        <family val="1"/>
        <charset val="204"/>
      </rPr>
      <t>25619</t>
    </r>
    <r>
      <rPr>
        <sz val="12"/>
        <color theme="1"/>
        <rFont val="Times New Roman"/>
        <family val="1"/>
        <charset val="204"/>
      </rPr>
      <t xml:space="preserve"> + </t>
    </r>
    <r>
      <rPr>
        <sz val="12"/>
        <color rgb="FF000000"/>
        <rFont val="Times New Roman"/>
        <family val="1"/>
        <charset val="204"/>
      </rPr>
      <t>25620</t>
    </r>
    <r>
      <rPr>
        <sz val="12"/>
        <color theme="1"/>
        <rFont val="Times New Roman"/>
        <family val="1"/>
        <charset val="204"/>
      </rPr>
      <t xml:space="preserve"> + </t>
    </r>
    <r>
      <rPr>
        <sz val="12"/>
        <color rgb="FF000000"/>
        <rFont val="Times New Roman"/>
        <family val="1"/>
        <charset val="204"/>
      </rPr>
      <t>264</t>
    </r>
    <r>
      <rPr>
        <sz val="12"/>
        <color theme="1"/>
        <rFont val="Times New Roman"/>
        <family val="1"/>
        <charset val="204"/>
      </rPr>
      <t xml:space="preserve"> + </t>
    </r>
    <r>
      <rPr>
        <sz val="12"/>
        <color rgb="FF000000"/>
        <rFont val="Times New Roman"/>
        <family val="1"/>
        <charset val="204"/>
      </rPr>
      <t>265</t>
    </r>
    <r>
      <rPr>
        <sz val="12"/>
        <color theme="1"/>
        <rFont val="Times New Roman"/>
        <family val="1"/>
        <charset val="204"/>
      </rPr>
      <t xml:space="preserve"> - </t>
    </r>
    <r>
      <rPr>
        <sz val="12"/>
        <color rgb="FF000000"/>
        <rFont val="Times New Roman"/>
        <family val="1"/>
        <charset val="204"/>
      </rPr>
      <t>45616</t>
    </r>
    <r>
      <rPr>
        <sz val="12"/>
        <color theme="1"/>
        <rFont val="Times New Roman"/>
        <family val="1"/>
        <charset val="204"/>
      </rPr>
      <t xml:space="preserve"> - </t>
    </r>
    <r>
      <rPr>
        <sz val="12"/>
        <color rgb="FF000000"/>
        <rFont val="Times New Roman"/>
        <family val="1"/>
        <charset val="204"/>
      </rPr>
      <t>45617</t>
    </r>
    <r>
      <rPr>
        <sz val="12"/>
        <color theme="1"/>
        <rFont val="Times New Roman"/>
        <family val="1"/>
        <charset val="204"/>
      </rPr>
      <t xml:space="preserve"> - </t>
    </r>
    <r>
      <rPr>
        <sz val="12"/>
        <color rgb="FF000000"/>
        <rFont val="Times New Roman"/>
        <family val="1"/>
        <charset val="204"/>
      </rPr>
      <t>45618</t>
    </r>
    <r>
      <rPr>
        <sz val="12"/>
        <color theme="1"/>
        <rFont val="Times New Roman"/>
        <family val="1"/>
        <charset val="204"/>
      </rPr>
      <t xml:space="preserve"> - </t>
    </r>
    <r>
      <rPr>
        <sz val="12"/>
        <color rgb="FF000000"/>
        <rFont val="Times New Roman"/>
        <family val="1"/>
        <charset val="204"/>
      </rPr>
      <t>45619</t>
    </r>
    <r>
      <rPr>
        <sz val="12"/>
        <color theme="1"/>
        <rFont val="Times New Roman"/>
        <family val="1"/>
        <charset val="204"/>
      </rPr>
      <t xml:space="preserve"> - </t>
    </r>
    <r>
      <rPr>
        <sz val="12"/>
        <color rgb="FF000000"/>
        <rFont val="Times New Roman"/>
        <family val="1"/>
        <charset val="204"/>
      </rPr>
      <t>45620</t>
    </r>
    <r>
      <rPr>
        <sz val="12"/>
        <color theme="1"/>
        <rFont val="Times New Roman"/>
        <family val="1"/>
        <charset val="204"/>
      </rPr>
      <t xml:space="preserve"> - </t>
    </r>
    <r>
      <rPr>
        <sz val="12"/>
        <color rgb="FF000000"/>
        <rFont val="Times New Roman"/>
        <family val="1"/>
        <charset val="204"/>
      </rPr>
      <t>464</t>
    </r>
    <r>
      <rPr>
        <sz val="12"/>
        <color theme="1"/>
        <rFont val="Times New Roman"/>
        <family val="1"/>
        <charset val="204"/>
      </rPr>
      <t xml:space="preserve"> - </t>
    </r>
    <r>
      <rPr>
        <sz val="12"/>
        <color rgb="FF000000"/>
        <rFont val="Times New Roman"/>
        <family val="1"/>
        <charset val="204"/>
      </rPr>
      <t>465</t>
    </r>
  </si>
  <si>
    <r>
      <t>235</t>
    </r>
    <r>
      <rPr>
        <sz val="12"/>
        <color theme="1"/>
        <rFont val="Times New Roman"/>
        <family val="1"/>
        <charset val="204"/>
      </rPr>
      <t xml:space="preserve"> + </t>
    </r>
    <r>
      <rPr>
        <sz val="12"/>
        <color rgb="FF000000"/>
        <rFont val="Times New Roman"/>
        <family val="1"/>
        <charset val="204"/>
      </rPr>
      <t>236</t>
    </r>
    <r>
      <rPr>
        <sz val="12"/>
        <color theme="1"/>
        <rFont val="Times New Roman"/>
        <family val="1"/>
        <charset val="204"/>
      </rPr>
      <t xml:space="preserve"> + </t>
    </r>
    <r>
      <rPr>
        <sz val="12"/>
        <color rgb="FF000000"/>
        <rFont val="Times New Roman"/>
        <family val="1"/>
        <charset val="204"/>
      </rPr>
      <t>237</t>
    </r>
    <r>
      <rPr>
        <sz val="12"/>
        <color theme="1"/>
        <rFont val="Times New Roman"/>
        <family val="1"/>
        <charset val="204"/>
      </rPr>
      <t xml:space="preserve"> + </t>
    </r>
    <r>
      <rPr>
        <sz val="12"/>
        <color rgb="FF000000"/>
        <rFont val="Times New Roman"/>
        <family val="1"/>
        <charset val="204"/>
      </rPr>
      <t>238</t>
    </r>
    <r>
      <rPr>
        <sz val="12"/>
        <color theme="1"/>
        <rFont val="Times New Roman"/>
        <family val="1"/>
        <charset val="204"/>
      </rPr>
      <t xml:space="preserve"> + </t>
    </r>
    <r>
      <rPr>
        <sz val="12"/>
        <color rgb="FF000000"/>
        <rFont val="Times New Roman"/>
        <family val="1"/>
        <charset val="204"/>
      </rPr>
      <t>239</t>
    </r>
    <r>
      <rPr>
        <sz val="12"/>
        <color theme="1"/>
        <rFont val="Times New Roman"/>
        <family val="1"/>
        <charset val="204"/>
      </rPr>
      <t xml:space="preserve"> - </t>
    </r>
    <r>
      <rPr>
        <sz val="12"/>
        <color rgb="FF000000"/>
        <rFont val="Times New Roman"/>
        <family val="1"/>
        <charset val="204"/>
      </rPr>
      <t>435</t>
    </r>
  </si>
  <si>
    <r>
      <t>271</t>
    </r>
    <r>
      <rPr>
        <sz val="12"/>
        <color theme="1"/>
        <rFont val="Times New Roman"/>
        <family val="1"/>
        <charset val="204"/>
      </rPr>
      <t xml:space="preserve"> + </t>
    </r>
    <r>
      <rPr>
        <sz val="12"/>
        <color rgb="FF000000"/>
        <rFont val="Times New Roman"/>
        <family val="1"/>
        <charset val="204"/>
      </rPr>
      <t>272</t>
    </r>
    <r>
      <rPr>
        <sz val="12"/>
        <color theme="1"/>
        <rFont val="Times New Roman"/>
        <family val="1"/>
        <charset val="204"/>
      </rPr>
      <t xml:space="preserve"> + </t>
    </r>
    <r>
      <rPr>
        <sz val="12"/>
        <color rgb="FF000000"/>
        <rFont val="Times New Roman"/>
        <family val="1"/>
        <charset val="204"/>
      </rPr>
      <t>273</t>
    </r>
    <r>
      <rPr>
        <sz val="12"/>
        <color theme="1"/>
        <rFont val="Times New Roman"/>
        <family val="1"/>
        <charset val="204"/>
      </rPr>
      <t xml:space="preserve"> + </t>
    </r>
    <r>
      <rPr>
        <sz val="12"/>
        <color rgb="FF000000"/>
        <rFont val="Times New Roman"/>
        <family val="1"/>
        <charset val="204"/>
      </rPr>
      <t>274</t>
    </r>
    <r>
      <rPr>
        <sz val="12"/>
        <color theme="1"/>
        <rFont val="Times New Roman"/>
        <family val="1"/>
        <charset val="204"/>
      </rPr>
      <t xml:space="preserve"> + </t>
    </r>
    <r>
      <rPr>
        <sz val="12"/>
        <color rgb="FF000000"/>
        <rFont val="Times New Roman"/>
        <family val="1"/>
        <charset val="204"/>
      </rPr>
      <t>275</t>
    </r>
    <r>
      <rPr>
        <sz val="12"/>
        <color theme="1"/>
        <rFont val="Times New Roman"/>
        <family val="1"/>
        <charset val="204"/>
      </rPr>
      <t xml:space="preserve"> + </t>
    </r>
    <r>
      <rPr>
        <sz val="12"/>
        <color rgb="FF000000"/>
        <rFont val="Times New Roman"/>
        <family val="1"/>
        <charset val="204"/>
      </rPr>
      <t>276</t>
    </r>
    <r>
      <rPr>
        <sz val="12"/>
        <color theme="1"/>
        <rFont val="Times New Roman"/>
        <family val="1"/>
        <charset val="204"/>
      </rPr>
      <t xml:space="preserve"> + </t>
    </r>
    <r>
      <rPr>
        <sz val="12"/>
        <color rgb="FF000000"/>
        <rFont val="Times New Roman"/>
        <family val="1"/>
        <charset val="204"/>
      </rPr>
      <t>279</t>
    </r>
  </si>
  <si>
    <r>
      <t>471</t>
    </r>
    <r>
      <rPr>
        <sz val="12"/>
        <color theme="1"/>
        <rFont val="Times New Roman"/>
        <family val="1"/>
        <charset val="204"/>
      </rPr>
      <t xml:space="preserve"> (кроме </t>
    </r>
    <r>
      <rPr>
        <sz val="12"/>
        <color rgb="FF000000"/>
        <rFont val="Times New Roman"/>
        <family val="1"/>
        <charset val="204"/>
      </rPr>
      <t>47108</t>
    </r>
    <r>
      <rPr>
        <sz val="12"/>
        <color theme="1"/>
        <rFont val="Times New Roman"/>
        <family val="1"/>
        <charset val="204"/>
      </rPr>
      <t>)</t>
    </r>
  </si>
  <si>
    <t>Изменение резерва на возможные потери и оценочного резерва под ожидаемые кредитные убытки по ценным бумагам, оцениваемые по справедливой стоимости через прочий совокупный доход</t>
  </si>
  <si>
    <r>
      <t>S155/16</t>
    </r>
    <r>
      <rPr>
        <sz val="12"/>
        <color theme="1"/>
        <rFont val="Times New Roman"/>
        <family val="1"/>
        <charset val="204"/>
      </rPr>
      <t xml:space="preserve"> + </t>
    </r>
    <r>
      <rPr>
        <sz val="12"/>
        <color rgb="FF000000"/>
        <rFont val="Times New Roman"/>
        <family val="1"/>
        <charset val="204"/>
      </rPr>
      <t>S175/16</t>
    </r>
    <r>
      <rPr>
        <sz val="12"/>
        <color theme="1"/>
        <rFont val="Times New Roman"/>
        <family val="1"/>
        <charset val="204"/>
      </rPr>
      <t xml:space="preserve"> - </t>
    </r>
    <r>
      <rPr>
        <sz val="12"/>
        <color rgb="FF000000"/>
        <rFont val="Times New Roman"/>
        <family val="1"/>
        <charset val="204"/>
      </rPr>
      <t>S375/16</t>
    </r>
    <r>
      <rPr>
        <sz val="12"/>
        <color theme="1"/>
        <rFont val="Times New Roman"/>
        <family val="1"/>
        <charset val="204"/>
      </rPr>
      <t xml:space="preserve"> - </t>
    </r>
    <r>
      <rPr>
        <sz val="12"/>
        <color rgb="FF000000"/>
        <rFont val="Times New Roman"/>
        <family val="1"/>
        <charset val="204"/>
      </rPr>
      <t>S385/16</t>
    </r>
  </si>
  <si>
    <t>Изменение резерва на возможные потери и оценочного резерва под ожидаемые кредитные убытки по ценным бумагам, оцениваемым по амортизированной стоимости</t>
  </si>
  <si>
    <r>
      <t>S156/17</t>
    </r>
    <r>
      <rPr>
        <sz val="12"/>
        <color theme="1"/>
        <rFont val="Times New Roman"/>
        <family val="1"/>
        <charset val="204"/>
      </rPr>
      <t xml:space="preserve"> + </t>
    </r>
    <r>
      <rPr>
        <sz val="12"/>
        <color rgb="FF000000"/>
        <rFont val="Times New Roman"/>
        <family val="1"/>
        <charset val="204"/>
      </rPr>
      <t>S176/17</t>
    </r>
    <r>
      <rPr>
        <sz val="12"/>
        <color theme="1"/>
        <rFont val="Times New Roman"/>
        <family val="1"/>
        <charset val="204"/>
      </rPr>
      <t xml:space="preserve"> - </t>
    </r>
    <r>
      <rPr>
        <sz val="12"/>
        <color rgb="FF000000"/>
        <rFont val="Times New Roman"/>
        <family val="1"/>
        <charset val="204"/>
      </rPr>
      <t>S376/17</t>
    </r>
    <r>
      <rPr>
        <sz val="12"/>
        <color theme="1"/>
        <rFont val="Times New Roman"/>
        <family val="1"/>
        <charset val="204"/>
      </rPr>
      <t xml:space="preserve"> - </t>
    </r>
    <r>
      <rPr>
        <sz val="12"/>
        <color rgb="FF000000"/>
        <rFont val="Times New Roman"/>
        <family val="1"/>
        <charset val="204"/>
      </rPr>
      <t>S386/17</t>
    </r>
  </si>
  <si>
    <r>
      <t>282</t>
    </r>
    <r>
      <rPr>
        <sz val="12"/>
        <color theme="1"/>
        <rFont val="Times New Roman"/>
        <family val="1"/>
        <charset val="204"/>
      </rPr>
      <t xml:space="preserve"> + </t>
    </r>
    <r>
      <rPr>
        <sz val="12"/>
        <color rgb="FF000000"/>
        <rFont val="Times New Roman"/>
        <family val="1"/>
        <charset val="204"/>
      </rPr>
      <t>293</t>
    </r>
    <r>
      <rPr>
        <sz val="12"/>
        <color theme="1"/>
        <rFont val="Times New Roman"/>
        <family val="1"/>
        <charset val="204"/>
      </rPr>
      <t xml:space="preserve"> + </t>
    </r>
    <r>
      <rPr>
        <sz val="12"/>
        <color rgb="FF000000"/>
        <rFont val="Times New Roman"/>
        <family val="1"/>
        <charset val="204"/>
      </rPr>
      <t>S/18.1</t>
    </r>
    <r>
      <rPr>
        <sz val="12"/>
        <color theme="1"/>
        <rFont val="Times New Roman"/>
        <family val="1"/>
        <charset val="204"/>
      </rPr>
      <t xml:space="preserve"> - </t>
    </r>
    <r>
      <rPr>
        <sz val="12"/>
        <color rgb="FF000000"/>
        <rFont val="Times New Roman"/>
        <family val="1"/>
        <charset val="204"/>
      </rPr>
      <t>473</t>
    </r>
    <r>
      <rPr>
        <sz val="12"/>
        <color theme="1"/>
        <rFont val="Times New Roman"/>
        <family val="1"/>
        <charset val="204"/>
      </rPr>
      <t xml:space="preserve"> - </t>
    </r>
    <r>
      <rPr>
        <sz val="12"/>
        <color rgb="FF000000"/>
        <rFont val="Times New Roman"/>
        <family val="1"/>
        <charset val="204"/>
      </rPr>
      <t>485</t>
    </r>
    <r>
      <rPr>
        <sz val="12"/>
        <color theme="1"/>
        <rFont val="Times New Roman"/>
        <family val="1"/>
        <charset val="204"/>
      </rPr>
      <t xml:space="preserve"> - </t>
    </r>
    <r>
      <rPr>
        <sz val="12"/>
        <color rgb="FF000000"/>
        <rFont val="Times New Roman"/>
        <family val="1"/>
        <charset val="204"/>
      </rPr>
      <t>S/18.2</t>
    </r>
    <r>
      <rPr>
        <sz val="12"/>
        <color theme="1"/>
        <rFont val="Times New Roman"/>
        <family val="1"/>
        <charset val="204"/>
      </rPr>
      <t xml:space="preserve"> - </t>
    </r>
    <r>
      <rPr>
        <sz val="12"/>
        <color rgb="FF000000"/>
        <rFont val="Times New Roman"/>
        <family val="1"/>
        <charset val="204"/>
      </rPr>
      <t>S/4.5</t>
    </r>
    <r>
      <rPr>
        <sz val="12"/>
        <color theme="1"/>
        <rFont val="Times New Roman"/>
        <family val="1"/>
        <charset val="204"/>
      </rPr>
      <t xml:space="preserve"> + </t>
    </r>
    <r>
      <rPr>
        <sz val="12"/>
        <color rgb="FF000000"/>
        <rFont val="Times New Roman"/>
        <family val="1"/>
        <charset val="204"/>
      </rPr>
      <t>S/4.6</t>
    </r>
  </si>
  <si>
    <r>
      <t>(</t>
    </r>
    <r>
      <rPr>
        <sz val="12"/>
        <color rgb="FF000000"/>
        <rFont val="Times New Roman"/>
        <family val="1"/>
        <charset val="204"/>
      </rPr>
      <t>стр. 5</t>
    </r>
    <r>
      <rPr>
        <sz val="12"/>
        <color theme="1"/>
        <rFont val="Times New Roman"/>
        <family val="1"/>
        <charset val="204"/>
      </rPr>
      <t xml:space="preserve"> + </t>
    </r>
    <r>
      <rPr>
        <sz val="12"/>
        <color rgb="FF000000"/>
        <rFont val="Times New Roman"/>
        <family val="1"/>
        <charset val="204"/>
      </rPr>
      <t>стр. 6</t>
    </r>
    <r>
      <rPr>
        <sz val="12"/>
        <color theme="1"/>
        <rFont val="Times New Roman"/>
        <family val="1"/>
        <charset val="204"/>
      </rPr>
      <t xml:space="preserve"> + </t>
    </r>
    <r>
      <rPr>
        <sz val="12"/>
        <color rgb="FF000000"/>
        <rFont val="Times New Roman"/>
        <family val="1"/>
        <charset val="204"/>
      </rPr>
      <t>стр. 7</t>
    </r>
    <r>
      <rPr>
        <sz val="12"/>
        <color theme="1"/>
        <rFont val="Times New Roman"/>
        <family val="1"/>
        <charset val="204"/>
      </rPr>
      <t xml:space="preserve"> + </t>
    </r>
    <r>
      <rPr>
        <sz val="12"/>
        <color rgb="FF000000"/>
        <rFont val="Times New Roman"/>
        <family val="1"/>
        <charset val="204"/>
      </rPr>
      <t>стр. 8</t>
    </r>
    <r>
      <rPr>
        <sz val="12"/>
        <color theme="1"/>
        <rFont val="Times New Roman"/>
        <family val="1"/>
        <charset val="204"/>
      </rPr>
      <t xml:space="preserve"> + </t>
    </r>
    <r>
      <rPr>
        <sz val="12"/>
        <color rgb="FF000000"/>
        <rFont val="Times New Roman"/>
        <family val="1"/>
        <charset val="204"/>
      </rPr>
      <t>стр. 9</t>
    </r>
    <r>
      <rPr>
        <sz val="12"/>
        <color theme="1"/>
        <rFont val="Times New Roman"/>
        <family val="1"/>
        <charset val="204"/>
      </rPr>
      <t xml:space="preserve"> + </t>
    </r>
    <r>
      <rPr>
        <sz val="12"/>
        <color rgb="FF000000"/>
        <rFont val="Times New Roman"/>
        <family val="1"/>
        <charset val="204"/>
      </rPr>
      <t>стр.10</t>
    </r>
    <r>
      <rPr>
        <sz val="12"/>
        <color theme="1"/>
        <rFont val="Times New Roman"/>
        <family val="1"/>
        <charset val="204"/>
      </rPr>
      <t xml:space="preserve"> + </t>
    </r>
    <r>
      <rPr>
        <sz val="12"/>
        <color rgb="FF000000"/>
        <rFont val="Times New Roman"/>
        <family val="1"/>
        <charset val="204"/>
      </rPr>
      <t xml:space="preserve">стр. 11 </t>
    </r>
    <r>
      <rPr>
        <sz val="12"/>
        <color theme="1"/>
        <rFont val="Times New Roman"/>
        <family val="1"/>
        <charset val="204"/>
      </rPr>
      <t xml:space="preserve">+ </t>
    </r>
    <r>
      <rPr>
        <sz val="12"/>
        <color rgb="FF000000"/>
        <rFont val="Times New Roman"/>
        <family val="1"/>
        <charset val="204"/>
      </rPr>
      <t>стр.12</t>
    </r>
    <r>
      <rPr>
        <sz val="12"/>
        <color theme="1"/>
        <rFont val="Times New Roman"/>
        <family val="1"/>
        <charset val="204"/>
      </rPr>
      <t xml:space="preserve"> + </t>
    </r>
    <r>
      <rPr>
        <sz val="12"/>
        <color rgb="FF000000"/>
        <rFont val="Times New Roman"/>
        <family val="1"/>
        <charset val="204"/>
      </rPr>
      <t>стр. 13</t>
    </r>
    <r>
      <rPr>
        <sz val="12"/>
        <color theme="1"/>
        <rFont val="Times New Roman"/>
        <family val="1"/>
        <charset val="204"/>
      </rPr>
      <t xml:space="preserve"> + </t>
    </r>
    <r>
      <rPr>
        <sz val="12"/>
        <color rgb="FF000000"/>
        <rFont val="Times New Roman"/>
        <family val="1"/>
        <charset val="204"/>
      </rPr>
      <t>стр. 14</t>
    </r>
    <r>
      <rPr>
        <sz val="12"/>
        <color theme="1"/>
        <rFont val="Times New Roman"/>
        <family val="1"/>
        <charset val="204"/>
      </rPr>
      <t xml:space="preserve"> - </t>
    </r>
    <r>
      <rPr>
        <sz val="12"/>
        <color rgb="FF000000"/>
        <rFont val="Times New Roman"/>
        <family val="1"/>
        <charset val="204"/>
      </rPr>
      <t>стр. 15</t>
    </r>
    <r>
      <rPr>
        <sz val="12"/>
        <color theme="1"/>
        <rFont val="Times New Roman"/>
        <family val="1"/>
        <charset val="204"/>
      </rPr>
      <t xml:space="preserve"> + </t>
    </r>
    <r>
      <rPr>
        <sz val="12"/>
        <color rgb="FF000000"/>
        <rFont val="Times New Roman"/>
        <family val="1"/>
        <charset val="204"/>
      </rPr>
      <t>стр. 16</t>
    </r>
    <r>
      <rPr>
        <sz val="12"/>
        <color theme="1"/>
        <rFont val="Times New Roman"/>
        <family val="1"/>
        <charset val="204"/>
      </rPr>
      <t xml:space="preserve"> + </t>
    </r>
    <r>
      <rPr>
        <sz val="12"/>
        <color rgb="FF000000"/>
        <rFont val="Times New Roman"/>
        <family val="1"/>
        <charset val="204"/>
      </rPr>
      <t>стр. 17</t>
    </r>
    <r>
      <rPr>
        <sz val="12"/>
        <color theme="1"/>
        <rFont val="Times New Roman"/>
        <family val="1"/>
        <charset val="204"/>
      </rPr>
      <t xml:space="preserve"> + </t>
    </r>
    <r>
      <rPr>
        <sz val="12"/>
        <color rgb="FF000000"/>
        <rFont val="Times New Roman"/>
        <family val="1"/>
        <charset val="204"/>
      </rPr>
      <t>стр.18</t>
    </r>
    <r>
      <rPr>
        <sz val="12"/>
        <color theme="1"/>
        <rFont val="Times New Roman"/>
        <family val="1"/>
        <charset val="204"/>
      </rPr>
      <t xml:space="preserve"> + </t>
    </r>
    <r>
      <rPr>
        <sz val="12"/>
        <color rgb="FF000000"/>
        <rFont val="Times New Roman"/>
        <family val="1"/>
        <charset val="204"/>
      </rPr>
      <t>стр. 19</t>
    </r>
    <r>
      <rPr>
        <sz val="12"/>
        <color theme="1"/>
        <rFont val="Times New Roman"/>
        <family val="1"/>
        <charset val="204"/>
      </rPr>
      <t>)</t>
    </r>
  </si>
  <si>
    <r>
      <t>Прибыль (убыток) до налогообложения (</t>
    </r>
    <r>
      <rPr>
        <sz val="12"/>
        <color rgb="FF000000"/>
        <rFont val="Times New Roman"/>
        <family val="1"/>
        <charset val="204"/>
      </rPr>
      <t>стр. 20</t>
    </r>
    <r>
      <rPr>
        <sz val="12"/>
        <color theme="1"/>
        <rFont val="Times New Roman"/>
        <family val="1"/>
        <charset val="204"/>
      </rPr>
      <t xml:space="preserve"> - </t>
    </r>
    <r>
      <rPr>
        <sz val="12"/>
        <color rgb="FF000000"/>
        <rFont val="Times New Roman"/>
        <family val="1"/>
        <charset val="204"/>
      </rPr>
      <t>стр. 21</t>
    </r>
    <r>
      <rPr>
        <sz val="12"/>
        <color theme="1"/>
        <rFont val="Times New Roman"/>
        <family val="1"/>
        <charset val="204"/>
      </rPr>
      <t>)</t>
    </r>
  </si>
  <si>
    <t>Прибыль (убыток) от продолжающейся деятельности</t>
  </si>
  <si>
    <r>
      <t>(</t>
    </r>
    <r>
      <rPr>
        <sz val="12"/>
        <color rgb="FF000000"/>
        <rFont val="Times New Roman"/>
        <family val="1"/>
        <charset val="204"/>
      </rPr>
      <t>стр. 22</t>
    </r>
    <r>
      <rPr>
        <sz val="12"/>
        <color theme="1"/>
        <rFont val="Times New Roman"/>
        <family val="1"/>
        <charset val="204"/>
      </rPr>
      <t xml:space="preserve"> - </t>
    </r>
    <r>
      <rPr>
        <sz val="12"/>
        <color rgb="FF000000"/>
        <rFont val="Times New Roman"/>
        <family val="1"/>
        <charset val="204"/>
      </rPr>
      <t>стр. 23</t>
    </r>
    <r>
      <rPr>
        <sz val="12"/>
        <color theme="1"/>
        <rFont val="Times New Roman"/>
        <family val="1"/>
        <charset val="204"/>
      </rPr>
      <t xml:space="preserve"> - </t>
    </r>
    <r>
      <rPr>
        <sz val="12"/>
        <color rgb="FF000000"/>
        <rFont val="Times New Roman"/>
        <family val="1"/>
        <charset val="204"/>
      </rPr>
      <t>стр. 25</t>
    </r>
    <r>
      <rPr>
        <sz val="12"/>
        <color theme="1"/>
        <rFont val="Times New Roman"/>
        <family val="1"/>
        <charset val="204"/>
      </rPr>
      <t>)</t>
    </r>
  </si>
  <si>
    <r>
      <t>28601</t>
    </r>
    <r>
      <rPr>
        <sz val="12"/>
        <color theme="1"/>
        <rFont val="Times New Roman"/>
        <family val="1"/>
        <charset val="204"/>
      </rPr>
      <t xml:space="preserve"> - </t>
    </r>
    <r>
      <rPr>
        <sz val="12"/>
        <color rgb="FF000000"/>
        <rFont val="Times New Roman"/>
        <family val="1"/>
        <charset val="204"/>
      </rPr>
      <t>47601</t>
    </r>
  </si>
  <si>
    <r>
      <t>Прибыль (убыток) за отчетный период (</t>
    </r>
    <r>
      <rPr>
        <sz val="12"/>
        <color rgb="FF000000"/>
        <rFont val="Times New Roman"/>
        <family val="1"/>
        <charset val="204"/>
      </rPr>
      <t>стр. 22</t>
    </r>
    <r>
      <rPr>
        <sz val="12"/>
        <color theme="1"/>
        <rFont val="Times New Roman"/>
        <family val="1"/>
        <charset val="204"/>
      </rPr>
      <t xml:space="preserve"> - </t>
    </r>
    <r>
      <rPr>
        <sz val="12"/>
        <color rgb="FF000000"/>
        <rFont val="Times New Roman"/>
        <family val="1"/>
        <charset val="204"/>
      </rPr>
      <t>стр. 23</t>
    </r>
    <r>
      <rPr>
        <sz val="12"/>
        <color theme="1"/>
        <rFont val="Times New Roman"/>
        <family val="1"/>
        <charset val="204"/>
      </rPr>
      <t>)</t>
    </r>
  </si>
  <si>
    <t>Раздел 2. Прочий совокупный доход</t>
  </si>
  <si>
    <t>Статья 26 раздела 1</t>
  </si>
  <si>
    <t>Прочий совокупный доход (убыток)</t>
  </si>
  <si>
    <t>X</t>
  </si>
  <si>
    <r>
      <t>Статьи, которые не переклассифицируются в прибыль или убыток, всего (</t>
    </r>
    <r>
      <rPr>
        <sz val="12"/>
        <color rgb="FF000000"/>
        <rFont val="Times New Roman"/>
        <family val="1"/>
        <charset val="204"/>
      </rPr>
      <t>стр. 3.1</t>
    </r>
    <r>
      <rPr>
        <sz val="12"/>
        <color theme="1"/>
        <rFont val="Times New Roman"/>
        <family val="1"/>
        <charset val="204"/>
      </rPr>
      <t xml:space="preserve"> + </t>
    </r>
    <r>
      <rPr>
        <sz val="12"/>
        <color rgb="FF000000"/>
        <rFont val="Times New Roman"/>
        <family val="1"/>
        <charset val="204"/>
      </rPr>
      <t>стр. 3.2</t>
    </r>
    <r>
      <rPr>
        <sz val="12"/>
        <color theme="1"/>
        <rFont val="Times New Roman"/>
        <family val="1"/>
        <charset val="204"/>
      </rPr>
      <t>),</t>
    </r>
  </si>
  <si>
    <t>изменение фонда переоценки основных средств и нематериальных активов</t>
  </si>
  <si>
    <r>
      <t>715</t>
    </r>
    <r>
      <rPr>
        <sz val="12"/>
        <color theme="1"/>
        <rFont val="Times New Roman"/>
        <family val="1"/>
        <charset val="204"/>
      </rPr>
      <t xml:space="preserve"> - </t>
    </r>
    <r>
      <rPr>
        <sz val="12"/>
        <color rgb="FF000000"/>
        <rFont val="Times New Roman"/>
        <family val="1"/>
        <charset val="204"/>
      </rPr>
      <t>725</t>
    </r>
  </si>
  <si>
    <t>изменение фонда переоценки обязательств (требований) по пенсионному обеспечению работников по программам с установленными выплатами</t>
  </si>
  <si>
    <r>
      <t>716</t>
    </r>
    <r>
      <rPr>
        <sz val="12"/>
        <color theme="1"/>
        <rFont val="Times New Roman"/>
        <family val="1"/>
        <charset val="204"/>
      </rPr>
      <t xml:space="preserve"> - </t>
    </r>
    <r>
      <rPr>
        <sz val="12"/>
        <color rgb="FF000000"/>
        <rFont val="Times New Roman"/>
        <family val="1"/>
        <charset val="204"/>
      </rPr>
      <t>726</t>
    </r>
  </si>
  <si>
    <t>Налог на прибыль, относящийся к статьям, которые не могут быть переклассифицированы в прибыль или убыток</t>
  </si>
  <si>
    <r>
      <t>72903</t>
    </r>
    <r>
      <rPr>
        <sz val="12"/>
        <color theme="1"/>
        <rFont val="Times New Roman"/>
        <family val="1"/>
        <charset val="204"/>
      </rPr>
      <t xml:space="preserve"> + </t>
    </r>
    <r>
      <rPr>
        <sz val="12"/>
        <color rgb="FF000000"/>
        <rFont val="Times New Roman"/>
        <family val="1"/>
        <charset val="204"/>
      </rPr>
      <t>72904</t>
    </r>
    <r>
      <rPr>
        <sz val="12"/>
        <color theme="1"/>
        <rFont val="Times New Roman"/>
        <family val="1"/>
        <charset val="204"/>
      </rPr>
      <t xml:space="preserve"> + </t>
    </r>
    <r>
      <rPr>
        <sz val="12"/>
        <color rgb="FF000000"/>
        <rFont val="Times New Roman"/>
        <family val="1"/>
        <charset val="204"/>
      </rPr>
      <t>72905</t>
    </r>
    <r>
      <rPr>
        <sz val="12"/>
        <color theme="1"/>
        <rFont val="Times New Roman"/>
        <family val="1"/>
        <charset val="204"/>
      </rPr>
      <t xml:space="preserve"> - </t>
    </r>
    <r>
      <rPr>
        <sz val="12"/>
        <color rgb="FF000000"/>
        <rFont val="Times New Roman"/>
        <family val="1"/>
        <charset val="204"/>
      </rPr>
      <t>71903</t>
    </r>
    <r>
      <rPr>
        <sz val="12"/>
        <color theme="1"/>
        <rFont val="Times New Roman"/>
        <family val="1"/>
        <charset val="204"/>
      </rPr>
      <t xml:space="preserve"> - </t>
    </r>
    <r>
      <rPr>
        <sz val="12"/>
        <color rgb="FF000000"/>
        <rFont val="Times New Roman"/>
        <family val="1"/>
        <charset val="204"/>
      </rPr>
      <t>71904</t>
    </r>
    <r>
      <rPr>
        <sz val="12"/>
        <color theme="1"/>
        <rFont val="Times New Roman"/>
        <family val="1"/>
        <charset val="204"/>
      </rPr>
      <t xml:space="preserve"> - </t>
    </r>
    <r>
      <rPr>
        <sz val="12"/>
        <color rgb="FF000000"/>
        <rFont val="Times New Roman"/>
        <family val="1"/>
        <charset val="204"/>
      </rPr>
      <t>71905</t>
    </r>
  </si>
  <si>
    <r>
      <t>Прочий совокупный доход (убыток), который не может быть переклассифицирован в прибыль или убыток, за вычетом налога на прибыль (</t>
    </r>
    <r>
      <rPr>
        <sz val="12"/>
        <color rgb="FF000000"/>
        <rFont val="Times New Roman"/>
        <family val="1"/>
        <charset val="204"/>
      </rPr>
      <t>стр. 3</t>
    </r>
    <r>
      <rPr>
        <sz val="12"/>
        <color theme="1"/>
        <rFont val="Times New Roman"/>
        <family val="1"/>
        <charset val="204"/>
      </rPr>
      <t xml:space="preserve"> - </t>
    </r>
    <r>
      <rPr>
        <sz val="12"/>
        <color rgb="FF000000"/>
        <rFont val="Times New Roman"/>
        <family val="1"/>
        <charset val="204"/>
      </rPr>
      <t>стр. 4</t>
    </r>
    <r>
      <rPr>
        <sz val="12"/>
        <color theme="1"/>
        <rFont val="Times New Roman"/>
        <family val="1"/>
        <charset val="204"/>
      </rPr>
      <t>)</t>
    </r>
  </si>
  <si>
    <r>
      <t>Статьи, которые могут быть переклассифицированы в прибыль или убыток, всего (</t>
    </r>
    <r>
      <rPr>
        <sz val="12"/>
        <color rgb="FF000000"/>
        <rFont val="Times New Roman"/>
        <family val="1"/>
        <charset val="204"/>
      </rPr>
      <t>стр. 6.1</t>
    </r>
    <r>
      <rPr>
        <sz val="12"/>
        <color theme="1"/>
        <rFont val="Times New Roman"/>
        <family val="1"/>
        <charset val="204"/>
      </rPr>
      <t xml:space="preserve"> + </t>
    </r>
    <r>
      <rPr>
        <sz val="12"/>
        <color rgb="FF000000"/>
        <rFont val="Times New Roman"/>
        <family val="1"/>
        <charset val="204"/>
      </rPr>
      <t>стр. 6.2</t>
    </r>
    <r>
      <rPr>
        <sz val="12"/>
        <color theme="1"/>
        <rFont val="Times New Roman"/>
        <family val="1"/>
        <charset val="204"/>
      </rPr>
      <t>),</t>
    </r>
  </si>
  <si>
    <t>изменение фонда переоценки финансовых активов, оцениваемых по справедливой стоимости через прочий совокупный доход</t>
  </si>
  <si>
    <r>
      <t>711</t>
    </r>
    <r>
      <rPr>
        <sz val="12"/>
        <color theme="1"/>
        <rFont val="Times New Roman"/>
        <family val="1"/>
        <charset val="204"/>
      </rPr>
      <t xml:space="preserve"> + </t>
    </r>
    <r>
      <rPr>
        <sz val="12"/>
        <color rgb="FF000000"/>
        <rFont val="Times New Roman"/>
        <family val="1"/>
        <charset val="204"/>
      </rPr>
      <t>712</t>
    </r>
    <r>
      <rPr>
        <sz val="12"/>
        <color theme="1"/>
        <rFont val="Times New Roman"/>
        <family val="1"/>
        <charset val="204"/>
      </rPr>
      <t xml:space="preserve"> + </t>
    </r>
    <r>
      <rPr>
        <sz val="12"/>
        <color rgb="FF000000"/>
        <rFont val="Times New Roman"/>
        <family val="1"/>
        <charset val="204"/>
      </rPr>
      <t>713</t>
    </r>
    <r>
      <rPr>
        <sz val="12"/>
        <color theme="1"/>
        <rFont val="Times New Roman"/>
        <family val="1"/>
        <charset val="204"/>
      </rPr>
      <t xml:space="preserve"> + </t>
    </r>
    <r>
      <rPr>
        <sz val="12"/>
        <color rgb="FF000000"/>
        <rFont val="Times New Roman"/>
        <family val="1"/>
        <charset val="204"/>
      </rPr>
      <t>717</t>
    </r>
    <r>
      <rPr>
        <sz val="12"/>
        <color theme="1"/>
        <rFont val="Times New Roman"/>
        <family val="1"/>
        <charset val="204"/>
      </rPr>
      <t xml:space="preserve">- </t>
    </r>
    <r>
      <rPr>
        <sz val="12"/>
        <color rgb="FF000000"/>
        <rFont val="Times New Roman"/>
        <family val="1"/>
        <charset val="204"/>
      </rPr>
      <t>721</t>
    </r>
    <r>
      <rPr>
        <sz val="12"/>
        <color theme="1"/>
        <rFont val="Times New Roman"/>
        <family val="1"/>
        <charset val="204"/>
      </rPr>
      <t xml:space="preserve"> - </t>
    </r>
    <r>
      <rPr>
        <sz val="12"/>
        <color rgb="FF000000"/>
        <rFont val="Times New Roman"/>
        <family val="1"/>
        <charset val="204"/>
      </rPr>
      <t>722</t>
    </r>
    <r>
      <rPr>
        <sz val="12"/>
        <color theme="1"/>
        <rFont val="Times New Roman"/>
        <family val="1"/>
        <charset val="204"/>
      </rPr>
      <t xml:space="preserve"> - </t>
    </r>
    <r>
      <rPr>
        <sz val="12"/>
        <color rgb="FF000000"/>
        <rFont val="Times New Roman"/>
        <family val="1"/>
        <charset val="204"/>
      </rPr>
      <t>723</t>
    </r>
    <r>
      <rPr>
        <sz val="12"/>
        <color theme="1"/>
        <rFont val="Times New Roman"/>
        <family val="1"/>
        <charset val="204"/>
      </rPr>
      <t xml:space="preserve"> - </t>
    </r>
    <r>
      <rPr>
        <sz val="12"/>
        <color rgb="FF000000"/>
        <rFont val="Times New Roman"/>
        <family val="1"/>
        <charset val="204"/>
      </rPr>
      <t>727</t>
    </r>
  </si>
  <si>
    <t>изменение фонда переоценки финансовых обязательств, оцениваемых по справедливой стоимости через прибыль или убыток</t>
  </si>
  <si>
    <r>
      <t>714</t>
    </r>
    <r>
      <rPr>
        <sz val="12"/>
        <color theme="1"/>
        <rFont val="Times New Roman"/>
        <family val="1"/>
        <charset val="204"/>
      </rPr>
      <t xml:space="preserve"> - </t>
    </r>
    <r>
      <rPr>
        <sz val="12"/>
        <color rgb="FF000000"/>
        <rFont val="Times New Roman"/>
        <family val="1"/>
        <charset val="204"/>
      </rPr>
      <t>724</t>
    </r>
  </si>
  <si>
    <t>изменение фонда хеджирования денежных потоков</t>
  </si>
  <si>
    <r>
      <t>718</t>
    </r>
    <r>
      <rPr>
        <sz val="12"/>
        <color theme="1"/>
        <rFont val="Times New Roman"/>
        <family val="1"/>
        <charset val="204"/>
      </rPr>
      <t xml:space="preserve"> - </t>
    </r>
    <r>
      <rPr>
        <sz val="12"/>
        <color rgb="FF000000"/>
        <rFont val="Times New Roman"/>
        <family val="1"/>
        <charset val="204"/>
      </rPr>
      <t>728</t>
    </r>
  </si>
  <si>
    <t>Налог на прибыль, относящийся к статьям, которые могут быть переклассифицированы в прибыль или убыток</t>
  </si>
  <si>
    <r>
      <t>72901</t>
    </r>
    <r>
      <rPr>
        <sz val="12"/>
        <color theme="1"/>
        <rFont val="Times New Roman"/>
        <family val="1"/>
        <charset val="204"/>
      </rPr>
      <t xml:space="preserve"> + </t>
    </r>
    <r>
      <rPr>
        <sz val="12"/>
        <color rgb="FF000000"/>
        <rFont val="Times New Roman"/>
        <family val="1"/>
        <charset val="204"/>
      </rPr>
      <t>72902</t>
    </r>
    <r>
      <rPr>
        <sz val="12"/>
        <color theme="1"/>
        <rFont val="Times New Roman"/>
        <family val="1"/>
        <charset val="204"/>
      </rPr>
      <t xml:space="preserve"> + </t>
    </r>
    <r>
      <rPr>
        <sz val="12"/>
        <color rgb="FF000000"/>
        <rFont val="Times New Roman"/>
        <family val="1"/>
        <charset val="204"/>
      </rPr>
      <t>72906</t>
    </r>
    <r>
      <rPr>
        <sz val="12"/>
        <color theme="1"/>
        <rFont val="Times New Roman"/>
        <family val="1"/>
        <charset val="204"/>
      </rPr>
      <t xml:space="preserve"> + </t>
    </r>
    <r>
      <rPr>
        <sz val="12"/>
        <color rgb="FF000000"/>
        <rFont val="Times New Roman"/>
        <family val="1"/>
        <charset val="204"/>
      </rPr>
      <t>72907</t>
    </r>
    <r>
      <rPr>
        <sz val="12"/>
        <color theme="1"/>
        <rFont val="Times New Roman"/>
        <family val="1"/>
        <charset val="204"/>
      </rPr>
      <t xml:space="preserve"> + </t>
    </r>
    <r>
      <rPr>
        <sz val="12"/>
        <color rgb="FF000000"/>
        <rFont val="Times New Roman"/>
        <family val="1"/>
        <charset val="204"/>
      </rPr>
      <t>72908</t>
    </r>
    <r>
      <rPr>
        <sz val="12"/>
        <color theme="1"/>
        <rFont val="Times New Roman"/>
        <family val="1"/>
        <charset val="204"/>
      </rPr>
      <t xml:space="preserve"> + </t>
    </r>
    <r>
      <rPr>
        <sz val="12"/>
        <color rgb="FF000000"/>
        <rFont val="Times New Roman"/>
        <family val="1"/>
        <charset val="204"/>
      </rPr>
      <t>72909</t>
    </r>
    <r>
      <rPr>
        <sz val="12"/>
        <color theme="1"/>
        <rFont val="Times New Roman"/>
        <family val="1"/>
        <charset val="204"/>
      </rPr>
      <t xml:space="preserve"> - </t>
    </r>
    <r>
      <rPr>
        <sz val="12"/>
        <color rgb="FF000000"/>
        <rFont val="Times New Roman"/>
        <family val="1"/>
        <charset val="204"/>
      </rPr>
      <t>71901</t>
    </r>
    <r>
      <rPr>
        <sz val="12"/>
        <color theme="1"/>
        <rFont val="Times New Roman"/>
        <family val="1"/>
        <charset val="204"/>
      </rPr>
      <t xml:space="preserve"> - </t>
    </r>
    <r>
      <rPr>
        <sz val="12"/>
        <color rgb="FF000000"/>
        <rFont val="Times New Roman"/>
        <family val="1"/>
        <charset val="204"/>
      </rPr>
      <t>71902</t>
    </r>
    <r>
      <rPr>
        <sz val="12"/>
        <color theme="1"/>
        <rFont val="Times New Roman"/>
        <family val="1"/>
        <charset val="204"/>
      </rPr>
      <t xml:space="preserve"> - </t>
    </r>
    <r>
      <rPr>
        <sz val="12"/>
        <color rgb="FF000000"/>
        <rFont val="Times New Roman"/>
        <family val="1"/>
        <charset val="204"/>
      </rPr>
      <t>71906</t>
    </r>
    <r>
      <rPr>
        <sz val="12"/>
        <color theme="1"/>
        <rFont val="Times New Roman"/>
        <family val="1"/>
        <charset val="204"/>
      </rPr>
      <t xml:space="preserve"> - </t>
    </r>
    <r>
      <rPr>
        <sz val="12"/>
        <color rgb="FF000000"/>
        <rFont val="Times New Roman"/>
        <family val="1"/>
        <charset val="204"/>
      </rPr>
      <t>71907</t>
    </r>
    <r>
      <rPr>
        <sz val="12"/>
        <color theme="1"/>
        <rFont val="Times New Roman"/>
        <family val="1"/>
        <charset val="204"/>
      </rPr>
      <t xml:space="preserve"> - </t>
    </r>
    <r>
      <rPr>
        <sz val="12"/>
        <color rgb="FF000000"/>
        <rFont val="Times New Roman"/>
        <family val="1"/>
        <charset val="204"/>
      </rPr>
      <t>71908</t>
    </r>
    <r>
      <rPr>
        <sz val="12"/>
        <color theme="1"/>
        <rFont val="Times New Roman"/>
        <family val="1"/>
        <charset val="204"/>
      </rPr>
      <t xml:space="preserve"> - </t>
    </r>
    <r>
      <rPr>
        <sz val="12"/>
        <color rgb="FF000000"/>
        <rFont val="Times New Roman"/>
        <family val="1"/>
        <charset val="204"/>
      </rPr>
      <t>71909</t>
    </r>
  </si>
  <si>
    <r>
      <t>Прочий совокупный доход (убыток), который может быть переклассифицирован в прибыль или убыток, за вычетом налога на прибыль (</t>
    </r>
    <r>
      <rPr>
        <sz val="12"/>
        <color rgb="FF000000"/>
        <rFont val="Times New Roman"/>
        <family val="1"/>
        <charset val="204"/>
      </rPr>
      <t>стр. 6</t>
    </r>
    <r>
      <rPr>
        <sz val="12"/>
        <color theme="1"/>
        <rFont val="Times New Roman"/>
        <family val="1"/>
        <charset val="204"/>
      </rPr>
      <t xml:space="preserve"> - </t>
    </r>
    <r>
      <rPr>
        <sz val="12"/>
        <color rgb="FF000000"/>
        <rFont val="Times New Roman"/>
        <family val="1"/>
        <charset val="204"/>
      </rPr>
      <t>стр. 7</t>
    </r>
    <r>
      <rPr>
        <sz val="12"/>
        <color theme="1"/>
        <rFont val="Times New Roman"/>
        <family val="1"/>
        <charset val="204"/>
      </rPr>
      <t>)</t>
    </r>
  </si>
  <si>
    <r>
      <t>Прочий совокупный доход (убыток) за вычетом налога на прибыль (</t>
    </r>
    <r>
      <rPr>
        <sz val="12"/>
        <color rgb="FF000000"/>
        <rFont val="Times New Roman"/>
        <family val="1"/>
        <charset val="204"/>
      </rPr>
      <t>стр. 5</t>
    </r>
    <r>
      <rPr>
        <sz val="12"/>
        <color theme="1"/>
        <rFont val="Times New Roman"/>
        <family val="1"/>
        <charset val="204"/>
      </rPr>
      <t xml:space="preserve"> + </t>
    </r>
    <r>
      <rPr>
        <sz val="12"/>
        <color rgb="FF000000"/>
        <rFont val="Times New Roman"/>
        <family val="1"/>
        <charset val="204"/>
      </rPr>
      <t>стр. 8</t>
    </r>
    <r>
      <rPr>
        <sz val="12"/>
        <color theme="1"/>
        <rFont val="Times New Roman"/>
        <family val="1"/>
        <charset val="204"/>
      </rPr>
      <t>)</t>
    </r>
  </si>
  <si>
    <r>
      <t>Финансовый результат за отчетный период (</t>
    </r>
    <r>
      <rPr>
        <sz val="12"/>
        <color rgb="FF000000"/>
        <rFont val="Times New Roman"/>
        <family val="1"/>
        <charset val="204"/>
      </rPr>
      <t>стр. 1</t>
    </r>
    <r>
      <rPr>
        <sz val="12"/>
        <color theme="1"/>
        <rFont val="Times New Roman"/>
        <family val="1"/>
        <charset val="204"/>
      </rPr>
      <t xml:space="preserve"> + </t>
    </r>
    <r>
      <rPr>
        <sz val="12"/>
        <color rgb="FF000000"/>
        <rFont val="Times New Roman"/>
        <family val="1"/>
        <charset val="204"/>
      </rPr>
      <t>стр. 9</t>
    </r>
    <r>
      <rPr>
        <sz val="12"/>
        <color theme="1"/>
        <rFont val="Times New Roman"/>
        <family val="1"/>
        <charset val="204"/>
      </rPr>
      <t>)</t>
    </r>
  </si>
  <si>
    <t>С плюсом</t>
  </si>
  <si>
    <t>С минусом</t>
  </si>
  <si>
    <t>Неустойки (штрафы, пени)</t>
  </si>
  <si>
    <t>27301 - 27304</t>
  </si>
  <si>
    <t>27901 - 27904</t>
  </si>
  <si>
    <t>От других операций</t>
  </si>
  <si>
    <t>Сумма коммиссионных доходов в этом блоке анализа меньше, чем в Отчете о фин. результате, т.к. остатки по строкам 277, 278 формы 102, хотя и являются комиссионными доходами,</t>
  </si>
  <si>
    <t>но при составлении отчетности попадают в "Прочие операционные доходы"</t>
  </si>
  <si>
    <t>1. От открытия и ведения банковских счетов:</t>
  </si>
  <si>
    <t>2. От расчетного и кассового обслуживания:</t>
  </si>
  <si>
    <t>3. От операций с валютными ценностями:</t>
  </si>
  <si>
    <t>4. От осуществления переводов денежных средств:</t>
  </si>
  <si>
    <t xml:space="preserve"> 5. От операций по выдаче банковских гарантий и поручительств:</t>
  </si>
  <si>
    <t>6. От оказания посреднических услуг по брокерским и аналогичным договорам:</t>
  </si>
  <si>
    <t>7. От операций доверительного управления имуществом:</t>
  </si>
  <si>
    <t>8. От оказания консультационных и информационных услуг:</t>
  </si>
  <si>
    <t>9. От других операций:</t>
  </si>
  <si>
    <t>1. Расходы на содержание персонала:</t>
  </si>
  <si>
    <t>2. Расходы по операциям с основными средствами, активами в форме права пользования, относящимися к основным средствам, нематериальными активами:</t>
  </si>
  <si>
    <t>3. Амортизация по основным средствам, активам в форме права пользования, относящимся к основным средствам, и нематериальным активам:</t>
  </si>
  <si>
    <t>4. Организационные и управленческие расходы:</t>
  </si>
  <si>
    <t>Изменение справедливой стоимости финансового обязательства, обусловленное изменением кредитного риска</t>
  </si>
  <si>
    <t>Оценочные резервы под ожидаемые кредитные убытки</t>
  </si>
  <si>
    <t>7.12</t>
  </si>
  <si>
    <t>Кредитный риск (за исключением кредитного риска контрагента)</t>
  </si>
  <si>
    <t>Кредитный риск контрагента</t>
  </si>
  <si>
    <t>Риск изменения стоимости кредитных требований в результате ухудшения кредитного качества контрагента по внебиржевым сделкам ПФИ</t>
  </si>
  <si>
    <t>Инвестиции в долевые ценные бумаги (акции, паи
в паевых инвестиционных фондах) и доли участия
в уставном капитале юридических лиц, не
входящие в торговый портфель</t>
  </si>
  <si>
    <t>Вложения в акции, паи инвестиционных и иных фондов (все подходы)</t>
  </si>
  <si>
    <t>Риск расчетов</t>
  </si>
  <si>
    <t>Риск секьюритизации</t>
  </si>
  <si>
    <t>Рыночный риск</t>
  </si>
  <si>
    <t>Корректировка капитала в связи с переводом ценных бумаг из торгового портфеля в неторговый портфель</t>
  </si>
  <si>
    <t>Операционный риск</t>
  </si>
  <si>
    <t>Активы (требования) ниже порога существенности для вычета из собственных средств (капитала), взвешенные с коэффициентом 250%</t>
  </si>
  <si>
    <t>Минимальный размер корректировки на предельный размер снижения кредитного и операционного риска при применении ПВР и продвинутого (усовершенствованного) подхода</t>
  </si>
  <si>
    <t>Инвестиции в акции, паи, доли (не входящие в торговый портфель)</t>
  </si>
  <si>
    <t>Инвестиции в акции</t>
  </si>
  <si>
    <t>при применении стандартизированного подхода</t>
  </si>
  <si>
    <t>при применении ПВР (все подходы совокупно)</t>
  </si>
  <si>
    <t>Вложения в акции, паи инвестиционных и иных фондов (все подходы совокупно)</t>
  </si>
  <si>
    <t>при применении финализированного подхода</t>
  </si>
  <si>
    <t>101.9.2</t>
  </si>
  <si>
    <t>встречные вложения кредитной организации и финансовой организации</t>
  </si>
  <si>
    <t>101.9.1</t>
  </si>
  <si>
    <t>101.9.3</t>
  </si>
  <si>
    <t>101.9.4</t>
  </si>
  <si>
    <t>Положительная разница между величиной ожидаемых потерь, рассчитанной кредитной организацией, и величиной резерва (резервов), фактически сформированного (сформированных) кредитной организацией</t>
  </si>
  <si>
    <t xml:space="preserve">Вложения в источники базового капитала кредитной организации, всего, в том числе: </t>
  </si>
  <si>
    <t>Средства, поступившие в оплату акций (долей) кредитной организации, в случае, если основное или дочернее общество кредитной организации или любое дочернее общество основного общества кредитной организации предоставило владельцу акций (долей) обязательство, связанное с владением акциями (долями) кредитной организации</t>
  </si>
  <si>
    <t>Средства, поступившие в оплату привилегированных акций кредитной организации, в случае, если основное или дочернее общество кредитной организации или любое дочернее общество основного общества кредитной организации предоставило владельцу акций обязательство, связанное с владением акциями кредитной организации</t>
  </si>
  <si>
    <t>Резервный фонд кредитной организации в части, сформированной за счет отчислений из прибыли текущего и предшествующего года</t>
  </si>
  <si>
    <t>Положительная разница между величиной резерва (резервов), фактически сформированного (сформированных) кредитной организацией, и величиной ожидаемых потерь, рассчитанной кредитной организацией</t>
  </si>
  <si>
    <t>Вложения в собственные привилегированные акции, включая эмиссионный доход</t>
  </si>
  <si>
    <t>Вложения кредитной организации в привилегированные акции финансовых организаций, всего, в том числе:</t>
  </si>
  <si>
    <t>Субординированные кредиты (депозиты, займы, облигационные займы), предоставленные финансовым организациям - резидентам и финансовым организациям - нерезидентам, всего, в том числе:</t>
  </si>
  <si>
    <t>Вложения в иные источники дополнительного капитала</t>
  </si>
  <si>
    <t xml:space="preserve">Показатели, определенные в соответствии с пунктом 4 Положения Банка России № 646-П: </t>
  </si>
  <si>
    <t>Превышение действительной стоимости доли, причитающейся вышедшему участнику кредитной организации в организационно-правовой форме общества с ограниченной ответственностью, над стоимостью, по которой доля была реализована другому участнику общества</t>
  </si>
  <si>
    <t>Вложения, превышающие сумму источников основного и дополнительного капитала, в приобретение (аренду) основных средств (в том числе земли), сооружение (строительство) и создание (изготовление) основных средств, в недвижимость, временно неиспользуемую в основной деятельности, в сооружение (строительство) объектов недвижимости, временно неиспользуемой в основной деятельности, долгосрочные активы, предназначенные для продажи, а также запасы (за исключением изданий):</t>
  </si>
  <si>
    <t>Коды по 31.12.18</t>
  </si>
  <si>
    <t>Вложения банка в источники своего базового капитала (выкупленные акции, доли и др.)</t>
  </si>
  <si>
    <t>Положительная разница между величиной фактически сформированного резерва и величиной ожидаемых потерь (EK), рассчитанных банком</t>
  </si>
  <si>
    <t>Положительная разница между величиной ожидаемых потерь (EL), рассчитанных банком, и величиной фактически сформированного резерва</t>
  </si>
  <si>
    <t>Показатели, определенные в соответствии с пунктом 4 Положения N 646-П</t>
  </si>
  <si>
    <t>Вложения в иные источники доп. капитала и обязательства банка по приобретению включенных в этот раздел источников собственного капитала</t>
  </si>
  <si>
    <t>Вложения в здания, сооружения и иные основные средства сверх суммы источников основного и дополнительного капитала</t>
  </si>
  <si>
    <t>Вложения в акции финансовых организаций</t>
  </si>
  <si>
    <t>Инвестиции в субординированные элементы (кредиты, депозиты, облигации)</t>
  </si>
  <si>
    <t>Вложения банка в свои элементы капитала</t>
  </si>
  <si>
    <r>
      <t>[</t>
    </r>
    <r>
      <rPr>
        <b/>
        <i/>
        <sz val="11"/>
        <color rgb="FFFF0000"/>
        <rFont val="Arial"/>
        <family val="2"/>
        <charset val="204"/>
      </rPr>
      <t>Вычет из базового капитала</t>
    </r>
    <r>
      <rPr>
        <sz val="11"/>
        <color theme="1"/>
        <rFont val="Arial"/>
        <family val="2"/>
        <charset val="204"/>
      </rPr>
      <t>] Положительная разница между величиной ожидаемых потерь (EL), рассчитанных банком, и величиной фактически сформированного резерва</t>
    </r>
  </si>
  <si>
    <r>
      <t>[</t>
    </r>
    <r>
      <rPr>
        <b/>
        <i/>
        <sz val="11"/>
        <color rgb="FF003300"/>
        <rFont val="Arial"/>
        <family val="2"/>
        <charset val="204"/>
      </rPr>
      <t>Прирост дополнит. капитала</t>
    </r>
    <r>
      <rPr>
        <sz val="11"/>
        <color theme="1"/>
        <rFont val="Arial"/>
        <family val="2"/>
        <charset val="204"/>
      </rPr>
      <t>] Положительная разница между величиной фактически сформированного резерва и величиной ожидаемых потерь (EK), рассчитанных банком</t>
    </r>
  </si>
  <si>
    <t>Корректировка прибыли после н/о</t>
  </si>
  <si>
    <t>Надбавки к нормативам достаточности капитала</t>
  </si>
  <si>
    <t>Поддержания достаточности капитала</t>
  </si>
  <si>
    <t>Антициклическая</t>
  </si>
  <si>
    <t>За системную значимость</t>
  </si>
  <si>
    <t>Надбавки к нормативам достаточности капитала, всего</t>
  </si>
  <si>
    <r>
      <t>базового капитала (</t>
    </r>
    <r>
      <rPr>
        <b/>
        <sz val="11"/>
        <color rgb="FFC00000"/>
        <rFont val="Arial Narrow"/>
        <family val="2"/>
        <charset val="204"/>
      </rPr>
      <t>норматив 1.1,</t>
    </r>
    <r>
      <rPr>
        <sz val="11"/>
        <color theme="1"/>
        <rFont val="Arial Narrow"/>
        <family val="2"/>
        <charset val="204"/>
      </rPr>
      <t xml:space="preserve"> </t>
    </r>
    <r>
      <rPr>
        <b/>
        <sz val="11"/>
        <color rgb="FF0000FF"/>
        <rFont val="Arial Narrow"/>
        <family val="2"/>
        <charset val="204"/>
      </rPr>
      <t>&gt;= 4,5%</t>
    </r>
    <r>
      <rPr>
        <sz val="11"/>
        <color theme="1"/>
        <rFont val="Arial Narrow"/>
        <family val="2"/>
        <charset val="204"/>
      </rPr>
      <t>)</t>
    </r>
  </si>
  <si>
    <r>
      <t>основного капитала (</t>
    </r>
    <r>
      <rPr>
        <b/>
        <sz val="11"/>
        <color rgb="FFC00000"/>
        <rFont val="Arial Narrow"/>
        <family val="2"/>
        <charset val="204"/>
      </rPr>
      <t>норматив 1.2</t>
    </r>
    <r>
      <rPr>
        <sz val="11"/>
        <color theme="1"/>
        <rFont val="Arial Narrow"/>
        <family val="2"/>
        <charset val="204"/>
      </rPr>
      <t xml:space="preserve">, </t>
    </r>
    <r>
      <rPr>
        <b/>
        <sz val="11"/>
        <color rgb="FF0000FF"/>
        <rFont val="Arial Narrow"/>
        <family val="2"/>
        <charset val="204"/>
      </rPr>
      <t>&gt;= 6,0%</t>
    </r>
    <r>
      <rPr>
        <sz val="11"/>
        <color theme="1"/>
        <rFont val="Arial Narrow"/>
        <family val="2"/>
        <charset val="204"/>
      </rPr>
      <t>)</t>
    </r>
  </si>
  <si>
    <r>
      <t xml:space="preserve">собственного капитала </t>
    </r>
    <r>
      <rPr>
        <b/>
        <sz val="11"/>
        <color rgb="FFC00000"/>
        <rFont val="Arial Narrow"/>
        <family val="2"/>
        <charset val="204"/>
      </rPr>
      <t>(норматив 1.0</t>
    </r>
    <r>
      <rPr>
        <sz val="11"/>
        <color rgb="FFC00000"/>
        <rFont val="Arial Narrow"/>
        <family val="2"/>
        <charset val="204"/>
      </rPr>
      <t xml:space="preserve">, </t>
    </r>
    <r>
      <rPr>
        <b/>
        <sz val="11"/>
        <color rgb="FF0000FF"/>
        <rFont val="Arial Narrow"/>
        <family val="2"/>
        <charset val="204"/>
      </rPr>
      <t>&gt;= 8,0%</t>
    </r>
    <r>
      <rPr>
        <sz val="11"/>
        <color theme="1"/>
        <rFont val="Arial Narrow"/>
        <family val="2"/>
        <charset val="204"/>
      </rPr>
      <t>)</t>
    </r>
  </si>
  <si>
    <r>
      <rPr>
        <b/>
        <sz val="11"/>
        <color rgb="FFC00000"/>
        <rFont val="Arial Narrow"/>
        <family val="2"/>
        <charset val="204"/>
      </rPr>
      <t xml:space="preserve">Норматив 1.4 </t>
    </r>
    <r>
      <rPr>
        <sz val="11"/>
        <color theme="1"/>
        <rFont val="Arial Narrow"/>
        <family val="2"/>
        <charset val="204"/>
      </rPr>
      <t>(Финансовый рычаг) (Базель III) (</t>
    </r>
    <r>
      <rPr>
        <b/>
        <sz val="11"/>
        <color rgb="FF0000FF"/>
        <rFont val="Arial Narrow"/>
        <family val="2"/>
        <charset val="204"/>
      </rPr>
      <t>&gt;= 3%</t>
    </r>
    <r>
      <rPr>
        <sz val="11"/>
        <color theme="1"/>
        <rFont val="Arial Narrow"/>
        <family val="2"/>
        <charset val="204"/>
      </rPr>
      <t>)</t>
    </r>
  </si>
  <si>
    <t>Превышение нормативов достаточности над минимальным значением с учетом надбавок</t>
  </si>
  <si>
    <t>Базового капитала (Н1.1)</t>
  </si>
  <si>
    <t>Основного капитала (1.2)</t>
  </si>
  <si>
    <t>Собственного капитала (1.0)</t>
  </si>
  <si>
    <t>нет</t>
  </si>
  <si>
    <r>
      <rPr>
        <b/>
        <sz val="14"/>
        <color rgb="FFFF0000"/>
        <rFont val="Times New Roman"/>
        <family val="1"/>
        <charset val="204"/>
      </rPr>
      <t>48413</t>
    </r>
    <r>
      <rPr>
        <sz val="12"/>
        <color theme="1"/>
        <rFont val="Times New Roman"/>
        <family val="1"/>
        <charset val="204"/>
      </rPr>
      <t xml:space="preserve"> + </t>
    </r>
    <r>
      <rPr>
        <sz val="12"/>
        <color rgb="FF000000"/>
        <rFont val="Times New Roman"/>
        <family val="1"/>
        <charset val="204"/>
      </rPr>
      <t>51101</t>
    </r>
    <r>
      <rPr>
        <sz val="12"/>
        <color theme="1"/>
        <rFont val="Times New Roman"/>
        <family val="1"/>
        <charset val="204"/>
      </rPr>
      <t xml:space="preserve"> + </t>
    </r>
    <r>
      <rPr>
        <sz val="12"/>
        <color rgb="FF000000"/>
        <rFont val="Times New Roman"/>
        <family val="1"/>
        <charset val="204"/>
      </rPr>
      <t>51201</t>
    </r>
    <r>
      <rPr>
        <sz val="12"/>
        <color theme="1"/>
        <rFont val="Times New Roman"/>
        <family val="1"/>
        <charset val="204"/>
      </rPr>
      <t xml:space="preserve"> - </t>
    </r>
    <r>
      <rPr>
        <sz val="12"/>
        <color rgb="FF000000"/>
        <rFont val="Times New Roman"/>
        <family val="1"/>
        <charset val="204"/>
      </rPr>
      <t>51202</t>
    </r>
  </si>
  <si>
    <r>
      <t xml:space="preserve">Организационные и управленческие расходы (Итого по символам 48401 - 48414, </t>
    </r>
    <r>
      <rPr>
        <b/>
        <sz val="12"/>
        <color rgb="FFC00000"/>
        <rFont val="Arial"/>
        <family val="2"/>
        <charset val="204"/>
      </rPr>
      <t>кроме 48413</t>
    </r>
    <r>
      <rPr>
        <sz val="12"/>
        <color theme="1"/>
        <rFont val="Arial"/>
        <family val="2"/>
        <charset val="204"/>
      </rPr>
      <t>)</t>
    </r>
  </si>
  <si>
    <r>
      <rPr>
        <b/>
        <sz val="12"/>
        <color rgb="FF0000FF"/>
        <rFont val="Times New Roman"/>
        <family val="1"/>
        <charset val="204"/>
      </rPr>
      <t>411 + 412</t>
    </r>
    <r>
      <rPr>
        <sz val="12"/>
        <color theme="1"/>
        <rFont val="Times New Roman"/>
        <family val="1"/>
        <charset val="204"/>
      </rPr>
      <t xml:space="preserve"> + </t>
    </r>
    <r>
      <rPr>
        <sz val="12"/>
        <color rgb="FF000000"/>
        <rFont val="Times New Roman"/>
        <family val="1"/>
        <charset val="204"/>
      </rPr>
      <t>413</t>
    </r>
    <r>
      <rPr>
        <sz val="12"/>
        <color theme="1"/>
        <rFont val="Times New Roman"/>
        <family val="1"/>
        <charset val="204"/>
      </rPr>
      <t xml:space="preserve"> + </t>
    </r>
    <r>
      <rPr>
        <b/>
        <sz val="12"/>
        <color rgb="FF0000FF"/>
        <rFont val="Times New Roman"/>
        <family val="1"/>
        <charset val="204"/>
      </rPr>
      <t>414 + 415 + 416</t>
    </r>
    <r>
      <rPr>
        <sz val="12"/>
        <color theme="1"/>
        <rFont val="Times New Roman"/>
        <family val="1"/>
        <charset val="204"/>
      </rPr>
      <t xml:space="preserve"> + </t>
    </r>
    <r>
      <rPr>
        <sz val="12"/>
        <color rgb="FF000000"/>
        <rFont val="Times New Roman"/>
        <family val="1"/>
        <charset val="204"/>
      </rPr>
      <t xml:space="preserve">425 </t>
    </r>
    <r>
      <rPr>
        <sz val="12"/>
        <color theme="1"/>
        <rFont val="Times New Roman"/>
        <family val="1"/>
        <charset val="204"/>
      </rPr>
      <t xml:space="preserve">+ </t>
    </r>
    <r>
      <rPr>
        <sz val="12"/>
        <color rgb="FF000000"/>
        <rFont val="Times New Roman"/>
        <family val="1"/>
        <charset val="204"/>
      </rPr>
      <t>426</t>
    </r>
    <r>
      <rPr>
        <sz val="12"/>
        <color theme="1"/>
        <rFont val="Times New Roman"/>
        <family val="1"/>
        <charset val="204"/>
      </rPr>
      <t xml:space="preserve"> + </t>
    </r>
    <r>
      <rPr>
        <sz val="12"/>
        <color rgb="FF000000"/>
        <rFont val="Times New Roman"/>
        <family val="1"/>
        <charset val="204"/>
      </rPr>
      <t>441</t>
    </r>
    <r>
      <rPr>
        <sz val="12"/>
        <color theme="1"/>
        <rFont val="Times New Roman"/>
        <family val="1"/>
        <charset val="204"/>
      </rPr>
      <t xml:space="preserve"> + </t>
    </r>
    <r>
      <rPr>
        <sz val="12"/>
        <color rgb="FF000000"/>
        <rFont val="Times New Roman"/>
        <family val="1"/>
        <charset val="204"/>
      </rPr>
      <t>442</t>
    </r>
    <r>
      <rPr>
        <sz val="12"/>
        <color theme="1"/>
        <rFont val="Times New Roman"/>
        <family val="1"/>
        <charset val="204"/>
      </rPr>
      <t xml:space="preserve"> + </t>
    </r>
    <r>
      <rPr>
        <sz val="12"/>
        <color rgb="FF000000"/>
        <rFont val="Times New Roman"/>
        <family val="1"/>
        <charset val="204"/>
      </rPr>
      <t>443</t>
    </r>
    <r>
      <rPr>
        <sz val="12"/>
        <color theme="1"/>
        <rFont val="Times New Roman"/>
        <family val="1"/>
        <charset val="204"/>
      </rPr>
      <t xml:space="preserve"> + </t>
    </r>
    <r>
      <rPr>
        <sz val="12"/>
        <color rgb="FF000000"/>
        <rFont val="Times New Roman"/>
        <family val="1"/>
        <charset val="204"/>
      </rPr>
      <t>444</t>
    </r>
    <r>
      <rPr>
        <sz val="12"/>
        <color theme="1"/>
        <rFont val="Times New Roman"/>
        <family val="1"/>
        <charset val="204"/>
      </rPr>
      <t xml:space="preserve"> + </t>
    </r>
    <r>
      <rPr>
        <sz val="12"/>
        <color rgb="FF000000"/>
        <rFont val="Times New Roman"/>
        <family val="1"/>
        <charset val="204"/>
      </rPr>
      <t>445</t>
    </r>
    <r>
      <rPr>
        <sz val="12"/>
        <color theme="1"/>
        <rFont val="Times New Roman"/>
        <family val="1"/>
        <charset val="204"/>
      </rPr>
      <t xml:space="preserve"> + </t>
    </r>
    <r>
      <rPr>
        <sz val="12"/>
        <color rgb="FF000000"/>
        <rFont val="Times New Roman"/>
        <family val="1"/>
        <charset val="204"/>
      </rPr>
      <t>446</t>
    </r>
    <r>
      <rPr>
        <sz val="12"/>
        <color theme="1"/>
        <rFont val="Times New Roman"/>
        <family val="1"/>
        <charset val="204"/>
      </rPr>
      <t xml:space="preserve"> + </t>
    </r>
    <r>
      <rPr>
        <sz val="12"/>
        <color rgb="FF000000"/>
        <rFont val="Times New Roman"/>
        <family val="1"/>
        <charset val="204"/>
      </rPr>
      <t>447</t>
    </r>
    <r>
      <rPr>
        <sz val="12"/>
        <color theme="1"/>
        <rFont val="Times New Roman"/>
        <family val="1"/>
        <charset val="204"/>
      </rPr>
      <t xml:space="preserve"> + </t>
    </r>
    <r>
      <rPr>
        <sz val="12"/>
        <color rgb="FF000000"/>
        <rFont val="Times New Roman"/>
        <family val="1"/>
        <charset val="204"/>
      </rPr>
      <t>448</t>
    </r>
    <r>
      <rPr>
        <sz val="12"/>
        <color theme="1"/>
        <rFont val="Times New Roman"/>
        <family val="1"/>
        <charset val="204"/>
      </rPr>
      <t xml:space="preserve"> + </t>
    </r>
    <r>
      <rPr>
        <sz val="12"/>
        <color rgb="FF000000"/>
        <rFont val="Times New Roman"/>
        <family val="1"/>
        <charset val="204"/>
      </rPr>
      <t>449</t>
    </r>
    <r>
      <rPr>
        <sz val="12"/>
        <color theme="1"/>
        <rFont val="Times New Roman"/>
        <family val="1"/>
        <charset val="204"/>
      </rPr>
      <t xml:space="preserve"> + </t>
    </r>
    <r>
      <rPr>
        <sz val="12"/>
        <color rgb="FF000000"/>
        <rFont val="Times New Roman"/>
        <family val="1"/>
        <charset val="204"/>
      </rPr>
      <t>45606</t>
    </r>
    <r>
      <rPr>
        <sz val="12"/>
        <color theme="1"/>
        <rFont val="Times New Roman"/>
        <family val="1"/>
        <charset val="204"/>
      </rPr>
      <t xml:space="preserve"> + </t>
    </r>
    <r>
      <rPr>
        <sz val="12"/>
        <color rgb="FF000000"/>
        <rFont val="Times New Roman"/>
        <family val="1"/>
        <charset val="204"/>
      </rPr>
      <t>45607</t>
    </r>
    <r>
      <rPr>
        <sz val="12"/>
        <color theme="1"/>
        <rFont val="Times New Roman"/>
        <family val="1"/>
        <charset val="204"/>
      </rPr>
      <t xml:space="preserve"> + </t>
    </r>
    <r>
      <rPr>
        <sz val="12"/>
        <color rgb="FF000000"/>
        <rFont val="Times New Roman"/>
        <family val="1"/>
        <charset val="204"/>
      </rPr>
      <t>45608</t>
    </r>
    <r>
      <rPr>
        <sz val="12"/>
        <color theme="1"/>
        <rFont val="Times New Roman"/>
        <family val="1"/>
        <charset val="204"/>
      </rPr>
      <t xml:space="preserve"> + </t>
    </r>
    <r>
      <rPr>
        <sz val="12"/>
        <color rgb="FF000000"/>
        <rFont val="Times New Roman"/>
        <family val="1"/>
        <charset val="204"/>
      </rPr>
      <t>45609</t>
    </r>
    <r>
      <rPr>
        <sz val="12"/>
        <color theme="1"/>
        <rFont val="Times New Roman"/>
        <family val="1"/>
        <charset val="204"/>
      </rPr>
      <t xml:space="preserve"> + </t>
    </r>
    <r>
      <rPr>
        <sz val="12"/>
        <color rgb="FF000000"/>
        <rFont val="Times New Roman"/>
        <family val="1"/>
        <charset val="204"/>
      </rPr>
      <t>45610</t>
    </r>
    <r>
      <rPr>
        <sz val="12"/>
        <color theme="1"/>
        <rFont val="Times New Roman"/>
        <family val="1"/>
        <charset val="204"/>
      </rPr>
      <t xml:space="preserve"> + </t>
    </r>
    <r>
      <rPr>
        <sz val="12"/>
        <color rgb="FF000000"/>
        <rFont val="Times New Roman"/>
        <family val="1"/>
        <charset val="204"/>
      </rPr>
      <t>45621</t>
    </r>
    <r>
      <rPr>
        <sz val="12"/>
        <color theme="1"/>
        <rFont val="Times New Roman"/>
        <family val="1"/>
        <charset val="204"/>
      </rPr>
      <t xml:space="preserve"> + </t>
    </r>
    <r>
      <rPr>
        <sz val="12"/>
        <color rgb="FF000000"/>
        <rFont val="Times New Roman"/>
        <family val="1"/>
        <charset val="204"/>
      </rPr>
      <t>45622</t>
    </r>
    <r>
      <rPr>
        <sz val="12"/>
        <color theme="1"/>
        <rFont val="Times New Roman"/>
        <family val="1"/>
        <charset val="204"/>
      </rPr>
      <t xml:space="preserve"> + </t>
    </r>
    <r>
      <rPr>
        <sz val="12"/>
        <color rgb="FF000000"/>
        <rFont val="Times New Roman"/>
        <family val="1"/>
        <charset val="204"/>
      </rPr>
      <t>45623</t>
    </r>
    <r>
      <rPr>
        <sz val="12"/>
        <color theme="1"/>
        <rFont val="Times New Roman"/>
        <family val="1"/>
        <charset val="204"/>
      </rPr>
      <t xml:space="preserve"> + </t>
    </r>
    <r>
      <rPr>
        <sz val="12"/>
        <color rgb="FF000000"/>
        <rFont val="Times New Roman"/>
        <family val="1"/>
        <charset val="204"/>
      </rPr>
      <t>45624</t>
    </r>
    <r>
      <rPr>
        <sz val="12"/>
        <color theme="1"/>
        <rFont val="Times New Roman"/>
        <family val="1"/>
        <charset val="204"/>
      </rPr>
      <t xml:space="preserve"> + </t>
    </r>
    <r>
      <rPr>
        <sz val="12"/>
        <color rgb="FF000000"/>
        <rFont val="Times New Roman"/>
        <family val="1"/>
        <charset val="204"/>
      </rPr>
      <t>45625</t>
    </r>
    <r>
      <rPr>
        <sz val="12"/>
        <color theme="1"/>
        <rFont val="Times New Roman"/>
        <family val="1"/>
        <charset val="204"/>
      </rPr>
      <t xml:space="preserve"> + </t>
    </r>
    <r>
      <rPr>
        <sz val="12"/>
        <color rgb="FF000000"/>
        <rFont val="Times New Roman"/>
        <family val="1"/>
        <charset val="204"/>
      </rPr>
      <t>45626</t>
    </r>
    <r>
      <rPr>
        <sz val="12"/>
        <color theme="1"/>
        <rFont val="Times New Roman"/>
        <family val="1"/>
        <charset val="204"/>
      </rPr>
      <t xml:space="preserve"> + </t>
    </r>
    <r>
      <rPr>
        <sz val="12"/>
        <color rgb="FF000000"/>
        <rFont val="Times New Roman"/>
        <family val="1"/>
        <charset val="204"/>
      </rPr>
      <t>45627</t>
    </r>
    <r>
      <rPr>
        <sz val="12"/>
        <color theme="1"/>
        <rFont val="Times New Roman"/>
        <family val="1"/>
        <charset val="204"/>
      </rPr>
      <t xml:space="preserve"> + </t>
    </r>
    <r>
      <rPr>
        <sz val="12"/>
        <color rgb="FF000000"/>
        <rFont val="Times New Roman"/>
        <family val="1"/>
        <charset val="204"/>
      </rPr>
      <t>47108</t>
    </r>
    <r>
      <rPr>
        <sz val="12"/>
        <color theme="1"/>
        <rFont val="Times New Roman"/>
        <family val="1"/>
        <charset val="204"/>
      </rPr>
      <t xml:space="preserve"> + </t>
    </r>
    <r>
      <rPr>
        <sz val="12"/>
        <color rgb="FF000000"/>
        <rFont val="Times New Roman"/>
        <family val="1"/>
        <charset val="204"/>
      </rPr>
      <t>47402</t>
    </r>
    <r>
      <rPr>
        <sz val="12"/>
        <color theme="1"/>
        <rFont val="Times New Roman"/>
        <family val="1"/>
        <charset val="204"/>
      </rPr>
      <t xml:space="preserve"> + </t>
    </r>
    <r>
      <rPr>
        <sz val="12"/>
        <color rgb="FF000000"/>
        <rFont val="Times New Roman"/>
        <family val="1"/>
        <charset val="204"/>
      </rPr>
      <t>475</t>
    </r>
    <r>
      <rPr>
        <sz val="12"/>
        <color theme="1"/>
        <rFont val="Times New Roman"/>
        <family val="1"/>
        <charset val="204"/>
      </rPr>
      <t xml:space="preserve"> + </t>
    </r>
    <r>
      <rPr>
        <sz val="12"/>
        <color rgb="FF000000"/>
        <rFont val="Times New Roman"/>
        <family val="1"/>
        <charset val="204"/>
      </rPr>
      <t>476</t>
    </r>
    <r>
      <rPr>
        <sz val="12"/>
        <color theme="1"/>
        <rFont val="Times New Roman"/>
        <family val="1"/>
        <charset val="204"/>
      </rPr>
      <t xml:space="preserve"> + </t>
    </r>
    <r>
      <rPr>
        <sz val="12"/>
        <color rgb="FF000000"/>
        <rFont val="Times New Roman"/>
        <family val="1"/>
        <charset val="204"/>
      </rPr>
      <t>477</t>
    </r>
    <r>
      <rPr>
        <sz val="12"/>
        <color theme="1"/>
        <rFont val="Times New Roman"/>
        <family val="1"/>
        <charset val="204"/>
      </rPr>
      <t xml:space="preserve"> + </t>
    </r>
    <r>
      <rPr>
        <sz val="12"/>
        <color rgb="FF000000"/>
        <rFont val="Times New Roman"/>
        <family val="1"/>
        <charset val="204"/>
      </rPr>
      <t>47801</t>
    </r>
    <r>
      <rPr>
        <sz val="12"/>
        <color theme="1"/>
        <rFont val="Times New Roman"/>
        <family val="1"/>
        <charset val="204"/>
      </rPr>
      <t xml:space="preserve"> + </t>
    </r>
    <r>
      <rPr>
        <sz val="12"/>
        <color rgb="FF000000"/>
        <rFont val="Times New Roman"/>
        <family val="1"/>
        <charset val="204"/>
      </rPr>
      <t>47802</t>
    </r>
    <r>
      <rPr>
        <sz val="12"/>
        <color theme="1"/>
        <rFont val="Times New Roman"/>
        <family val="1"/>
        <charset val="204"/>
      </rPr>
      <t xml:space="preserve"> + </t>
    </r>
    <r>
      <rPr>
        <sz val="12"/>
        <color rgb="FF000000"/>
        <rFont val="Times New Roman"/>
        <family val="1"/>
        <charset val="204"/>
      </rPr>
      <t>47803</t>
    </r>
    <r>
      <rPr>
        <sz val="12"/>
        <color theme="1"/>
        <rFont val="Times New Roman"/>
        <family val="1"/>
        <charset val="204"/>
      </rPr>
      <t xml:space="preserve"> + </t>
    </r>
    <r>
      <rPr>
        <b/>
        <sz val="12"/>
        <color rgb="FF0000FF"/>
        <rFont val="Times New Roman"/>
        <family val="1"/>
        <charset val="204"/>
      </rPr>
      <t>481 + 482 + 483 + 484</t>
    </r>
    <r>
      <rPr>
        <sz val="12"/>
        <color theme="1"/>
        <rFont val="Times New Roman"/>
        <family val="1"/>
        <charset val="204"/>
      </rPr>
      <t xml:space="preserve"> </t>
    </r>
    <r>
      <rPr>
        <b/>
        <sz val="12"/>
        <color rgb="FFFF0000"/>
        <rFont val="Times New Roman"/>
        <family val="1"/>
        <charset val="204"/>
      </rPr>
      <t>(кроме 48413</t>
    </r>
    <r>
      <rPr>
        <sz val="12"/>
        <color theme="1"/>
        <rFont val="Times New Roman"/>
        <family val="1"/>
        <charset val="204"/>
      </rPr>
      <t xml:space="preserve">) + </t>
    </r>
    <r>
      <rPr>
        <b/>
        <sz val="12"/>
        <color rgb="FF0000FF"/>
        <rFont val="Times New Roman"/>
        <family val="1"/>
        <charset val="204"/>
      </rPr>
      <t>486</t>
    </r>
  </si>
  <si>
    <t>5. Прочие расходы, связанные с обеспечением деятельности кредитной организации:</t>
  </si>
  <si>
    <t>плата за право пользования объектами интеллектуальной деятельности</t>
  </si>
  <si>
    <t>плата за право пользования объектами интеллектуальной деятельности (48403)</t>
  </si>
  <si>
    <t>реклама (48407)</t>
  </si>
  <si>
    <t>услуги связи, телекоммуникационных и информационных систем (48409)</t>
  </si>
  <si>
    <t>страхование (48412)</t>
  </si>
  <si>
    <t>другие организационные и управленческие расходы (48414)</t>
  </si>
  <si>
    <t>Расходы (кроме процентных) по операциям с полученными кредитами, а также с прочими привлеченными средствами и выпущенными долговыми ценными бумагами (включая переоценки, не связанные с изменением кредитного риска) по привлеченным средствам и выпущенных долговым ценным бумагам</t>
  </si>
  <si>
    <t>От переоценки предоставленных кредитов и кредитов, права требования по которым приобретены, оцениваемых по справедливой стоимости через прибыль или убыток (41401-41420)</t>
  </si>
  <si>
    <t>От переоценки прочих размещенных средств, в том числе прочих приобретенных прав требования, оцениваемых по справедливой стоимости через прибыль или убыток (41501-41520)</t>
  </si>
  <si>
    <t>От переоценки размещенных депозитов, оцениваемых по справедливой стоимости через прибыль или убыток (41601-41603)</t>
  </si>
  <si>
    <t>Расходы (кроме процентных) по операциям с полученными кредитами, а также с прочими привлеченными средствами и выпущенными долговыми ценными бумагами (включая переоценки, не связанные с изменением кредитного риска) по привлеченным средствам и выпущенных долговым ценным бумагам (символы 441, 442, 443, 444, 445, 446, 447, 448, 449)</t>
  </si>
  <si>
    <t>реклама</t>
  </si>
  <si>
    <t>услуги связи, телекоммуникационных и информационных систем</t>
  </si>
  <si>
    <t>страхование</t>
  </si>
  <si>
    <t>другие организационные и управленческие расходы</t>
  </si>
  <si>
    <t>Расходы от уступки прав требования по кредитам и иным требованиям</t>
  </si>
  <si>
    <t>Переоценка предоставленных кредитов и иных требований, оцениваемых по справедливой стоимости через ПиУ</t>
  </si>
  <si>
    <t>Входят в состав прочих операциионных доходов</t>
  </si>
  <si>
    <t>Номер строки</t>
  </si>
  <si>
    <t>25</t>
  </si>
  <si>
    <t>26</t>
  </si>
  <si>
    <t>Изменение резерва на возможные потери и оценочного резерва под ожидаемые кредитные убытки по ценным бумагам, оцениваемым по справедливой стоимости через прочий совокупный доход</t>
  </si>
  <si>
    <t>15</t>
  </si>
  <si>
    <t>16</t>
  </si>
  <si>
    <t>17</t>
  </si>
  <si>
    <t>18</t>
  </si>
  <si>
    <t>19</t>
  </si>
  <si>
    <t>20</t>
  </si>
  <si>
    <t>21</t>
  </si>
  <si>
    <t>22</t>
  </si>
  <si>
    <t>23</t>
  </si>
  <si>
    <t>24</t>
  </si>
  <si>
    <t>Проверка после налогообложения</t>
  </si>
  <si>
    <t>Проверка прибыли от продолжающейся и прекращенной деятельности</t>
  </si>
  <si>
    <t>Основные средства, активы в форме права пользования и нематериальные активы</t>
  </si>
  <si>
    <t>Всего активов</t>
  </si>
  <si>
    <t xml:space="preserve">Кредиты, депозиты и прочие средства Центрального банка Российской Федерации </t>
  </si>
  <si>
    <t>Средства клиентов, оцениваемые по амортизированной стоимости</t>
  </si>
  <si>
    <t>средства кредитных организаций</t>
  </si>
  <si>
    <t>средства клиентов, не являющихся кредитными организациями</t>
  </si>
  <si>
    <t>16.1</t>
  </si>
  <si>
    <t>16.2</t>
  </si>
  <si>
    <t>16.2.1</t>
  </si>
  <si>
    <t>вклады (средства) физических лиц, в том числе индивидуальных предпринимателей</t>
  </si>
  <si>
    <t>17.1</t>
  </si>
  <si>
    <t>оцениваемые по справедливой стоимости через прибыль или убыток</t>
  </si>
  <si>
    <t>18.1</t>
  </si>
  <si>
    <t>18.2</t>
  </si>
  <si>
    <t>оцениваемые по амортизированной стоимости</t>
  </si>
  <si>
    <t>Обязательства по текущему налогу на прибыль</t>
  </si>
  <si>
    <t>Всего обязательств</t>
  </si>
  <si>
    <t>6. По предоставленным кредитам и кредитам, права требования по которым приобретены:</t>
  </si>
  <si>
    <t>7. По прочим размещенным средствам, в том числе по прочим приобретенным правам требования:</t>
  </si>
  <si>
    <t>8. От переоценки предоставленных кредитов и кредитов, права требования по которым приобретены, оцениваемых по справедливой стоимости через прибыль или убыток</t>
  </si>
  <si>
    <t>9. От переоценки прочих размещенных средств, в том числе прочих приобретенных прав требования, оцениваемых по справедливой стоимости через прибыль или убыток</t>
  </si>
  <si>
    <t>10. От переоценки размещенных депозитов, оцениваемых по справедливой стоимости через прибыль или убыток</t>
  </si>
  <si>
    <t>11. Расходы (кроме процентных) по операциям с полученными кредитами, а также с прочими привлеченными средствами и выпущенными долговыми ценными бумагами (включая переоценки, не связанные с изменением кредитного риска) по привлеченным средствам и выпущенных долговым ценным бумагам</t>
  </si>
  <si>
    <t>6 и 7</t>
  </si>
  <si>
    <t>27</t>
  </si>
  <si>
    <t>28</t>
  </si>
  <si>
    <t>29</t>
  </si>
  <si>
    <t>Переоценка основных средств, активов в форме права пользования и нематериальных активов, уменьшенная на отложенное налоговое обязательство</t>
  </si>
  <si>
    <t>Переоценка по справедливой стоимости финансовых активов, оцениваемых по справедливой стоимости через прочий совокупный доход, уменьшенная на отложенное налоговое обязательство (увеличенная на отложенный налоговый актив)</t>
  </si>
  <si>
    <t>30</t>
  </si>
  <si>
    <t>31</t>
  </si>
  <si>
    <t>32</t>
  </si>
  <si>
    <t>33</t>
  </si>
  <si>
    <t>34</t>
  </si>
  <si>
    <t>35</t>
  </si>
  <si>
    <t>36</t>
  </si>
  <si>
    <t>Неиспользованная прибыль (убыток)</t>
  </si>
  <si>
    <t>3</t>
  </si>
  <si>
    <t>4</t>
  </si>
  <si>
    <t>5</t>
  </si>
  <si>
    <t>6</t>
  </si>
  <si>
    <t>7</t>
  </si>
  <si>
    <t>9</t>
  </si>
  <si>
    <t>10</t>
  </si>
  <si>
    <t>11</t>
  </si>
  <si>
    <t>12</t>
  </si>
  <si>
    <t>13</t>
  </si>
  <si>
    <t>14</t>
  </si>
  <si>
    <t>Нераспределенная прибыль (непокрытые убытки) прошлых лет</t>
  </si>
  <si>
    <t>Неиспользованная прибыль (убыток) за отчетный период</t>
  </si>
  <si>
    <t>Обязательства кредитной организации (в т.ч. через ДЗО) по приобретению источников базового капитала</t>
  </si>
  <si>
    <t>Итого нестабильных источников прибыли от банковской деятельности</t>
  </si>
  <si>
    <t>№ п/п</t>
  </si>
  <si>
    <t>Название блока в расчетном файле</t>
  </si>
  <si>
    <t xml:space="preserve">Расчёт собственных средств (капитала) (Положение 646-П) (Базель III) </t>
  </si>
  <si>
    <t>Активы, взвешенные по уровню риска (RWA</t>
  </si>
  <si>
    <t>ИТОГО</t>
  </si>
  <si>
    <r>
      <t>[</t>
    </r>
    <r>
      <rPr>
        <sz val="14"/>
        <color rgb="FF0000FF"/>
        <rFont val="Arial Narrow"/>
        <family val="2"/>
        <charset val="204"/>
      </rPr>
      <t>Лист «Кредиты_РСБУ»</t>
    </r>
    <r>
      <rPr>
        <sz val="14"/>
        <color theme="1"/>
        <rFont val="Arial Narrow"/>
        <family val="2"/>
        <charset val="204"/>
      </rPr>
      <t>] Кредитование отраслей с повышенным риском</t>
    </r>
  </si>
  <si>
    <t>Название раздела в текстовом файле (аналитической записке)</t>
  </si>
  <si>
    <t>Рыночные позиции и диверсификация бизнеса</t>
  </si>
  <si>
    <t>Качество управления и стратегия</t>
  </si>
  <si>
    <t>Структура собственности и деловая репутация</t>
  </si>
  <si>
    <t>Качество активов</t>
  </si>
  <si>
    <t>Достаточность капитала</t>
  </si>
  <si>
    <t>Доходность и рентабельность</t>
  </si>
  <si>
    <t>Ресурсная база и ликвидность</t>
  </si>
  <si>
    <t>Номер п/п</t>
  </si>
  <si>
    <t>Наименование статей</t>
  </si>
  <si>
    <t>Символы</t>
  </si>
  <si>
    <t>1</t>
  </si>
  <si>
    <t>2</t>
  </si>
  <si>
    <t>Часть 1. Процентные доходы, доходы от корректировок и от восстановления (уменьшения) резервов на возможные потери</t>
  </si>
  <si>
    <t>Раздел 1. Процентные доходы</t>
  </si>
  <si>
    <t>1. По предоставленным кредитам и кредитам, права требования по которым приобретены:</t>
  </si>
  <si>
    <t>Минфину России</t>
  </si>
  <si>
    <t>финансовым органам субъектов Российской Федерации и органов местного самоуправления</t>
  </si>
  <si>
    <t>государственным внебюджетным фондам Российской Федерации</t>
  </si>
  <si>
    <t>внебюджетным фондам субъектов Российской Федерации и органов местного самоуправления</t>
  </si>
  <si>
    <t>финансовым организациям, находящимся в федеральной собственности</t>
  </si>
  <si>
    <t>коммерческим организациям, находящимся в федеральной собственности</t>
  </si>
  <si>
    <t>некоммерческим организациям, находящимся в федеральной собственности</t>
  </si>
  <si>
    <t>8.</t>
  </si>
  <si>
    <t>финансовым организациям, находящимся в государственной (кроме федеральной) собственности</t>
  </si>
  <si>
    <t>9.</t>
  </si>
  <si>
    <t>коммерческим организациям, находящимся в государственной (кроме федеральной) собственности</t>
  </si>
  <si>
    <t>10.</t>
  </si>
  <si>
    <t>некоммерческим организациям, находящимся в государственной (кроме федеральной) собственности</t>
  </si>
  <si>
    <t>11.</t>
  </si>
  <si>
    <t>негосударственным финансовым организациям</t>
  </si>
  <si>
    <t>12.</t>
  </si>
  <si>
    <t>негосударственным коммерческим организациям</t>
  </si>
  <si>
    <t>13.</t>
  </si>
  <si>
    <t>негосударственным некоммерческим организациям</t>
  </si>
  <si>
    <t>14.</t>
  </si>
  <si>
    <t>индивидуальным предпринимателям</t>
  </si>
  <si>
    <t>15.</t>
  </si>
  <si>
    <t>гражданам (физическим лицам)</t>
  </si>
  <si>
    <t>16.</t>
  </si>
  <si>
    <t>юридическим лицам - нерезидентам</t>
  </si>
  <si>
    <t>17.</t>
  </si>
  <si>
    <t>физическим лицам - нерезидентам</t>
  </si>
  <si>
    <t>18.</t>
  </si>
  <si>
    <t>кредитным организациям</t>
  </si>
  <si>
    <t>19.</t>
  </si>
  <si>
    <t>банкам-нерезидентам</t>
  </si>
  <si>
    <t>20.</t>
  </si>
  <si>
    <t>иностранным государствам</t>
  </si>
  <si>
    <t>Итого по символам 11101 - 11120</t>
  </si>
  <si>
    <t>2. По прочим размещенным средствам, в том числе по прочим приобретенным правам</t>
  </si>
  <si>
    <t>в Минфине России</t>
  </si>
  <si>
    <t>в финансовых органах субъектов Российской Федерации и органов местного самоуправления</t>
  </si>
  <si>
    <t>в государственных внебюджетных фондах Российской Федерации</t>
  </si>
  <si>
    <t>во внебюджетных фондах субъектов Российской Федерации и органов местного самоуправления</t>
  </si>
  <si>
    <t>в финансовых организациях, находящихся в федеральной собственности</t>
  </si>
  <si>
    <t>в коммерческих организациях, находящихся в федеральной собственности</t>
  </si>
  <si>
    <t>в некоммерческих организациях, находящихся в федеральной собственности</t>
  </si>
  <si>
    <t>в финансовых организациях, находящихся в государственной (кроме федеральной) собственности</t>
  </si>
  <si>
    <t>в коммерческих организациях, находящихся в государственной (кроме федеральной) собственности</t>
  </si>
  <si>
    <t>в некоммерческих организациях, находящихся в государственной (кроме федеральной) собственности</t>
  </si>
  <si>
    <t>в негосударственных финансовых организациях</t>
  </si>
  <si>
    <t>в негосударственных коммерческих организациях</t>
  </si>
  <si>
    <t>в негосударственных некоммерческих организациях</t>
  </si>
  <si>
    <t>в юридических лицах - нерезидентах</t>
  </si>
  <si>
    <t>в кредитных организациях</t>
  </si>
  <si>
    <t>в банках-нерезидентах</t>
  </si>
  <si>
    <t>в Банке России</t>
  </si>
  <si>
    <t>Итого по символам 11201 - 11220</t>
  </si>
  <si>
    <t>3. По денежным средствам на счетах:</t>
  </si>
  <si>
    <t>Итого по символам 11301 - 11303</t>
  </si>
  <si>
    <t>4. По депозитам размещенным:</t>
  </si>
  <si>
    <t>Итого по символам 11401 - 11403</t>
  </si>
  <si>
    <t>5. По вложениям в долговые ценные бумаги, оцениваемые по справедливой стоимости через прибыль или убыток (кроме векселей):</t>
  </si>
  <si>
    <t>Российской Федерации</t>
  </si>
  <si>
    <t>субъектов Российской Федерации и органов местного самоуправления</t>
  </si>
  <si>
    <t>Банка России</t>
  </si>
  <si>
    <t>кредитных организаций</t>
  </si>
  <si>
    <t>прочих резидентов</t>
  </si>
  <si>
    <t>иностранных государств</t>
  </si>
  <si>
    <t>банков-нерезидентов</t>
  </si>
  <si>
    <t>прочих нерезидентов</t>
  </si>
  <si>
    <t>Итого по символам 11501 - 11508</t>
  </si>
  <si>
    <t>6. По вложениям в долговые ценные бумаги, имеющиеся в наличии для продажи (кроме векселей):</t>
  </si>
  <si>
    <t>Итого по символам 11601 - 11608</t>
  </si>
  <si>
    <t>7. По вложениям в долговые ценные бумаги, удерживаемые до погашения (кроме векселей):</t>
  </si>
  <si>
    <t>Итого по символам 11701 - 11708</t>
  </si>
  <si>
    <t>8. По вложениям в учтенные векселя:</t>
  </si>
  <si>
    <t>органов федеральной власти</t>
  </si>
  <si>
    <t>органов власти субъектов Российской Федерации и органов местного самоуправления</t>
  </si>
  <si>
    <t>органов государственной власти иностранных государств</t>
  </si>
  <si>
    <t>органов местной власти иностранных государств</t>
  </si>
  <si>
    <t>Итого по символам 11801 - 11808</t>
  </si>
  <si>
    <t>Итого по разделу 1</t>
  </si>
  <si>
    <t>Раздел 2. Комиссионные доходы</t>
  </si>
  <si>
    <t>Итого по символам 12101 - 12120</t>
  </si>
  <si>
    <t>2. По прочим размещенным средствам, в том числе по прочим приобретенным правам требования:</t>
  </si>
  <si>
    <t>Итого по символам 12201 - 12220</t>
  </si>
  <si>
    <t>3. По депозитам размещенным:</t>
  </si>
  <si>
    <t>Итого по символам 12301 - 12303</t>
  </si>
  <si>
    <t>Итого по разделу 2</t>
  </si>
  <si>
    <t>Раздел 3. Корректировки, увеличивающие процентные доходы, на разницу между процентными доходами за отчетный период, рассчитанными в соответствии с применением ставки дисконтирования, и процентными доходами, начисленными без применения ставки дисконтирования</t>
  </si>
  <si>
    <t>Итого по символам 13101 - 13120</t>
  </si>
  <si>
    <t>Итого по символам 13201 - 13220</t>
  </si>
  <si>
    <t>Итого по символам 13301 - 13303</t>
  </si>
  <si>
    <t>Итого по символам 13401 - 13403</t>
  </si>
  <si>
    <t>Итого по символам 13501 - 13508</t>
  </si>
  <si>
    <t>Итого по символам 13601 - 13608</t>
  </si>
  <si>
    <t>Итого по символам 13701 - 13708</t>
  </si>
  <si>
    <t>Итого по символам 13801 - 13808</t>
  </si>
  <si>
    <t>Итого по разделу 3</t>
  </si>
  <si>
    <t>Раздел 4. Корректировки, уменьшающие процентные расходы, на разницу между процентными расходами за отчетный период, рассчитанными в соответствии с применением ставки дисконтирования, и процентными расходами, начисленными без применения ставки дисконтирования</t>
  </si>
  <si>
    <t>1. По полученным кредитам:</t>
  </si>
  <si>
    <t>от Банка России</t>
  </si>
  <si>
    <t>от кредитных организаций</t>
  </si>
  <si>
    <t>от банков-нерезидентов</t>
  </si>
  <si>
    <t>от иностранных государств</t>
  </si>
  <si>
    <t>от других кредиторов</t>
  </si>
  <si>
    <t>Итого по символам 14101 - 14105</t>
  </si>
  <si>
    <t>2. По денежным средствам на банковских счетах клиентов - юридических лиц:</t>
  </si>
  <si>
    <t>финансовых организаций, находящихся в федеральной собственности</t>
  </si>
  <si>
    <t>коммерческих организаций, находящихся в федеральной собственности</t>
  </si>
  <si>
    <t>некоммерческих организаций, находящихся в федеральной собственности</t>
  </si>
  <si>
    <t>финансовых организаций, находящихся в государственной (кроме федеральной) собственности</t>
  </si>
  <si>
    <t>коммерческих организаций, находящихся в государственной (кроме федеральной) собственности</t>
  </si>
  <si>
    <t>некоммерческих организаций, находящихся в государственной (кроме федеральной) собственности</t>
  </si>
  <si>
    <t>негосударственных финансовых организаций</t>
  </si>
  <si>
    <t>негосударственных коммерческих организаций</t>
  </si>
  <si>
    <t>негосударственных некоммерческих организаций</t>
  </si>
  <si>
    <t>индивидуальных предпринимателей</t>
  </si>
  <si>
    <t>юридических лиц - нерезидентов</t>
  </si>
  <si>
    <t>Итого по символам 14201 - 14213</t>
  </si>
  <si>
    <t>3. По привлеченным депозитам юридических лиц:</t>
  </si>
  <si>
    <t>Федерального казначейства</t>
  </si>
  <si>
    <t>финансовых органов субъектов Российской Федерации и органов местного самоуправления</t>
  </si>
  <si>
    <t>государственных внебюджетных фондов Российской Федерации</t>
  </si>
  <si>
    <t>внебюджетных фондов субъектов Российской Федерации и органов местного самоуправления</t>
  </si>
  <si>
    <t>Итого по символам 14301 - 14318</t>
  </si>
  <si>
    <t>4. По прочим привлеченным средствам юридических лиц:</t>
  </si>
  <si>
    <t>Минфина России</t>
  </si>
  <si>
    <t>Итого по символам 14401 - 14418</t>
  </si>
  <si>
    <t>5. По денежным средствам на банковских счетах клиентов - физических лиц:</t>
  </si>
  <si>
    <t>граждан Российской Федерации</t>
  </si>
  <si>
    <t>нерезидентов</t>
  </si>
  <si>
    <t>Итого по символам 14501, 14502</t>
  </si>
  <si>
    <t>6. По привлеченным депозитам клиентов - физических лиц:</t>
  </si>
  <si>
    <t>Итого по символам 14601, 14602</t>
  </si>
  <si>
    <t>7. По прочим привлеченным средствам клиентов - физических лиц:</t>
  </si>
  <si>
    <t>Итого по символам 14701, 14702</t>
  </si>
  <si>
    <t>8. По выпущенным долговым ценным бумагам:</t>
  </si>
  <si>
    <t>по облигациям</t>
  </si>
  <si>
    <t>по депозитным сертификатам</t>
  </si>
  <si>
    <t>по сберегательным сертификатам</t>
  </si>
  <si>
    <t>по векселям</t>
  </si>
  <si>
    <t>по прочим выпущенным долговым ценным бумагам</t>
  </si>
  <si>
    <t>Итого по символам 14801 - 14805</t>
  </si>
  <si>
    <t>Итого по разделу 4</t>
  </si>
  <si>
    <t>Раздел 5. Доходы от восстановления (уменьшения) резервов на возможные потери</t>
  </si>
  <si>
    <t>Итого по символам 15101 - 15120</t>
  </si>
  <si>
    <t>Итого по символам 15201 - 15220</t>
  </si>
  <si>
    <t>Итого по символам 15301 - 15303</t>
  </si>
  <si>
    <t>Итого по символам 15401 - 15403</t>
  </si>
  <si>
    <t>5. По вложениям в долговые ценные бумаги, имеющиеся в наличии для продажи (кроме векселей):</t>
  </si>
  <si>
    <t>Итого по символам 15501 - 15508</t>
  </si>
  <si>
    <t>6. По вложениям в долговые ценные бумаги, удерживаемые до погашения (кроме векселей):</t>
  </si>
  <si>
    <t>Итого по символам 15601 - 15608</t>
  </si>
  <si>
    <t>7. По вложениям в учтенные векселя:</t>
  </si>
  <si>
    <t>Итого по символам 15701 - 15708</t>
  </si>
  <si>
    <t>Итого по разделу 5</t>
  </si>
  <si>
    <t>Раздел 6. Премии, уменьшающие процентные расходы</t>
  </si>
  <si>
    <t>1. По выпущенным долговым ценным бумагам:</t>
  </si>
  <si>
    <t>Итого по символам 16101 - 16105</t>
  </si>
  <si>
    <t>Итого по разделу 6</t>
  </si>
  <si>
    <t>"Всего по Части 1 ""Процентные доходы, доходы от корректировок и от восстановления (уменьшения) резервов на возможные потери"" (разделы 1 - 6)"</t>
  </si>
  <si>
    <t>Часть 2. Операционные доходы</t>
  </si>
  <si>
    <t>Раздел 1. Доходы (кроме процентных) от операций с предоставленными кредитами и прочими размещенными средствами</t>
  </si>
  <si>
    <t>1. От операций с предоставленными кредитами и кредитами, права требования по которым приобретены:</t>
  </si>
  <si>
    <t>Итого по символам 21101 - 21120</t>
  </si>
  <si>
    <t>2. От операций с прочими размещенными средствами, в том числе с прочими приобретенными правами требования:</t>
  </si>
  <si>
    <t>Итого по символам 21201 - 21220</t>
  </si>
  <si>
    <t>3. От операций с размещенными депозитами:</t>
  </si>
  <si>
    <t>Итого по символам 21301 - 21303</t>
  </si>
  <si>
    <t>Раздел 2. Доходы (кроме процентных) от операций с приобретенными долговыми ценными бумагами</t>
  </si>
  <si>
    <t>1. От операций с приобретенными долговыми ценными бумагами, оцениваемыми по справедливой стоимости через прибыль или убыток (кроме векселей):</t>
  </si>
  <si>
    <t>Итого по символам 22101 - 22108</t>
  </si>
  <si>
    <t>2. От переоценки приобретенных долговых ценных бумаг, оцениваемых по справедливой стоимости через прибыль или убыток (балансовый счет N 70602, при составлении годовой бухгалтерской (финансовой) отчетности - балансовый счет N 70702):</t>
  </si>
  <si>
    <t>Итого по символам 22201 - 22208</t>
  </si>
  <si>
    <t>3. От операций с приобретенными долговыми ценными бумагами, имеющимися в наличии для продажи (кроме векселей):</t>
  </si>
  <si>
    <t>Итого по символам 22301 - 22308</t>
  </si>
  <si>
    <t>4. От операций с приобретенными долговыми ценными бумагами, удерживаемыми до погашения (кроме векселей):</t>
  </si>
  <si>
    <t>Итого по символам 22401 - 22408</t>
  </si>
  <si>
    <t>5. От операций с учтенными векселями:</t>
  </si>
  <si>
    <t>Итого по символам 22501 - 22508</t>
  </si>
  <si>
    <t>Раздел 3. Доходы от операций с приобретенными долевыми ценными бумагами</t>
  </si>
  <si>
    <t>1. От операций с приобретенными долевыми ценными бумагами, оцениваемыми по справедливой стоимости через прибыль или убыток:</t>
  </si>
  <si>
    <t>Итого по символам 23101 - 23104</t>
  </si>
  <si>
    <t>2. От переоценки приобретенных долевых ценных бумаг, оцениваемых по справедливой стоимости через прибыль или убыток (балансовый счет N 70602, при составлении годовой бухгалтерской (финансовой) отчетности - балансовый счет N 70702):</t>
  </si>
  <si>
    <t>Итого по символам 23201 - 23204</t>
  </si>
  <si>
    <t>3. От операций с приобретенными долевыми ценными бумагами, имеющимися в наличии для продажи:</t>
  </si>
  <si>
    <t>Итого по символам 23301 - 23304</t>
  </si>
  <si>
    <t>4. Доходы от восстановления (уменьшения) резервов на возможные потери по приобретенным долевым ценным бумагам, имеющимся в наличии для продажи:</t>
  </si>
  <si>
    <t>Итого по символам 23401 - 23404</t>
  </si>
  <si>
    <t>5. Дивиденды от вложений в акции:</t>
  </si>
  <si>
    <t>других организаций - резидентов</t>
  </si>
  <si>
    <t>других организаций - нерезидентов</t>
  </si>
  <si>
    <t>Итого по символам 23501 - 23504</t>
  </si>
  <si>
    <t>6. Дивиденды от вложений в акции дочерних и зависимых обществ:</t>
  </si>
  <si>
    <t>Итого по символам 23601 - 23604</t>
  </si>
  <si>
    <t>7. Доходы от участия в дочерних и зависимых хозяйственных обществах, кроме акционерных:</t>
  </si>
  <si>
    <t>кредитных организациях</t>
  </si>
  <si>
    <t>других организациях - резидентах</t>
  </si>
  <si>
    <t>банках-нерезидентах</t>
  </si>
  <si>
    <t>других организациях - нерезидентах</t>
  </si>
  <si>
    <t>Итого по символам 23701 - 23704</t>
  </si>
  <si>
    <t>8. Доходы от участия в хозяйственных обществах, кроме акционерных:</t>
  </si>
  <si>
    <t>Итого по символам 23801 - 23804</t>
  </si>
  <si>
    <t>9. Доходы от операций с приобретенными долевыми ценными бумагами дочерних и зависимых хозяйственных обществ и паевых инвестиционных фондов:</t>
  </si>
  <si>
    <t>банков - нерезидентов</t>
  </si>
  <si>
    <t>Итого по символам 23901 - 23904</t>
  </si>
  <si>
    <t>Раздел 4. Доходы от операций с полученными кредитами, а также с прочими привлеченными средствами и выпущенными долговыми ценными бумагами</t>
  </si>
  <si>
    <t>Итого по символам 24101 - 24105</t>
  </si>
  <si>
    <t>2. По привлеченным депозитам юридических лиц:</t>
  </si>
  <si>
    <t>Итого по символам 24201 - 24218</t>
  </si>
  <si>
    <t>3. По прочим привлеченным средствам юридических лиц:</t>
  </si>
  <si>
    <t>Итого по символам 24301 - 24318</t>
  </si>
  <si>
    <t>4. По привлеченным депозитам клиентов - физических лиц:</t>
  </si>
  <si>
    <t>Итого по символам 24401, 24402</t>
  </si>
  <si>
    <t>5. По прочим привлеченным средствам клиентов - физических лиц:</t>
  </si>
  <si>
    <t>Итого по символам 24501, 24502</t>
  </si>
  <si>
    <t>6. По выпущенным долговым ценным бумагам:</t>
  </si>
  <si>
    <t>Итого по символам 24601 - 24605</t>
  </si>
  <si>
    <t>Раздел 5. Доходы от операций с производными финансовыми инструментами и от применения встроенных производных финансовых инструментов, не отделяемых от основного договора</t>
  </si>
  <si>
    <t>1. От операций с производными финансовыми инструментами, базовым (базисным) активом которых является иностранная валюта:</t>
  </si>
  <si>
    <t>фьючерсы</t>
  </si>
  <si>
    <t>форварды</t>
  </si>
  <si>
    <t>опционы</t>
  </si>
  <si>
    <t>свопы</t>
  </si>
  <si>
    <t>прочие производные финансовые инструменты</t>
  </si>
  <si>
    <t>Итого по символам 25101 - 25105</t>
  </si>
  <si>
    <t>2. От операций с производными финансовыми инструментами, базисным (базовым) активом которых являются процентные ставки:</t>
  </si>
  <si>
    <t>Итого по символам 25201 - 25205</t>
  </si>
  <si>
    <t>3. От операций с производными финансовыми инструментами, базисным (базовым) активом которых являются ценные бумаги:</t>
  </si>
  <si>
    <t>Итого по символам 25301 - 25305</t>
  </si>
  <si>
    <t>4. От операций с производными финансовыми инструментами, базисным (базовым) активом которых являются драгоценные металлы:</t>
  </si>
  <si>
    <t>Итого по символам 25401 - 25405</t>
  </si>
  <si>
    <t>5. От операций с производными финансовыми инструментами, базисным (базовым) активом которых являются другие базисные (базовые) активы:</t>
  </si>
  <si>
    <t>Итого по символам 25501 - 25505</t>
  </si>
  <si>
    <t>6. От применения встроенных производных инструментов, неотделяемых от основного договора (балансовый счет N 70605, при составлении годовой бухгалтерской (финансовой) отчетности - балансовый счет N 70705):</t>
  </si>
  <si>
    <t>доходы от применения встроенных производных инструментов, неотделяемых от основного договора</t>
  </si>
  <si>
    <t>Раздел 6. Доходы от операций с иностранной валютой и драгоценными металлами и их переоценки</t>
  </si>
  <si>
    <t>1. Доходы от операций купли-продажи иностранной валюты в наличной форме:</t>
  </si>
  <si>
    <t>долларов США</t>
  </si>
  <si>
    <t>Фунтов стерлингов Соединенного королевства</t>
  </si>
  <si>
    <t>Швейцарских франков</t>
  </si>
  <si>
    <t>Японских иен</t>
  </si>
  <si>
    <t>других валют</t>
  </si>
  <si>
    <t>Итого по символам 26101 - 26106</t>
  </si>
  <si>
    <t>2. Доходы от операций купли-продажи иностранной валюты в безналичной форме:</t>
  </si>
  <si>
    <t>Итого по символам 26201 - 26206</t>
  </si>
  <si>
    <t>3. Доходы от переоценки средств в иностранной валюте (балансовый счет N 70603, при составлении годовой бухгалтерской (финансовой) отчетности - балансовый счет N 70703):</t>
  </si>
  <si>
    <t>по долларам США</t>
  </si>
  <si>
    <t>по Евро</t>
  </si>
  <si>
    <t>по Фунтам стерлингов Соединенного королевства</t>
  </si>
  <si>
    <t>по Швейцарским франкам</t>
  </si>
  <si>
    <t>по Японским иенам</t>
  </si>
  <si>
    <t>по другим валютам</t>
  </si>
  <si>
    <t>Итого по символам 26301 - 26306</t>
  </si>
  <si>
    <t>4. Доходы от операций купли-продажи драгоценных металлов:</t>
  </si>
  <si>
    <t>Золота</t>
  </si>
  <si>
    <t>Серебра</t>
  </si>
  <si>
    <t>Платины</t>
  </si>
  <si>
    <t>Палладия</t>
  </si>
  <si>
    <t>Других драгоценных металлов</t>
  </si>
  <si>
    <t>Итого по символам 26401 - 26405</t>
  </si>
  <si>
    <t>5. Доходы от переоценки драгоценных металлов (балансовый счет N 70604, при составлении годовой бухгалтерской (финансовой) отчетности - балансовый счет N 70704):</t>
  </si>
  <si>
    <t>Итого по символам 26501 - 26505</t>
  </si>
  <si>
    <t>Раздел 7. Комиссионные и аналогичные доходы</t>
  </si>
  <si>
    <t>кредитных организаций и банков-нерезидентов</t>
  </si>
  <si>
    <t>юридических лиц и юридических лиц - нерезидентов, кроме кредитных организаций и банков-нерезидентов</t>
  </si>
  <si>
    <t>граждан (физических лиц) и физических лиц - нерезидентов</t>
  </si>
  <si>
    <t>Итого по символам 27101 - 27104</t>
  </si>
  <si>
    <t>Итого по символам 27201 - 27204</t>
  </si>
  <si>
    <t>с кредитными организациями и банками-нерезидентами</t>
  </si>
  <si>
    <t>с юридическими лицами и юридическими лицами - нерезидентами, кроме кредитных организаций и банков-нерезидентов</t>
  </si>
  <si>
    <t>с индивидуальными предпринимателями</t>
  </si>
  <si>
    <t>с гражданами (физическими лицами) и физическими лицами - нерезидентами</t>
  </si>
  <si>
    <t>Итого по символам 27301 - 27304</t>
  </si>
  <si>
    <t>по банковским счетам по поручению кредитных организаций и банков-нерезидентов</t>
  </si>
  <si>
    <t>по банковским счетам по поручению юридических лиц и юридических лиц - нерезидентов, кроме кредитных организаций и банков-нерезидентов</t>
  </si>
  <si>
    <t>по банковским счетам по поручению индивидуальных предпринимателей</t>
  </si>
  <si>
    <t>по банковским счетам по поручению граждан (физических лиц) и физических лиц - нерезидентов</t>
  </si>
  <si>
    <t>без открытия банковских счетов, в том числе электронных денежных средств, кредитными организациями и банками-нерезидентами</t>
  </si>
  <si>
    <t>без открытия банковских счетов, в том числе электронных денежных средств, юридическими лицами и юридическими лицами - нерезидентами, кроме кредитных организаций и банков-нерезидентов</t>
  </si>
  <si>
    <t>без открытия банковских счетов, в том числе электронных денежных средств, индивидуальными предпринимателями</t>
  </si>
  <si>
    <t>без открытия банковских счетов, в том числе электронных денежных средств, гражданами (физическими лицами) и физическими лицами - нерезидентами</t>
  </si>
  <si>
    <t>прочие доходы от оказания услуг платежной инфраструктуры</t>
  </si>
  <si>
    <t>Итого по символам 27401 - 27409</t>
  </si>
  <si>
    <t>5. От операций по выдаче банковских гарантий и поручительств:</t>
  </si>
  <si>
    <t>Итого по символам 27501 - 27504</t>
  </si>
  <si>
    <t>кредитным организациям и банкам-нерезидентам</t>
  </si>
  <si>
    <t>юридическим лицам и юридическим лицам - нерезидентам, кроме кредитных организаций и банков-нерезидентов</t>
  </si>
  <si>
    <t>гражданам (физическим лицам) и физическим лицам - нерезидентам</t>
  </si>
  <si>
    <t>Итого по символам 27601 - 27604</t>
  </si>
  <si>
    <t>Итого по символам 27701 - 27704</t>
  </si>
  <si>
    <t>Итого по символам 27801 - 27804</t>
  </si>
  <si>
    <t>Итого по символам 27901 - 27904</t>
  </si>
  <si>
    <t>Итого по разделу 7</t>
  </si>
  <si>
    <t>Раздел 8. Другие операционные доходы</t>
  </si>
  <si>
    <t>1. Доходы от переоценки обязательств и требований, оцениваемых по справедливой стоимости через прибыль или убыток, по прочим операциям:</t>
  </si>
  <si>
    <t>доходы от переоценки обязательств по возврату проданных или переданных ценных бумаг</t>
  </si>
  <si>
    <t>доходы от переоценки обязательств по выплате денежных средств, основанных на акциях</t>
  </si>
  <si>
    <t>доходы от переоценки других обязательств по прочим операциям</t>
  </si>
  <si>
    <t>доходы от переоценки требований по возврату переданных ценных бумаг</t>
  </si>
  <si>
    <t>Итого по символам 28101 - 28104</t>
  </si>
  <si>
    <t>2. Доходы от восстановления (уменьшения) сумм резервов на возможные потери:</t>
  </si>
  <si>
    <t>по активам, переданным в доверительное управление</t>
  </si>
  <si>
    <t>по условным обязательствам кредитного характера</t>
  </si>
  <si>
    <t>по операциям финансовой аренды (лизинга)</t>
  </si>
  <si>
    <t>по другим активам, в том числе требованиям, и прочим операциям, не приносящим процентный доход</t>
  </si>
  <si>
    <t>Итого по символам 28201 - 28204</t>
  </si>
  <si>
    <t>3. Доходы от аренды:</t>
  </si>
  <si>
    <t>доходы от предоставления в аренду специальных помещений и сейфов для хранения документов и ценностей</t>
  </si>
  <si>
    <t>доходы от сдачи имущества в аренду</t>
  </si>
  <si>
    <t>доходы от операций финансовой аренды (лизинга)</t>
  </si>
  <si>
    <t>Итого по символам 28301 - 28303</t>
  </si>
  <si>
    <t>4. Неустойки (штрафы, пени):</t>
  </si>
  <si>
    <t>по операциям привлечения и предоставления (размещения) денежных средств</t>
  </si>
  <si>
    <t>по другим банковским операциям и сделкам</t>
  </si>
  <si>
    <t>Итого по символам 28401, 28402</t>
  </si>
  <si>
    <t>5. Доходы по операциям с недвижимостью, временно неиспользуемой в основной деятельности:</t>
  </si>
  <si>
    <t>доходы от выбытия (реализации) недвижимости, временно неиспользуемой в основной деятельности</t>
  </si>
  <si>
    <t>доходы от сдачи в аренду недвижимости, временно неиспользуемой в основной деятельности</t>
  </si>
  <si>
    <t>доходы от восстановления убытков от обесценения недвижимости, временно неиспользуемой в основной деятельности</t>
  </si>
  <si>
    <t>доходы от изменения справедливой стоимости недвижимости, временно неиспользуемой в основной деятельности</t>
  </si>
  <si>
    <t>Итого по символам 28501 - 28504</t>
  </si>
  <si>
    <t>6. Доходы по операциям с долгосрочными активами, предназначенными для продажи:</t>
  </si>
  <si>
    <t>доходы от выбытия (реализации) долгосрочных активов, предназначенных для продажи</t>
  </si>
  <si>
    <t>доходы от последующего увеличения справедливой стоимости долгосрочных активов, предназначенных для продажи</t>
  </si>
  <si>
    <t>Итого по символам 28601, 28602</t>
  </si>
  <si>
    <t>7. Доходы по операциям с имуществом, полученным по договорам отступного, залога:</t>
  </si>
  <si>
    <t>доходы от выбытия (реализации) средств труда, полученных по договорам отступного, залога, назначение которых не определено</t>
  </si>
  <si>
    <t>доходы от выбытия (реализации) предметов труда, полученных по договорам отступного, залога, назначение которых не определено</t>
  </si>
  <si>
    <t>доходы от последующего увеличения справедливой стоимости средств труда, полученных по договорам отступного, залога, назначение которых не определено</t>
  </si>
  <si>
    <t>доходы от восстановления снижения стоимости предметов труда, полученных по договорам отступного, залога, назначение которых не определено</t>
  </si>
  <si>
    <t>Итого по символам 28701 - 28704</t>
  </si>
  <si>
    <t>8. Прочие операционные доходы:</t>
  </si>
  <si>
    <t>доходы от передачи активов в доверительное управление</t>
  </si>
  <si>
    <t>доходы прошлых лет, выявленные в отчетном году</t>
  </si>
  <si>
    <t>прочие доходы</t>
  </si>
  <si>
    <t>Итого по символам 28801 - 28803</t>
  </si>
  <si>
    <t>Итого по разделу 8</t>
  </si>
  <si>
    <t>Раздел 9. Доходы, связанные с операциями по обеспечению деятельности кредитной организации</t>
  </si>
  <si>
    <t>1. Доходы по операциям с основными средствами и нематериальными активами:</t>
  </si>
  <si>
    <t>доходы от выбытия (реализации) основных средств</t>
  </si>
  <si>
    <t>доходы от выбытия (реализации) нематериальных активов</t>
  </si>
  <si>
    <t>доходы от выбытия (реализации) прочего имущества</t>
  </si>
  <si>
    <t>доходы от восстановления убытков от обесценения основных средств</t>
  </si>
  <si>
    <t>доходы от восстановления убытков от обесценения нематериальных активов</t>
  </si>
  <si>
    <t>доходы от дооценки основных средств после их уценки</t>
  </si>
  <si>
    <t>доходы от дооценки нематериальных активов после их уценки</t>
  </si>
  <si>
    <t>Итого по символам 29101 - 29107</t>
  </si>
  <si>
    <t>2. Доходы от корректировки обязательств по выплате вознаграждений работникам и по оплате страховых взносов:</t>
  </si>
  <si>
    <t>по выплате вознаграждений работникам со сроком исполнения в течение годового отчетного периода и в течение 12 месяцев после окончания годового отчетного периода</t>
  </si>
  <si>
    <t>по выплате вознаграждений работникам по окончании трудовой деятельности, ограниченных фиксируемыми платежами</t>
  </si>
  <si>
    <t>по выплате вознаграждений работникам по окончании трудовой деятельности, не ограниченных фиксируемыми платежами, от оказания работниками услуг в предшествующих периодах и возникающие при их исполнении</t>
  </si>
  <si>
    <t>процентный доход, возникающий при определении величины обязательств по выплате долгосрочных вознаграждений работникам по окончании трудовой деятельности, не ограниченных фиксируемыми платежами</t>
  </si>
  <si>
    <t>по прочим выплатам вознаграждений работникам со сроком исполнения свыше 12 месяцев после окончания годового отчетного периода</t>
  </si>
  <si>
    <t>по выходным пособиям со сроком исполнения свыше 12 месяцев после окончания годового отчетного периода</t>
  </si>
  <si>
    <t>по оплате страховых взносов с выплат вознаграждений работникам со сроком исполнения в течение годового отчетного периода и в течение 12 месяцев после окончания годового отчетного периода</t>
  </si>
  <si>
    <t>по оплате страховых взносов с выплат вознаграждений работникам со сроком исполнения свыше 12 месяцев после окончания годового отчетного периода</t>
  </si>
  <si>
    <t>Итого по символам 29201 - 29208</t>
  </si>
  <si>
    <t>3. Доходы от восстановления сумм резервов - оценочных обязательств некредитного характера:</t>
  </si>
  <si>
    <t>по не урегулированным спорам и не завершенным на отчетную дату судебным разбирательствам</t>
  </si>
  <si>
    <t>по не разрешенным разногласиям по уплате неустойки (штрафов, пени)</t>
  </si>
  <si>
    <t>по закрытию подразделения кредитной организации</t>
  </si>
  <si>
    <t>по прочим резервам - оценочным обязательствам некредитного характера</t>
  </si>
  <si>
    <t>Итого по символам 29301 - 29304</t>
  </si>
  <si>
    <t>4. Прочие доходы, связанные с операциями по обеспечению деятельности кредитной организации:</t>
  </si>
  <si>
    <t>неустойки (штрафы, пени) по прочим (хозяйственным) операциям</t>
  </si>
  <si>
    <t>доходы от безвозмездно полученного имущества</t>
  </si>
  <si>
    <t>поступления в возмещение причиненных убытков, в том числе страховое возмещение от страховщиков</t>
  </si>
  <si>
    <t>доходы от оприходования излишков имущества</t>
  </si>
  <si>
    <t>доходы от оприходования излишков денежной наличности</t>
  </si>
  <si>
    <t>доходы от списания обязательств и невостребованной кредиторской задолженности</t>
  </si>
  <si>
    <t>другие доходы, относимые к прочим, в том числе носящие разовый, случайный характер</t>
  </si>
  <si>
    <t>Итого по символам 29401 - 29407</t>
  </si>
  <si>
    <t>Итого по разделу 9</t>
  </si>
  <si>
    <t>"Всего по Части 2 ""Операционные доходы"" (разделы 1 - 9)"</t>
  </si>
  <si>
    <t>Всего доходов (части 1 - 2)</t>
  </si>
  <si>
    <t>Часть 3. Процентные расходы, расходы от корректировок и расходы по формированию резервов на возможные потери</t>
  </si>
  <si>
    <t>Раздел 1. Процентные расходы</t>
  </si>
  <si>
    <t>Итого по символам 31101 - 31105</t>
  </si>
  <si>
    <t>Итого по символам 31201 - 31213</t>
  </si>
  <si>
    <t>Итого по символам 31301 - 31318</t>
  </si>
  <si>
    <t>Итого по символам 31401 - 31418</t>
  </si>
  <si>
    <t>Итого по символам 31501, 31502</t>
  </si>
  <si>
    <t>Итого по символам 31601, 31602</t>
  </si>
  <si>
    <t>Итого по символам 31701, 31702</t>
  </si>
  <si>
    <t>Итого по символам 31801 - 31805</t>
  </si>
  <si>
    <t>9. По размещенным средствам в иностранной валюте в банках-нерезидентах по отрицательным процентным ставкам:</t>
  </si>
  <si>
    <t>По денежным средствам на счетах</t>
  </si>
  <si>
    <t>По депозитам размещенным</t>
  </si>
  <si>
    <t>По прочим размещенным средствам</t>
  </si>
  <si>
    <t>Итого по символам 31901 - 31903</t>
  </si>
  <si>
    <t>Раздел 2. Комиссионные расходы и затраты по сделке, увеличивающие процентные расходы</t>
  </si>
  <si>
    <t>Итого по символам 32101 - 32105</t>
  </si>
  <si>
    <t>Итого по символам 32201 - 32218</t>
  </si>
  <si>
    <t>Итого по символам 32301 - 32318</t>
  </si>
  <si>
    <t>Итого по символам 32401, 32402</t>
  </si>
  <si>
    <t>Итого по символам 32501, 32502</t>
  </si>
  <si>
    <t>Итого по символам 32601 - 32605</t>
  </si>
  <si>
    <t>Раздел 3. Комиссионные расходы и затраты по сделке, уменьшающие процентные доходы</t>
  </si>
  <si>
    <t>Итого по символам 33101 - 33120</t>
  </si>
  <si>
    <t>в финансовых органах субъектов Российской Федерации и органах местного самоуправления</t>
  </si>
  <si>
    <t>Итого по символам 33201 - 33220</t>
  </si>
  <si>
    <t>Итого по символам 33301 - 33303</t>
  </si>
  <si>
    <t>Итого по символам 33401 - 33403</t>
  </si>
  <si>
    <t>Итого по символам 33501 - 33508</t>
  </si>
  <si>
    <t>Итого по символам 33601 - 33608</t>
  </si>
  <si>
    <t>Итого по символам 33701 - 33708</t>
  </si>
  <si>
    <t>Итого по символам 33801 - 33808</t>
  </si>
  <si>
    <t>Раздел 4. Премии, уменьшающие процентные доходы</t>
  </si>
  <si>
    <t>Итого по символам 34101 - 34120</t>
  </si>
  <si>
    <t>Итого по символам 34201 - 34220</t>
  </si>
  <si>
    <t>3. По вложениям в долговые ценные бумаги, оцениваемые по справедливой стоимости через прибыль или убыток (кроме векселей)</t>
  </si>
  <si>
    <t>Итого по символам 34301 - 34308</t>
  </si>
  <si>
    <t>4. По вложениям в долговые ценные бумаги, имеющиеся в наличии для продажи (кроме векселей)</t>
  </si>
  <si>
    <t>Итого по символам 34401 - 34408</t>
  </si>
  <si>
    <t>5. По вложениям в долговые ценные бумаги, удерживаемые до погашения (кроме векселей):</t>
  </si>
  <si>
    <t>Итого по символам 34501 - 34508</t>
  </si>
  <si>
    <t>6. По вложениям в учтенные векселя:</t>
  </si>
  <si>
    <t>Итого по символам 34601 - 34608</t>
  </si>
  <si>
    <t>Раздел 5. Корректировки, уменьшающие процентные доходы, на разницу между процентными доходами за отчетный период, рассчитанными в соответствии с применением ставки дисконтирования, и процентными доходами, начисленными без применения ставки дисконтирования</t>
  </si>
  <si>
    <t>Итого по символам 35101 - 35120</t>
  </si>
  <si>
    <t>Итого по символам 35201 - 35220</t>
  </si>
  <si>
    <t>Итого по символам 35301 - 35303</t>
  </si>
  <si>
    <t>Итого по символам 35401 - 35403</t>
  </si>
  <si>
    <t>Итого по символам 35501 - 35508</t>
  </si>
  <si>
    <t>Итого по символам 35601 - 35608</t>
  </si>
  <si>
    <t>Итого по символам 35701 - 35708</t>
  </si>
  <si>
    <t>Итого по символам 35801 - 35808</t>
  </si>
  <si>
    <t>Раздел 6. Корректировки, увеличивающие процентные расходы, на разницу между процентными расходами за отчетный период, рассчитанными в соответствии с применением ставки дисконтирования, и процентными расходами, начисленными без применения ставки дисконтирования</t>
  </si>
  <si>
    <t>Итого по символам 36101 - 36105</t>
  </si>
  <si>
    <t>Итого по символам 36201 - 36213</t>
  </si>
  <si>
    <t>Итого по символам 36301 - 36318</t>
  </si>
  <si>
    <t>Итого по символам 36401 - 36418</t>
  </si>
  <si>
    <t>Итого по символам 36501, 36502</t>
  </si>
  <si>
    <t>Итого по символам 36601, 36602</t>
  </si>
  <si>
    <t>Итого по символам 36701, 36702</t>
  </si>
  <si>
    <t>Итого по символам 36801 - 36805</t>
  </si>
  <si>
    <t>Раздел 7. Расходы по формированию резервов на возможные потери</t>
  </si>
  <si>
    <t>Итого по символам 37101 - 37120</t>
  </si>
  <si>
    <t>Итого по символам 37201 - 37220</t>
  </si>
  <si>
    <t>Итого по символам 37301 - 37303</t>
  </si>
  <si>
    <t>Итого по символам 37401 - 37403</t>
  </si>
  <si>
    <t>Итого по символам 37501 - 37508</t>
  </si>
  <si>
    <t>Итого по символам 37601 - 37608</t>
  </si>
  <si>
    <t>Итого по символам 37701 - 37708</t>
  </si>
  <si>
    <t>"Всего по Части 3 ""Процентные расходы, расходы от корректировок и расходы по формированию резервов на возможные потери"" (разделы 1 - 7)"</t>
  </si>
  <si>
    <t>Часть 4. Операционные расходы</t>
  </si>
  <si>
    <t>Раздел 1. Расходы от операций с предоставленными кредитами и прочими размещенными средствами</t>
  </si>
  <si>
    <t>Итого по символам 41101 - 41120</t>
  </si>
  <si>
    <t>Итого по символам 41201 - 41220</t>
  </si>
  <si>
    <t>Итого по символам 41301 - 41303</t>
  </si>
  <si>
    <t>Раздел 2. Расходы по операциям с приобретенными долговыми ценными бумагами</t>
  </si>
  <si>
    <t>1. По операциям с приобретенными долговыми ценными бумагами, оцениваемыми по справедливой стоимости через прибыль или убыток (кроме векселей):</t>
  </si>
  <si>
    <t>Итого по символам 42101 - 42108</t>
  </si>
  <si>
    <t>2. От переоценки приобретенных долговых ценных бумаг, оцениваемых по справедливой стоимости через прибыль или убыток (балансовый счет N 70607, при составлении годовой бухгалтерской (финансовой) отчетности - балансовый счет N 70707):</t>
  </si>
  <si>
    <t>Итого по символам 42201 - 42208</t>
  </si>
  <si>
    <t>3. По операциям с приобретенными долговыми ценными бумагами, имеющимися в наличии для продажи (кроме векселей):</t>
  </si>
  <si>
    <t>Итого по символам 42301 - 42308</t>
  </si>
  <si>
    <t>4. По операциям с приобретенными долговыми ценными бумагами, удерживаемыми до погашения (кроме векселей):</t>
  </si>
  <si>
    <t>Итого по символам 42401 - 42408</t>
  </si>
  <si>
    <t>5. По операциям с учтенными векселями:</t>
  </si>
  <si>
    <t>Итого по символам 42501 - 42508</t>
  </si>
  <si>
    <t>Раздел 3. Расходы по операциям с приобретенными долевыми ценными бумагами</t>
  </si>
  <si>
    <t>1. По операциям с приобретенными долевыми ценными бумагами, оцениваемыми по справедливой стоимости через прибыль или убыток:</t>
  </si>
  <si>
    <t>Итого по символам 43101 - 43104</t>
  </si>
  <si>
    <t>2. Расходы от переоценки приобретенных долевых ценных бумаг, оцениваемых по справедливой стоимости через прибыль или убыток (балансовый счет N 70607, при составлении годовой бухгалтерской (финансовой) отчетности - балансовый счет N 70707):</t>
  </si>
  <si>
    <t>Итого по символам 43201 - 43204</t>
  </si>
  <si>
    <t>3. По операциям с приобретенными долевыми ценными бумагами, имеющимися в наличии для продажи:</t>
  </si>
  <si>
    <t>Итого по символам 43301 - 43304</t>
  </si>
  <si>
    <t>4. Расходы по формированию (доначислению) резервов по приобретенным долевым ценным бумагам, имеющимся в наличии для продажи:</t>
  </si>
  <si>
    <t>Итого по символам 43401 - 43404</t>
  </si>
  <si>
    <t>5. Расходы по операциям с приобретенными долевыми ценными бумагами дочерних и зависимых хозяйственных обществ и паевых инвестиционных фондов:</t>
  </si>
  <si>
    <t>Итого по символам 43501 - 43504</t>
  </si>
  <si>
    <t>Раздел 4. Расходы (кроме процентных) по операциям с полученными кредитами, а также с прочими привлеченными средствами и выпущенными долговыми ценными бумагами</t>
  </si>
  <si>
    <t>Итого по символам 44101 - 44105</t>
  </si>
  <si>
    <t>Итого по символам 44201 - 44218</t>
  </si>
  <si>
    <t>Итого по символам 44301 - 44318</t>
  </si>
  <si>
    <t>Итого по символам 44401, 44402</t>
  </si>
  <si>
    <t>Итого по символам 44501, 44502</t>
  </si>
  <si>
    <t>Итого по символам 44601 - 44605</t>
  </si>
  <si>
    <t>Раздел 5. Расходы по операциям с производными финансовыми инструментами и от применения встроенных производных финансовых инструментов, не отделяемых от основного договора</t>
  </si>
  <si>
    <t>1. По операциям с производными финансовыми инструментами, базисным (базовым) активом которых является иностранная валюта:</t>
  </si>
  <si>
    <t>Итого по символам 45101 - 45105</t>
  </si>
  <si>
    <t>2. По операциям с производными финансовыми инструментами, базисным (базовым) активом которых являются процентные ставки:</t>
  </si>
  <si>
    <t>Итого по символам 45201 - 45205</t>
  </si>
  <si>
    <t>3. По операциям с производными финансовыми инструментами, базисным (базовым) активом которых являются ценные бумаги:</t>
  </si>
  <si>
    <t>Итого по символам 45301 - 45305</t>
  </si>
  <si>
    <t>4. По операциям с производными финансовыми инструментами, базисным (базовым) активом которых являются драгоценные металлы:</t>
  </si>
  <si>
    <t>Итого по символам 45401 - 45405</t>
  </si>
  <si>
    <t>5. По операциям с производными финансовыми инструментами, базисным (базовым) активом которых являются другие базисные (базовые) активы:</t>
  </si>
  <si>
    <t>Итого по символам 45501 - 45505</t>
  </si>
  <si>
    <t>6. От применения встроенных производных инструментов, неотделяемых от основного договора (балансовый счет N 70610, при составлении годовой бухгалтерской (финансовой) отчетности - балансовый счет N 70710):</t>
  </si>
  <si>
    <t>Расходы от применения встроенных производных инструментов, неотделяемых от основного договора</t>
  </si>
  <si>
    <t>Раздел 6. Расходы по операциям с иностранной валютой и драгоценными металлами и их переоценке</t>
  </si>
  <si>
    <t>1. Расходы по операциям купли-продажи иностранной валюты в наличной форме:</t>
  </si>
  <si>
    <t>Итого по символам 46101 - 46106</t>
  </si>
  <si>
    <t>2. Расходы по операциям купли-продажи иностранной валюты в безналичной форме:</t>
  </si>
  <si>
    <t>Итого по символам 46201 - 46206</t>
  </si>
  <si>
    <t>3. Расходы по переоценке средств в иностранной валюте (балансовый счет N 70608, при составлении годовой бухгалтерской (финансовой) отчетности - балансовый счет N 70708):</t>
  </si>
  <si>
    <t>Итого по символам 46301 - 46306</t>
  </si>
  <si>
    <t>4. Расходы по операциям купли-продажи драгоценных металлов:</t>
  </si>
  <si>
    <t>Итого по символам 46401 - 46405</t>
  </si>
  <si>
    <t>5. Расходы от переоценки драгоценных металлов (балансовый счет N 70609, при составлении годовой бухгалтерской (финансовой) отчетности - балансовый счет N 70709):</t>
  </si>
  <si>
    <t>Итого по символам 46501 - 46505</t>
  </si>
  <si>
    <t>Раздел 7. Другие операционные расходы</t>
  </si>
  <si>
    <t>1. Комиссионные и аналогичные расходы:</t>
  </si>
  <si>
    <t>комиссионные расходы по операциям с валютными ценностями</t>
  </si>
  <si>
    <t>расходы за открытие и ведение банковских счетов</t>
  </si>
  <si>
    <t>расходы за расчетное и кассовое обслуживание</t>
  </si>
  <si>
    <t>расходы за услуги по переводам денежных средств, включая услуги платежных и расчетных систем</t>
  </si>
  <si>
    <t>расходы по полученным банковским гарантиям и поручительствам</t>
  </si>
  <si>
    <t>комиссионные расходы за оказание посреднических услуг по брокерским и аналогичным договорам</t>
  </si>
  <si>
    <t>расходы профессиональных участников рынка ценных бумаг, связанные с приобретением и реализацией ценных бумаг, кроме расходов на консультационные и информационные услуги</t>
  </si>
  <si>
    <t>расходы по операциям доверительного управления имуществом</t>
  </si>
  <si>
    <t>другие комиссионные расходы</t>
  </si>
  <si>
    <t>Итого по символам 47101 - 47109</t>
  </si>
  <si>
    <t>2. Расходы от переоценки обязательств и требований, оцениваемых по справедливой стоимости через прибыль или убыток, по прочим операциям:</t>
  </si>
  <si>
    <t>расходы от переоценки обязательств по возврату проданных или переданных ценных бумаг</t>
  </si>
  <si>
    <t>расходы от переоценки обязательств по выплате денежных средств, основанных на акциях</t>
  </si>
  <si>
    <t>расходы от переоценки других обязательств по прочим операциям</t>
  </si>
  <si>
    <t>расходы от переоценки требований по возврату переданных ценных бумаг</t>
  </si>
  <si>
    <t>Итого по символам 47201 - 47204</t>
  </si>
  <si>
    <t>3. Расходы по формированию (доначислению) резервов на возможные потери:</t>
  </si>
  <si>
    <t>расходы по формированию (доначислению) резервов на возможные потери по активам, переданным в доверительное управление</t>
  </si>
  <si>
    <t>расходы по формированию (доначислению) резервов на возможные потери по условным обязательствам кредитного характера</t>
  </si>
  <si>
    <t>расходы по формированию (доначислению) резервов на возможные потери по операциям финансовой аренды (лизинга)</t>
  </si>
  <si>
    <t>расходы по формированию (доначислению) резервов на возможные потери по другим активам, в том числе требованиям, и прочим операциям, не приносящим процентный доход</t>
  </si>
  <si>
    <t>Итого по символам 47301 - 47304</t>
  </si>
  <si>
    <t>Итого по символам 47401, 47402</t>
  </si>
  <si>
    <t>5. Расходы по операциям с недвижимостью, временно неиспользуемой в основной деятельности:</t>
  </si>
  <si>
    <t>расходы от выбытия (реализации) недвижимости, временно неиспользуемой в основной деятельности</t>
  </si>
  <si>
    <t>расходы от обесценения недвижимости, временно неиспользуемой в основной деятельности</t>
  </si>
  <si>
    <t>расходы от изменения справедливой стоимости недвижимости, временно неиспользуемой в основной деятельности</t>
  </si>
  <si>
    <t>расходы по ремонту недвижимости, временно неиспользуемой в основной деятельности</t>
  </si>
  <si>
    <t>расходы на содержание недвижимости, временно неиспользуемой в основной деятельности</t>
  </si>
  <si>
    <t>амортизация недвижимости, временно неиспользуемой в основной деятельности</t>
  </si>
  <si>
    <t>Итого по символам 47501 - 47506</t>
  </si>
  <si>
    <t>6. Расходы по операциям с долгосрочными активами, предназначенными для продажи:</t>
  </si>
  <si>
    <t>расходы от выбытия (реализации) долгосрочных активов, предназначенных для продажи</t>
  </si>
  <si>
    <t>расходы от последующего уменьшения справедливой стоимости долгосрочных активов, предназначенных для продажи</t>
  </si>
  <si>
    <t>Итого по символам 47601, 47602</t>
  </si>
  <si>
    <t>7. Расходы по операциям с имуществом, полученным по договорам отступного, залога:</t>
  </si>
  <si>
    <t>расходы от выбытия (реализации) средств труда, полученных по договорам отступного, залога, назначение которых не определено</t>
  </si>
  <si>
    <t>расходы от выбытия (реализации) предметов труда, полученных по договорам отступного, залога, назначение которых не определено</t>
  </si>
  <si>
    <t>расходы от последующего уменьшения справедливой стоимости средств труда, полученных по договорам отступного, залога, назначение которых не определено</t>
  </si>
  <si>
    <t>расходы от снижения стоимости предметов труда, полученных по договорам отступного, залога, назначение которых не определено</t>
  </si>
  <si>
    <t>Итого по символам 47701 - 47704</t>
  </si>
  <si>
    <t>8. Прочие операционные расходы:</t>
  </si>
  <si>
    <t>расходы от передачи активов в доверительное управление</t>
  </si>
  <si>
    <t>расходы прошлых лет, выявленные в отчетном году</t>
  </si>
  <si>
    <t>прочие расходы</t>
  </si>
  <si>
    <t>Итого по символам 47801 - 47803</t>
  </si>
  <si>
    <t>Раздел 8. Расходы, связанные с обеспечением деятельности кредитной организации</t>
  </si>
  <si>
    <t>расходы на оплату труда, включая компенсационные и стимулирующие выплаты, со сроком исполнения в течение годового отчетного периода и в течение 12 месяцев после окончания годового отчетного периода</t>
  </si>
  <si>
    <t>расходы по выплате других вознаграждений работникам со сроком исполнения в течение годового отчетного периода и в течение 12 месяцев после окончания годового отчетного периода</t>
  </si>
  <si>
    <t>страховые взносы с выплат вознаграждений работникам со сроком исполнения в течение годового отчетного периода и в течение 12 месяцев после окончания годового отчетного периода, уплачиваемые работодателем в соответствии с законодательством Российской Федерации</t>
  </si>
  <si>
    <t>расходы по выплате вознаграждений работникам по окончании трудовой деятельности, обязательства по которым ограничены фиксируемыми платежами</t>
  </si>
  <si>
    <t>расходы по выплате долгосрочных вознаграждений работникам по окончании трудовой деятельности, обязательства по которым не ограничены фиксируемыми платежами, от оказания работниками услуг в отчетном периоде</t>
  </si>
  <si>
    <t>расходы по выплате долгосрочных вознаграждений работникам по окончании трудовой деятельности, обязательства по которым не ограничены фиксируемыми платежами, от оказания работниками услуг в предшествующих периодах и возникающие при их исполнении</t>
  </si>
  <si>
    <t>процентный расход, возникающий при определении величины обязательств по выплате долгосрочных вознаграждений работникам по окончании трудовой деятельности, не ограниченных фиксируемыми платежами</t>
  </si>
  <si>
    <t>расходы по выплате выходных пособий</t>
  </si>
  <si>
    <t>расходы на оплату труда, включая компенсационные и стимулирующие выплаты, со сроком исполнения свыше 12 месяцев после окончания годового отчетного периода</t>
  </si>
  <si>
    <t>расходы по выплате других вознаграждений работникам со сроком исполнения свыше 12 месяцев после окончания годового отчетного периода</t>
  </si>
  <si>
    <t>страховые взносы с выплат вознаграждений работникам со сроком исполнения свыше 12 месяцев после окончания годового отчетного периода, уплачиваемые работодателем в соответствии с законодательством Российской Федерации</t>
  </si>
  <si>
    <t>подготовка и переподготовка кадров</t>
  </si>
  <si>
    <t>другие расходы на содержание персонала, включая расходы на перемещение персонала</t>
  </si>
  <si>
    <t>Итого по символам 48101 - 48113</t>
  </si>
  <si>
    <t>2. Расходы по операциям с основными средствами и нематериальными активами:</t>
  </si>
  <si>
    <t>расходы от выбытия (реализации) основных средств</t>
  </si>
  <si>
    <t>расходы от выбытия (реализации) нематериальных активов</t>
  </si>
  <si>
    <t>расходы от выбытия (реализации) прочего имущества</t>
  </si>
  <si>
    <t>расходы от обесценения основных средств</t>
  </si>
  <si>
    <t>расходы от обесценения нематериальных активов</t>
  </si>
  <si>
    <t>расходы от уценки основных средств</t>
  </si>
  <si>
    <t>расходы от уценки нематериальных активов</t>
  </si>
  <si>
    <t>расходы по ремонту основных средств и другого имущества, кроме недвижимости, временно неиспользуемой в основной деятельности</t>
  </si>
  <si>
    <t>расходы на содержание основных средств и другого имущества, включая коммунальные расходы, кроме недвижимости, временно неиспользуемой в основной деятельности</t>
  </si>
  <si>
    <t>Итого по символам 48201 - 48209</t>
  </si>
  <si>
    <t>3. Амортизация по основным средствам и нематериальным активам:</t>
  </si>
  <si>
    <t>амортизация по основным средствам</t>
  </si>
  <si>
    <t>амортизация по основным средствам, полученным в финансовую аренду (лизинг)</t>
  </si>
  <si>
    <t>амортизация по нематериальным активам</t>
  </si>
  <si>
    <t>Итого по символам 48301 - 48303</t>
  </si>
  <si>
    <t>арендная плата по арендованным основным средствам и другому имуществу</t>
  </si>
  <si>
    <t>расходы на исследования и разработку</t>
  </si>
  <si>
    <t>расходы от списания стоимости запасов</t>
  </si>
  <si>
    <t>служебные командировки</t>
  </si>
  <si>
    <t>охрана</t>
  </si>
  <si>
    <t>представительские расходы</t>
  </si>
  <si>
    <t>аудит</t>
  </si>
  <si>
    <t>публикация отчетности</t>
  </si>
  <si>
    <t>налоги и сборы, относимые на расходы в соответствии с законодательством Российской Федерации</t>
  </si>
  <si>
    <t>Итого по символам 48401 - 48414</t>
  </si>
  <si>
    <t>5. Отчисления в резервы - оценочные обязательства некредитного характера:</t>
  </si>
  <si>
    <t>корректировка на разницу между резервом, рассчитанным в соответствии с применением ставки дисконтирования, на начало и конец отчетного периода</t>
  </si>
  <si>
    <t>Итого по символам 48501 - 48505</t>
  </si>
  <si>
    <t>6. Прочие расходы, связанные с обеспечением деятельности кредитной организации:</t>
  </si>
  <si>
    <t>судебные и арбитражные издержки</t>
  </si>
  <si>
    <t>платежи в возмещение причиненных убытков</t>
  </si>
  <si>
    <t>расходы от списания недостач имущества</t>
  </si>
  <si>
    <t>расходы от списания недостач денежной наличности, сумм по имеющим признаки подделки денежным знакам</t>
  </si>
  <si>
    <t>расходы от списания активов, в том числе невзысканной дебиторской задолженности</t>
  </si>
  <si>
    <t>расходы на благотворительность и другие подобные расходы</t>
  </si>
  <si>
    <t>расходы на осуществление спортивных мероприятий, отдыха, мероприятий культурно-просветительского характера и иных подобных мероприятий</t>
  </si>
  <si>
    <t>расходы, возникающие как последствия чрезвычайных обстоятельств хозяйственной деятельности</t>
  </si>
  <si>
    <t>расходы по операциям, предполагающим выплаты долевыми ценными бумагами, основанные на акциях кредитной организации</t>
  </si>
  <si>
    <t>другие расходы, относимые к прочим, в том числе носящие разовый, случайный характер</t>
  </si>
  <si>
    <t>Итого по символам 48601 - 48611</t>
  </si>
  <si>
    <t>"Всего по Части 4 ""Операционные расходы"" (разделы 1 - 8)"</t>
  </si>
  <si>
    <t>Всего расходов (части 3 - 4)</t>
  </si>
  <si>
    <t>"Прибыль до налогообложения (строка ""Всего доходов (части 1 - 2)"" минус строка ""Всего расходов (части 3 - 4)"")"</t>
  </si>
  <si>
    <t>"Убыток до налогообложения (строка ""Всего расходов (части 3 - 4)"" минус строка ""Всего доходов (части 1 - 2)"")"</t>
  </si>
  <si>
    <t>Часть 5. Налог на прибыль</t>
  </si>
  <si>
    <t>Раздел 1. Налог на прибыль</t>
  </si>
  <si>
    <t>1. Текущий налог на прибыль:</t>
  </si>
  <si>
    <t>текущий налог на прибыль (балансовый счет N 70611, при составлении годовой бухгалтерской (финансовой) отчетности - балансовый счет N 70711)</t>
  </si>
  <si>
    <t>2. Отложенный налог на прибыль:</t>
  </si>
  <si>
    <t>Увеличение налога на прибыль на отложенный налог на прибыль (балансовый счет N 70616, при составлении годовой бухгалтерской (финансовой) отчетности - балансовый счет N 70716)</t>
  </si>
  <si>
    <t>Уменьшение налога на прибыль на отложенный налог на прибыль (балансовый счет N 70615, при составлении годовой бухгалтерской (финансовой) отчетности - балансовый счет N 70715)</t>
  </si>
  <si>
    <t>Итого расход по налогу на прибыль (символ 51101 плюс символ 51201 минус символ 51202)</t>
  </si>
  <si>
    <t>Итого доход по налогу на прибыль (символ 51202 минус символ 51101 минус символ 51201)</t>
  </si>
  <si>
    <t>Часть 6. Финансовый результат</t>
  </si>
  <si>
    <t>Раздел 1. Финансовый результат после налогообложения &lt;1&gt;</t>
  </si>
  <si>
    <t>1. Финансовый результат после налогообложения</t>
  </si>
  <si>
    <t>Прибыль после налогообложения (символ 01000 минус символ 03000 либо символ 01000 плюс символ 04000 либо символ 04000 минус символ 02000)</t>
  </si>
  <si>
    <t>Убыток после налогообложения (символ 02000 минус символ 04000 либо символ 02000 плюс символ 03000 либо символ 03000 минус символ 01000)</t>
  </si>
  <si>
    <t>Часть 7. Прочий совокупный доход</t>
  </si>
  <si>
    <t>Раздел 1. Увеличение статей прочего совокупного дохода</t>
  </si>
  <si>
    <t>1. Увеличение справедливой стоимости приобретенных долевых ценных бумаг, имеющихся в наличии для продажи:</t>
  </si>
  <si>
    <t>Итого по символам 71101 - 71104</t>
  </si>
  <si>
    <t>2. Перенос в состав прибыли и убытка накопленного уменьшения справедливой стоимости приобретенных долевых ценных бумаг, имеющихся в наличии для продажи:</t>
  </si>
  <si>
    <t>Итого по символам 71201 - 71204</t>
  </si>
  <si>
    <t>3. Увеличение справедливой стоимости приобретенных долговых ценных бумаг, имеющихся в наличии для продажи:</t>
  </si>
  <si>
    <t>Итого по символам 71301 - 71308</t>
  </si>
  <si>
    <t>4. Перенос в состав прибыли и убытка накопленного уменьшения справедливой стоимости приобретенных долговых ценных бумаг, имеющихся в наличии для продажи:</t>
  </si>
  <si>
    <t>Итого по символам 71401 - 71408</t>
  </si>
  <si>
    <t>5. Увеличение прироста стоимости основных средств и нематериальных активов при переоценке:</t>
  </si>
  <si>
    <t>увеличение прироста стоимости основных средств</t>
  </si>
  <si>
    <t>увеличение прироста стоимости нематериальных активов</t>
  </si>
  <si>
    <t>Итого по символам 71501, 71502</t>
  </si>
  <si>
    <t>6. Уменьшение обязательств (увеличение требований) по выплате долгосрочных вознаграждений работникам по окончании трудовой деятельности при переоценке:</t>
  </si>
  <si>
    <t>уменьшение обязательств (увеличение требований), определенное на основе рентабельности (доходности) активов</t>
  </si>
  <si>
    <t>уменьшение обязательств (увеличение требований), определенное на основе опыта и прогнозных оценок в отношении демографических факторов</t>
  </si>
  <si>
    <t>уменьшение обязательств (увеличение требований), определенное на основе опыта и прогнозных оценок в отношении финансовых факторов</t>
  </si>
  <si>
    <t>перенос в составе капитала накопленного увеличения обязательств (уменьшения требований) по выплате долгосрочных вознаграждений работникам по окончании трудовой деятельности, при переоценке, при прекращении их признания</t>
  </si>
  <si>
    <t>Итого по символам 71601 - 71604</t>
  </si>
  <si>
    <t>7. Увеличение стоимости инструментов хеджирования:</t>
  </si>
  <si>
    <t>эффективная часть переоценки инструмента хеджирования при хеджировании денежных потоков</t>
  </si>
  <si>
    <t>эффективная часть переоценки инструмента хеджирования при хеджировании чистой инвестиции в иностранное подразделение</t>
  </si>
  <si>
    <t>Итого по символам 71701, 71702</t>
  </si>
  <si>
    <t>8. Перенос в состав прибыли и убытка накопленного уменьшения стоимости инструментов хеджирования:</t>
  </si>
  <si>
    <t>от хеджирования денежных потоков в ту же дату, когда хеджируемые будущие денежные потоки оказывают влияние на доходы или расходы</t>
  </si>
  <si>
    <t>от хеджирования чистой инвестиции в иностранное подразделение при выбытии или частичном выбытии иностранного подразделения</t>
  </si>
  <si>
    <t>Итого по символам 71801, 71802</t>
  </si>
  <si>
    <t>9. Увеличение статей прочего совокупного дохода в связи с уменьшением отложенных налоговых обязательств и (или) увеличением отложенных налоговых активов в отношении остатков на активных (пассивных) балансовых счетах, изменение величины которых отражается на счетах по учету добавочного капитала:</t>
  </si>
  <si>
    <t>приобретенные долевые ценные бумаги, имеющиеся в наличии для продажи</t>
  </si>
  <si>
    <t>приобретенные долговые ценные бумаги, имеющиеся в наличии для продажи</t>
  </si>
  <si>
    <t>основные средства</t>
  </si>
  <si>
    <t>нематериальные активы</t>
  </si>
  <si>
    <t>обязательства (требования) по выплате долгосрочных вознаграждений работникам по окончании трудовой деятельности при переоценке</t>
  </si>
  <si>
    <t>хеджирование</t>
  </si>
  <si>
    <t>Итого по символам 71901 - 71906</t>
  </si>
  <si>
    <t>Раздел 2. Уменьшение статей прочего совокупного дохода</t>
  </si>
  <si>
    <t>1. Уменьшение справедливой стоимости приобретенных долевых ценных бумаг, имеющихся в наличии для продажи:</t>
  </si>
  <si>
    <t>Итого по символам 72101 - 72104</t>
  </si>
  <si>
    <t>2. Перенос в состав прибыли и убытка накопленного увеличения справедливой стоимости приобретенных долевых ценных бумаг, имеющихся в наличии для продажи:</t>
  </si>
  <si>
    <t>Итого по символам 72201 - 72204</t>
  </si>
  <si>
    <t>3. Уменьшение справедливой стоимости приобретенных долговых ценных бумаг, имеющихся в наличии для продажи:</t>
  </si>
  <si>
    <t>Итого по символам 72301 - 72308</t>
  </si>
  <si>
    <t>4. Перенос в состав прибыли и убытка накопленного увеличения справедливой стоимости приобретенных долговых ценных бумаг, имеющихся в наличии для продажи:</t>
  </si>
  <si>
    <t>Итого по символам 72401 - 72408</t>
  </si>
  <si>
    <t>5. Уменьшение прироста стоимости основных средств и нематериальных активов при переоценке:</t>
  </si>
  <si>
    <t>уменьшение прироста стоимости основных средств</t>
  </si>
  <si>
    <t>уменьшение прироста стоимости нематериальных активов</t>
  </si>
  <si>
    <t>Итого по символам 72501, 72502</t>
  </si>
  <si>
    <t>6. Увеличение обязательств (уменьшение требований) по выплате долгосрочных вознаграждений работникам по окончании трудовой деятельности при переоценке:</t>
  </si>
  <si>
    <t>увеличение обязательств (уменьшение требований), определенное на основе рентабельности (доходности) активов</t>
  </si>
  <si>
    <t>увеличение обязательств (уменьшение требований), определенное на основе опыта и прогнозных оценок в отношении демографических факторов</t>
  </si>
  <si>
    <t>увеличение обязательств (уменьшение требований), определенное на основе опыта и прогнозных оценок в отношении финансовых факторов</t>
  </si>
  <si>
    <t>перенос в составе капитала накопленного уменьшения обязательств (увеличения требований) по выплате долгосрочных вознаграждений работникам по окончании трудовой деятельности, при переоценке, при прекращении их признания</t>
  </si>
  <si>
    <t>Итого по символам 72601 - 72604</t>
  </si>
  <si>
    <t>7. Уменьшение стоимости инструментов хеджирования:</t>
  </si>
  <si>
    <t>Итого по символам 72701, 72702</t>
  </si>
  <si>
    <t>8. Перенос в состав прибыли и убытка накопленного увеличения стоимости инструментов хеджирования:</t>
  </si>
  <si>
    <t>Итого по символам 72801, 72802</t>
  </si>
  <si>
    <t>9. Уменьшение статей прочего совокупного дохода в связи с увеличением отложенных налоговых обязательств и (или) уменьшением отложенных налоговых активов в отношении остатков на активных (пассивных) балансовых счетах, изменение величины которых отражается на счетах по учету добавочного капитала:</t>
  </si>
  <si>
    <t>Итого по символам 72901 - 72906</t>
  </si>
  <si>
    <t>Часть 8. Совокупный финансовый результат</t>
  </si>
  <si>
    <t>Раздел 1. Прибыль (убыток) после налогообложения с учетом изменений прочего совокупного дохода</t>
  </si>
  <si>
    <t>1. Результат от изменений прочего совокупного дохода:</t>
  </si>
  <si>
    <t>положительный прочий совокупный доход (символ 40000 минус символ 50000)</t>
  </si>
  <si>
    <t>отрицательный прочий совокупный доход (символ 50000 минус символ 40000)</t>
  </si>
  <si>
    <t>2. Совокупный финансовый результат &lt;2&gt;</t>
  </si>
  <si>
    <t>прибыль после налогообложения с учетом изменений прочего совокупного дохода (символ 61101 плюс символ 81101 либо символ 61101 минус символ 81102 либо символ 81101 минус символ 61102)</t>
  </si>
  <si>
    <t>убыток после налогообложения с учетом изменений прочего совокупного дохода (символ 61102 плюс символ 81102 либо символ 61102 минус символ 81101 либо символ 81102 минус символ 61101)</t>
  </si>
  <si>
    <t>Всего по Части 1 "Процентные доходы, доходы от корректировок и от восстановления (уменьшения) резервов на возможные потери" (разделы 1 - 6)</t>
  </si>
  <si>
    <t>2. От переоценки приобретенных долговых ценных бумаг, оцениваемых по справедливой стоимости через прибыль или убыток (балансовый счет № 70602, при составлении годовой бухгалтерской (финансовой) отчетности - балансовый счет № 70702):</t>
  </si>
  <si>
    <t>2. От переоценки приобретенных долевых ценных бумаг, оцениваемых по справедливой стоимости через прибыль или убыток (балансовый счет № 70602, при составлении годовой бухгалтерской (финансовой) отчетности - балансовый счет № 70702):</t>
  </si>
  <si>
    <t>6. От применения встроенных производных инструментов, неотделяемых от основного договора (балансовый счет № 70605, при составлении годовой бухгалтерской (финансовой) отчетности - балансовый счет № 70705):</t>
  </si>
  <si>
    <t>3. Доходы от переоценки средств в иностранной валюте (балансовый счет № 70603, при составлении годовой бухгалтерской (финансовой) отчетности - балансовый счет № 70703):</t>
  </si>
  <si>
    <t>5. Доходы от переоценки драгоценных металлов (балансовый счет № 70604, при составлении годовой бухгалтерской (финансовой) отчетности - балансовый счет № 70704):</t>
  </si>
  <si>
    <t>Всего по Части 2 "Операционные доходы" (разделы 1 - 9)</t>
  </si>
  <si>
    <t>Всего по Части 3 "Процентные расходы, расходы от корректировок и расходы по формированию резервов на возможные потери" (разделы 1 - 7)</t>
  </si>
  <si>
    <t>2. От переоценки приобретенных долговых ценных бумаг, оцениваемых по справедливой стоимости через прибыль или убыток (балансовый счет № 70607, при составлении годовой бухгалтерской (финансовой) отчетности - балансовый счет № 70707):</t>
  </si>
  <si>
    <t>2. Расходы от переоценки приобретенных долевых ценных бумаг, оцениваемых по справедливой стоимости через прибыль или убыток (балансовый счет № 70607, при составлении годовой бухгалтерской (финансовой) отчетности - балансовый счет № 70707):</t>
  </si>
  <si>
    <t>6. От применения встроенных производных инструментов, неотделяемых от основного договора (балансовый счет № 70610, при составлении годовой бухгалтерской (финансовой) отчетности - балансовый счет № 70710):</t>
  </si>
  <si>
    <t>3. Расходы по переоценке средств в иностранной валюте (балансовый счет № 70608, при составлении годовой бухгалтерской (финансовой) отчетности - балансовый счет № 70708):</t>
  </si>
  <si>
    <t>5. Расходы от переоценки драгоценных металлов (балансовый счет № 70609, при составлении годовой бухгалтерской (финансовой) отчетности - балансовый счет № 70709):</t>
  </si>
  <si>
    <t>Всего по Части 4 "Операционные расходы" (разделы 1 - 8)</t>
  </si>
  <si>
    <t>Прибыль до налогообложения (строка "Всего доходов (части 1 - 2)" минус строка "Всего расходов (части 3 - 4)")</t>
  </si>
  <si>
    <t>Убыток до налогообложения (строка "Всего расходов (части 3 - 4)" минус строка "Всего доходов (части 1 - 2)")</t>
  </si>
  <si>
    <t>текущий налог на прибыль (балансовый счет № 70611, при составлении годовой бухгалтерской (финансовой) отчетности - балансовый счет № 70711)</t>
  </si>
  <si>
    <t>Увеличение налога на прибыль на отложенный налог на прибыль (балансовый счет № 70616, при составлении годовой бухгалтерской (финансовой) отчетности - балансовый счет № 70716)</t>
  </si>
  <si>
    <t>Уменьшение налога на прибыль на отложенный налог на прибыль (балансовый счет № 70615, при составлении годовой бухгалтерской (финансовой) отчетности - балансовый счет № 70715)</t>
  </si>
  <si>
    <t>6. По вложениям в долговые ценные бумаги, оцениваемые по справедливой стоимости через прочий совокупный доход (кроме векселей):</t>
  </si>
  <si>
    <t>7. По вложениям в долговые ценные бумаги, оцениваемые по амортизированной стоимости (кроме векселей):</t>
  </si>
  <si>
    <t>Раздел 3. Корректировки, увеличивающие процентные доходы, на разницу между процентными доходами за отчетный период, рассчитанными в соответствии с применением эффективной процентной ставки, и процентными доходами, начисленными без применения эффективнойпроцентной ставки</t>
  </si>
  <si>
    <t>Раздел 4. Корректировки, уменьшающие процентные расходы, на разницу между процентными расходами за отчетный период, рассчитанными в соответствии с применением эффективной процентной ставки, и процентными расходами, начисленными без применения эффективной процентной ставки</t>
  </si>
  <si>
    <t>5. По вложениям в долговые ценные бумаги, оцениваемые по справедливой стоимости через прочий совокупный доход (кроме векселей):</t>
  </si>
  <si>
    <t>6. По вложениям в долговые ценные бумаги, оцениваемые по амортизированной стоимости (кроме векселей):</t>
  </si>
  <si>
    <t>Раздел 7. Корректировки, увеличивающие процентные доходы, на разницу между резервами на возможные потери и оценочными резервами под ожидаемые кредитные убытки</t>
  </si>
  <si>
    <t>Итого по символам 17101 - 17120</t>
  </si>
  <si>
    <t>Итого по символам 17201 - 17220</t>
  </si>
  <si>
    <t>Итого по символам 17301 - 17303</t>
  </si>
  <si>
    <t>Итого по символам 17401 - 17403</t>
  </si>
  <si>
    <t>Итого по символам 17501 - 17508</t>
  </si>
  <si>
    <t>Итого по символам 17601 - 17608</t>
  </si>
  <si>
    <t>Итого по символам 17701 - 17708</t>
  </si>
  <si>
    <t>Всего по Части 1 "Процентные доходы, доходы от корректировок и от восстановления (уменьшения) резервов на возможные потери" (разделы 1 - 7)</t>
  </si>
  <si>
    <t>4. От переоценки предоставленных кредитов и кредитов, права требования по которым приобретены, оцениваемых по справедливой стоимости через прибыль или убыток (балансовый счет № 70602, при составлении годовой бухгалтерской (финансовой) отчетности - балансовый счет № 70702):</t>
  </si>
  <si>
    <t>Итого по символам 21401 - 21420</t>
  </si>
  <si>
    <t>5. От переоценки прочих размещенных средств, в том числе прочих приобретенных прав требования, оцениваемых по справедливой стоимости через прибыль или убыток (балансовый счет № 70602, при составлении годовой бухгалтерской (финансовой) отчетности - балансовый счет № 70702):</t>
  </si>
  <si>
    <t>Итого по символам 21501 - 21520</t>
  </si>
  <si>
    <t>6. От переоценки размещенных депозитов, оцениваемых по справедливой стоимости через прибыль или убыток (балансовый счет № 70602, при составлении годовой бухгалтерской (финансовой) отчетности - балансовый счет № 70702):</t>
  </si>
  <si>
    <t>Итого по символам 21601 - 21603</t>
  </si>
  <si>
    <t>2. От переоценки приобретенных долговых ценных бумаг, оцениваемых по справедливой стоимости через прибыль или убыток (кроме векселей) (балансовый счет № 70602, при составлении годовой бухгалтерской (финансовой) отчетности - балансовый счет № 70702):</t>
  </si>
  <si>
    <t>3. От операций с приобретенными долговыми ценными бумагами, оцениваемыми по справедливой стоимости через прочий совокупный доход (кроме векселей):</t>
  </si>
  <si>
    <t>4. От операций с приобретенными долговыми ценными бумагами, оцениваемыми по амортизированной стоимости (кроме векселей):</t>
  </si>
  <si>
    <t>6. От переоценки учтенных векселей, оцениваемых по справедливой стоимости через прибыль или убыток (балансовый счет № 70602, при составлении годовой бухгалтерской (финансовой) отчетности - балансовый счет № 70702):</t>
  </si>
  <si>
    <t>Итого по символам 22601 - 22608</t>
  </si>
  <si>
    <t>3. От операций с приобретенными долевыми ценными бумагами, оцениваемыми по справедливой стоимости через прочий совокупный доход:</t>
  </si>
  <si>
    <t>9. Доходы от операций с приобретенными долевыми ценными бумагами дочерних и зависимых хозяйственных обществ и паевых инвестиционных фондов, прочими долями участия:</t>
  </si>
  <si>
    <t>7. От переоценки, не связанной с изменением кредитного риска,  полученных кредитов, привлеченных депозитов юридических лиц, прочих привлеченных средств юридических лиц, оцениваемых по справедливой стоимости через прибыль или убыток (балансовый счет № 70602, при составлении годовой бухгалтерской (финансовой) отчетности - балансовый счет № 70702):</t>
  </si>
  <si>
    <t>полученных кредитов от Банка России</t>
  </si>
  <si>
    <t>полученных кредитов от кредитных организаций</t>
  </si>
  <si>
    <t>полученных кредитов от банков-нерезидентов</t>
  </si>
  <si>
    <t>полученных кредитов от иностранных государств</t>
  </si>
  <si>
    <t>полученных кредитов от других кредиторов</t>
  </si>
  <si>
    <t>привлеченных депозитов от Федерального казначейства</t>
  </si>
  <si>
    <t>привлеченных депозитов от финансовых органов субъектов Российской Федерации и органов местного самоуправления</t>
  </si>
  <si>
    <t>привлеченных депозитов от государственных внебюджетных фондов Российской Федерации</t>
  </si>
  <si>
    <t>привлеченных депозитов от внебюджетных фондов субъектов Российской Федерации и органов местного самоуправления</t>
  </si>
  <si>
    <t>привлеченных депозитов от финансовых организаций, находящихся в федеральной собственности</t>
  </si>
  <si>
    <t>привлеченных депозитов от коммерческих организаций, находящихся в федеральной собственности</t>
  </si>
  <si>
    <t>привлеченных депозитов от некоммерческих организаций, находящихся в федеральной собственности</t>
  </si>
  <si>
    <t>привлеченных депозитов от финансовых организаций, находящихся в государственной (кроме федеральной) собственности</t>
  </si>
  <si>
    <t>привлеченных депозитов от коммерческих организаций, находящихся в государственной (кроме федеральной) собственности</t>
  </si>
  <si>
    <t>привлеченных депозитов от некоммерческих организаций, находящихся в государственной (кроме федеральной) собственности</t>
  </si>
  <si>
    <t>привлеченных депозитов от негосударственных финансовых организаций</t>
  </si>
  <si>
    <t>привлеченных депозитов от негосударственных коммерческих организаций</t>
  </si>
  <si>
    <t>привлеченных депозитов от негосударственных некоммерческих организаций</t>
  </si>
  <si>
    <t>привлеченных депозитов от юридических лиц - нерезидентов</t>
  </si>
  <si>
    <t>привлеченных депозитов от кредитных организаций</t>
  </si>
  <si>
    <t>21.</t>
  </si>
  <si>
    <t>привлеченных депозитов от банков-нерезидентов</t>
  </si>
  <si>
    <t>22.</t>
  </si>
  <si>
    <t>привлеченных депозитов от Банка России</t>
  </si>
  <si>
    <t>23.</t>
  </si>
  <si>
    <t>привлеченных депозитов от индивидуальных предпринимателей</t>
  </si>
  <si>
    <t>24.</t>
  </si>
  <si>
    <t>прочих привлеченных средств Минфина России</t>
  </si>
  <si>
    <t>25.</t>
  </si>
  <si>
    <t>прочих привлеченных средств финансовых органов субъектов Российской Федерации и органов местного самоуправления</t>
  </si>
  <si>
    <t>26.</t>
  </si>
  <si>
    <t>прочих привлеченных средств государственных внебюджетных фондов Российской Федерации</t>
  </si>
  <si>
    <t>27.</t>
  </si>
  <si>
    <t>прочих привлеченных средств внебюджетных фондов субъектов Российской Федерации и органов местного самоуправления</t>
  </si>
  <si>
    <t>28.</t>
  </si>
  <si>
    <t>прочих привлеченных средств финансовых организаций, находящихся в федеральной собственности</t>
  </si>
  <si>
    <t>29.</t>
  </si>
  <si>
    <t>прочих привлеченных средств коммерческих организаций, находящихся в федеральной собственности</t>
  </si>
  <si>
    <t>30.</t>
  </si>
  <si>
    <t>прочих привлеченных средств некоммерческих организаций, находящихся в федеральной собственности</t>
  </si>
  <si>
    <t>31.</t>
  </si>
  <si>
    <t>прочих привлеченных средств финансовых организаций, находящихся в государственной (кроме федеральной) собственности</t>
  </si>
  <si>
    <t>32.</t>
  </si>
  <si>
    <t>прочих привлеченных средств коммерческих организаций, находящихся в государственной (кроме федеральной) собственности</t>
  </si>
  <si>
    <t>33.</t>
  </si>
  <si>
    <t>прочих привлеченных средств некоммерческих организаций, находящихся в государственной (кроме федеральной) собственности</t>
  </si>
  <si>
    <t>34.</t>
  </si>
  <si>
    <t>прочих привлеченных средств негосударственных финансовых организаций</t>
  </si>
  <si>
    <t>35.</t>
  </si>
  <si>
    <t>прочих привлеченных средств негосударственных коммерческих организаций</t>
  </si>
  <si>
    <t>36.</t>
  </si>
  <si>
    <t>прочих привлеченных средств негосударственных некоммерческих организаций</t>
  </si>
  <si>
    <t>37.</t>
  </si>
  <si>
    <t>прочих привлеченных средств юридических лиц - нерезидентов</t>
  </si>
  <si>
    <t>38.</t>
  </si>
  <si>
    <t>прочих привлеченных средств кредитных организаций</t>
  </si>
  <si>
    <t>39.</t>
  </si>
  <si>
    <t>прочих привлеченных средств банков-нерезидентов</t>
  </si>
  <si>
    <t>40.</t>
  </si>
  <si>
    <t>прочих привлеченных средств Банка России</t>
  </si>
  <si>
    <t>41.</t>
  </si>
  <si>
    <t>прочих привлеченных средств индивидуальных предпринимателей</t>
  </si>
  <si>
    <t>Итого по символам 24701 - 24741</t>
  </si>
  <si>
    <t>8. От переоценки, не связанной с изменением кредитного риска,  привлеченных депозитов клиентов - физических лиц, прочих привлеченных средств клиентов - физических лиц, оцениваемых по справедливой стоимости через прибыль или убыток (балансовый счет № 70602, при составлении годовой бухгалтерской (финансовой) отчетности - балансовый счет № 70702):</t>
  </si>
  <si>
    <t>привлеченных депозитов клиентов - физических лиц граждан Российской Федерации</t>
  </si>
  <si>
    <t>привлеченных депозитов клиентов - физических лиц нерезидентов</t>
  </si>
  <si>
    <t>прочих привлеченных средств клиентов - физических лиц граждан Российской Федерации</t>
  </si>
  <si>
    <t>прочих привлеченных средств клиентов - физических лиц нерезидентов</t>
  </si>
  <si>
    <t>Итого по символам 24801 - 24804</t>
  </si>
  <si>
    <t>9. От переоценки, не связанной с изменением кредитного риска,  выпущенных долговых ценных бумаг, оцениваемых по справедливой стоимости через прибыль или убыток (балансовый счет № 70602, при составлении годовой бухгалтерской (финансовой) отчетности - балансовый счет № 70702):</t>
  </si>
  <si>
    <t>Итого по символам 24901 - 24905</t>
  </si>
  <si>
    <t>Раздел 5. Доходы от операций с производными финансовыми инструментами и от операций хеджирования</t>
  </si>
  <si>
    <t>1. От операций с производными финансовыми инструментами, базисным активом которых является иностранная валюта:</t>
  </si>
  <si>
    <t>2. От операций с производными финансовыми инструментами, базисным активом которых являются процентные ставки:</t>
  </si>
  <si>
    <t>3. От операций с производными финансовыми инструментами, базисным активом которых являются ценные бумаги:</t>
  </si>
  <si>
    <t>4. От операций с производными финансовыми инструментами, базисным активом которых являются драгоценные металлы:</t>
  </si>
  <si>
    <t>5. От операций с производными финансовыми инструментами, базисным активом которых являются другие базисные активы:</t>
  </si>
  <si>
    <t>6. От операций хеджирования:</t>
  </si>
  <si>
    <t>по инструментам хеджирования, являющимся производными финансовыми инструментами, базисным активом которых является иностранная валюта, по фьючерсам</t>
  </si>
  <si>
    <t>по инструментам хеджирования, являющимся производными финансовыми инструментами, базисным активом которых является иностранная валюта, по форвардам</t>
  </si>
  <si>
    <t>по инструментам хеджирования, являющимся производными финансовыми инструментами, базисным активом которых является иностранная валюта, по опционам</t>
  </si>
  <si>
    <t>по инструментам хеджирования, являющимся производными финансовыми инструментами, базисным активом которых является иностранная валюта, по свопам</t>
  </si>
  <si>
    <t>по инструментам хеджирования, являющимся производными финансовыми инструментами, базисным активом которых является иностранная валюта, по прочим производным финансовым инструментам</t>
  </si>
  <si>
    <t>по инструментам хеджирования, являющимся производными финансовыми инструментами, базисным активом которых являются процентные ставки, по фьючерсам</t>
  </si>
  <si>
    <t>по инструментам хеджирования, являющимся производными финансовыми инструментами, базисным активом которых являются процентные ставки, по форвардам</t>
  </si>
  <si>
    <t>по инструментам хеджирования, являющимся производными финансовыми инструментами, базисным активом которых являются процентные ставки, по опционам</t>
  </si>
  <si>
    <t>по инструментам хеджирования, являющимся производными финансовыми инструментами, базисным активом которых являются процентные ставки, по свопам</t>
  </si>
  <si>
    <t>по инструментам хеджирования, являющимся производными финансовыми инструментами, базисным активом которых являются процентные ставки, по прочим производным финансовым инструментам</t>
  </si>
  <si>
    <t>по инструментам хеджирования, являющимся производными финансовыми инструментами, базисным активом которых являются ценные бумаги, по фьючерсам</t>
  </si>
  <si>
    <t>по инструментам хеджирования, являющимся производными финансовыми инструментами, базисным активом которых являются ценные бумаги, по форвардам</t>
  </si>
  <si>
    <t>по инструментам хеджирования, являющимся производными финансовыми инструментами, базисным активом которых являются ценные бумаги, по опционам</t>
  </si>
  <si>
    <t>по инструментам хеджирования, являющимся производными финансовыми инструментами, базисным активом которых являются ценные бумаги, по свопам</t>
  </si>
  <si>
    <t>по инструментам хеджирования, являющимся производными финансовыми инструментами, базисным активом которых являются ценные бумаги, по прочим производным финансовым инструментам</t>
  </si>
  <si>
    <t>по инструментам хеджирования, являющимся производными финансовыми инструментами, базисным активом которых являются драгоценные металлы, по фьючерсам</t>
  </si>
  <si>
    <t>по инструментам хеджирования, являющимся производными финансовыми инструментами, базисным активом которых являются драгоценные металлы, по форвардам</t>
  </si>
  <si>
    <t>по инструментам хеджирования, являющимся производными финансовыми инструментами, базисным активом которых являются драгоценные металлы, по опционам</t>
  </si>
  <si>
    <t>по инструментам хеджирования, являющимся производными финансовыми инструментами, базисным активом которых являются драгоценные металлы, по свопам</t>
  </si>
  <si>
    <t>по инструментам хеджирования, являющимся производными финансовыми инструментами, базисным активом которых являются драгоценные металлы, по прочим производным финансовым инструментам</t>
  </si>
  <si>
    <t>по инструментам хеджирования, являющимся производными финансовыми инструментами, базисным активом которых являются другие базисные активы, по фьючерсам</t>
  </si>
  <si>
    <t>по инструментам хеджирования, являющимся производными финансовыми инструментами, базисным активом которых являются другие базисные активы, по форвардам</t>
  </si>
  <si>
    <t>по инструментам хеджирования, являющимся производными финансовыми инструментами, базисным активом которых являются другие базисные активы, по опционам</t>
  </si>
  <si>
    <t>по инструментам хеджирования, являющимся производными финансовыми инструментами, базисным активом которых являются другие базисные активы, по свопам</t>
  </si>
  <si>
    <t>по инструментам хеджирования, являющимся производными финансовыми инструментами, базисным активом которых являются другие базисные активы, по прочим производным финансовым инструментам</t>
  </si>
  <si>
    <t>по инструментам хеджирования, являющимся непроизводными финансовыми инструментами</t>
  </si>
  <si>
    <t>по прочим инструментам хеджирования</t>
  </si>
  <si>
    <t>Итого по символам 25601 - 25627</t>
  </si>
  <si>
    <t>доходы от операций купли-продажи иностранной валюты в наличной форме</t>
  </si>
  <si>
    <t>доходы от операций купли-продажи иностранной валюты в безналичной форме</t>
  </si>
  <si>
    <t>3. Доходы от переоценки средств в иностранной валюте, кроме приобретенных долевых ценных бумаг, оцениваемых по справедливой стоимости через прочий совокупный доход (балансовый счет № 70603, при составлении годовой бухгалтерской (финансовой) отчетности -балансовый счет № 70703):</t>
  </si>
  <si>
    <t>доходы от переоценки средств в иностранной валюте</t>
  </si>
  <si>
    <t>доходы от операций купли-продажи драгоценных металлов</t>
  </si>
  <si>
    <t>доходы от переоценки драгоценных металлов</t>
  </si>
  <si>
    <t>2. Доходы от восстановления (уменьшения) сумм резервов на возможные потери, оценочных резервов под ожидаемые кредитные убытки:</t>
  </si>
  <si>
    <t>корректировки, увеличивающие операционные доходы, на разницу между резервами на возможные потери и оценочными резервами под ожидаемые кредитные убытки</t>
  </si>
  <si>
    <t>Итого по символам 28201 - 28205</t>
  </si>
  <si>
    <t>Раздел 9. Доходы, связанные с операциями по обеспечению деятельности кредитной организации, и доходы от восстановления сумм резервов - оценочных обязательств некредитного характера</t>
  </si>
  <si>
    <t>4. По вложениям в долговые ценные бумаги, оцениваемые по справедливой стоимости через прочий совокупный доход (кроме векселей):</t>
  </si>
  <si>
    <t>5. По вложениям в долговые ценные бумаги, оцениваемые по амортизированной стоимости (кроме векселей):</t>
  </si>
  <si>
    <t>Раздел 5. Корректировки, уменьшающие процентные доходы, на разницу между процентными доходами за отчетный период, рассчитанными в соответствии с применением эффективной процентной ставки, и процентными доходами, начисленными без применения эффективной процентной ставки</t>
  </si>
  <si>
    <t>Раздел 6. Корректировки, увеличивающие процентные расходы, на разницу между процентными расходами за отчетный период, рассчитанными в соответствии с применением эффективной процентной ставки, и процентными расходами, начисленными без применения эффективной процентной ставки</t>
  </si>
  <si>
    <t>Раздел 8. Корректировки, увеличивающие процентные расходы, на разницу между оценочными резервами под ожидаемые кредитные убытки и резервами на возможные потери</t>
  </si>
  <si>
    <t>Итого по символам 38101 - 38120</t>
  </si>
  <si>
    <t>Итого по символам 38201 - 38220</t>
  </si>
  <si>
    <t>Итого по символам 38301 - 38303</t>
  </si>
  <si>
    <t>Итого по символам 38401 - 38403</t>
  </si>
  <si>
    <t>Итого по символам 38501 - 38508</t>
  </si>
  <si>
    <t>Итого по символам 38601 - 38608</t>
  </si>
  <si>
    <t>Итого по символам 38701 - 38708</t>
  </si>
  <si>
    <t>Всего по Части 3 "Процентные расходы, расходы от корректировок и расходы по формированию резервов на возможные потери" (разделы 1 - 8)</t>
  </si>
  <si>
    <t>4. От переоценки предоставленных кредитов и кредитов, права требования по которым приобретены, оцениваемых по справедливой стоимости через прибыль или убыток (балансовый счет № 70607, при составлении годовой бухгалтерской (финансовой) отчетности - балансовый счет № 70707):</t>
  </si>
  <si>
    <t>Итого по символам 41401 - 41420</t>
  </si>
  <si>
    <t>5. От переоценки прочих размещенных средств, в том числе прочих приобретенных прав требования, оцениваемых по справедливой стоимости через прибыль или убыток (балансовый счет № 70607, при составлении годовой бухгалтерской (финансовой) отчетности - балансовый счет № 70707):</t>
  </si>
  <si>
    <t>Итого по символам 41501 - 41520</t>
  </si>
  <si>
    <t>6. От переоценки размещенных депозитов, оцениваемых по справедливой стоимости через прибыль или убыток (балансовый счет № 70607, при составлении годовой бухгалтерской (финансовой) отчетности - балансовый счет № 70707):</t>
  </si>
  <si>
    <t>Итого по символам 41601 - 41603</t>
  </si>
  <si>
    <t>2. От переоценки приобретенных долговых ценных бумаг, оцениваемых по справедливой стоимости через прибыль или убыток (кроме векселей) (балансовый счет № 70607, при составлении годовой бухгалтерской (финансовой) отчетности - балансовый счет № 70707):</t>
  </si>
  <si>
    <t>3. По операциям с приобретенными долговыми ценными бумагами, оцениваемыми по справедливой стоимости через прочий совокупный доход (кроме векселей):</t>
  </si>
  <si>
    <t>4. По операциям с приобретенными долговыми ценными бумагами, оцениваемыми по амортизированной стоимости (кроме векселей):</t>
  </si>
  <si>
    <t>6. От переоценки учтенных векселей, оцениваемых по справедливой стоимости через прибыль или убыток (балансовый счет № 70607, при составлении годовой бухгалтерской (финансовой) отчетности - балансовый счет № 70707):</t>
  </si>
  <si>
    <t>Итого по символам 42601 - 42608</t>
  </si>
  <si>
    <t>3. По операциям с приобретенными долевыми ценными бумагами, оцениваемыми по справедливой стоимости через прочий совокупный доход:</t>
  </si>
  <si>
    <t>5. Расходы по операциям с приобретенными долевыми ценными бумагами дочерних и зависимых хозяйственных обществ и паевых инвестиционных фондов, прочими долями участия:</t>
  </si>
  <si>
    <t>7. От переоценки, не связанной с изменением кредитного риска,  полученных кредитов, привлеченных депозитов юридических лиц, прочих привлеченных средств юридических лиц, оцениваемых по справедливой стоимости через прибыль или убыток (балансовый счет № 70607, при составлении годовой бухгалтерской (финансовой) отчетности - балансовый счет № 70707):</t>
  </si>
  <si>
    <t>Итого по символам 44701 - 44741</t>
  </si>
  <si>
    <t>8. От переоценки, не связанной с изменением кредитного риска,  привлеченных депозитов клиентов - физических лиц, прочих привлеченных средств клиентов - физических лиц, оцениваемых по справедливой стоимости через прибыль или убыток (балансовый счет № 70607, при составлении годовой бухгалтерской (финансовой) отчетности - балансовый счет № 70707):</t>
  </si>
  <si>
    <t>Итого по символам 44801 - 44804</t>
  </si>
  <si>
    <t>9. От переоценки, не связанной с изменением кредитного риска,  выпущенных долговых ценных бумаг, оцениваемых по справедливой стоимости через прибыль или убыток (балансовый счет № 70607, при составлении годовой бухгалтерской (финансовой) отчетности - балансовый счет № 70707):</t>
  </si>
  <si>
    <t>Итого по символам 44901 - 44905</t>
  </si>
  <si>
    <t>Раздел 5. Расходы по операциям с производными финансовыми инструментами и по операциям хеджирования</t>
  </si>
  <si>
    <t>1. По операциям с производными финансовыми инструментами, базисным активом которых является иностранная валюта:</t>
  </si>
  <si>
    <t>2. По операциям с производными финансовыми инструментами, базисным активом которых являются процентные ставки:</t>
  </si>
  <si>
    <t>3. По операциям с производными финансовыми инструментами, базисным активом которых являются ценные бумаги:</t>
  </si>
  <si>
    <t>4. По операциям с производными финансовыми инструментами, базисным активом которых являются драгоценные металлы:</t>
  </si>
  <si>
    <t>5. По операциям с производными финансовыми инструментами, базисным активом которых являются другие базисные активы:</t>
  </si>
  <si>
    <t>6. По операциям хеджирования:</t>
  </si>
  <si>
    <t>по инструментам хеджирования, являющимся производными финансовыми инструментами,  базисным активом которых являются ценные бумаги, по форвардам</t>
  </si>
  <si>
    <t>по инструментам хеджирования, являющимся производными финансовыми инструментами,  базисным активом которых являются другие базисные активы, по форвардам</t>
  </si>
  <si>
    <t>Итого по символам 45601 - 45627</t>
  </si>
  <si>
    <t>расходы по операциям купли-продажи иностранной валюты в наличной форме</t>
  </si>
  <si>
    <t>расходы по операциям купли-продажи иностранной валюты в безналичной форме</t>
  </si>
  <si>
    <t>3. Расходы по переоценке средств в иностранной валюте, кроме приобретенных долевых ценных бумаг, оцениваемых по справедливой стоимости через прочий совокупный доход (балансовый счет № 70608, при составлении годовой бухгалтерской (финансовой) отчетности - балансовый счет № 70708):</t>
  </si>
  <si>
    <t>расходы по переоценке средств в иностранной валюте</t>
  </si>
  <si>
    <t>расходы по операциям купли-продажи драгоценных металлов</t>
  </si>
  <si>
    <t>расходы от переоценки драгоценных металлов</t>
  </si>
  <si>
    <t>3. Расходы по формированию (доначислению) резервов на возможные потери, оценочных резервов под ожидаемые кредитные убытки:</t>
  </si>
  <si>
    <t>корректировки, увеличивающие операционные расходы, на разницу между оценочными резервами под ожидаемые кредитные убытки и резервами на возможные потери</t>
  </si>
  <si>
    <t>Итого по символам 47301 - 47305</t>
  </si>
  <si>
    <t>Раздел 8. Расходы, связанные с обеспечением деятельности кредитной организации, и отчисления в резервы - оценочные обязательства некредитного характера</t>
  </si>
  <si>
    <t>корректировка на разницу между резервом, рассчитанным в соответствии с применением эффективной процентной ставки, на начало и конец отчетного периода</t>
  </si>
  <si>
    <t>1. Увеличение справедливой стоимости финансовых активов, оцениваемых по справедливой стоимости через прочий совокупный доход:</t>
  </si>
  <si>
    <t>приобретенных долевых ценных бумаг</t>
  </si>
  <si>
    <t>приобретенных долговых ценных бумаг (кроме векселей)</t>
  </si>
  <si>
    <t>учтенных векселей</t>
  </si>
  <si>
    <t>предоставленных кредитов и кредитов, права требования по которым приобретены</t>
  </si>
  <si>
    <t>прочих размещенных средств, в том числе прочих приобретенных прав требования</t>
  </si>
  <si>
    <t>размещенных депозитов</t>
  </si>
  <si>
    <t>Итого по символам 71101 - 71106</t>
  </si>
  <si>
    <t>2. Перенос в составе капитала накопленного уменьшения справедливой стоимости финансовых активов, оцениваемых по справедливой стоимости через прочий совокупный доход:</t>
  </si>
  <si>
    <t>3. Перенос в состав прибыли и убытка накопленного уменьшения справедливой стоимости финансовых активов, оцениваемых по справедливой стоимости через прочий совокупный доход:</t>
  </si>
  <si>
    <t>Итого по символам 71301 - 71305</t>
  </si>
  <si>
    <t>4. Увеличение статей прочего совокупного дохода, обусловленное изменением кредитного риска, финансовых обязательств, оцениваемых по справедливой стоимости через прибыль или убыток:</t>
  </si>
  <si>
    <t>по полученным кредитам</t>
  </si>
  <si>
    <t>по привлеченным депозитам юридических лиц</t>
  </si>
  <si>
    <t>по прочим привлеченным средствам юридических лиц</t>
  </si>
  <si>
    <t>по привлеченным депозитам клиентов - физических лиц</t>
  </si>
  <si>
    <t>по прочим привлеченным средствам клиентов - физических лиц</t>
  </si>
  <si>
    <t>по выпущенным долговым ценным бумагам</t>
  </si>
  <si>
    <t>перенос в составе капитала накопленного увеличения справедливой стоимости финансовых обязательств</t>
  </si>
  <si>
    <t>Итого по символам 71401 - 71407</t>
  </si>
  <si>
    <t>7. Увеличение статей прочего совокупного дохода оценочных резервов под ожидаемые кредитные убытки по финансовым активам, оцениваемым по справедливой стоимости через прочий совокупный доход:</t>
  </si>
  <si>
    <t>по вложениям в долговые ценные бумаги (кроме векселей)</t>
  </si>
  <si>
    <t>по вложениям в учтенные векселя</t>
  </si>
  <si>
    <t>по предоставленным кредитам и кредитам, права требования по которым приобретены</t>
  </si>
  <si>
    <t>по прочим размещенным средствам, в том числе прочим приобретенным правам требования</t>
  </si>
  <si>
    <t>по размещенным депозитам</t>
  </si>
  <si>
    <t>при реклассификации финансовых активов, оцениваемых по справедливой стоимости через прочий совокупный доход</t>
  </si>
  <si>
    <t>Итого по символам 71701 - 71706</t>
  </si>
  <si>
    <t>8. Увеличение стоимости инструментов хеджирования:</t>
  </si>
  <si>
    <t>переоценка инструментов хеджирования при хеджировании справедливой стоимости долевых инструментов, изменение которой отражается в составе прочего совокупного дохода</t>
  </si>
  <si>
    <t>перенос в состав прибыли и убытка накопленного уменьшения стоимости инструментов хеджирования от хеджирования денежных потоков в ту же дату, когда хеджируемые будущие денежные потоки оказывают влияние на доходы или расходы</t>
  </si>
  <si>
    <t>перенос в состав прибыли или убытка накопленного уменьшения стоимости инструментов хеджирования от хеджирования чистой инвестиции в иностранное подразделение при выбытии или частичном выбытии иностранного подразделения</t>
  </si>
  <si>
    <t>перенос в составе капитала   накопленного уменьшения стоимости инструментов хеджирования от хеджирования справедливой стоимости долевых инструментов, изменение которой отражается в составе прочего совокупного дохода</t>
  </si>
  <si>
    <t>Итого по символам 71801 - 71806</t>
  </si>
  <si>
    <t>приобретенные долевые ценные бумаги, оцениваемые по справедливой стоимости через прочий совокупный доход</t>
  </si>
  <si>
    <t>приобретенные долговые ценные бумаги, оцениваемые по справедливой стоимости через прочий совокупный доход (включая учтенные векселя)</t>
  </si>
  <si>
    <t>предоставленные кредиты и кредиты, права требования по которым приобретены, прочие размещенные средства, в том числе прочие приобретенные права требования, размещенные депозиты</t>
  </si>
  <si>
    <t>оценочные резервы под ожидаемые кредитные убытки по финансовым активам, оцениваемым по справедливой стоимости через прочий совокупный доход</t>
  </si>
  <si>
    <t>финансовые обязательства,  оцениваемые по справедливой стоимости через прибыль или убыток, влияние изменений кредитного риска по которым отражается на счетах по учету добавочного капитала</t>
  </si>
  <si>
    <t>Итого по символам 71901 - 71909</t>
  </si>
  <si>
    <t>1. Уменьшение справедливой стоимости финансовых активов, оцениваемых по справедливой стоимости через прочий совокупный доход:</t>
  </si>
  <si>
    <t>Итого по символам 72101 - 72106</t>
  </si>
  <si>
    <t>2. Перенос в составе капитала накопленного увеличения справедливой стоимости финансовых активов, оцениваемых по справедливой стоимости через прочий совокупный доход:</t>
  </si>
  <si>
    <t>3. Перенос в состав прибыли и убытка накопленного увеличения справедливой стоимости финансовых активов, оцениваемых по справедливой стоимости через прочий совокупный доход:</t>
  </si>
  <si>
    <t>Итого по символам 72301 - 72305</t>
  </si>
  <si>
    <t>4. Уменьшение статей прочего совокупного дохода, обусловленное изменением кредитного риска, финансовых обязательств, оцениваемых по справедливой стоимости через прибыль или убыток:</t>
  </si>
  <si>
    <t>перенос в составе капитала накопленного уменьшения справедливой стоимости финансовых обязательств</t>
  </si>
  <si>
    <t>Итого по символам 72401 - 72407</t>
  </si>
  <si>
    <t>7. Уменьшение статей прочего совокупного дохода оценочных резервов под ожидаемые кредитные убытки по финансовым активам, оцениваемым по справедливой стоимости через прочий совокупный доход:</t>
  </si>
  <si>
    <t>Итого по символам 72701 - 72706</t>
  </si>
  <si>
    <t>8. Уменьшение стоимости инструментов хеджирования:</t>
  </si>
  <si>
    <t>перенос в состав прибыли и убытка накопленного увеличения стоимости инструментов хеджирования от хеджирования денежных потоков в ту же дату, когда хеджируемые будущие денежные потоки оказывают влияние на доходы или расходы</t>
  </si>
  <si>
    <t>перенос в состав прибыли и убытка накопленного увеличения стоимости инструментов хеджирования от хеджирования чистой инвестиции в иностранное подразделение при выбытии или частичном выбытии иностранного подразделения</t>
  </si>
  <si>
    <t>перенос в составе капитала накопленного увеличения стоимости инструментов хеджирования от хеджирования справедливой стоимости долевых инструментов, изменение которой отражается в составе прочего совокупного дохода</t>
  </si>
  <si>
    <t>Итого по символам 72801 - 72806</t>
  </si>
  <si>
    <t>обязательства (требования) по выплате долгосрочных вознаграждений работникам по окончании трудовой деятельности, при переоценке</t>
  </si>
  <si>
    <t>Итого по символам 72901 - 72909</t>
  </si>
  <si>
    <t>по операциям финансовой аренды</t>
  </si>
  <si>
    <t>доходы арендодателя от сдачи имущества в операционную аренду</t>
  </si>
  <si>
    <t>доходы арендодателя от операций финансовой аренды</t>
  </si>
  <si>
    <t>доходы арендатора от переоценки обязательств по аренде</t>
  </si>
  <si>
    <t>прочие доходы арендатора по договорам аренды</t>
  </si>
  <si>
    <t>Итого по символам 28301 - 28305</t>
  </si>
  <si>
    <t>5. Доходы по операциям с недвижимостью, временно не используемой в основной деятельности, активами в форме права пользования, относящимися к недвижимости, временно не используемой в основной деятельности:</t>
  </si>
  <si>
    <t>1. Доходы по операциям с основными средствами, активами в форме права пользования, относящимися к основным средствам, и нематериальными активами:</t>
  </si>
  <si>
    <t>расходы по формированию (доначислению) резервов на возможные потери по операциям финансовой аренды</t>
  </si>
  <si>
    <t>5. Расходы по операциям с недвижимостью, временно не используемой в основной деятельности, активами в форме права пользования, относящимися к недвижимости, временно не используемой в основной деятельности:</t>
  </si>
  <si>
    <t>расходы арендодателя по операциям финансовой аренды</t>
  </si>
  <si>
    <t>прочие расходы арендатора по договорам аренды</t>
  </si>
  <si>
    <t>Итого по символам 47801 - 47805</t>
  </si>
  <si>
    <t>амортизация по активам в форме права пользования</t>
  </si>
  <si>
    <t>арендная плата по краткосрочной аренде и аренде активов, имеющих низкую стоимость</t>
  </si>
  <si>
    <t>Средства кредитной организации в Центральном банке Российской Федерации</t>
  </si>
  <si>
    <t>Кредиты и депозиты другим кредитным организациям</t>
  </si>
  <si>
    <t>Облигации Банка России</t>
  </si>
  <si>
    <t>Корпоративные облигации</t>
  </si>
  <si>
    <t>Корпоративные еврооблигации</t>
  </si>
  <si>
    <t>Строительство и девелопмент</t>
  </si>
  <si>
    <t xml:space="preserve">Химическая производство </t>
  </si>
  <si>
    <t xml:space="preserve">Финансовые услуги </t>
  </si>
  <si>
    <t xml:space="preserve">Транспорт </t>
  </si>
  <si>
    <t xml:space="preserve">Телекоммуникации </t>
  </si>
  <si>
    <t xml:space="preserve">Долговые обязательства иностранных государств </t>
  </si>
  <si>
    <t xml:space="preserve">Корпоративные облигации </t>
  </si>
  <si>
    <t>Облигации долговые обязательства инностранных государств</t>
  </si>
  <si>
    <t xml:space="preserve">Органы государственной власти </t>
  </si>
  <si>
    <t>Нефтегазовая промышленность</t>
  </si>
  <si>
    <t>Прооизводство</t>
  </si>
  <si>
    <t>Транспорт</t>
  </si>
  <si>
    <t>Сельское хозяйство</t>
  </si>
  <si>
    <t>Прочие кредиты ЮЛ</t>
  </si>
  <si>
    <t>Требования по аккредитивам и гарантиям</t>
  </si>
  <si>
    <t>Требования по процентам, корректировка ссуд. зад-ти</t>
  </si>
  <si>
    <t>Жилищные (кроме ипотечных)</t>
  </si>
  <si>
    <t>Ипотечные</t>
  </si>
  <si>
    <t>Потребительские ссуды</t>
  </si>
  <si>
    <t>1.6</t>
  </si>
  <si>
    <t>ОЦЕНКА</t>
  </si>
  <si>
    <t>Наименование статьи</t>
  </si>
  <si>
    <t>I. Активы</t>
  </si>
  <si>
    <t>Чистая ссудная задолженность, оцениваемая по амортизированной стоимости</t>
  </si>
  <si>
    <t>Чистые вложения в ценные бумаги и иные финансовые активы, оцениваемые по амортизированной стоимости (кроме ссудной задолженности)</t>
  </si>
  <si>
    <t>Инвестиции в дочерние и зависимые организации</t>
  </si>
  <si>
    <t>II. Пассивы</t>
  </si>
  <si>
    <t>Кредиты, депозиты и прочие средства Центрального банка Российской Федерации</t>
  </si>
  <si>
    <t>17а</t>
  </si>
  <si>
    <t>III. Источники собственных средств</t>
  </si>
  <si>
    <t>Всего источников собственных средств</t>
  </si>
  <si>
    <t>IV. Внебалансовые обязательства</t>
  </si>
  <si>
    <t>37</t>
  </si>
  <si>
    <t>38</t>
  </si>
  <si>
    <t>39</t>
  </si>
  <si>
    <t>2023</t>
  </si>
  <si>
    <t>2022</t>
  </si>
  <si>
    <t>2021</t>
  </si>
  <si>
    <t>Ин.валюта</t>
  </si>
  <si>
    <t>ВСЕГО</t>
  </si>
  <si>
    <t>3. Доходы от переоценки средств в иностранной валюте, кроме приобретенных долевых ценных бумаг (балансовый счет № 70603, при составлении годовой бухгалтерской (финансовой) отчетности - балансовый счет № 70703):</t>
  </si>
  <si>
    <t>5. От сделок по выдаче банковских гарантий и поручительств:</t>
  </si>
  <si>
    <t>3. Расходы по переоценке средств в иностранной валюте, кроме приобретенных долевых ценных бумаг (балансовый счет № 70608, при составлении годовой бухгалтерской (финансовой) отчетности - балансовый счет № 70708):</t>
  </si>
  <si>
    <t>Возмещение (расход) по налогу на прибыль</t>
  </si>
  <si>
    <t>тыс. руб</t>
  </si>
  <si>
    <t>млн руб.</t>
  </si>
  <si>
    <t>2019</t>
  </si>
  <si>
    <t>2020</t>
  </si>
  <si>
    <t>2018</t>
  </si>
  <si>
    <t>2017</t>
  </si>
  <si>
    <t>2016</t>
  </si>
  <si>
    <t>2015</t>
  </si>
  <si>
    <t>Средства кредитных организаций в Центральном банке Российской Федерации</t>
  </si>
  <si>
    <t>Средства  в кредитных организациях</t>
  </si>
  <si>
    <t>Чистая  ссудная задолженность</t>
  </si>
  <si>
    <t>Чистые вложения в ценные бумаги, удерживаемые до погашения</t>
  </si>
  <si>
    <t>Основные средства, нематериальные активы и материальные запасы</t>
  </si>
  <si>
    <t>Средства кредитных  организаций</t>
  </si>
  <si>
    <t>Вклады (средства) физических лиц, в том числе индивидуальных предпринимателей</t>
  </si>
  <si>
    <t>Обязательство по текущему налогу на прибыль</t>
  </si>
  <si>
    <t>Отложенное налоговое обязательство</t>
  </si>
  <si>
    <t>Резервы  на возможные потери по условным обязательствам кредитного характера, прочим возможным потерям и операциям с резидентами офшорных зон</t>
  </si>
  <si>
    <t>Переоценка основных средств и нематериальных активов, уменьшенная на отложенное налоговое обязательство</t>
  </si>
  <si>
    <t>Безотзывные обязательства кредитной  организации</t>
  </si>
  <si>
    <t>Наименование показателя</t>
  </si>
  <si>
    <t>000</t>
  </si>
  <si>
    <t>100</t>
  </si>
  <si>
    <t>100.5.1</t>
  </si>
  <si>
    <t>величина резерва (резервов), фактически недосозданного кредитной организацией по сравнению с величиной, требуемой в соответствии с нормативными актами Банка России, всего, в том числе в соответствии:</t>
  </si>
  <si>
    <t>100.5.1.1</t>
  </si>
  <si>
    <t>с Положением Банка России № 254-П</t>
  </si>
  <si>
    <t>100.5.1.2</t>
  </si>
  <si>
    <t>с Положением Банка России № 283-П</t>
  </si>
  <si>
    <t>100.5.1.3</t>
  </si>
  <si>
    <t>с Указанием Банка России № 1584-У</t>
  </si>
  <si>
    <t>100.5.1.4</t>
  </si>
  <si>
    <t>с Указанием Банка России № 2732-У</t>
  </si>
  <si>
    <t>100.5.2</t>
  </si>
  <si>
    <t>переоценка ценных бумаг, справедливая стоимость которых определяется иначе, чем средневзвешенная цена, раскрываемая организатором торговли на рынке ценных бумаг</t>
  </si>
  <si>
    <t>100.6.1</t>
  </si>
  <si>
    <t>100.6.1.1</t>
  </si>
  <si>
    <t>100.6.1.2</t>
  </si>
  <si>
    <t>100.6.1.3</t>
  </si>
  <si>
    <t>100.6.1.4</t>
  </si>
  <si>
    <t>100.6.2</t>
  </si>
  <si>
    <t>101</t>
  </si>
  <si>
    <t>Нематериальные активы, всего, в том числе:</t>
  </si>
  <si>
    <t>101.1.1</t>
  </si>
  <si>
    <t>нематериальные активы, отчужденные при осуществлении операций, совершаемых на возвратной основе без прекращения признания</t>
  </si>
  <si>
    <t>101.1.2</t>
  </si>
  <si>
    <t>нематериальные активы, находящиеся под управлением управляющих компаний</t>
  </si>
  <si>
    <t>Вложения в собственные обыкновенные акции, привилегированные акции и иные источники собственных средств (капитала), всего, в том числе:</t>
  </si>
  <si>
    <t>101.4.1</t>
  </si>
  <si>
    <t>прямые вложения</t>
  </si>
  <si>
    <t>101.4.2</t>
  </si>
  <si>
    <t>косвенные (через третьих лиц) вложения за счет денежных средств (в том числе за счет ссуды) и (или)  иного имущества, предоставленного самой кредитной организацией, и (или) имущества, предоставленного третьими лицами, в случае, если кредитная организация прямо или косвенно (через третьих лиц) приняла на себя риски, возникшие в связи с предоставлением указанного имущества (за исключением встречных вложений кредитной организации и финансовой организации)</t>
  </si>
  <si>
    <t>101.4.3</t>
  </si>
  <si>
    <t>вложения, отчужденные при осуществлении операций, совершаемых на возвратной основе без прекращения признания</t>
  </si>
  <si>
    <t>101.4.4</t>
  </si>
  <si>
    <t>вложения, находящиеся под управлением управляющих компаний</t>
  </si>
  <si>
    <t>101.4.5</t>
  </si>
  <si>
    <t>иные вложения в источники собственных средств (капитала)</t>
  </si>
  <si>
    <t>101.5.1</t>
  </si>
  <si>
    <t>перешедшие к кредитной организации доли участников, подавших заявление о выходе из состава участников кредитной организации в организационно-правовой форме общества с ограниченной (или дополнительной) ответственностью в соответствии со статьей 26 Федерального закона № 14-ФЗ</t>
  </si>
  <si>
    <t>101.5.2</t>
  </si>
  <si>
    <t>вложения в доли участников</t>
  </si>
  <si>
    <t>101.5.3</t>
  </si>
  <si>
    <t>101.8.1</t>
  </si>
  <si>
    <t>101.8.1.1</t>
  </si>
  <si>
    <t>101.8.1.2</t>
  </si>
  <si>
    <t>101.8.1.3</t>
  </si>
  <si>
    <t>101.8.1.4</t>
  </si>
  <si>
    <t>101.8.2</t>
  </si>
  <si>
    <t>101.9.1.1</t>
  </si>
  <si>
    <t>101.9.1.2</t>
  </si>
  <si>
    <t>101.9.1.3</t>
  </si>
  <si>
    <t>101.9.1.4</t>
  </si>
  <si>
    <t>101.10.4</t>
  </si>
  <si>
    <t>Средства, поступившие в оплату акций (долей) кредитной организации, включаемых в состав базового капитала, в случае, если основное или дочернее общество кредитной организации или любое дочернее общество основного общества кредитной организации предоставило владельцу акций (долей) обязательство, связанное с владением акциями (долями) кредитной организации</t>
  </si>
  <si>
    <t>101.14.1</t>
  </si>
  <si>
    <t>покрытия возможных потерь, вызванных неисполнением участниками клиринга своих обязательств, и используемые центральным контрагентом до использования средств, внесенных добросовестными участниками клиринга в коллективное клиринговое обеспечение (выделенный капитал центрального контрагента)</t>
  </si>
  <si>
    <t>101.14.2</t>
  </si>
  <si>
    <t>обеспечения прекращения или реструктуризации деятельности центрального контрагента</t>
  </si>
  <si>
    <t>101.14.3</t>
  </si>
  <si>
    <t>покрытия возможных потерь в результате ухудшения финансового положения центрального контрагента вследствие уменьшения его доходов или увеличения расходов, не связанных с неисполнением обязательств участниками клиринга</t>
  </si>
  <si>
    <t>101.15</t>
  </si>
  <si>
    <t>Положительная разница между величиной ожидаемых потерь и величиной резерва (резервов), фактически сформированного (сформированных) кредитной организацией</t>
  </si>
  <si>
    <t>102</t>
  </si>
  <si>
    <t>103</t>
  </si>
  <si>
    <t>привилегированные акции, выпущенные в соответствии с Федеральным законом № 181-ФЗ</t>
  </si>
  <si>
    <t>103.4.1</t>
  </si>
  <si>
    <t>субординированный кредит (депозит, заем), привлеченный до 1 января 2013 года на срок не менее 50 лет, кредитором (кредиторами) по которому являются нерезиденты</t>
  </si>
  <si>
    <t>104</t>
  </si>
  <si>
    <t>Вложения в собственные привилегированные акции и иные источники собственных средств (капитала), всего, в том числе:</t>
  </si>
  <si>
    <t>104.1.1</t>
  </si>
  <si>
    <t>104.1.2</t>
  </si>
  <si>
    <t>косвенные (через третьих лиц) вложения за счет денежных средств (в том числе за счет ссуды) и (или) иного имущества, предоставленного самой кредитной организацией, и (или) имущества, предоставленного третьими лицами, в случае, если кредитная организация прямо или косвенно (через третьих лиц) приняла на себя риски, возникшие в связи с предоставлением указанного имущества</t>
  </si>
  <si>
    <t>104.1.3</t>
  </si>
  <si>
    <t>104.1.4</t>
  </si>
  <si>
    <t>104.1.5</t>
  </si>
  <si>
    <t>104.2.1</t>
  </si>
  <si>
    <t>104.2.2</t>
  </si>
  <si>
    <t>несущественные вложения кредитной организации в акции финансовых организаций</t>
  </si>
  <si>
    <t>104.2.3</t>
  </si>
  <si>
    <t>существенные вложения кредитной организации в акции финансовых организаций</t>
  </si>
  <si>
    <t>104.3.1</t>
  </si>
  <si>
    <t>104.3.2</t>
  </si>
  <si>
    <t>несущественные субординированные кредиты (депозиты, займы, облигационные займы), всего, в том числе:</t>
  </si>
  <si>
    <t>104.3.2.1</t>
  </si>
  <si>
    <t>предоставленные финансовым организациям - нерезидентам</t>
  </si>
  <si>
    <t>104.3.3</t>
  </si>
  <si>
    <t>существенные субординированные кредиты (депозиты, займы, облигационные займы), всего, в том числе:</t>
  </si>
  <si>
    <t>104.3.3.1</t>
  </si>
  <si>
    <t>Средства, поступившие в оплату акций кредитной организации, включаемых в состав добавочного капитала, в случае, если основное или дочернее общество кредитной организации или любое дочернее общество основного общества кредитной организации предоставило владельцу акций (долей) обязательство, связанное с владением акциями (долями) кредитной организации</t>
  </si>
  <si>
    <t>Показатели, определенные в соответствии с пунктом 2 приложения к Положению Банка России № 395-П, всего, в том числе:</t>
  </si>
  <si>
    <t>104.7.1</t>
  </si>
  <si>
    <t>104.7.2</t>
  </si>
  <si>
    <t>собственные акции (доли) акционеров (участников), приобретенные (выкупленные) кредитной организацией у акционеров (участников)</t>
  </si>
  <si>
    <t>104.7.3</t>
  </si>
  <si>
    <t>вложения кредитной организации в акции (доли) дочерних и зависимых финансовых организаций и уставный капитал кредитных организаций - резидентов</t>
  </si>
  <si>
    <t>104.7.4</t>
  </si>
  <si>
    <t>уставный капитал (его часть) и иные источники собственных средств (эмиссионный доход, прибыль, резервный фонд) (их часть), для формирования которых инвесторами (акционерами, участниками и другими лицами, участвующими в формировании источников собственных средств кредитной организации) использованы ненадлежащие активы</t>
  </si>
  <si>
    <t>104.7.5</t>
  </si>
  <si>
    <t>отрицательная величина дополнительного капитала</t>
  </si>
  <si>
    <t>105</t>
  </si>
  <si>
    <t>106</t>
  </si>
  <si>
    <t>200</t>
  </si>
  <si>
    <t>уставный капитал кредитной организации в организационно-правовой форме акционерного общества, сформированный в результате выпуска и размещения привилегированных акций, проведенных до 1 марта 2013 года</t>
  </si>
  <si>
    <t>уставный капитал кредитной организации в организационно-правовой форме акционерного общества, сформированный в результате выпуска и размещения привилегированных акций, проведенных после 1 марта 2013 года</t>
  </si>
  <si>
    <t>Часть уставного капитала кредитной организации, сформированного за счет капитализации прироста стоимости основных средств при переоценке до выбытия основных средств</t>
  </si>
  <si>
    <t>Резервный фонд кредитной организации в части, сформированной за счет отчислений из прибыли текущего года</t>
  </si>
  <si>
    <t>200.5.1</t>
  </si>
  <si>
    <t>200.5.1.1</t>
  </si>
  <si>
    <t>200.5.1.2</t>
  </si>
  <si>
    <t>200.5.1.3</t>
  </si>
  <si>
    <t>200.5.1.4</t>
  </si>
  <si>
    <t>200.5.2</t>
  </si>
  <si>
    <t>200.6.1</t>
  </si>
  <si>
    <t>200.6.1.1</t>
  </si>
  <si>
    <t>200.6.1.2</t>
  </si>
  <si>
    <t>200.6.1.3</t>
  </si>
  <si>
    <t>200.6.1.4</t>
  </si>
  <si>
    <t>200.6.2</t>
  </si>
  <si>
    <t>Прирост стоимости основных средств кредитной организации за счет переоценки</t>
  </si>
  <si>
    <t>Положительная разница между величиной резерва (резервов), фактически сформированного (сформированных) кредитной организацией, и величиной ожидаемых потерь</t>
  </si>
  <si>
    <t>201</t>
  </si>
  <si>
    <t>201.1.1</t>
  </si>
  <si>
    <t>201.1.2</t>
  </si>
  <si>
    <t>косвенные (через третьих лиц) вложения за счет денежных средств (имущества), предоставленных (предоставленного) самой кредитной организацией, и (или) имущества, предоставленного другими лицами, в случае, если кредитная организация прямо или косвенно (через третьих лиц) приняла на себя риски, возникшие в связи с предоставлением указанного имущества</t>
  </si>
  <si>
    <t>201.1.3</t>
  </si>
  <si>
    <t>201.1.4</t>
  </si>
  <si>
    <t>201.1.5</t>
  </si>
  <si>
    <t>201.2.1</t>
  </si>
  <si>
    <t>201.2.2</t>
  </si>
  <si>
    <t>201.2.3</t>
  </si>
  <si>
    <t>Субординированные кредиты (депозиты, займы, облигационные займы), в том числе субординированные займы с дополнительными условиями, предоставленные финансовым организациям - резидентам и финансовым организациям - нерезидентам, всего, в том числе:</t>
  </si>
  <si>
    <t>201.3.1</t>
  </si>
  <si>
    <t>201.3.2</t>
  </si>
  <si>
    <t>201.3.2.1</t>
  </si>
  <si>
    <t>201.3.3</t>
  </si>
  <si>
    <t>201.3.3.1</t>
  </si>
  <si>
    <t>Средства, поступившие в оплату акций кредитной организации, включаемых в состав дополнительного капитала, в случае, если основное или дочернее общество кредитной организации или любое дочернее общество основного общества кредитной организации предоставило владельцу акций (долей) обязательство, связанное с владением акциями кредитной организации</t>
  </si>
  <si>
    <t>Показатели, определенные в соответствии с пунктами 3-5 приложения к Положению Банка России № 395-П, всего, в том числе:</t>
  </si>
  <si>
    <t>201.7.1</t>
  </si>
  <si>
    <t>источники (часть источников) дополнительного капитала (уставного капитала, нераспределенной прибыли, резервного фонда, субординированного кредита), для формирования которых инвесторами использованы ненадлежащие активы</t>
  </si>
  <si>
    <t>201.7.2</t>
  </si>
  <si>
    <t>просроченная дебиторская задолженность длительностью свыше 30 календарных дней, учитываемая на балансовых счетах</t>
  </si>
  <si>
    <t>201.7.3</t>
  </si>
  <si>
    <t>субординированные кредиты (депозиты, займы, облигационные займы), в том числе субординированные займы с дополнительными условиями, предоставленные кредитным организациям - резидентам</t>
  </si>
  <si>
    <t>201.7.4</t>
  </si>
  <si>
    <t>величина превышения совокупной суммы кредитов, банковских гарантий и поручительств, предоставленных кредитной организацией участникам (акционерам) и инсайдерам, над ее максимальным размером, предусмотренным федеральными законами и нормативными актами Банка России</t>
  </si>
  <si>
    <t>201.7.5</t>
  </si>
  <si>
    <t>вложения, превышающие сумму источников основного и дополнительного капитала, в приобретение основных средств (в том числе земли), сооружение (строительство) и создание (изготовление) основных средств, в недвижимость, временно неиспользуемую в основной деятельности, в сооружение (строительство) объектов недвижимости, временно неиспользуемой в основной деятельности, долгосрочные активы, предназначенные для продажи, а также запасы (за исключением изданий)</t>
  </si>
  <si>
    <t>201.7.5.1</t>
  </si>
  <si>
    <t>справочно: совокупная сумма вложений в активы, указанные в подпункте 5.2 пункта 5 приложения к Положению Банка России № 395-П</t>
  </si>
  <si>
    <t>201.7.6</t>
  </si>
  <si>
    <t>разница между действительной стоимостью доли, причитающейся вышедшим из общества участникам, и стоимостью, по которой доля была реализована другому участнику</t>
  </si>
  <si>
    <t>202</t>
  </si>
  <si>
    <t>Показатели, определенные в соответствии с пунктом 4 Положения Банка России № 395-П:</t>
  </si>
  <si>
    <t>Вложения, превышающие сумму источников основного и дополнительного капитала, всего, в том числе:</t>
  </si>
  <si>
    <t>202.3.1</t>
  </si>
  <si>
    <t>в приобретение (аренду) основных средств (в том числе земли), сооружение (строительство) и создание (изготовление) основных средств, в недвижимость, временно неиспользуемую в основной деятельности, в сооружение (строительство) объектов недвижимости, временно неиспользуемой в основной деятельности, долгосрочные активы, предназначенные для продажи, а также запасы (за исключением изданий)</t>
  </si>
  <si>
    <t>202.3.2</t>
  </si>
  <si>
    <t>отчужденные при осуществлении операций, совершаемых на возвратной основе без прекращения признания</t>
  </si>
  <si>
    <t>202.3.3</t>
  </si>
  <si>
    <t>находящиеся под управлением управляющих компаний</t>
  </si>
  <si>
    <t>202.3.4</t>
  </si>
  <si>
    <t>справочно: совокупная сумма вложений в активы, указанные в подпункте 4.2.2 пункта 4 Положения Банка России № 395-П</t>
  </si>
  <si>
    <t>203</t>
  </si>
  <si>
    <t>с Положением Банка России № 590-П</t>
  </si>
  <si>
    <t>сформированный привилегированными акциями, в том числе:</t>
  </si>
  <si>
    <t>100.1.2.1</t>
  </si>
  <si>
    <t>выпущенными до 1 марта 2013 года</t>
  </si>
  <si>
    <t>сформированный при размещении привилегированных акций, в том числе:</t>
  </si>
  <si>
    <t>100.2.1.2.1</t>
  </si>
  <si>
    <t>выпущенных до 1 марта 2013 года</t>
  </si>
  <si>
    <t>величина резерва (резервов), фактически недосозданного (недосозданных) кредитной организацией по сравнению с величиной, требуемой в соответствии с нормативными актами Банка России, всего, в том числе в соответствии с:</t>
  </si>
  <si>
    <t>Положением Банка России № 590-П</t>
  </si>
  <si>
    <t>Положением Банка России № 611-П</t>
  </si>
  <si>
    <t>Указанием Банка России № 1584-У</t>
  </si>
  <si>
    <t>Указанием Банка России № 2732-У</t>
  </si>
  <si>
    <t>величина превышения стоимости активов, определенной кредитной организацией, над стоимостью активов, определенной Банком России</t>
  </si>
  <si>
    <t>100.5.3</t>
  </si>
  <si>
    <t>доходы, относящиеся к переоценке ценных бумаг, удостоверяющих право собственности или общей долевой собственности на активы, находящиеся под управлением компаний, в том числе осуществляющих свою деятельность без образования юридического лица (например, фонд, партнерство, товарищество, траст, иная форма осуществления коллективных инвестиций и (или) доверительного управления) (далее - управляющие компании)</t>
  </si>
  <si>
    <t>100.5.4</t>
  </si>
  <si>
    <t>доходы, признанные в бухгалтерском учете на дату перехода прав на поставляемые (реализуемые) кредитной организацией активы по договорам с отсрочкой платежа</t>
  </si>
  <si>
    <t>100.5.5</t>
  </si>
  <si>
    <t>доходы от выполнения кредитной организацией работ, оказания кредитной организацией услуг по договорам с отсрочкой платежа</t>
  </si>
  <si>
    <t>100.5.6</t>
  </si>
  <si>
    <t>безвозмездное финансирование, предоставленное кредитной организации, и (или) вклады в имущество кредитной организации</t>
  </si>
  <si>
    <t>100.6.3</t>
  </si>
  <si>
    <t>доходы, относящиеся к переоценке ценных бумаг, удостоверяющих право собственности или общей долевой собственности на активы, находящиеся под управлением управляющих компаний</t>
  </si>
  <si>
    <t>100.6.4</t>
  </si>
  <si>
    <t>100.6.5</t>
  </si>
  <si>
    <t>100.6.6</t>
  </si>
  <si>
    <t>Вложения в источники базового капитала кредитной организации, всего, в том числе:</t>
  </si>
  <si>
    <t>вложения в собственные акции, включая эмиссионный доход</t>
  </si>
  <si>
    <t>вложения в иные источники базового капитала кредитной организации</t>
  </si>
  <si>
    <t>Вложения кредитной организации в организационно-правовой форме общества с ограниченной ответственностью в доли участников, включая эмиссионный доход, всего, в том числе:</t>
  </si>
  <si>
    <t>101.6.1</t>
  </si>
  <si>
    <t>перешедшие к кредитной организации доли участников, подавших заявление о выходе из состава участников кредитной организации в соответствии со статьями 23 и 26 Федерального закона № 14-ФЗ</t>
  </si>
  <si>
    <t>101.6.2</t>
  </si>
  <si>
    <t>доли участников кредитной организации, приобретенные третьими лицами за счет денежных средств (в том числе за счет ссуды) и (или) имущества, предоставленного кредитной организацией и (или) третьими лицами (в случае, если кредитная организация прямо или косвенно (через третьих лиц) приняла на себя риски, возникшие в связи с предоставлением указанного имущества)</t>
  </si>
  <si>
    <t>101.6.3</t>
  </si>
  <si>
    <t>доли участников кредитной организации, по которым у кредитной организации возникло обязательство об их обратном выкупе по основаниям, установленным статьей 21 Федерального закона № 14-ФЗ</t>
  </si>
  <si>
    <t>101.7.1</t>
  </si>
  <si>
    <t>101.7.1.1</t>
  </si>
  <si>
    <t>101.7.1.2</t>
  </si>
  <si>
    <t>101.7.1.3</t>
  </si>
  <si>
    <t>101.7.1.4</t>
  </si>
  <si>
    <t>101.7.2</t>
  </si>
  <si>
    <t>101.7.3</t>
  </si>
  <si>
    <t>101.7.4</t>
  </si>
  <si>
    <t>101.7.5</t>
  </si>
  <si>
    <t>101.7.6</t>
  </si>
  <si>
    <t>101.8.3</t>
  </si>
  <si>
    <t>101.8.4</t>
  </si>
  <si>
    <t>101.8.5</t>
  </si>
  <si>
    <t>101.8.6</t>
  </si>
  <si>
    <t>Обязательства кредитной организации по приобретению источников базового капитала кредитной организации, а также обязательства кредитной организации по предоставлению прямо или косвенно денежных средств (или иного обеспечения рисков) для совершения третьими лицами сделок по приобретению прав на источники базового капитала, включенные в расчет собственных средств (капитала) кредитной организации</t>
  </si>
  <si>
    <t>несущественные вложения кредитной организации в привилегированные акции финансовых организаций</t>
  </si>
  <si>
    <t>существенные вложения кредитной организации в привилегированные акции финансовых организаций</t>
  </si>
  <si>
    <t>104.4.1</t>
  </si>
  <si>
    <t>104.4.2</t>
  </si>
  <si>
    <t>104.4.2.1</t>
  </si>
  <si>
    <t>104.4.3</t>
  </si>
  <si>
    <t>104.4.3.1</t>
  </si>
  <si>
    <t>Обязательства кредитной организации по приобретению источников добавочного капитала кредитной организации, а также обязательства кредитной организации по предоставлению прямо или косвенно средств (или иного обеспечения рисков) для совершения третьими лицами сделок по приобретению прав на источники добавочного капитала, включенные в расчет собственных средств (капитала) кредитной организации</t>
  </si>
  <si>
    <t>Часть уставного капитала кредитной организации, сформированного за счет внесения в его оплату прироста стоимости основных средств при переоценке до выбытия основных средств</t>
  </si>
  <si>
    <t>Эмиссионный доход, всего, в том числе:</t>
  </si>
  <si>
    <t>200.3.1</t>
  </si>
  <si>
    <t>сформированный при размещении привилегированных акций, выпущенных до 1 марта 2013 года</t>
  </si>
  <si>
    <t>200.5.3</t>
  </si>
  <si>
    <t>200.5.4</t>
  </si>
  <si>
    <t>200.5.5</t>
  </si>
  <si>
    <t>200.5.6</t>
  </si>
  <si>
    <t>200.6.3</t>
  </si>
  <si>
    <t>200.6.4</t>
  </si>
  <si>
    <t>200.6.5</t>
  </si>
  <si>
    <t>200.6.6</t>
  </si>
  <si>
    <t>Субординированный кредит (депозит, заем, облигационный заем), всего, в том числе:</t>
  </si>
  <si>
    <t>субординированный кредит (депозит, заем), привлеченный до 1 марта 2013 года, облигационный заем, размещенный до 1 марта 2013 года, в том числе:</t>
  </si>
  <si>
    <t>200.7.2.1</t>
  </si>
  <si>
    <t>Прирост стоимости основных средств кредитной организации за счет переоценки, всего, в том числе:</t>
  </si>
  <si>
    <t>200.8.1</t>
  </si>
  <si>
    <t>корректировка на величину превышения стоимости активов, определенной кредитной организацией, над стоимостью активов, определенной Банком России</t>
  </si>
  <si>
    <t>201.4.1</t>
  </si>
  <si>
    <t>201.4.2</t>
  </si>
  <si>
    <t>201.4.2.1</t>
  </si>
  <si>
    <t>201.4.3</t>
  </si>
  <si>
    <t>201.4.3.1</t>
  </si>
  <si>
    <t>Обязательства кредитной организации по приобретению источников дополнительного капитала кредитной организации, а также обязательства кредитной организации по предоставлению прямо или косвенно средств (или иного обеспечения рисков) для совершения третьими лицами сделок по приобретению прав на инструменты дополнительного капитала, включенные в расчет источников собственных средств (капитала) кредитной организации</t>
  </si>
  <si>
    <t>Показатели, определенные в соответствии с пунктом 4 Положения Банка России № 646-П:</t>
  </si>
  <si>
    <t>справочно: совокупная сумма вложений в активы, указанные в подпункте 4.2.2 пункта 4 Положения Банка России № 646-П</t>
  </si>
  <si>
    <t>доходы, прочий совокупный доход, относящиеся к переоценке ценных бумаг, удостоверяющих право собственности или общей долевой собственности на активы, находящиеся под управлением компаний, в том числе осуществляющих свою деятельность без образования юридического лица (например, фонд, партнерство, товарищество, траст, иная форма осуществления коллективных инвестиций и (или) доверительного управления) (далее - управляющие компании), за исключением доходов, прочего совокупного дохода, относящихся к переоценке указанных ценных бумаг, в отношении которых распространяются требования по формированию резерва на возможные потери в соответствии с Положением Банка России № 611-П, не признаваемые источником капитала кредитной организации</t>
  </si>
  <si>
    <t>доходы, признанные в бухгалтерском учете на дату перехода прав на поставляемые (реализуемые) кредитной организацией активы по договорам с отсрочкой платежа, не признаваемые источником капитала кредитной организации</t>
  </si>
  <si>
    <t>доходы от выполнения кредитной организацией работ, оказания кредитной организацией услуг по договорам с отсрочкой платежа, не признаваемые источником капитала кредитной организации</t>
  </si>
  <si>
    <t>100.5.7</t>
  </si>
  <si>
    <t>величина начисленных, но фактически не полученных процентных доходов по активам, классифицированным в IV и V категории качества, не признаваемая источником капитала кредитной организации</t>
  </si>
  <si>
    <t>100.5.8</t>
  </si>
  <si>
    <t>остатки на балансовых счетах по учету доходов, расходов, добавочного капитала, обусловленные корректировками и переоценкой, увеличивающими (уменьшающими) стоимость финансовых активов и финансовых обязательств, а также корректировками сформированного резерва на возможные потери до суммы оценочного резерва под ожидаемые кредитные убытки, всего, в том числе:</t>
  </si>
  <si>
    <t>100.5.8.1</t>
  </si>
  <si>
    <t>остатки на балансовых счетах по учету доходов, остатки, увеличивающие добавочный капитал, обусловленные корректировками и переоценкой, увеличивающими (уменьшающими) стоимость финансовых активов и финансовых обязательств, а также корректировками сформированного резерва на возможные потери до суммы оценочного резерва под ожидаемые кредитные убытки</t>
  </si>
  <si>
    <t>100.5.8.2</t>
  </si>
  <si>
    <t>остатки на балансовых счетах по учету расходов, остатки, уменьшающие добавочный капитал, обусловленные корректировками и переоценкой, увеличивающими (уменьшающими) стоимость финансовых активов и финансовых обязательств, а также корректировками сформированного резерва на возможные потери до суммы оценочного резерва под ожидаемые кредитные убытки</t>
  </si>
  <si>
    <t>доходы, прочий совокупный доход, относящиеся к переоценке ценных бумаг, удостоверяющих право собственности или общей долевой собственности на активы, находящиеся под управлением управляющих компаний, за исключением доходов, прочего совокупного дохода, относящихся к переоценке указанных ценных бумаг, в отношении которых распространяются требования по формированию резерва на возможные потери в соответствии с Положением Банка России № 611-П, не признаваемые источником капитала кредитной организации</t>
  </si>
  <si>
    <t>100.6.7</t>
  </si>
  <si>
    <t>100.6.8</t>
  </si>
  <si>
    <t>остатки на балансовых счетах по учету доходов, расходов, добавочного капитала, нераспределенной прибыли, непокрытого убытка, обусловленные корректировками и переоценкой, увеличивающими (уменьшающими) стоимость финансовых активов и финансовых обязательств, а также корректировками сформированного резерва на возможные потери до суммы оценочного резерва под ожидаемые кредитные убытки, всего, в том числе:</t>
  </si>
  <si>
    <t>100.6.8.1</t>
  </si>
  <si>
    <t>остатки на балансовых счетах по учету доходов, нераспределенной прибыли, остатки, увеличивающие добавочный капитал, обусловленные корректировками и переоценкой, увеличивающими (уменьшающими) стоимость финансовых активов и финансовых обязательств, а также корректировками сформированного резерва на возможные потери до суммы оценочного резерва под ожидаемые кредитные убытки</t>
  </si>
  <si>
    <t>100.6.8.2</t>
  </si>
  <si>
    <t>остатки на балансовых счетах по учету расходов, непокрытого убытка, остатки, уменьшающие добавочный капитал, обусловленные корректировками и переоценкой, увеличивающими (уменьшающими) стоимость финансовых активов и финансовых обязательств, а также корректировками сформированного резерва на возможные потери до суммы оценочного резерва под ожидаемые кредитные убытки</t>
  </si>
  <si>
    <t>100.7</t>
  </si>
  <si>
    <t>Справочно: включенные в расчет базового капитала источники, в которые кредитная организация осуществила косвенные вложения, исходя из критерия существенности</t>
  </si>
  <si>
    <t>101.7.7</t>
  </si>
  <si>
    <t>101.7.8</t>
  </si>
  <si>
    <t>101.7.8.1</t>
  </si>
  <si>
    <t>101.7.8.2</t>
  </si>
  <si>
    <t>101.8.7</t>
  </si>
  <si>
    <t>101.8.8</t>
  </si>
  <si>
    <t>101.8.8.1</t>
  </si>
  <si>
    <t>101.8.8.2</t>
  </si>
  <si>
    <t>103.5</t>
  </si>
  <si>
    <t>Справочно: включенные в расчет добавочного капитала источники, в которые кредитная организация осуществила косвенные вложения, исходя из критерия существенности</t>
  </si>
  <si>
    <t>200.5.7</t>
  </si>
  <si>
    <t>200.5.8</t>
  </si>
  <si>
    <t>200.5.8.1</t>
  </si>
  <si>
    <t>остатки на балансовых счетах по учету доходов, увеличивающие добавочный капитал, обусловленные корректировками и переоценкой, увеличивающими (уменьшающими) стоимость финансовых активов и финансовых обязательств, а также корректировками сформированного резерва на возможные потери до суммы оценочного резерва под ожидаемые кредитные убытки</t>
  </si>
  <si>
    <t>200.5.8.2</t>
  </si>
  <si>
    <t>остатки на балансовых счетах по учету расходов, уменьшающие добавочный капитал, обусловленные корректировками и переоценкой, увеличивающими (уменьшающими) стоимость финансовых активов и финансовых обязательств, а также корректировками сформированного резерва на возможные потери до суммы оценочного резерва под ожидаемые кредитные убытки</t>
  </si>
  <si>
    <t>200.6.7</t>
  </si>
  <si>
    <t>200.6.8</t>
  </si>
  <si>
    <t>200.6.8.1</t>
  </si>
  <si>
    <t>200.6.8.2</t>
  </si>
  <si>
    <t>200.7.2.1.1</t>
  </si>
  <si>
    <t>справочно: сумма субординированного инструмента, предоставленного в соответствии с Федеральным законом № 173-ФЗ и (или) в рамках реализации участия государственной корпорации "Агентство по страхованию вкладов" в осуществлении мер по предупреждению банкротства банка в соответствии с Федеральным законом № 127-ФЗ, не соответствующего требованиям Положения Банка России № 646-П, сложившаяся по состоянию на 1 января 2018 года</t>
  </si>
  <si>
    <t>200.10</t>
  </si>
  <si>
    <t>Справочно: включенные в расчет дополнительного капитала источники, в которые кредитная организация осуществила косвенные вложения, исходя из критерия существенности</t>
  </si>
  <si>
    <t>Вложения кредитной организации в инструменты, обеспечивающие СПУ ГСЗБ, всего, в том числе:</t>
  </si>
  <si>
    <t>несущественные вложения кредитной организации в инструменты, обеспечивающие СПУ ГСЗБ</t>
  </si>
  <si>
    <t>существенные вложения кредитной организации в инструменты, обеспечивающие СПУ ГСЗБ</t>
  </si>
  <si>
    <t>201.8</t>
  </si>
  <si>
    <t>Вложения, превышающие сумму источников основного и дополнительного капитала, в приобретение (аренду) основных средств (в том числе земли), сооружение (строительство) и создание (изготовление) основных средств, в недвижимость, временно не используемую в основной деятельности, в сооружение (строительство) объектов недвижимости, временно не используемой в основной деятельности, долгосрочные активы, предназначенные для продажи, а также запасы (за исключением изданий):</t>
  </si>
  <si>
    <t>ПАО "АК Барс Банк"</t>
  </si>
  <si>
    <t>8а</t>
  </si>
  <si>
    <t>Чистые доходы от операций с ценными бумагами, имеющимися в наличии для продажи</t>
  </si>
  <si>
    <t>9а</t>
  </si>
  <si>
    <t>Чистые доходы от операций с ценными бумагами, удерживаемыми до погашения</t>
  </si>
  <si>
    <t>16а</t>
  </si>
  <si>
    <t>Коды с 2021…</t>
  </si>
  <si>
    <t>Коды по 2020</t>
  </si>
  <si>
    <t>Чистые денежные средства, полученные от (использованные в) операционной деятельности</t>
  </si>
  <si>
    <t>Денежные средства, полученные от (использованные в) операционной деятельности до изменений в операционных активах и обязательствах, всего, в том числе:</t>
  </si>
  <si>
    <t>1.1.1</t>
  </si>
  <si>
    <t>проценты полученные</t>
  </si>
  <si>
    <t>1.1.2</t>
  </si>
  <si>
    <t>проценты уплаченные</t>
  </si>
  <si>
    <t>1.1.3</t>
  </si>
  <si>
    <t>комиссии полученные</t>
  </si>
  <si>
    <t>1.1.4</t>
  </si>
  <si>
    <t>комиссии уплаченные</t>
  </si>
  <si>
    <t>1.1.5</t>
  </si>
  <si>
    <t>доходы за вычетом расходов по операциям с финансовыми активами, оцениваемыми по справедливой стоимости через прибыль или убыток, через прочий совокупный доход</t>
  </si>
  <si>
    <t>1.1.6</t>
  </si>
  <si>
    <t>доходы за вычетом расходов по операциям с ценными бумагами, оцениваемыми по амортизированной стоимости</t>
  </si>
  <si>
    <t>1.1.7</t>
  </si>
  <si>
    <t>доходы за вычетом расходов по операциям с иностранной валютой</t>
  </si>
  <si>
    <t>1.1.8</t>
  </si>
  <si>
    <t>прочие операционные доходы</t>
  </si>
  <si>
    <t>1.1.9</t>
  </si>
  <si>
    <t>операционные расходы</t>
  </si>
  <si>
    <t>1.1.10</t>
  </si>
  <si>
    <t>расход (возмещение) по налогам</t>
  </si>
  <si>
    <t>Прирост (снижение) чистых денежных средств от операционных активов и обязательств, всего, в том числе:</t>
  </si>
  <si>
    <t>1.2.1</t>
  </si>
  <si>
    <t>чистый прирост (снижение) по обязательным резервам на счетах в Банке России</t>
  </si>
  <si>
    <t>1.2.2</t>
  </si>
  <si>
    <t>чистый прирост (снижение) по финансовым активам, оцениваемым по справедливой стоимости через прибыль или убыток</t>
  </si>
  <si>
    <t>1.2.3</t>
  </si>
  <si>
    <t>чистый прирост (снижение) по ссудной задолженности</t>
  </si>
  <si>
    <t>1.2.4</t>
  </si>
  <si>
    <t>чистый прирост (снижение) по прочим активам</t>
  </si>
  <si>
    <t>1.2.5</t>
  </si>
  <si>
    <t>чистый прирост (снижение) по кредитам, депозитам и прочим средствам Банка России</t>
  </si>
  <si>
    <t>1.2.6</t>
  </si>
  <si>
    <t>чистый прирост (снижение) по средствам других кредитных организаций</t>
  </si>
  <si>
    <t>1.2.7</t>
  </si>
  <si>
    <t>чистый прирост (снижение) по средствам клиентов, не являющихся кредитными организациями</t>
  </si>
  <si>
    <t>1.2.8</t>
  </si>
  <si>
    <t>чистый прирост (снижение) по финансовым обязательствам, оцениваемым по справедливой стоимости через прибыль или убыток</t>
  </si>
  <si>
    <t>1.2.9</t>
  </si>
  <si>
    <t>чистый прирост (снижение) по выпущенным долговым обязательствам</t>
  </si>
  <si>
    <t>1.2.10</t>
  </si>
  <si>
    <t>чистый прирост (снижение) по прочим обязательствам</t>
  </si>
  <si>
    <t>Итого (сумма строк 1.1 и 1.2)</t>
  </si>
  <si>
    <t>Чистые денежные средства, полученные от (использованные в) инвестиционной деятельности</t>
  </si>
  <si>
    <t>Приобретение финансовых активов, оцениваемых по справедливой стоимости через прочий совокупный доход</t>
  </si>
  <si>
    <t>Выручка от реализации и погашения финансовых активов, оцениваемых по справедливой стоимости через прочий совокупный доход</t>
  </si>
  <si>
    <t>Приобретение ценных бумаг, оцениваемых по амортизированной стоимости</t>
  </si>
  <si>
    <t>Выручка от погашения ценных бумаг, оцениваемых по амортизированной стоимости</t>
  </si>
  <si>
    <t>Приобретение основных средств, нематериальных активов и материальных запасов</t>
  </si>
  <si>
    <t>Выручка от реализации основных средств, нематериальных активов и материальных запасов</t>
  </si>
  <si>
    <t>2.7</t>
  </si>
  <si>
    <t>Дивиденды полученные</t>
  </si>
  <si>
    <t>2.8</t>
  </si>
  <si>
    <t>Итого (сумма строк с 2.1 по 2.7)</t>
  </si>
  <si>
    <t>Чистые денежные средства, полученные от (использованные в) финансовой деятельности</t>
  </si>
  <si>
    <t>Взносы акционеров (участников) в уставный капитал</t>
  </si>
  <si>
    <t>Приобретение собственных акций (долей), выкупленных у акционеров (участников)</t>
  </si>
  <si>
    <t>3.3</t>
  </si>
  <si>
    <t>Продажа собственных акций (долей), выкупленных у акционеров (участников)</t>
  </si>
  <si>
    <t>3.4</t>
  </si>
  <si>
    <t>3.5</t>
  </si>
  <si>
    <t>Итого (сумма строк с 3.1 по 3.4)</t>
  </si>
  <si>
    <t>Влияние изменений курсов иностранных валют, установленных Банком России, на денежные средства и их эквиваленты</t>
  </si>
  <si>
    <t>Прирост (использование) денежных средств и их эквивалентов</t>
  </si>
  <si>
    <t>Денежные средства и их эквиваленты на начало отчетного года</t>
  </si>
  <si>
    <t>Денежные средства и их эквиваленты на конец отчетного периода</t>
  </si>
  <si>
    <t>Коды 2015-2020</t>
  </si>
  <si>
    <t>финансовый результат от операций с ПФИ:</t>
  </si>
  <si>
    <t>реализованный</t>
  </si>
  <si>
    <t>нереализованный</t>
  </si>
  <si>
    <t>100.5.2.1</t>
  </si>
  <si>
    <t>с Положением Банка России N 254-П</t>
  </si>
  <si>
    <t>100.5.2.2</t>
  </si>
  <si>
    <t>с Положением Банка России N 283-П</t>
  </si>
  <si>
    <t>100.5.2.3</t>
  </si>
  <si>
    <t>с Указанием Банка России N 1584-У</t>
  </si>
  <si>
    <t>100.5.2.4</t>
  </si>
  <si>
    <t>с Указанием Банка России N 2732-У</t>
  </si>
  <si>
    <t>переоценка ценных бумаг, текущая (справедливая) стоимость которых определяется иначе, чем средневзвешенная цена, раскрываемая организатором торговли на рынке ценных бумаг</t>
  </si>
  <si>
    <t>100.6.2.1</t>
  </si>
  <si>
    <t>100.6.2.2</t>
  </si>
  <si>
    <t>100.6.2.3</t>
  </si>
  <si>
    <t>100.6.2.4</t>
  </si>
  <si>
    <t>Сумма источников базового капитала, итого</t>
  </si>
  <si>
    <t>Вложения в собственные обыкновенные акции и привилегированные акции, всего, в том числе:</t>
  </si>
  <si>
    <t>косвенные (через третьих лиц) вложения за счет денежных средств (в том числе за счет ссуды) и (или) иного имущества, предоставленного самой кредитной организацией, и (или) имущества, предоставленного третьими лицами, в случае если кредитная организация прямо или косвенно (через третьих лиц) приняла на себя риски, возникшие в связи с предоставлением указанного имущества</t>
  </si>
  <si>
    <t>вложения в паи паевых инвестиционных фондов</t>
  </si>
  <si>
    <t>перешедшие к кредитной организации доли участников, подавших заявление о выходе из состава участников кредитной организации в организационно-правовой форме общества с ограниченной (или дополнительной) ответственностью в соответствии со статьей 26 Федерального закона N 14-ФЗ</t>
  </si>
  <si>
    <t>101.8.2.1</t>
  </si>
  <si>
    <t>101.8.2.2</t>
  </si>
  <si>
    <t>101.8.2.3</t>
  </si>
  <si>
    <t>101.8.2.4</t>
  </si>
  <si>
    <t>101.9.2.1</t>
  </si>
  <si>
    <t>101.9.2.2</t>
  </si>
  <si>
    <t>101.9.2.3</t>
  </si>
  <si>
    <t>101.9.2.4</t>
  </si>
  <si>
    <t>Сумма показателей, уменьшающих сумму источников базового капитала, итого</t>
  </si>
  <si>
    <t>Субординированный кредит (депозит, заем, облигационный заем) без ограничения срока привлечения, всего, в том числе:</t>
  </si>
  <si>
    <t>субординированный кредит (депозит, заем, облигационный заем), привлеченный в соответствии с правом иностранного государства</t>
  </si>
  <si>
    <t>103.4.2</t>
  </si>
  <si>
    <t>субординированный кредит (депозит, заем), привлеченный не менее чем на 50 лет</t>
  </si>
  <si>
    <t>Сумма источников добавочного капитала, итого</t>
  </si>
  <si>
    <t>104.3.1.1</t>
  </si>
  <si>
    <t>собственные акции (доли) участников, приобретенные (выкупленные) кредитной организацией у акционеров (участников)</t>
  </si>
  <si>
    <t>104.8</t>
  </si>
  <si>
    <t>Сумма показателей, уменьшающих сумму источников добавочного капитала, итого</t>
  </si>
  <si>
    <t>200.5.2.1</t>
  </si>
  <si>
    <t>200.5.2.2</t>
  </si>
  <si>
    <t>200.5.2.3</t>
  </si>
  <si>
    <t>200.5.2.4</t>
  </si>
  <si>
    <t>200.6.2.1</t>
  </si>
  <si>
    <t>200.6.2.2</t>
  </si>
  <si>
    <t>200.6.2.3</t>
  </si>
  <si>
    <t>200.6.2.4</t>
  </si>
  <si>
    <t>субординированные кредиты (депозиты, займы), привлеченные до 1 марта 2013 года, облигационные займы, размещенные до 1 марта 2013 года</t>
  </si>
  <si>
    <t>субординированные кредиты, предоставленные в соответствии с Федеральным законом N 173-ФЗ и Федеральным законом N 175-ФЗ</t>
  </si>
  <si>
    <t>косвенные (через третьих лиц) вложения за счет денежных средств (имущества), предоставленного самой кредитной организацией, и (или) имущества, предоставленного другими лицами, в случае, если кредитная организация прямо или косвенно (через третьих лиц) приняла на себя риски, возникшие в связи с предоставлением указанного имущества</t>
  </si>
  <si>
    <t>Субординированные кредиты (депозиты, займы, облигационные займы), в том числе субординированные займы с дополнительными условиями, предоставленные финансовым организациям - резидентам, а также финансовым организациям - нерезидентам, всего,в том числе:</t>
  </si>
  <si>
    <t>201.3.1.1</t>
  </si>
  <si>
    <t>превышающие сумму источников основного и дополнительного капитала вложения в сооружение (строительство), создание (изготовление) и приобретение основных средств, стоимость основных средств (за вычетом начисленной амортизации и фактически израсходованных на строительство кредитной организацией - застройщиком средств, поступивших от участников долевого строительства), а также материальных запасов (за исключением изданий), в том числе переданных в доверительное управление (приобретенных доверительным управляющим)</t>
  </si>
  <si>
    <t>Сумма показателей, уменьшающих сумму источников дополнительного капитала, итого</t>
  </si>
  <si>
    <t>Показатели, определенные в соответствии с пунктом 4 Положения Банка России N 395-П:</t>
  </si>
  <si>
    <t>в сооружение (строительство), создание (изготовление) и приобретение (аренду) основных средств, стоимость основных средств, а также материальных запасов</t>
  </si>
  <si>
    <t>в паи паевых инвестиционных фондов недвижимости</t>
  </si>
  <si>
    <t>в активы, переданные в доверительное управление</t>
  </si>
  <si>
    <t>202.5</t>
  </si>
  <si>
    <t>Сумма показателей, определенных в соответствии с пунктом 4 Положения Банка России N 395-П, итого</t>
  </si>
  <si>
    <t>Коды 2015-2018</t>
  </si>
  <si>
    <t>Коды 2019-2021</t>
  </si>
  <si>
    <t>Форма 123</t>
  </si>
  <si>
    <t>Форма 808</t>
  </si>
  <si>
    <t>Наименование инструмента (показателя)</t>
  </si>
  <si>
    <t>Источники базового капитала</t>
  </si>
  <si>
    <t>Уставный капитал и эмиссионный доход, всего, в том числе сформированный:</t>
  </si>
  <si>
    <t>обыкновенными акциями (долями)</t>
  </si>
  <si>
    <t>привилегированными акциями</t>
  </si>
  <si>
    <t>Нераспределенная прибыль (убыток):</t>
  </si>
  <si>
    <t>Доли уставного капитала, подлежащие поэтапному исключению из расчета собственных средств (капитала)</t>
  </si>
  <si>
    <t>Инструменты базового капитала дочерних организаций, принадлежащие третьим сторонам</t>
  </si>
  <si>
    <t>Источники базового капитала, итого (строка 1 +/– строка 2 + строка 3 – строка 4 + строка 5)</t>
  </si>
  <si>
    <t>Показатели, уменьшающие источники базового капитала</t>
  </si>
  <si>
    <t>Корректировка стоимости финансового инструмента</t>
  </si>
  <si>
    <t>Деловая репутация (гудвил) за вычетом отложенных налоговых обязательств</t>
  </si>
  <si>
    <t>Нематериальные активы (кроме деловой репутации и сумм прав по обслуживанию ипотечных кредитов) за вычетом отложенных налоговых обязательств</t>
  </si>
  <si>
    <t>Отложенные налоговые активы, зависящие от будущей прибыли</t>
  </si>
  <si>
    <t>Резервы хеджирования денежных потоков</t>
  </si>
  <si>
    <t>Недосозданные резервы на возможные потери</t>
  </si>
  <si>
    <t>Доход от сделок секьюритизации</t>
  </si>
  <si>
    <t>Доходы и расходы, связанные с изменением кредитного риска по обязательствам, оцениваемым по справедливой стоимости</t>
  </si>
  <si>
    <t>Активы пенсионного плана с установленными выплатами</t>
  </si>
  <si>
    <t>Вложения в собственные акции (доли)</t>
  </si>
  <si>
    <t>Встречные вложения кредитной организации и финансовой организации в инструменты базового капитала</t>
  </si>
  <si>
    <t>Несущественные вложения в инструменты базового капитала финансовых организаций</t>
  </si>
  <si>
    <t>Существенные вложения в инструменты базового капитала финансовых организаций</t>
  </si>
  <si>
    <t>Права по обслуживанию ипотечных кредитов</t>
  </si>
  <si>
    <t>Отложенные налоговые активы, не зависящие от будущей прибыли</t>
  </si>
  <si>
    <t>Совокупная сумма существенных вложений и отложенных налоговых активов в части, превышающей 15 процентов от величины базового капитала, всего, в том числе:</t>
  </si>
  <si>
    <t>существенные вложения в инструменты базового капитала финансовых организаций</t>
  </si>
  <si>
    <t>права по обслуживанию ипотечных кредитов</t>
  </si>
  <si>
    <t>отложенные налоговые активы, не зависящие от будущей прибыли</t>
  </si>
  <si>
    <t>Иные показатели, уменьшающие источники базового капитала, установленные Банком России</t>
  </si>
  <si>
    <t>Показатели, уменьшающие источники базового капитала, итого (сумма строк 7–22, 26 и 27)</t>
  </si>
  <si>
    <t>Базовый капитал, итого (строка 6 – строка 28)</t>
  </si>
  <si>
    <t>Источники добавочного капитала</t>
  </si>
  <si>
    <t>Инструменты добавочного капитала и эмиссионный доход, всего, в том числе:</t>
  </si>
  <si>
    <t>классифицируемые как капитал</t>
  </si>
  <si>
    <t>классифицируемые как обязательства</t>
  </si>
  <si>
    <t>Инструменты добавочного капитала, подлежащие поэтапному исключению из расчета собственных средств (капитала)</t>
  </si>
  <si>
    <t>Инструменты добавочного капитала дочерних организаций, принадлежащие третьим сторонам, всего, в том числе:</t>
  </si>
  <si>
    <t>инструменты добавочного капитала дочерних организаций, подлежащие поэтапному исключению из расчета собственных средств (капитала)</t>
  </si>
  <si>
    <t>Источники добавочного капитала, итого (строка 30 + строка 33 + строка 34)</t>
  </si>
  <si>
    <t>Показатели, уменьшающие источники добавочного капитала</t>
  </si>
  <si>
    <t>Вложения в собственные инструменты добавочного капитала</t>
  </si>
  <si>
    <t>Встречные вложения кредитной организации и финансовой организации в инструменты добавочного капитала</t>
  </si>
  <si>
    <t>Несущественные вложения в инструменты добавочного капитала финансовых организаций</t>
  </si>
  <si>
    <t>40</t>
  </si>
  <si>
    <t>Существенные вложения в инструменты добавочного капитала финансовых организаций</t>
  </si>
  <si>
    <t>41</t>
  </si>
  <si>
    <t>Иные показатели, уменьшающие источники добавочного капитала, установленные Банком России</t>
  </si>
  <si>
    <t>42</t>
  </si>
  <si>
    <t>43</t>
  </si>
  <si>
    <t>Показатели, уменьшающие источники добавочного капитала, итого (сумма строк 37–42)</t>
  </si>
  <si>
    <t>44</t>
  </si>
  <si>
    <t>Добавочный капитал, итого (строка 36 – строка 43)</t>
  </si>
  <si>
    <t>45</t>
  </si>
  <si>
    <t>Основной капитал, итого (строка 29 + строка 44)</t>
  </si>
  <si>
    <t>Источники дополнительного капитала</t>
  </si>
  <si>
    <t>46</t>
  </si>
  <si>
    <t>Инструменты дополнительного капитала и эмиссионный доход</t>
  </si>
  <si>
    <t>47</t>
  </si>
  <si>
    <t>Инструменты дополнительного капитала, подлежащие поэтапному исключению из расчета собственных средств (капитала)</t>
  </si>
  <si>
    <t>48</t>
  </si>
  <si>
    <t>Инструменты дополнительного капитала дочерних организаций, принадлежащие третьим сторонам, всего, в том числе:</t>
  </si>
  <si>
    <t>49</t>
  </si>
  <si>
    <t>инструменты дополнительного капитала дочерних организаций, подлежащие поэтапному исключению из расчета собственных средств (капитала)</t>
  </si>
  <si>
    <t>50</t>
  </si>
  <si>
    <t>Резервы на возможные потери</t>
  </si>
  <si>
    <t>51</t>
  </si>
  <si>
    <t>Источники дополнительного капитала, итого (строка 46 + строка 47 + строка 48 + строка 50)</t>
  </si>
  <si>
    <t>Показатели, уменьшающие источники дополнительного капитала</t>
  </si>
  <si>
    <t>52</t>
  </si>
  <si>
    <t>Вложения в собственные инструменты дополнительного капитала</t>
  </si>
  <si>
    <t>53</t>
  </si>
  <si>
    <t>Встречные вложения кредитной организации и финансовой организации в инструменты дополнительного капитала</t>
  </si>
  <si>
    <t>54</t>
  </si>
  <si>
    <t>Несущественные вложения в инструменты дополнительного капитала и иные инструменты, обеспечивающие общую способность к поглощению убытков финансовых организаций</t>
  </si>
  <si>
    <t>54а</t>
  </si>
  <si>
    <t>вложения в иные инструменты, обеспечивающие общую способность к поглощению убытков финансовых организаций</t>
  </si>
  <si>
    <t>55</t>
  </si>
  <si>
    <t>Существенные вложения в инструменты дополнительного капитала и иные инструменты, обеспечивающие общую способность к поглощению убытков финансовых организаций</t>
  </si>
  <si>
    <t>56</t>
  </si>
  <si>
    <t>Иные показатели, уменьшающие источники дополнительного капитала, установленные Банком России, всего, в том числе:</t>
  </si>
  <si>
    <t>56.1</t>
  </si>
  <si>
    <t>просроченная дебиторская задолженность длительностью свыше 30 календарных дней</t>
  </si>
  <si>
    <t>56.2</t>
  </si>
  <si>
    <t>превышение совокупной суммы кредитов, банковских гарантий и поручительств, предоставленных своим акционерам (участникам) и инсайдерам, над ее максимальным размером</t>
  </si>
  <si>
    <t>56.3</t>
  </si>
  <si>
    <t>вложения в создание и приобретение основных средств и материальных запасов</t>
  </si>
  <si>
    <t>56.4</t>
  </si>
  <si>
    <t>57</t>
  </si>
  <si>
    <t>Показатели, уменьшающие источники дополнительного капитала, итого (сумма строк с 52 по 56)</t>
  </si>
  <si>
    <t>58</t>
  </si>
  <si>
    <t>Дополнительный капитал, итого (строка 51 – строка 57)</t>
  </si>
  <si>
    <t>59</t>
  </si>
  <si>
    <t>Собственные средства (капитал), итого (строка 45 + строка 58)</t>
  </si>
  <si>
    <t>60</t>
  </si>
  <si>
    <t>Активы, взвешенные по уровню риска:</t>
  </si>
  <si>
    <t>60.1</t>
  </si>
  <si>
    <t>необходимые для определения достаточности базового капитала</t>
  </si>
  <si>
    <t>60.2</t>
  </si>
  <si>
    <t>необходимые для определения достаточности основного капитала</t>
  </si>
  <si>
    <t>60.3</t>
  </si>
  <si>
    <t>необходимые для определения достаточности собственных средств (капитала)</t>
  </si>
  <si>
    <t>Показатели достаточности собственных средств (капитала) и надбавки к нормативам достаточности собственных средств (капитала), процент</t>
  </si>
  <si>
    <t>61</t>
  </si>
  <si>
    <t>Достаточность базового капитала (строка 29 : строка 60.1)</t>
  </si>
  <si>
    <t>62</t>
  </si>
  <si>
    <t>Достаточность основного капитала (строка 45 : строка 60.2)</t>
  </si>
  <si>
    <t>63</t>
  </si>
  <si>
    <t>Достаточность собственных средств (капитала) (строка 59 : строка 60.3)</t>
  </si>
  <si>
    <t>64</t>
  </si>
  <si>
    <t>Надбавки к нормативу достаточности базового капитала, всего, в том числе:</t>
  </si>
  <si>
    <t>65</t>
  </si>
  <si>
    <t>надбавка поддержания достаточности капитала</t>
  </si>
  <si>
    <t>66</t>
  </si>
  <si>
    <t>антициклическая надбавка</t>
  </si>
  <si>
    <t>67</t>
  </si>
  <si>
    <t>надбавка за системную значимость банков</t>
  </si>
  <si>
    <t>68</t>
  </si>
  <si>
    <t>Базовый капитал, доступный для направления на поддержание надбавок к нормативам достаточности собственных средств (капитала)</t>
  </si>
  <si>
    <t>Нормативы достаточности собственных средств (капитала), процент</t>
  </si>
  <si>
    <t>69</t>
  </si>
  <si>
    <t>Норматив достаточности базового капитала</t>
  </si>
  <si>
    <t>70</t>
  </si>
  <si>
    <t>Норматив достаточности основного капитала</t>
  </si>
  <si>
    <t>71</t>
  </si>
  <si>
    <t>Норматив достаточности собственных средств (капитала)</t>
  </si>
  <si>
    <t>Показатели, не превышающие установленные пороги существенности и не принимаемые в уменьшение источников капитала</t>
  </si>
  <si>
    <t>72</t>
  </si>
  <si>
    <t>Несущественные вложения в инструменты капитала и иные инструменты, обеспечивающие общую способность к поглощению убытков финансовых организаций</t>
  </si>
  <si>
    <t>73</t>
  </si>
  <si>
    <t>74</t>
  </si>
  <si>
    <t>75</t>
  </si>
  <si>
    <t>Ограничения на включения в расчет дополнительного капитала резервов на возможные потери</t>
  </si>
  <si>
    <t>76</t>
  </si>
  <si>
    <t>Резервы на возможные потери, включаемые в расчет дополнительного капитала, в отношении позиций, для расчета кредитного риска по которым применяется стандартизированный подход</t>
  </si>
  <si>
    <t>77</t>
  </si>
  <si>
    <t>Ограничения на включение в расчет дополнительного капитала сумм резервов на возможные потери при использовании стандартизированного подхода</t>
  </si>
  <si>
    <t>78</t>
  </si>
  <si>
    <t>Резервы на возможные потери, включаемые в расчет дополнительного капитала, в отношении позиций, для расчета кредитного риска по которым применяется подход на основе внутренних моделей</t>
  </si>
  <si>
    <t>79</t>
  </si>
  <si>
    <t>Ограничения на включение в расчет дополнительного капитала сумм резервов на возможные потери при использовании подхода на основе внутренних моделей</t>
  </si>
  <si>
    <t>Инструменты, подлежащие поэтапному исключению из расчета собственных средств (капитала) (применяется с 1 января 2018 года по 1 января 2022 года)</t>
  </si>
  <si>
    <t>80</t>
  </si>
  <si>
    <t>Текущее ограничение на включение в состав источников базового капитала инструментов, подлежащих поэтапному исключению из расчета собственных средств (капитала)</t>
  </si>
  <si>
    <t>81</t>
  </si>
  <si>
    <t>Часть инструментов, не включенная в состав источников базового капитала вследствие ограничения</t>
  </si>
  <si>
    <t>82</t>
  </si>
  <si>
    <t>Текущее ограничение на включение в состав источников добавочного капитала инструментов, подлежащих поэтапному исключению из расчета собственных средств (капитала)</t>
  </si>
  <si>
    <t>83</t>
  </si>
  <si>
    <t>Часть инструментов, не включенная в состав источников добавочного капитала вследствие ограничения</t>
  </si>
  <si>
    <t>84</t>
  </si>
  <si>
    <t>Текущее ограничение на включение в состав источников дополнительного капитала инструментов, подлежащих поэтапному исключению из расчета собственных средств (капитала)</t>
  </si>
  <si>
    <t>85</t>
  </si>
  <si>
    <t>Часть инструментов, не включенная в состав источников дополнительного капитала вследствие ограничения</t>
  </si>
  <si>
    <t>Базовый капитал, итого (строка 6 - строка 28)</t>
  </si>
  <si>
    <t>Источники добавочного капитала, итого (строка 30 + строка 33 + строка 34)</t>
  </si>
  <si>
    <t>Показатели, уменьшающие источники добавочного капитала, итого (сумма строк 37-42)</t>
  </si>
  <si>
    <t>Добавочный капитал, итого (строка 36 - строка 43)</t>
  </si>
  <si>
    <t>Основной капитал, итого (строка 29 + строка 44)</t>
  </si>
  <si>
    <t>Вложения в иные инструменты, обеспечивающие общую способность к поглощению убытков финансовых организаций</t>
  </si>
  <si>
    <t>Показатели, уменьшающие источники дополнительного капитала, итого (сумма строк 52-56)</t>
  </si>
  <si>
    <t>Собственные средства (капитал), итого (строка 45 + строка 58)</t>
  </si>
  <si>
    <t>Источники базового капитала, итого (строка 1 +/- строка 2 + строка 3 - строка 4 + строка 5)</t>
  </si>
  <si>
    <t>Показатели, уменьшающие источники базового капитала, итого (сумма строк 7-22, 26 и 27)</t>
  </si>
  <si>
    <t>Источники дополнительного капитала, итого (строка 46 + строка 47 + строка 48 + строка 50)</t>
  </si>
  <si>
    <t>Дополнительный капитал, итого (строка 51 - строка 57)</t>
  </si>
  <si>
    <t xml:space="preserve"> Информация об уровне достаточности капитала (форма 808)</t>
  </si>
  <si>
    <t>Уставный капитал и эмиссионный доход, всего, в том числе, сформированный:</t>
  </si>
  <si>
    <t>Источники базового капитала, итого: (строка 1 +/– строка 2 + строка 3 - строка 4 + строка 5)</t>
  </si>
  <si>
    <t>Корректировка торгового портфеля</t>
  </si>
  <si>
    <t>Деловая репутация (Гудвил) за вычетом отложенных налоговых обязательств</t>
  </si>
  <si>
    <t>Взаимное перекрестное владение акциями (долями)</t>
  </si>
  <si>
    <t>Иные показатели, уменьшающие источники базового капитала, установленные Банком России, всего, в том числе:</t>
  </si>
  <si>
    <t>26.1</t>
  </si>
  <si>
    <t>показатели, подлежащие поэтапному исключению из расчета собственных средств (капитала)</t>
  </si>
  <si>
    <t>Показатели, уменьшающие источники базового капитала, итого: (сумма строк с 7 по 22 и строк 26 и 27)</t>
  </si>
  <si>
    <t>Базовый капитал, итого: (строка 6 – строка 28)</t>
  </si>
  <si>
    <t>Источники добавочного капитала, итого: (строка 30 + строка 33 + строка 34)</t>
  </si>
  <si>
    <t>Взаимное перекрестное владение инструментами добавочного капитала</t>
  </si>
  <si>
    <t>Иные показатели, уменьшающие источники добавочного капитала, установленные Банком России, всего, в том числе:</t>
  </si>
  <si>
    <t>41.1</t>
  </si>
  <si>
    <t>Показатели, подлежащие поэтапному исключению из расчета собственных средств (капитала), всего, из них:</t>
  </si>
  <si>
    <t>41.1.1</t>
  </si>
  <si>
    <t>41.1.2</t>
  </si>
  <si>
    <t>собственные акции (доли), приобретенные (выкупленные) у акционеров (участников)</t>
  </si>
  <si>
    <t>41.1.3</t>
  </si>
  <si>
    <t>акции (доли) дочерних и зависимых финансовых организаций и кредитных организаций–резидентов</t>
  </si>
  <si>
    <t>41.1.4</t>
  </si>
  <si>
    <t>источники собственных средств, для формирования которых использованы ненадлежащие активы</t>
  </si>
  <si>
    <t>41.1.5</t>
  </si>
  <si>
    <t>отрицательная величина дополнительного капитала, сложившаяся в связи с корректировкой величины собственных средств (капитала) на сумму источников дополнительного капитала, сформированных  с использованием инвесторами ненадлежащих активов</t>
  </si>
  <si>
    <t>Показатели, уменьшающие источники добавочного капитала, итого: (сумма строк с 37 по 42)</t>
  </si>
  <si>
    <t>Добавочный капитал, итого: (строка 36 – строка 43)</t>
  </si>
  <si>
    <t>Основной капитал, итого: (строка 29 + строка 44)</t>
  </si>
  <si>
    <t>Источники дополнительного капитала, итого: (строка 46 + строка 47 + строка 48 + строка 50)</t>
  </si>
  <si>
    <t>Взаимное перекрестное владение инструментами дополнительного капитала</t>
  </si>
  <si>
    <t>Несущественные вложения в инструменты дополнительного капитала финансовых организаций</t>
  </si>
  <si>
    <t>Существенные вложения в инструменты дополнительного капитала финансовых организаций</t>
  </si>
  <si>
    <t>56.1.1</t>
  </si>
  <si>
    <t>источники капитала, для формирования которых инвесторами использованы ненадлежащие активы</t>
  </si>
  <si>
    <t>56.1.2</t>
  </si>
  <si>
    <t>56.1.3</t>
  </si>
  <si>
    <t>субординированные кредиты,  предоставленные кредитным организациям – резидентам</t>
  </si>
  <si>
    <t>56.1.4</t>
  </si>
  <si>
    <t>56.1.5</t>
  </si>
  <si>
    <t>вложения в сооружение и приобретение основных средств и материальных запасов</t>
  </si>
  <si>
    <t>56.1.6</t>
  </si>
  <si>
    <t>Показатели, уменьшающие источники дополнительного капитала, итого: (сумма строк с 52 по 56)</t>
  </si>
  <si>
    <t>Дополнительный капитал, итого: (строка 51 – строка 57)</t>
  </si>
  <si>
    <t>Собственные средства (капитал), итого: (строка 45 + строка 58)</t>
  </si>
  <si>
    <t>подлежащие поэтапному исключению из расчета собственных средств (капитала)</t>
  </si>
  <si>
    <t>60.4</t>
  </si>
  <si>
    <t>Достаточность базового капитала (строка 29/строка 60.2)</t>
  </si>
  <si>
    <t>Достаточность основного капитала (строка 45/строка 60.3)</t>
  </si>
  <si>
    <t>Достаточность собственных средств (капитала) (строка 59/строка 60.4)</t>
  </si>
  <si>
    <t>Надбавки к нормативам достаточности собственных средств (капитала), всего, в том числе:</t>
  </si>
  <si>
    <t>надбавка за  системную значимость банков</t>
  </si>
  <si>
    <t>Показатели, принимаемые в уменьшение источников капитала, не превышающие установленные пороги существенности</t>
  </si>
  <si>
    <t>Несущественные вложения в инструменты капитала финансовых организаций</t>
  </si>
  <si>
    <t>Существенные вложения в инструменты капитала финансовых организаций</t>
  </si>
  <si>
    <t>Коды с 2017</t>
  </si>
  <si>
    <t>Коды 2015-2016</t>
  </si>
  <si>
    <t>Иные показатели, уменьшающие источники базового капитала, установленные Банком России, в том числе:</t>
  </si>
  <si>
    <r>
      <t>Встречные вложения кредитной организации и финансовой организации в инструменты добавочного капитала (</t>
    </r>
    <r>
      <rPr>
        <sz val="12"/>
        <color rgb="FFFF0000"/>
        <rFont val="Arial"/>
        <family val="2"/>
        <charset val="204"/>
      </rPr>
      <t>до 2017 - Взаимное перекрестное владение инструментами добавочного капитала</t>
    </r>
    <r>
      <rPr>
        <sz val="12"/>
        <color theme="1"/>
        <rFont val="Arial"/>
        <family val="2"/>
        <charset val="204"/>
      </rPr>
      <t>)</t>
    </r>
  </si>
  <si>
    <r>
      <t>Корректировка стоимости финансового инструмента (</t>
    </r>
    <r>
      <rPr>
        <sz val="12"/>
        <color rgb="FFFF0000"/>
        <rFont val="Arial"/>
        <family val="2"/>
        <charset val="204"/>
      </rPr>
      <t>до 2017 - Корректировка торгового портфеля</t>
    </r>
    <r>
      <rPr>
        <sz val="12"/>
        <color theme="1"/>
        <rFont val="Arial"/>
        <family val="2"/>
        <charset val="204"/>
      </rPr>
      <t>)</t>
    </r>
  </si>
  <si>
    <r>
      <t>Встречные вложения кредитной организации и финансовой организации в инструменты базового капитала (</t>
    </r>
    <r>
      <rPr>
        <sz val="12"/>
        <color rgb="FFFF0000"/>
        <rFont val="Arial"/>
        <family val="2"/>
        <charset val="204"/>
      </rPr>
      <t>до 2017 - Взаимное перекрестное владение акциями (долями)</t>
    </r>
    <r>
      <rPr>
        <sz val="12"/>
        <color theme="1"/>
        <rFont val="Arial"/>
        <family val="2"/>
        <charset val="204"/>
      </rPr>
      <t>)</t>
    </r>
  </si>
  <si>
    <t>Иные показатели, уменьшающие источники добавочного капитала, установленные Банком России, в том числе:</t>
  </si>
  <si>
    <t>отрицательная величина дополнительного капитала, сложившаяся в связи с корректировкой величины собственных средств (капитала) на сумму источников дополнительного капитала, сформированных с использованием инвесторами ненадлежащих активов</t>
  </si>
  <si>
    <r>
      <t>Встречные вложения кредитной организации и финансовой организации в инструменты дополнительного капитала (</t>
    </r>
    <r>
      <rPr>
        <sz val="12"/>
        <color rgb="FFFF0000"/>
        <rFont val="Arial"/>
        <family val="2"/>
        <charset val="204"/>
      </rPr>
      <t>до 2017 - Взаимное перекрестное владение инструментами дополнительного капитала</t>
    </r>
    <r>
      <rPr>
        <sz val="12"/>
        <color theme="1"/>
        <rFont val="Arial"/>
        <family val="2"/>
        <charset val="204"/>
      </rPr>
      <t>)</t>
    </r>
  </si>
  <si>
    <t>субординированные кредиты, предоставленные кредитным организациям – резидентам</t>
  </si>
  <si>
    <t>Структура регуляторного капитала (форма 808)</t>
  </si>
  <si>
    <t>Анализ собственного капитала (форма 123)</t>
  </si>
  <si>
    <t>NB! Итого СК отличается от размера СК по форме 123</t>
  </si>
  <si>
    <t>Уставный капитал и эмиссионный доход</t>
  </si>
  <si>
    <t>НМА и деловая репутация (гудвилл)</t>
  </si>
  <si>
    <t>Иные показатели, уменьшающие источники базового капитала, установленные Банком Россиих</t>
  </si>
  <si>
    <t>РЕГУЛИРОВКА ИТОГА</t>
  </si>
  <si>
    <t>Инструменты добавочного капитала и эмиссионный доход</t>
  </si>
  <si>
    <t>Инструменты добавочного капитала дочерних организаций, принадлежащие третьим сторонам</t>
  </si>
  <si>
    <t>Иные показатели, уменьшающие источники дополнительного капитала, установленные Банком России</t>
  </si>
  <si>
    <t>Собственный капитал (форма 808), итого</t>
  </si>
  <si>
    <t>Собственный капитал (форма 123), итого</t>
  </si>
  <si>
    <t>2022 и далее - вручную</t>
  </si>
  <si>
    <t>Мультипликатор и доля РВА, %</t>
  </si>
  <si>
    <t>Мультипликатор (Балансовые активы / капитал бухгалтерский)</t>
  </si>
  <si>
    <t>Структура активов, взвешенных по риску (РВА)</t>
  </si>
  <si>
    <t>РВА для расчета достаточности собственного капитала</t>
  </si>
  <si>
    <r>
      <t>Прочие элементы (</t>
    </r>
    <r>
      <rPr>
        <b/>
        <sz val="12"/>
        <color rgb="FFC00000"/>
        <rFont val="Arial"/>
        <family val="2"/>
        <charset val="204"/>
      </rPr>
      <t>регулировка итога</t>
    </r>
    <r>
      <rPr>
        <sz val="12"/>
        <color theme="1"/>
        <rFont val="Arial"/>
        <family val="2"/>
        <charset val="204"/>
      </rPr>
      <t>)</t>
    </r>
  </si>
  <si>
    <t>Краткое наименование норматива</t>
  </si>
  <si>
    <t>2024</t>
  </si>
  <si>
    <t>Н1.1</t>
  </si>
  <si>
    <t>Н1.2</t>
  </si>
  <si>
    <t>Н1.3</t>
  </si>
  <si>
    <t>Н2</t>
  </si>
  <si>
    <t>Н3</t>
  </si>
  <si>
    <t>Н4</t>
  </si>
  <si>
    <t>Н15</t>
  </si>
  <si>
    <t>Н15.1</t>
  </si>
  <si>
    <t>Н16</t>
  </si>
  <si>
    <t>Н16.1</t>
  </si>
  <si>
    <t>Н16.2</t>
  </si>
  <si>
    <t>Н18</t>
  </si>
  <si>
    <t>Н1.4</t>
  </si>
  <si>
    <t>Н29</t>
  </si>
  <si>
    <t>Н9.1</t>
  </si>
  <si>
    <t>Коды</t>
  </si>
  <si>
    <r>
      <t xml:space="preserve">Норматив краткосрочной ликвидности банковской группы (Н26), банка (Н27) - </t>
    </r>
    <r>
      <rPr>
        <b/>
        <sz val="12"/>
        <color rgb="FF0000FF"/>
        <rFont val="Arial"/>
        <family val="2"/>
        <charset val="204"/>
      </rPr>
      <t>только СЗКО</t>
    </r>
  </si>
  <si>
    <r>
      <t xml:space="preserve">Норматив чистого стабильного фондирования банковской группы (Н28), банка (Н29) - </t>
    </r>
    <r>
      <rPr>
        <b/>
        <sz val="12"/>
        <color rgb="FF0000FF"/>
        <rFont val="Arial"/>
        <family val="2"/>
        <charset val="204"/>
      </rPr>
      <t>только СЗКО</t>
    </r>
  </si>
  <si>
    <r>
      <t xml:space="preserve">За системную значимость - </t>
    </r>
    <r>
      <rPr>
        <b/>
        <sz val="12"/>
        <color rgb="FF0000FF"/>
        <rFont val="Arial"/>
        <family val="2"/>
        <charset val="204"/>
      </rPr>
      <t>только СЗКО</t>
    </r>
  </si>
  <si>
    <t>вручную</t>
  </si>
  <si>
    <t>вручную 2022</t>
  </si>
  <si>
    <t>Численность сотрудников, чел.</t>
  </si>
  <si>
    <t>КОРРЕКТИРОВКА на нераскрываемые статьи</t>
  </si>
  <si>
    <t>тыс. руб.</t>
  </si>
  <si>
    <t>тыс руб.</t>
  </si>
  <si>
    <t>Курс доллара США (ЦБ РФ) на дату, руб. за 1 доллар США</t>
  </si>
  <si>
    <t>Кредитный риск по условным обязательствам кредитного характера (КРВ)</t>
  </si>
  <si>
    <t>По корпоративным кредитам</t>
  </si>
  <si>
    <t>По розничным кредитам</t>
  </si>
  <si>
    <t>По кредитам, выданным государственным структурам</t>
  </si>
  <si>
    <t>По средствам от корпоративных клиентов</t>
  </si>
  <si>
    <t>По средствам от физических лиц</t>
  </si>
  <si>
    <t>По средствам от государственных структур</t>
  </si>
  <si>
    <t>От посреднических услуг по брокерским договорам</t>
  </si>
  <si>
    <t>От банковских гарантий и поручительств</t>
  </si>
  <si>
    <t>По переводам денежных средств</t>
  </si>
  <si>
    <t>По приобретенным долговым ценным бумагам</t>
  </si>
  <si>
    <t>По приобретенным долевым ценным бумагам</t>
  </si>
  <si>
    <t>По выпущенным долговым ценным бумагам</t>
  </si>
  <si>
    <t>От операций с ПФИ с базисным активом ценные бумаги</t>
  </si>
  <si>
    <t>Чистые доходы от операций с иностранной валютой 
и драгоценными металлами, в т. ч. ПФИ</t>
  </si>
  <si>
    <t>Assets and Liabilities of FDIC-Insured Commercial Banks and Savings Institutions</t>
  </si>
  <si>
    <t>Annual Income and Expense of FDIC-Insured Commercial Banks and Savings Institutions</t>
  </si>
  <si>
    <t>Other noninterest expense</t>
  </si>
  <si>
    <t>Income (loss) before income taxes and extraordinary items</t>
  </si>
  <si>
    <t>Amortization expense and goodwill impairment losses</t>
  </si>
  <si>
    <t>Extraordinary gains (losses), net</t>
  </si>
  <si>
    <t>Net income (loss) attributable to bank</t>
  </si>
  <si>
    <t>Net income (loss) attributable to noncontrolling interests</t>
  </si>
  <si>
    <t>Net income (loss) attributable to bank and noncontrolling interests</t>
  </si>
  <si>
    <t>Retained earnings</t>
  </si>
  <si>
    <t>Структура доходов и расходов застрахованных банков и сберегательных институтов США (данные FDIC)</t>
  </si>
  <si>
    <t>Investment banking, advisory, brokerage and underwriting fees and commissions</t>
  </si>
  <si>
    <t>Net securitization income</t>
  </si>
  <si>
    <t>Insurance commission fees and income</t>
  </si>
  <si>
    <t>Other noninterest income</t>
  </si>
  <si>
    <t>Venture capital revenue</t>
  </si>
  <si>
    <t>Net servicing fees</t>
  </si>
  <si>
    <t>=6 - 9 - 15</t>
  </si>
  <si>
    <t>17,18,20</t>
  </si>
  <si>
    <t>9 и 21</t>
  </si>
  <si>
    <t>15 и 24</t>
  </si>
  <si>
    <t>Выпадающий список. ВЫБРАТЬ !</t>
  </si>
  <si>
    <t>Портал БА</t>
  </si>
  <si>
    <t>СМ. комментарий справа</t>
  </si>
  <si>
    <t>Депозиты в Банке россии</t>
  </si>
  <si>
    <t>Государственные облигации внешнего облигационного займа</t>
  </si>
  <si>
    <t>Средства юридических лиц ( в т.ч. гос. средства)</t>
  </si>
  <si>
    <t>Текущие, расчетные счета (в т.ч. счета эскроу)</t>
  </si>
  <si>
    <t>Процентные доходы по предоставленным и приобретенным кредитам, размещенным средствам и депозитам от клиентов, не кредитных организаций</t>
  </si>
  <si>
    <r>
      <t>1. От операций с предоставленными кредитами и кредитами, права требования по которым приобретены:
(</t>
    </r>
    <r>
      <rPr>
        <b/>
        <sz val="12"/>
        <color rgb="FFC00000"/>
        <rFont val="Arial"/>
        <family val="2"/>
        <charset val="204"/>
      </rPr>
      <t>доходы от уступки прав по договорам цессии)</t>
    </r>
  </si>
  <si>
    <r>
      <t>2. От операций с прочими размещенными средствами, в том числе с прочими приобретенными правами требования:
(</t>
    </r>
    <r>
      <rPr>
        <b/>
        <sz val="12"/>
        <color rgb="FFC00000"/>
        <rFont val="Arial"/>
        <family val="2"/>
        <charset val="204"/>
      </rPr>
      <t>доходы от уступки прав по договорам цессии)</t>
    </r>
  </si>
  <si>
    <r>
      <t>3. От операций с размещенными депозитами:
(</t>
    </r>
    <r>
      <rPr>
        <b/>
        <sz val="12"/>
        <color rgb="FFC00000"/>
        <rFont val="Arial"/>
        <family val="2"/>
        <charset val="204"/>
      </rPr>
      <t>доходы от уступки прав по договорам цессии)</t>
    </r>
  </si>
  <si>
    <r>
      <rPr>
        <b/>
        <sz val="12"/>
        <color rgb="FF0000FF"/>
        <rFont val="Times New Roman"/>
        <family val="1"/>
        <charset val="204"/>
      </rPr>
      <t>211 + 212</t>
    </r>
    <r>
      <rPr>
        <b/>
        <sz val="12"/>
        <color theme="1"/>
        <rFont val="Times New Roman"/>
        <family val="1"/>
        <charset val="204"/>
      </rPr>
      <t xml:space="preserve"> </t>
    </r>
    <r>
      <rPr>
        <b/>
        <sz val="12"/>
        <color rgb="FF0000FF"/>
        <rFont val="Times New Roman"/>
        <family val="1"/>
        <charset val="204"/>
      </rPr>
      <t>+ 213</t>
    </r>
    <r>
      <rPr>
        <sz val="12"/>
        <color theme="1"/>
        <rFont val="Times New Roman"/>
        <family val="1"/>
        <charset val="204"/>
      </rPr>
      <t xml:space="preserve"> + </t>
    </r>
    <r>
      <rPr>
        <sz val="12"/>
        <color rgb="FF000000"/>
        <rFont val="Times New Roman"/>
        <family val="1"/>
        <charset val="204"/>
      </rPr>
      <t>214</t>
    </r>
    <r>
      <rPr>
        <sz val="12"/>
        <color theme="1"/>
        <rFont val="Times New Roman"/>
        <family val="1"/>
        <charset val="204"/>
      </rPr>
      <t xml:space="preserve"> + </t>
    </r>
    <r>
      <rPr>
        <sz val="12"/>
        <color rgb="FF000000"/>
        <rFont val="Times New Roman"/>
        <family val="1"/>
        <charset val="204"/>
      </rPr>
      <t>215</t>
    </r>
    <r>
      <rPr>
        <sz val="12"/>
        <color theme="1"/>
        <rFont val="Times New Roman"/>
        <family val="1"/>
        <charset val="204"/>
      </rPr>
      <t xml:space="preserve"> + </t>
    </r>
    <r>
      <rPr>
        <sz val="12"/>
        <color rgb="FF000000"/>
        <rFont val="Times New Roman"/>
        <family val="1"/>
        <charset val="204"/>
      </rPr>
      <t>216</t>
    </r>
    <r>
      <rPr>
        <sz val="12"/>
        <color theme="1"/>
        <rFont val="Times New Roman"/>
        <family val="1"/>
        <charset val="204"/>
      </rPr>
      <t xml:space="preserve"> + </t>
    </r>
    <r>
      <rPr>
        <sz val="12"/>
        <color rgb="FF000000"/>
        <rFont val="Times New Roman"/>
        <family val="1"/>
        <charset val="204"/>
      </rPr>
      <t>225</t>
    </r>
    <r>
      <rPr>
        <sz val="12"/>
        <color theme="1"/>
        <rFont val="Times New Roman"/>
        <family val="1"/>
        <charset val="204"/>
      </rPr>
      <t xml:space="preserve"> + </t>
    </r>
    <r>
      <rPr>
        <sz val="12"/>
        <color rgb="FF000000"/>
        <rFont val="Times New Roman"/>
        <family val="1"/>
        <charset val="204"/>
      </rPr>
      <t>226</t>
    </r>
    <r>
      <rPr>
        <sz val="12"/>
        <color theme="1"/>
        <rFont val="Times New Roman"/>
        <family val="1"/>
        <charset val="204"/>
      </rPr>
      <t xml:space="preserve"> + </t>
    </r>
    <r>
      <rPr>
        <sz val="12"/>
        <color rgb="FF000000"/>
        <rFont val="Times New Roman"/>
        <family val="1"/>
        <charset val="204"/>
      </rPr>
      <t>241</t>
    </r>
    <r>
      <rPr>
        <sz val="12"/>
        <color theme="1"/>
        <rFont val="Times New Roman"/>
        <family val="1"/>
        <charset val="204"/>
      </rPr>
      <t xml:space="preserve"> + </t>
    </r>
    <r>
      <rPr>
        <sz val="12"/>
        <color rgb="FF000000"/>
        <rFont val="Times New Roman"/>
        <family val="1"/>
        <charset val="204"/>
      </rPr>
      <t>242</t>
    </r>
    <r>
      <rPr>
        <sz val="12"/>
        <color theme="1"/>
        <rFont val="Times New Roman"/>
        <family val="1"/>
        <charset val="204"/>
      </rPr>
      <t xml:space="preserve"> + </t>
    </r>
    <r>
      <rPr>
        <sz val="12"/>
        <color rgb="FF000000"/>
        <rFont val="Times New Roman"/>
        <family val="1"/>
        <charset val="204"/>
      </rPr>
      <t>243</t>
    </r>
    <r>
      <rPr>
        <sz val="12"/>
        <color theme="1"/>
        <rFont val="Times New Roman"/>
        <family val="1"/>
        <charset val="204"/>
      </rPr>
      <t xml:space="preserve"> + </t>
    </r>
    <r>
      <rPr>
        <sz val="12"/>
        <color rgb="FF000000"/>
        <rFont val="Times New Roman"/>
        <family val="1"/>
        <charset val="204"/>
      </rPr>
      <t>244</t>
    </r>
    <r>
      <rPr>
        <sz val="12"/>
        <color theme="1"/>
        <rFont val="Times New Roman"/>
        <family val="1"/>
        <charset val="204"/>
      </rPr>
      <t xml:space="preserve"> + </t>
    </r>
    <r>
      <rPr>
        <sz val="12"/>
        <color rgb="FF000000"/>
        <rFont val="Times New Roman"/>
        <family val="1"/>
        <charset val="204"/>
      </rPr>
      <t>245</t>
    </r>
    <r>
      <rPr>
        <sz val="12"/>
        <color theme="1"/>
        <rFont val="Times New Roman"/>
        <family val="1"/>
        <charset val="204"/>
      </rPr>
      <t xml:space="preserve"> + </t>
    </r>
    <r>
      <rPr>
        <sz val="12"/>
        <color rgb="FF000000"/>
        <rFont val="Times New Roman"/>
        <family val="1"/>
        <charset val="204"/>
      </rPr>
      <t>246</t>
    </r>
    <r>
      <rPr>
        <sz val="12"/>
        <color theme="1"/>
        <rFont val="Times New Roman"/>
        <family val="1"/>
        <charset val="204"/>
      </rPr>
      <t xml:space="preserve"> + </t>
    </r>
    <r>
      <rPr>
        <sz val="12"/>
        <color rgb="FF000000"/>
        <rFont val="Times New Roman"/>
        <family val="1"/>
        <charset val="204"/>
      </rPr>
      <t>247</t>
    </r>
    <r>
      <rPr>
        <sz val="12"/>
        <color theme="1"/>
        <rFont val="Times New Roman"/>
        <family val="1"/>
        <charset val="204"/>
      </rPr>
      <t xml:space="preserve"> + </t>
    </r>
    <r>
      <rPr>
        <sz val="12"/>
        <color rgb="FF000000"/>
        <rFont val="Times New Roman"/>
        <family val="1"/>
        <charset val="204"/>
      </rPr>
      <t>248</t>
    </r>
    <r>
      <rPr>
        <sz val="12"/>
        <color theme="1"/>
        <rFont val="Times New Roman"/>
        <family val="1"/>
        <charset val="204"/>
      </rPr>
      <t xml:space="preserve"> + </t>
    </r>
    <r>
      <rPr>
        <sz val="12"/>
        <color rgb="FF000000"/>
        <rFont val="Times New Roman"/>
        <family val="1"/>
        <charset val="204"/>
      </rPr>
      <t>249</t>
    </r>
    <r>
      <rPr>
        <sz val="12"/>
        <color theme="1"/>
        <rFont val="Times New Roman"/>
        <family val="1"/>
        <charset val="204"/>
      </rPr>
      <t xml:space="preserve"> + </t>
    </r>
    <r>
      <rPr>
        <sz val="12"/>
        <color rgb="FF000000"/>
        <rFont val="Times New Roman"/>
        <family val="1"/>
        <charset val="204"/>
      </rPr>
      <t>25606</t>
    </r>
    <r>
      <rPr>
        <sz val="12"/>
        <color theme="1"/>
        <rFont val="Times New Roman"/>
        <family val="1"/>
        <charset val="204"/>
      </rPr>
      <t xml:space="preserve"> + </t>
    </r>
    <r>
      <rPr>
        <sz val="12"/>
        <color rgb="FF000000"/>
        <rFont val="Times New Roman"/>
        <family val="1"/>
        <charset val="204"/>
      </rPr>
      <t>25607</t>
    </r>
    <r>
      <rPr>
        <sz val="12"/>
        <color theme="1"/>
        <rFont val="Times New Roman"/>
        <family val="1"/>
        <charset val="204"/>
      </rPr>
      <t xml:space="preserve"> + </t>
    </r>
    <r>
      <rPr>
        <sz val="12"/>
        <color rgb="FF000000"/>
        <rFont val="Times New Roman"/>
        <family val="1"/>
        <charset val="204"/>
      </rPr>
      <t>25608</t>
    </r>
    <r>
      <rPr>
        <sz val="12"/>
        <color theme="1"/>
        <rFont val="Times New Roman"/>
        <family val="1"/>
        <charset val="204"/>
      </rPr>
      <t xml:space="preserve"> + </t>
    </r>
    <r>
      <rPr>
        <sz val="12"/>
        <color rgb="FF000000"/>
        <rFont val="Times New Roman"/>
        <family val="1"/>
        <charset val="204"/>
      </rPr>
      <t>25609</t>
    </r>
    <r>
      <rPr>
        <sz val="12"/>
        <color theme="1"/>
        <rFont val="Times New Roman"/>
        <family val="1"/>
        <charset val="204"/>
      </rPr>
      <t xml:space="preserve"> + </t>
    </r>
    <r>
      <rPr>
        <sz val="12"/>
        <color rgb="FF000000"/>
        <rFont val="Times New Roman"/>
        <family val="1"/>
        <charset val="204"/>
      </rPr>
      <t>25610</t>
    </r>
    <r>
      <rPr>
        <sz val="12"/>
        <color theme="1"/>
        <rFont val="Times New Roman"/>
        <family val="1"/>
        <charset val="204"/>
      </rPr>
      <t xml:space="preserve"> + </t>
    </r>
    <r>
      <rPr>
        <sz val="12"/>
        <color rgb="FF000000"/>
        <rFont val="Times New Roman"/>
        <family val="1"/>
        <charset val="204"/>
      </rPr>
      <t>25621</t>
    </r>
    <r>
      <rPr>
        <sz val="12"/>
        <color theme="1"/>
        <rFont val="Times New Roman"/>
        <family val="1"/>
        <charset val="204"/>
      </rPr>
      <t xml:space="preserve"> + </t>
    </r>
    <r>
      <rPr>
        <sz val="12"/>
        <color rgb="FF000000"/>
        <rFont val="Times New Roman"/>
        <family val="1"/>
        <charset val="204"/>
      </rPr>
      <t>25622</t>
    </r>
    <r>
      <rPr>
        <sz val="12"/>
        <color theme="1"/>
        <rFont val="Times New Roman"/>
        <family val="1"/>
        <charset val="204"/>
      </rPr>
      <t xml:space="preserve"> + </t>
    </r>
    <r>
      <rPr>
        <sz val="12"/>
        <color rgb="FF000000"/>
        <rFont val="Times New Roman"/>
        <family val="1"/>
        <charset val="204"/>
      </rPr>
      <t>25623</t>
    </r>
    <r>
      <rPr>
        <sz val="12"/>
        <color theme="1"/>
        <rFont val="Times New Roman"/>
        <family val="1"/>
        <charset val="204"/>
      </rPr>
      <t xml:space="preserve"> + </t>
    </r>
    <r>
      <rPr>
        <sz val="12"/>
        <color rgb="FF000000"/>
        <rFont val="Times New Roman"/>
        <family val="1"/>
        <charset val="204"/>
      </rPr>
      <t>25624</t>
    </r>
    <r>
      <rPr>
        <sz val="12"/>
        <color theme="1"/>
        <rFont val="Times New Roman"/>
        <family val="1"/>
        <charset val="204"/>
      </rPr>
      <t xml:space="preserve"> + </t>
    </r>
    <r>
      <rPr>
        <sz val="12"/>
        <color rgb="FF000000"/>
        <rFont val="Times New Roman"/>
        <family val="1"/>
        <charset val="204"/>
      </rPr>
      <t>25625</t>
    </r>
    <r>
      <rPr>
        <sz val="12"/>
        <color theme="1"/>
        <rFont val="Times New Roman"/>
        <family val="1"/>
        <charset val="204"/>
      </rPr>
      <t xml:space="preserve"> + </t>
    </r>
    <r>
      <rPr>
        <sz val="12"/>
        <color rgb="FF000000"/>
        <rFont val="Times New Roman"/>
        <family val="1"/>
        <charset val="204"/>
      </rPr>
      <t>25626</t>
    </r>
    <r>
      <rPr>
        <sz val="12"/>
        <color theme="1"/>
        <rFont val="Times New Roman"/>
        <family val="1"/>
        <charset val="204"/>
      </rPr>
      <t xml:space="preserve"> + </t>
    </r>
    <r>
      <rPr>
        <sz val="12"/>
        <color rgb="FF000000"/>
        <rFont val="Times New Roman"/>
        <family val="1"/>
        <charset val="204"/>
      </rPr>
      <t>25627</t>
    </r>
    <r>
      <rPr>
        <sz val="12"/>
        <color theme="1"/>
        <rFont val="Times New Roman"/>
        <family val="1"/>
        <charset val="204"/>
      </rPr>
      <t xml:space="preserve"> + </t>
    </r>
    <r>
      <rPr>
        <b/>
        <sz val="14"/>
        <color rgb="FFC00000"/>
        <rFont val="Times New Roman"/>
        <family val="1"/>
        <charset val="204"/>
      </rPr>
      <t>277 + 278</t>
    </r>
    <r>
      <rPr>
        <sz val="12"/>
        <color theme="1"/>
        <rFont val="Times New Roman"/>
        <family val="1"/>
        <charset val="204"/>
      </rPr>
      <t xml:space="preserve"> + </t>
    </r>
    <r>
      <rPr>
        <sz val="12"/>
        <color rgb="FF000000"/>
        <rFont val="Times New Roman"/>
        <family val="1"/>
        <charset val="204"/>
      </rPr>
      <t>283</t>
    </r>
    <r>
      <rPr>
        <sz val="12"/>
        <color theme="1"/>
        <rFont val="Times New Roman"/>
        <family val="1"/>
        <charset val="204"/>
      </rPr>
      <t xml:space="preserve"> (кроме </t>
    </r>
    <r>
      <rPr>
        <sz val="12"/>
        <color rgb="FF000000"/>
        <rFont val="Times New Roman"/>
        <family val="1"/>
        <charset val="204"/>
      </rPr>
      <t>28303</t>
    </r>
    <r>
      <rPr>
        <sz val="12"/>
        <color theme="1"/>
        <rFont val="Times New Roman"/>
        <family val="1"/>
        <charset val="204"/>
      </rPr>
      <t xml:space="preserve">) + </t>
    </r>
    <r>
      <rPr>
        <sz val="12"/>
        <color rgb="FF000000"/>
        <rFont val="Times New Roman"/>
        <family val="1"/>
        <charset val="204"/>
      </rPr>
      <t>28402</t>
    </r>
    <r>
      <rPr>
        <sz val="12"/>
        <color theme="1"/>
        <rFont val="Times New Roman"/>
        <family val="1"/>
        <charset val="204"/>
      </rPr>
      <t xml:space="preserve"> +</t>
    </r>
    <r>
      <rPr>
        <sz val="12"/>
        <color rgb="FF000000"/>
        <rFont val="Times New Roman"/>
        <family val="1"/>
        <charset val="204"/>
      </rPr>
      <t>285</t>
    </r>
    <r>
      <rPr>
        <sz val="12"/>
        <color theme="1"/>
        <rFont val="Times New Roman"/>
        <family val="1"/>
        <charset val="204"/>
      </rPr>
      <t xml:space="preserve"> + </t>
    </r>
    <r>
      <rPr>
        <sz val="12"/>
        <color rgb="FF000000"/>
        <rFont val="Times New Roman"/>
        <family val="1"/>
        <charset val="204"/>
      </rPr>
      <t>286</t>
    </r>
    <r>
      <rPr>
        <sz val="12"/>
        <color theme="1"/>
        <rFont val="Times New Roman"/>
        <family val="1"/>
        <charset val="204"/>
      </rPr>
      <t xml:space="preserve"> + </t>
    </r>
    <r>
      <rPr>
        <sz val="12"/>
        <color rgb="FF000000"/>
        <rFont val="Times New Roman"/>
        <family val="1"/>
        <charset val="204"/>
      </rPr>
      <t>287</t>
    </r>
    <r>
      <rPr>
        <sz val="12"/>
        <color theme="1"/>
        <rFont val="Times New Roman"/>
        <family val="1"/>
        <charset val="204"/>
      </rPr>
      <t xml:space="preserve"> + </t>
    </r>
    <r>
      <rPr>
        <sz val="12"/>
        <color rgb="FF000000"/>
        <rFont val="Times New Roman"/>
        <family val="1"/>
        <charset val="204"/>
      </rPr>
      <t>288</t>
    </r>
    <r>
      <rPr>
        <sz val="12"/>
        <color theme="1"/>
        <rFont val="Times New Roman"/>
        <family val="1"/>
        <charset val="204"/>
      </rPr>
      <t xml:space="preserve"> + </t>
    </r>
    <r>
      <rPr>
        <sz val="12"/>
        <color rgb="FF000000"/>
        <rFont val="Times New Roman"/>
        <family val="1"/>
        <charset val="204"/>
      </rPr>
      <t>291</t>
    </r>
    <r>
      <rPr>
        <sz val="12"/>
        <color theme="1"/>
        <rFont val="Times New Roman"/>
        <family val="1"/>
        <charset val="204"/>
      </rPr>
      <t xml:space="preserve"> + </t>
    </r>
    <r>
      <rPr>
        <sz val="12"/>
        <color rgb="FF000000"/>
        <rFont val="Times New Roman"/>
        <family val="1"/>
        <charset val="204"/>
      </rPr>
      <t>292</t>
    </r>
    <r>
      <rPr>
        <sz val="12"/>
        <color theme="1"/>
        <rFont val="Times New Roman"/>
        <family val="1"/>
        <charset val="204"/>
      </rPr>
      <t xml:space="preserve"> + </t>
    </r>
    <r>
      <rPr>
        <sz val="12"/>
        <color rgb="FF000000"/>
        <rFont val="Times New Roman"/>
        <family val="1"/>
        <charset val="204"/>
      </rPr>
      <t>294</t>
    </r>
    <r>
      <rPr>
        <sz val="12"/>
        <color theme="1"/>
        <rFont val="Times New Roman"/>
        <family val="1"/>
        <charset val="204"/>
      </rPr>
      <t xml:space="preserve"> - </t>
    </r>
    <r>
      <rPr>
        <sz val="12"/>
        <color rgb="FF000000"/>
        <rFont val="Times New Roman"/>
        <family val="1"/>
        <charset val="204"/>
      </rPr>
      <t>S27801/1.1</t>
    </r>
    <r>
      <rPr>
        <sz val="12"/>
        <color theme="1"/>
        <rFont val="Times New Roman"/>
        <family val="1"/>
        <charset val="204"/>
      </rPr>
      <t xml:space="preserve"> - </t>
    </r>
    <r>
      <rPr>
        <sz val="12"/>
        <color rgb="FF000000"/>
        <rFont val="Times New Roman"/>
        <family val="1"/>
        <charset val="204"/>
      </rPr>
      <t>S278/1.2</t>
    </r>
    <r>
      <rPr>
        <sz val="12"/>
        <color theme="1"/>
        <rFont val="Times New Roman"/>
        <family val="1"/>
        <charset val="204"/>
      </rPr>
      <t xml:space="preserve"> - </t>
    </r>
    <r>
      <rPr>
        <sz val="12"/>
        <color rgb="FF000000"/>
        <rFont val="Times New Roman"/>
        <family val="1"/>
        <charset val="204"/>
      </rPr>
      <t>S211/1.1</t>
    </r>
    <r>
      <rPr>
        <sz val="12"/>
        <color theme="1"/>
        <rFont val="Times New Roman"/>
        <family val="1"/>
        <charset val="204"/>
      </rPr>
      <t xml:space="preserve"> - </t>
    </r>
    <r>
      <rPr>
        <sz val="12"/>
        <color rgb="FF000000"/>
        <rFont val="Times New Roman"/>
        <family val="1"/>
        <charset val="204"/>
      </rPr>
      <t>S211/1.2</t>
    </r>
  </si>
  <si>
    <t>Доходы от уступки прав (цессии) по кредитным и аналогичным договорам</t>
  </si>
  <si>
    <t>21101 - 21120</t>
  </si>
  <si>
    <t>21201 - 21220</t>
  </si>
  <si>
    <t>21301 - 21303</t>
  </si>
  <si>
    <t>1. От операций с предоставленными кредитами и кредитами, права требования по которым приобретены</t>
  </si>
  <si>
    <t>2. От операций с прочими размещенными средствами, в том числе с прочими приобретенными правами требования</t>
  </si>
  <si>
    <t>3. От операций с размещенными депозитами</t>
  </si>
  <si>
    <t>Итого доходы от уступки прав требования (цессии)</t>
  </si>
  <si>
    <t>Прочие операционные доходы, в т.ч.</t>
  </si>
  <si>
    <t xml:space="preserve">   доходы от уступки прав требования (цесси) по кредитным и аналогичным договорам</t>
  </si>
  <si>
    <t>Доходы от уступки прав требования</t>
  </si>
  <si>
    <t>Расходы от уступки прав по предоставленными кредитами и прочим размещенным средствам и депозитам  (Итого по символам 41101 - 41120, 41201 - 41220 и 41301-41303)</t>
  </si>
  <si>
    <t>Проверка средств физ лиц</t>
  </si>
  <si>
    <t>Банк России</t>
  </si>
  <si>
    <t>Cтоимость риска (CoR) по кредитам ЮЛ, %</t>
  </si>
  <si>
    <t>Cтоимость риска (CoR) по кредитам ФЛ, %</t>
  </si>
  <si>
    <t>По банковскому сектору</t>
  </si>
  <si>
    <r>
      <t xml:space="preserve">Прочие операционные доходы (без доходов от цессии) </t>
    </r>
    <r>
      <rPr>
        <b/>
        <sz val="11"/>
        <color theme="1"/>
        <rFont val="Arial"/>
        <family val="2"/>
        <charset val="204"/>
      </rPr>
      <t>+ НЕРАСКРЫВАЕМЫЕ СТАТЬИ</t>
    </r>
  </si>
  <si>
    <t>Чистая прибыль на 1 сотрудника, тыс руб. на 1 сотрудника</t>
  </si>
  <si>
    <t>Операционные расходы, в т.ч.</t>
  </si>
  <si>
    <t>Операционные расходы ВСЕГО (с 2022)</t>
  </si>
  <si>
    <r>
      <t>Выданные кредитной организацией</t>
    </r>
    <r>
      <rPr>
        <b/>
        <sz val="11"/>
        <color theme="1"/>
        <rFont val="Arial"/>
        <family val="2"/>
        <charset val="204"/>
      </rPr>
      <t xml:space="preserve"> гарантии и поручительства</t>
    </r>
  </si>
  <si>
    <t xml:space="preserve"> то же, в % от собственного (регуляторного) капитала</t>
  </si>
  <si>
    <t>Гаранти и поручительства</t>
  </si>
  <si>
    <r>
      <t>Для сравнения (</t>
    </r>
    <r>
      <rPr>
        <b/>
        <sz val="11"/>
        <color rgb="FFC00000"/>
        <rFont val="Arial"/>
        <family val="2"/>
        <charset val="204"/>
      </rPr>
      <t>банковский сектор России</t>
    </r>
    <r>
      <rPr>
        <sz val="11"/>
        <color theme="1"/>
        <rFont val="Arial"/>
        <family val="2"/>
        <charset val="204"/>
      </rPr>
      <t>)</t>
    </r>
  </si>
  <si>
    <t>Комиссионные доходы от операций по выдаче банковских гарантий и поручительств</t>
  </si>
  <si>
    <t xml:space="preserve"> то же, в % от комиссионного дохода</t>
  </si>
  <si>
    <t xml:space="preserve"> то же, в % от операционного дохода</t>
  </si>
  <si>
    <t>Гарантии и поручительства</t>
  </si>
  <si>
    <t>Информация об уровне достаточности капитала (форма 808)</t>
  </si>
  <si>
    <t>Коды 2019-2022</t>
  </si>
  <si>
    <t>Коды с 2023</t>
  </si>
  <si>
    <t>обязательные резервы</t>
  </si>
  <si>
    <t>4а</t>
  </si>
  <si>
    <t>Производные финансовые инструменты для целей хеджирования</t>
  </si>
  <si>
    <t>Привлеченные субординированные кредиты (депозиты, займы) и выпущенные субординированные облигационные займы, классифицированные в качестве обязательств</t>
  </si>
  <si>
    <t>Переоценка финансовых активов, оцениваемых по справедливой стоимости через прочий совокупный доход, уменьшенная на отложенное налоговое обязательство (увеличенная на отложенный налоговый актив)</t>
  </si>
  <si>
    <t>Привлеченные субординированные кредиты (депозиты, займы) и выпущенные субординированные облигационные займы, классифицированные в качестве долевых инструментов</t>
  </si>
  <si>
    <r>
      <t xml:space="preserve">Привлеченные </t>
    </r>
    <r>
      <rPr>
        <b/>
        <sz val="12"/>
        <color theme="1"/>
        <rFont val="Arial"/>
        <family val="2"/>
        <charset val="204"/>
      </rPr>
      <t>субординированные</t>
    </r>
    <r>
      <rPr>
        <sz val="12"/>
        <color theme="1"/>
        <rFont val="Arial"/>
        <family val="2"/>
        <charset val="204"/>
      </rPr>
      <t xml:space="preserve"> кредиты (депозиты, займы) и выпущенные субординированные облигационные займы, классифицированные в качестве </t>
    </r>
    <r>
      <rPr>
        <b/>
        <sz val="12"/>
        <color theme="1"/>
        <rFont val="Arial"/>
        <family val="2"/>
        <charset val="204"/>
      </rPr>
      <t>долевых</t>
    </r>
    <r>
      <rPr>
        <sz val="12"/>
        <color theme="1"/>
        <rFont val="Arial"/>
        <family val="2"/>
        <charset val="204"/>
      </rPr>
      <t xml:space="preserve"> инструментов</t>
    </r>
  </si>
  <si>
    <r>
      <t xml:space="preserve">Привлеченные </t>
    </r>
    <r>
      <rPr>
        <b/>
        <sz val="12"/>
        <color theme="1"/>
        <rFont val="Arial"/>
        <family val="2"/>
        <charset val="204"/>
      </rPr>
      <t>субординированные</t>
    </r>
    <r>
      <rPr>
        <sz val="12"/>
        <color theme="1"/>
        <rFont val="Arial"/>
        <family val="2"/>
        <charset val="204"/>
      </rPr>
      <t xml:space="preserve"> кредиты (депозиты, займы) и выпущенные субординированные облигационные займы, классифицированные в качестве </t>
    </r>
    <r>
      <rPr>
        <b/>
        <sz val="12"/>
        <color theme="1"/>
        <rFont val="Arial"/>
        <family val="2"/>
        <charset val="204"/>
      </rPr>
      <t>обязательств</t>
    </r>
  </si>
  <si>
    <t>КОРРЕКТИРОВКА на нераскрываемые статьи активов</t>
  </si>
  <si>
    <t>КОРРЕКТИРОВКА на нераскрываемые статьи обязательств</t>
  </si>
  <si>
    <t>КОРРЕКТИРОВКА на нераскрываемые статьи собственных средств</t>
  </si>
  <si>
    <t>КОРРЕКТИРОВКА на нераскрываемые статьи отчета о ФР</t>
  </si>
  <si>
    <t>и отчетность по МСФО</t>
  </si>
  <si>
    <t>Примерные расчеты</t>
  </si>
  <si>
    <t>просроченная задолженность (с k=0,6)</t>
  </si>
  <si>
    <t>Ручная корректировка, чтобы сходился расчет итоговый финансовый результат</t>
  </si>
  <si>
    <t>https://fred.stlouisfed.org/release/tables?rid=482</t>
  </si>
  <si>
    <t>Если сайт fdic не работает, тогда см вот этот сайт</t>
  </si>
  <si>
    <t>БДиРМ</t>
  </si>
  <si>
    <t>КиИМСБ</t>
  </si>
  <si>
    <t xml:space="preserve">Логика и последовательность изложения </t>
  </si>
  <si>
    <t xml:space="preserve">Оформление работы </t>
  </si>
  <si>
    <t>Форма 813</t>
  </si>
  <si>
    <t>9 мес. 2025</t>
  </si>
  <si>
    <t>Доля РВПС (Эксперт РА)</t>
  </si>
  <si>
    <t>Доля РВПС (Портал БА)</t>
  </si>
  <si>
    <t>РВПС ЮЛ</t>
  </si>
  <si>
    <t>РВПС ФЛ</t>
  </si>
  <si>
    <t>Доля от итого просроченная</t>
  </si>
  <si>
    <t>ЮЛ</t>
  </si>
  <si>
    <t>ФЛ</t>
  </si>
  <si>
    <t>участие в капитале</t>
  </si>
  <si>
    <t>Анализ объема и доли субординированных обязательств</t>
  </si>
  <si>
    <t>Бухгалтерский капитал</t>
  </si>
  <si>
    <t>Валюта баланса</t>
  </si>
  <si>
    <t>В РСБУ не нашел, взял из МСФО</t>
  </si>
  <si>
    <t>Средства клиентов ЮЛ по секторам экономики</t>
  </si>
  <si>
    <t>Перестройка отраслевой структуры депозитов (юридических лиц) для графика</t>
  </si>
  <si>
    <t>От прошлого года с множителем</t>
  </si>
  <si>
    <t>Сельское хозяйство и пищевая отрасль</t>
  </si>
  <si>
    <t>Нефтегазовая отрасль</t>
  </si>
  <si>
    <t xml:space="preserve">Отраслевая структура  кредитов ЮЛ в 2021-2024 </t>
  </si>
  <si>
    <t>Структура кредитов клиентам и NPL90+</t>
  </si>
  <si>
    <t>NPL и ссуды IV-V кат.кач.</t>
  </si>
  <si>
    <t>NPL 90+ (ЮЛ)</t>
  </si>
  <si>
    <t>NPL 90+ (ФЛ)</t>
  </si>
  <si>
    <t>NPL 90+ (весь портфель)</t>
  </si>
  <si>
    <t>Ссуды IV и V к.к. (ЮЛ)</t>
  </si>
  <si>
    <t>Ссуды IV и V к.к. (ФЛ)</t>
  </si>
  <si>
    <t>Ссуды IV и V к.к. (весь портфель)</t>
  </si>
  <si>
    <t>NPL ЮЛ</t>
  </si>
  <si>
    <t>NPL ФЛ</t>
  </si>
  <si>
    <t>Отраслевая структура  депозитов ЮЛ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</si>
</sst>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164" formatCode="dd/mm/yy;@"/>
    <numFmt numFmtId="165" formatCode="#,##0.0"/>
    <numFmt numFmtId="166" formatCode="0.0%"/>
    <numFmt numFmtId="167" formatCode="0.0"/>
    <numFmt numFmtId="168" formatCode="#,##0.00000"/>
    <numFmt numFmtId="169" formatCode="#,##0.0\ _р_.;\(###0.0\)\ _р_."/>
    <numFmt numFmtId="170" formatCode="#,##0.0\ _р_.;\(###0.0\)\ _р_.;&quot;-&quot;"/>
    <numFmt numFmtId="171" formatCode="#,##0\ _р_.;\(###0\)\ _р_.;&quot;-&quot;"/>
    <numFmt numFmtId="172" formatCode="0.0%;\(0.0%\)"/>
    <numFmt numFmtId="173" formatCode="0%;\(0%\)"/>
    <numFmt numFmtId="174" formatCode="#,##0\ _р_.;\(#,##0\)\ _р_.;&quot;-&quot;"/>
    <numFmt numFmtId="175" formatCode="0.0%;\(0.0%\);&quot;-&quot;"/>
    <numFmt numFmtId="176" formatCode="0%;\(0%\);&quot;-&quot;"/>
    <numFmt numFmtId="177" formatCode="#,##0.00\ _р_.;\(###0.00\)\ _р_.;&quot;-&quot;"/>
    <numFmt numFmtId="178" formatCode="#,##0.0000"/>
    <numFmt numFmtId="179" formatCode="#,##0.0\ _р_.;\(#,##0.0\)\ _р_.;&quot;-&quot;"/>
    <numFmt numFmtId="180" formatCode="0.000%"/>
    <numFmt numFmtId="181" formatCode="#,##0.00\ _р_.;\(#,##0.00\)\ _р_.;\-"/>
    <numFmt numFmtId="182" formatCode="#,##0.00000\ _р_.;\(#,##0.00000\)\ _р_.;\-"/>
    <numFmt numFmtId="183" formatCode="#,##0.0;\(###0.0\);&quot;-&quot;"/>
    <numFmt numFmtId="184" formatCode="#,##0.0;\(#,##0.0\);&quot;-&quot;"/>
    <numFmt numFmtId="185" formatCode="0.00%;\(0.00%\);&quot;-&quot;"/>
    <numFmt numFmtId="186" formatCode="0.000%;\(0.000%\);&quot;-&quot;"/>
    <numFmt numFmtId="187" formatCode="#,##0;\(#,##0\);&quot;-&quot;"/>
    <numFmt numFmtId="188" formatCode="#,##0.00\ _р_.;\(#,##0.00\)\ _р_.;&quot;-&quot;"/>
    <numFmt numFmtId="189" formatCode="#,##0.000"/>
    <numFmt numFmtId="190" formatCode="#,##0.000\ _р_.;\(###0.000\)\ _р_.;&quot;-&quot;"/>
  </numFmts>
  <fonts count="159" x14ac:knownFonts="1">
    <font>
      <sz val="11"/>
      <color theme="1"/>
      <name val="Calibri"/>
      <family val="2"/>
      <charset val="204"/>
      <scheme val="minor"/>
    </font>
    <font>
      <sz val="11"/>
      <color theme="1"/>
      <name val="Arial"/>
      <family val="2"/>
      <charset val="204"/>
    </font>
    <font>
      <b/>
      <sz val="11"/>
      <color theme="1"/>
      <name val="Arial"/>
      <family val="2"/>
      <charset val="204"/>
    </font>
    <font>
      <b/>
      <sz val="11"/>
      <color theme="1"/>
      <name val="Calibri"/>
      <family val="2"/>
      <charset val="204"/>
      <scheme val="minor"/>
    </font>
    <font>
      <b/>
      <sz val="12"/>
      <color theme="1"/>
      <name val="Arial"/>
      <family val="2"/>
      <charset val="204"/>
    </font>
    <font>
      <sz val="11"/>
      <color rgb="FFFF0000"/>
      <name val="Arial"/>
      <family val="2"/>
      <charset val="204"/>
    </font>
    <font>
      <b/>
      <sz val="11"/>
      <color rgb="FFFF0000"/>
      <name val="Arial"/>
      <family val="2"/>
      <charset val="204"/>
    </font>
    <font>
      <b/>
      <sz val="11"/>
      <name val="Arial"/>
      <family val="2"/>
      <charset val="204"/>
    </font>
    <font>
      <sz val="12"/>
      <color theme="1"/>
      <name val="Arial"/>
      <family val="2"/>
      <charset val="204"/>
    </font>
    <font>
      <b/>
      <vertAlign val="subscript"/>
      <sz val="12"/>
      <color theme="1"/>
      <name val="Arial"/>
      <family val="2"/>
      <charset val="204"/>
    </font>
    <font>
      <vertAlign val="subscript"/>
      <sz val="12"/>
      <color theme="1"/>
      <name val="Arial"/>
      <family val="2"/>
      <charset val="204"/>
    </font>
    <font>
      <b/>
      <vertAlign val="subscript"/>
      <sz val="11"/>
      <color theme="1"/>
      <name val="Arial"/>
      <family val="2"/>
      <charset val="204"/>
    </font>
    <font>
      <sz val="11"/>
      <color theme="1"/>
      <name val="Calibri"/>
      <family val="2"/>
      <charset val="204"/>
      <scheme val="minor"/>
    </font>
    <font>
      <sz val="10"/>
      <color theme="1"/>
      <name val="Arial"/>
      <family val="2"/>
      <charset val="204"/>
    </font>
    <font>
      <u/>
      <sz val="11"/>
      <color theme="1"/>
      <name val="Arial"/>
      <family val="2"/>
      <charset val="204"/>
    </font>
    <font>
      <sz val="9"/>
      <color indexed="81"/>
      <name val="Tahoma"/>
      <family val="2"/>
      <charset val="204"/>
    </font>
    <font>
      <b/>
      <sz val="9"/>
      <color indexed="81"/>
      <name val="Tahoma"/>
      <family val="2"/>
      <charset val="204"/>
    </font>
    <font>
      <sz val="14"/>
      <color theme="1"/>
      <name val="Arial"/>
      <family val="2"/>
      <charset val="204"/>
    </font>
    <font>
      <sz val="9"/>
      <color theme="1"/>
      <name val="Arial"/>
      <family val="2"/>
      <charset val="204"/>
    </font>
    <font>
      <b/>
      <sz val="11"/>
      <color theme="9" tint="-0.499984740745262"/>
      <name val="Arial"/>
      <family val="2"/>
      <charset val="204"/>
    </font>
    <font>
      <u/>
      <sz val="11"/>
      <color theme="10"/>
      <name val="Calibri"/>
      <family val="2"/>
      <charset val="204"/>
    </font>
    <font>
      <u/>
      <sz val="11"/>
      <color theme="10"/>
      <name val="Arial"/>
      <family val="2"/>
      <charset val="204"/>
    </font>
    <font>
      <b/>
      <sz val="11"/>
      <color theme="3" tint="-0.499984740745262"/>
      <name val="Arial"/>
      <family val="2"/>
      <charset val="204"/>
    </font>
    <font>
      <b/>
      <sz val="11"/>
      <color rgb="FF000000"/>
      <name val="Arial"/>
      <family val="2"/>
      <charset val="204"/>
    </font>
    <font>
      <sz val="11"/>
      <color rgb="FF000000"/>
      <name val="Arial"/>
      <family val="2"/>
      <charset val="204"/>
    </font>
    <font>
      <sz val="10"/>
      <name val="Arial"/>
      <family val="2"/>
      <charset val="204"/>
    </font>
    <font>
      <sz val="11"/>
      <name val="Arial"/>
      <family val="2"/>
      <charset val="204"/>
    </font>
    <font>
      <u/>
      <sz val="11"/>
      <name val="Arial"/>
      <family val="2"/>
      <charset val="204"/>
    </font>
    <font>
      <b/>
      <sz val="14"/>
      <color theme="1"/>
      <name val="Arial"/>
      <family val="2"/>
      <charset val="204"/>
    </font>
    <font>
      <u/>
      <sz val="12"/>
      <color theme="1"/>
      <name val="Arial"/>
      <family val="2"/>
      <charset val="204"/>
    </font>
    <font>
      <b/>
      <sz val="11"/>
      <color theme="0" tint="-0.499984740745262"/>
      <name val="Arial"/>
      <family val="2"/>
      <charset val="204"/>
    </font>
    <font>
      <sz val="20"/>
      <color theme="1"/>
      <name val="Arial"/>
      <family val="2"/>
      <charset val="204"/>
    </font>
    <font>
      <sz val="22"/>
      <color theme="1"/>
      <name val="Arial"/>
      <family val="2"/>
      <charset val="204"/>
    </font>
    <font>
      <sz val="18"/>
      <color theme="1"/>
      <name val="Arial"/>
      <family val="2"/>
      <charset val="204"/>
    </font>
    <font>
      <b/>
      <sz val="18"/>
      <color theme="1"/>
      <name val="Arial"/>
      <family val="2"/>
      <charset val="204"/>
    </font>
    <font>
      <b/>
      <u/>
      <sz val="18"/>
      <color theme="1"/>
      <name val="Arial"/>
      <family val="2"/>
      <charset val="204"/>
    </font>
    <font>
      <b/>
      <sz val="20"/>
      <color theme="1"/>
      <name val="Arial"/>
      <family val="2"/>
      <charset val="204"/>
    </font>
    <font>
      <b/>
      <sz val="22"/>
      <color theme="1"/>
      <name val="Arial"/>
      <family val="2"/>
      <charset val="204"/>
    </font>
    <font>
      <b/>
      <sz val="22"/>
      <color rgb="FF002060"/>
      <name val="Arial"/>
      <family val="2"/>
      <charset val="204"/>
    </font>
    <font>
      <b/>
      <sz val="20"/>
      <color rgb="FFFF0000"/>
      <name val="Arial"/>
      <family val="2"/>
      <charset val="204"/>
    </font>
    <font>
      <b/>
      <sz val="24"/>
      <color rgb="FF003300"/>
      <name val="Arial"/>
      <family val="2"/>
      <charset val="204"/>
    </font>
    <font>
      <b/>
      <sz val="12"/>
      <color rgb="FF7030A0"/>
      <name val="Arial"/>
      <family val="2"/>
      <charset val="204"/>
    </font>
    <font>
      <b/>
      <sz val="12"/>
      <color rgb="FFFF0000"/>
      <name val="Arial"/>
      <family val="2"/>
      <charset val="204"/>
    </font>
    <font>
      <sz val="11"/>
      <color rgb="FF0000FF"/>
      <name val="Arial"/>
      <family val="2"/>
      <charset val="204"/>
    </font>
    <font>
      <b/>
      <sz val="11"/>
      <color rgb="FF0000FF"/>
      <name val="Arial"/>
      <family val="2"/>
      <charset val="204"/>
    </font>
    <font>
      <b/>
      <sz val="11"/>
      <color rgb="FF003300"/>
      <name val="Arial"/>
      <family val="2"/>
      <charset val="204"/>
    </font>
    <font>
      <sz val="10"/>
      <color theme="1"/>
      <name val="Arial Narrow"/>
      <family val="2"/>
      <charset val="204"/>
    </font>
    <font>
      <sz val="11"/>
      <color theme="1"/>
      <name val="Arial Narrow"/>
      <family val="2"/>
      <charset val="204"/>
    </font>
    <font>
      <sz val="11"/>
      <name val="Arial Narrow"/>
      <family val="2"/>
      <charset val="204"/>
    </font>
    <font>
      <b/>
      <sz val="11"/>
      <color theme="1"/>
      <name val="Arial Narrow"/>
      <family val="2"/>
      <charset val="204"/>
    </font>
    <font>
      <i/>
      <sz val="11"/>
      <color theme="1"/>
      <name val="Arial Narrow"/>
      <family val="2"/>
      <charset val="204"/>
    </font>
    <font>
      <i/>
      <sz val="11"/>
      <name val="Arial Narrow"/>
      <family val="2"/>
      <charset val="204"/>
    </font>
    <font>
      <sz val="10"/>
      <name val="Arial Narrow"/>
      <family val="2"/>
      <charset val="204"/>
    </font>
    <font>
      <sz val="11"/>
      <color rgb="FF0000FF"/>
      <name val="Arial Narrow"/>
      <family val="2"/>
      <charset val="204"/>
    </font>
    <font>
      <b/>
      <sz val="11"/>
      <name val="Arial Narrow"/>
      <family val="2"/>
      <charset val="204"/>
    </font>
    <font>
      <sz val="11"/>
      <name val="Calibri"/>
      <family val="2"/>
      <charset val="204"/>
      <scheme val="minor"/>
    </font>
    <font>
      <b/>
      <sz val="11"/>
      <color theme="1" tint="0.34998626667073579"/>
      <name val="Arial Narrow"/>
      <family val="2"/>
      <charset val="204"/>
    </font>
    <font>
      <u/>
      <sz val="11"/>
      <color theme="1"/>
      <name val="Arial Narrow"/>
      <family val="2"/>
      <charset val="204"/>
    </font>
    <font>
      <sz val="11"/>
      <color theme="0" tint="-0.34998626667073579"/>
      <name val="Arial Narrow"/>
      <family val="2"/>
      <charset val="204"/>
    </font>
    <font>
      <i/>
      <sz val="10"/>
      <color theme="1"/>
      <name val="Arial Narrow"/>
      <family val="2"/>
      <charset val="204"/>
    </font>
    <font>
      <u/>
      <sz val="9"/>
      <color indexed="81"/>
      <name val="Tahoma"/>
      <family val="2"/>
      <charset val="204"/>
    </font>
    <font>
      <b/>
      <u/>
      <sz val="9"/>
      <color indexed="81"/>
      <name val="Tahoma"/>
      <family val="2"/>
      <charset val="204"/>
    </font>
    <font>
      <b/>
      <sz val="11"/>
      <color rgb="FFFF0000"/>
      <name val="Arial Narrow"/>
      <family val="2"/>
      <charset val="204"/>
    </font>
    <font>
      <b/>
      <i/>
      <sz val="11"/>
      <color rgb="FFFF0000"/>
      <name val="Arial Narrow"/>
      <family val="2"/>
      <charset val="204"/>
    </font>
    <font>
      <b/>
      <sz val="11"/>
      <color rgb="FFC00000"/>
      <name val="Arial"/>
      <family val="2"/>
      <charset val="204"/>
    </font>
    <font>
      <b/>
      <sz val="11"/>
      <color rgb="FF0000FF"/>
      <name val="Arial Narrow"/>
      <family val="2"/>
      <charset val="204"/>
    </font>
    <font>
      <b/>
      <u/>
      <sz val="11"/>
      <color rgb="FF0000FF"/>
      <name val="Arial Narrow"/>
      <family val="2"/>
      <charset val="204"/>
    </font>
    <font>
      <b/>
      <sz val="11"/>
      <color rgb="FFC00000"/>
      <name val="Arial Narrow"/>
      <family val="2"/>
      <charset val="204"/>
    </font>
    <font>
      <sz val="10"/>
      <color rgb="FFFF0000"/>
      <name val="Arial"/>
      <family val="2"/>
      <charset val="204"/>
    </font>
    <font>
      <b/>
      <sz val="12"/>
      <color rgb="FF0000FF"/>
      <name val="Arial"/>
      <family val="2"/>
      <charset val="204"/>
    </font>
    <font>
      <b/>
      <i/>
      <sz val="11"/>
      <color theme="0" tint="-0.499984740745262"/>
      <name val="Arial"/>
      <family val="2"/>
      <charset val="204"/>
    </font>
    <font>
      <sz val="8"/>
      <color indexed="81"/>
      <name val="Tahoma"/>
      <family val="2"/>
      <charset val="204"/>
    </font>
    <font>
      <b/>
      <sz val="8"/>
      <color indexed="81"/>
      <name val="Tahoma"/>
      <family val="2"/>
      <charset val="204"/>
    </font>
    <font>
      <b/>
      <sz val="14"/>
      <color rgb="FFFF0000"/>
      <name val="Arial Narrow"/>
      <family val="2"/>
      <charset val="204"/>
    </font>
    <font>
      <b/>
      <sz val="11"/>
      <color rgb="FF003300"/>
      <name val="Arial Narrow"/>
      <family val="2"/>
      <charset val="204"/>
    </font>
    <font>
      <sz val="11"/>
      <color rgb="FFC00000"/>
      <name val="Arial Narrow"/>
      <family val="2"/>
      <charset val="204"/>
    </font>
    <font>
      <sz val="11"/>
      <color rgb="FFFF0000"/>
      <name val="Arial Narrow"/>
      <family val="2"/>
      <charset val="204"/>
    </font>
    <font>
      <sz val="11"/>
      <color theme="0" tint="-0.499984740745262"/>
      <name val="Arial Narrow"/>
      <family val="2"/>
      <charset val="204"/>
    </font>
    <font>
      <sz val="11"/>
      <color rgb="FF003300"/>
      <name val="Arial Narrow"/>
      <family val="2"/>
      <charset val="204"/>
    </font>
    <font>
      <b/>
      <sz val="11"/>
      <color theme="0" tint="-0.499984740745262"/>
      <name val="Arial Narrow"/>
      <family val="2"/>
      <charset val="204"/>
    </font>
    <font>
      <b/>
      <sz val="12"/>
      <name val="Arial"/>
      <family val="2"/>
      <charset val="204"/>
    </font>
    <font>
      <i/>
      <sz val="12"/>
      <color theme="1"/>
      <name val="Arial"/>
      <family val="2"/>
      <charset val="204"/>
    </font>
    <font>
      <sz val="12"/>
      <name val="Arial"/>
      <family val="2"/>
      <charset val="204"/>
    </font>
    <font>
      <b/>
      <sz val="12"/>
      <color theme="0" tint="-0.499984740745262"/>
      <name val="Arial Narrow"/>
      <family val="2"/>
      <charset val="204"/>
    </font>
    <font>
      <b/>
      <sz val="12"/>
      <color rgb="FFC00000"/>
      <name val="Arial"/>
      <family val="2"/>
      <charset val="204"/>
    </font>
    <font>
      <i/>
      <sz val="12"/>
      <name val="Arial"/>
      <family val="2"/>
      <charset val="204"/>
    </font>
    <font>
      <i/>
      <sz val="12"/>
      <color rgb="FF0000FF"/>
      <name val="Arial"/>
      <family val="2"/>
      <charset val="204"/>
    </font>
    <font>
      <sz val="12"/>
      <color rgb="FFFF0000"/>
      <name val="Arial"/>
      <family val="2"/>
      <charset val="204"/>
    </font>
    <font>
      <b/>
      <sz val="12"/>
      <color theme="0" tint="-0.499984740745262"/>
      <name val="Arial"/>
      <family val="2"/>
      <charset val="204"/>
    </font>
    <font>
      <sz val="12"/>
      <color theme="0" tint="-0.499984740745262"/>
      <name val="Arial"/>
      <family val="2"/>
      <charset val="204"/>
    </font>
    <font>
      <i/>
      <sz val="12"/>
      <color rgb="FFC00000"/>
      <name val="Arial"/>
      <family val="2"/>
      <charset val="204"/>
    </font>
    <font>
      <sz val="12"/>
      <color indexed="81"/>
      <name val="Tahoma"/>
      <family val="2"/>
      <charset val="204"/>
    </font>
    <font>
      <sz val="12"/>
      <color theme="1"/>
      <name val="Arial Narrow"/>
      <family val="2"/>
      <charset val="204"/>
    </font>
    <font>
      <b/>
      <sz val="12"/>
      <color indexed="81"/>
      <name val="Tahoma"/>
      <family val="2"/>
      <charset val="204"/>
    </font>
    <font>
      <u/>
      <sz val="11"/>
      <color rgb="FFFF0000"/>
      <name val="Arial Narrow"/>
      <family val="2"/>
      <charset val="204"/>
    </font>
    <font>
      <sz val="12"/>
      <name val="Arial Narrow"/>
      <family val="2"/>
      <charset val="204"/>
    </font>
    <font>
      <sz val="12"/>
      <color rgb="FFFF0000"/>
      <name val="Arial Narrow"/>
      <family val="2"/>
      <charset val="204"/>
    </font>
    <font>
      <b/>
      <sz val="14"/>
      <color rgb="FF0000FF"/>
      <name val="Arial Narrow"/>
      <family val="2"/>
      <charset val="204"/>
    </font>
    <font>
      <u/>
      <sz val="11"/>
      <color theme="1"/>
      <name val="Calibri"/>
      <family val="2"/>
      <charset val="204"/>
    </font>
    <font>
      <sz val="11"/>
      <color indexed="81"/>
      <name val="Tahoma"/>
      <family val="2"/>
      <charset val="204"/>
    </font>
    <font>
      <b/>
      <sz val="11"/>
      <color indexed="81"/>
      <name val="Tahoma"/>
      <family val="2"/>
      <charset val="204"/>
    </font>
    <font>
      <u/>
      <sz val="11"/>
      <name val="Arial Narrow"/>
      <family val="2"/>
      <charset val="204"/>
    </font>
    <font>
      <i/>
      <sz val="11"/>
      <color theme="1"/>
      <name val="Arial"/>
      <family val="2"/>
      <charset val="204"/>
    </font>
    <font>
      <b/>
      <sz val="12"/>
      <color rgb="FF0000FF"/>
      <name val="Arial Narrow"/>
      <family val="2"/>
      <charset val="204"/>
    </font>
    <font>
      <sz val="11"/>
      <color rgb="FFC00000"/>
      <name val="Arial"/>
      <family val="2"/>
      <charset val="204"/>
    </font>
    <font>
      <b/>
      <sz val="12"/>
      <color theme="1"/>
      <name val="Arial Narrow"/>
      <family val="2"/>
      <charset val="204"/>
    </font>
    <font>
      <i/>
      <sz val="12"/>
      <color theme="0" tint="-0.499984740745262"/>
      <name val="Arial"/>
      <family val="2"/>
      <charset val="204"/>
    </font>
    <font>
      <i/>
      <sz val="11"/>
      <color rgb="FFFF0000"/>
      <name val="Arial"/>
      <family val="2"/>
      <charset val="204"/>
    </font>
    <font>
      <b/>
      <i/>
      <sz val="11"/>
      <name val="Arial"/>
      <family val="2"/>
      <charset val="204"/>
    </font>
    <font>
      <b/>
      <sz val="14"/>
      <color rgb="FF000000"/>
      <name val="Arial Narrow"/>
      <family val="2"/>
      <charset val="204"/>
    </font>
    <font>
      <sz val="14"/>
      <color rgb="FF000000"/>
      <name val="Arial Narrow"/>
      <family val="2"/>
      <charset val="204"/>
    </font>
    <font>
      <b/>
      <i/>
      <sz val="12"/>
      <color theme="1"/>
      <name val="Arial"/>
      <family val="2"/>
      <charset val="204"/>
    </font>
    <font>
      <b/>
      <i/>
      <sz val="11"/>
      <color theme="1"/>
      <name val="Arial Narrow"/>
      <family val="2"/>
      <charset val="204"/>
    </font>
    <font>
      <b/>
      <sz val="10"/>
      <color theme="0" tint="-0.499984740745262"/>
      <name val="Arial"/>
      <family val="2"/>
      <charset val="204"/>
    </font>
    <font>
      <i/>
      <sz val="12"/>
      <color theme="1"/>
      <name val="Arial Narrow"/>
      <family val="2"/>
      <charset val="204"/>
    </font>
    <font>
      <u/>
      <sz val="12"/>
      <color theme="1"/>
      <name val="Arial Narrow"/>
      <family val="2"/>
      <charset val="204"/>
    </font>
    <font>
      <sz val="12"/>
      <color theme="0" tint="-0.34998626667073579"/>
      <name val="Arial Narrow"/>
      <family val="2"/>
      <charset val="204"/>
    </font>
    <font>
      <b/>
      <sz val="12"/>
      <name val="Arial Narrow"/>
      <family val="2"/>
      <charset val="204"/>
    </font>
    <font>
      <i/>
      <sz val="10"/>
      <color theme="1"/>
      <name val="Arial"/>
      <family val="2"/>
      <charset val="204"/>
    </font>
    <font>
      <b/>
      <sz val="14"/>
      <color theme="1"/>
      <name val="Arial Narrow"/>
      <family val="2"/>
      <charset val="204"/>
    </font>
    <font>
      <i/>
      <sz val="11"/>
      <color rgb="FF000000"/>
      <name val="Arial"/>
      <family val="2"/>
      <charset val="204"/>
    </font>
    <font>
      <sz val="12"/>
      <color theme="1"/>
      <name val="Times New Roman"/>
      <family val="1"/>
      <charset val="204"/>
    </font>
    <font>
      <sz val="12"/>
      <color rgb="FF000000"/>
      <name val="Times New Roman"/>
      <family val="1"/>
      <charset val="204"/>
    </font>
    <font>
      <vertAlign val="superscript"/>
      <sz val="12"/>
      <color rgb="FF000000"/>
      <name val="Times New Roman"/>
      <family val="1"/>
      <charset val="204"/>
    </font>
    <font>
      <b/>
      <sz val="14"/>
      <color rgb="FFC00000"/>
      <name val="Times New Roman"/>
      <family val="1"/>
      <charset val="204"/>
    </font>
    <font>
      <i/>
      <sz val="12"/>
      <name val="Arial Narrow"/>
      <family val="2"/>
      <charset val="204"/>
    </font>
    <font>
      <b/>
      <i/>
      <sz val="11"/>
      <color rgb="FFFF0000"/>
      <name val="Arial"/>
      <family val="2"/>
      <charset val="204"/>
    </font>
    <font>
      <b/>
      <i/>
      <sz val="11"/>
      <color rgb="FF003300"/>
      <name val="Arial"/>
      <family val="2"/>
      <charset val="204"/>
    </font>
    <font>
      <sz val="12"/>
      <color rgb="FF003300"/>
      <name val="Arial"/>
      <family val="2"/>
      <charset val="204"/>
    </font>
    <font>
      <b/>
      <sz val="12"/>
      <color rgb="FFFF0000"/>
      <name val="Times New Roman"/>
      <family val="1"/>
      <charset val="204"/>
    </font>
    <font>
      <b/>
      <sz val="14"/>
      <color rgb="FFFF0000"/>
      <name val="Times New Roman"/>
      <family val="1"/>
      <charset val="204"/>
    </font>
    <font>
      <b/>
      <sz val="12"/>
      <color rgb="FF0000FF"/>
      <name val="Times New Roman"/>
      <family val="1"/>
      <charset val="204"/>
    </font>
    <font>
      <sz val="14"/>
      <color theme="1"/>
      <name val="Arial Narrow"/>
      <family val="2"/>
      <charset val="204"/>
    </font>
    <font>
      <sz val="14"/>
      <color rgb="FF0000FF"/>
      <name val="Arial Narrow"/>
      <family val="2"/>
      <charset val="204"/>
    </font>
    <font>
      <sz val="8"/>
      <name val="Calibri"/>
      <family val="2"/>
      <charset val="204"/>
      <scheme val="minor"/>
    </font>
    <font>
      <sz val="12"/>
      <color rgb="FFC00000"/>
      <name val="Arial"/>
      <family val="2"/>
      <charset val="204"/>
    </font>
    <font>
      <sz val="12"/>
      <color rgb="FF0000FF"/>
      <name val="Arial"/>
      <family val="2"/>
      <charset val="204"/>
    </font>
    <font>
      <b/>
      <i/>
      <sz val="11"/>
      <color rgb="FFC00000"/>
      <name val="Arial Narrow"/>
      <family val="2"/>
      <charset val="204"/>
    </font>
    <font>
      <b/>
      <sz val="16"/>
      <color rgb="FF0000FF"/>
      <name val="Arial Narrow"/>
      <family val="2"/>
      <charset val="204"/>
    </font>
    <font>
      <b/>
      <sz val="10"/>
      <color theme="1"/>
      <name val="Arial Narrow"/>
      <family val="2"/>
      <charset val="204"/>
    </font>
    <font>
      <b/>
      <sz val="12"/>
      <color rgb="FFC00000"/>
      <name val="Arial Narrow"/>
      <family val="2"/>
      <charset val="204"/>
    </font>
    <font>
      <b/>
      <sz val="14"/>
      <color rgb="FFC00000"/>
      <name val="Arial"/>
      <family val="2"/>
      <charset val="204"/>
    </font>
    <font>
      <b/>
      <u/>
      <sz val="14"/>
      <color theme="10"/>
      <name val="Arial Narrow"/>
      <family val="2"/>
      <charset val="204"/>
    </font>
    <font>
      <b/>
      <sz val="12"/>
      <color theme="1"/>
      <name val="Times New Roman"/>
      <family val="1"/>
      <charset val="204"/>
    </font>
    <font>
      <b/>
      <i/>
      <sz val="11"/>
      <color theme="1"/>
      <name val="Arial"/>
      <family val="2"/>
      <charset val="204"/>
    </font>
    <font>
      <i/>
      <sz val="11"/>
      <color rgb="FFC00000"/>
      <name val="Arial"/>
      <family val="2"/>
      <charset val="204"/>
    </font>
    <font>
      <b/>
      <i/>
      <sz val="14"/>
      <color theme="1"/>
      <name val="Arial"/>
      <family val="2"/>
      <charset val="204"/>
    </font>
    <font>
      <sz val="9"/>
      <color theme="0" tint="-0.34998626667073579"/>
      <name val="Arial"/>
      <family val="2"/>
      <charset val="204"/>
    </font>
    <font>
      <b/>
      <i/>
      <sz val="11"/>
      <color rgb="FF0000FF"/>
      <name val="Arial"/>
      <family val="2"/>
      <charset val="204"/>
    </font>
    <font>
      <b/>
      <i/>
      <sz val="11"/>
      <color rgb="FFC00000"/>
      <name val="Arial"/>
      <family val="2"/>
      <charset val="204"/>
    </font>
    <font>
      <b/>
      <sz val="11"/>
      <color rgb="FFC00000"/>
      <name val="Calibri"/>
      <family val="2"/>
      <charset val="204"/>
      <scheme val="minor"/>
    </font>
    <font>
      <sz val="12"/>
      <color theme="0" tint="-0.34998626667073579"/>
      <name val="Arial"/>
      <family val="2"/>
      <charset val="204"/>
    </font>
    <font>
      <b/>
      <sz val="12"/>
      <color theme="0" tint="-0.34998626667073579"/>
      <name val="Arial"/>
      <family val="2"/>
      <charset val="204"/>
    </font>
    <font>
      <sz val="14"/>
      <color indexed="81"/>
      <name val="Tahoma"/>
      <family val="2"/>
      <charset val="204"/>
    </font>
    <font>
      <b/>
      <sz val="14"/>
      <color indexed="81"/>
      <name val="Tahoma"/>
      <family val="2"/>
      <charset val="204"/>
    </font>
    <font>
      <sz val="16"/>
      <color indexed="81"/>
      <name val="Tahoma"/>
      <family val="2"/>
      <charset val="204"/>
    </font>
    <font>
      <b/>
      <u/>
      <sz val="11"/>
      <color rgb="FFC00000"/>
      <name val="Arial Narrow"/>
      <family val="2"/>
      <charset val="204"/>
    </font>
    <font>
      <i/>
      <sz val="11"/>
      <name val="Arial"/>
      <family val="2"/>
      <charset val="204"/>
    </font>
    <font>
      <b/>
      <sz val="16"/>
      <color rgb="FFC00000"/>
      <name val="Arial"/>
      <family val="2"/>
      <charset val="204"/>
    </font>
  </fonts>
  <fills count="28">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6" tint="0.59999389629810485"/>
        <bgColor indexed="64"/>
      </patternFill>
    </fill>
    <fill>
      <patternFill patternType="solid">
        <fgColor rgb="FFFFFF00"/>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9" tint="-0.249977111117893"/>
        <bgColor indexed="64"/>
      </patternFill>
    </fill>
    <fill>
      <patternFill patternType="solid">
        <fgColor rgb="FFDCE6F2"/>
        <bgColor indexed="64"/>
      </patternFill>
    </fill>
    <fill>
      <patternFill patternType="solid">
        <fgColor rgb="FFFFFFFF"/>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rgb="FF92D050"/>
        <bgColor indexed="64"/>
      </patternFill>
    </fill>
  </fills>
  <borders count="179">
    <border>
      <left/>
      <right/>
      <top/>
      <bottom/>
      <diagonal/>
    </border>
    <border>
      <left/>
      <right/>
      <top style="thin">
        <color auto="1"/>
      </top>
      <bottom/>
      <diagonal/>
    </border>
    <border>
      <left/>
      <right/>
      <top/>
      <bottom style="thin">
        <color auto="1"/>
      </bottom>
      <diagonal/>
    </border>
    <border>
      <left/>
      <right/>
      <top style="dotted">
        <color auto="1"/>
      </top>
      <bottom/>
      <diagonal/>
    </border>
    <border>
      <left style="mediumDashed">
        <color rgb="FFFF0000"/>
      </left>
      <right style="mediumDashed">
        <color rgb="FFFF0000"/>
      </right>
      <top style="mediumDashed">
        <color rgb="FFFF0000"/>
      </top>
      <bottom style="thin">
        <color auto="1"/>
      </bottom>
      <diagonal/>
    </border>
    <border>
      <left style="mediumDashed">
        <color rgb="FFFF0000"/>
      </left>
      <right style="mediumDashed">
        <color rgb="FFFF0000"/>
      </right>
      <top/>
      <bottom/>
      <diagonal/>
    </border>
    <border>
      <left style="mediumDashed">
        <color rgb="FFFF0000"/>
      </left>
      <right style="mediumDashed">
        <color rgb="FFFF0000"/>
      </right>
      <top style="thin">
        <color auto="1"/>
      </top>
      <bottom/>
      <diagonal/>
    </border>
    <border>
      <left style="mediumDashed">
        <color rgb="FFFF0000"/>
      </left>
      <right style="mediumDashed">
        <color rgb="FFFF0000"/>
      </right>
      <top/>
      <bottom style="mediumDashed">
        <color rgb="FFFF0000"/>
      </bottom>
      <diagonal/>
    </border>
    <border>
      <left style="medium">
        <color theme="6" tint="-0.499984740745262"/>
      </left>
      <right/>
      <top style="medium">
        <color theme="6" tint="-0.499984740745262"/>
      </top>
      <bottom style="medium">
        <color theme="6" tint="-0.499984740745262"/>
      </bottom>
      <diagonal/>
    </border>
    <border>
      <left style="mediumDashed">
        <color rgb="FFFF0000"/>
      </left>
      <right style="mediumDashed">
        <color rgb="FFFF0000"/>
      </right>
      <top style="medium">
        <color theme="6" tint="-0.499984740745262"/>
      </top>
      <bottom style="medium">
        <color theme="6" tint="-0.499984740745262"/>
      </bottom>
      <diagonal/>
    </border>
    <border>
      <left/>
      <right/>
      <top style="medium">
        <color theme="6" tint="-0.499984740745262"/>
      </top>
      <bottom style="medium">
        <color theme="6" tint="-0.499984740745262"/>
      </bottom>
      <diagonal/>
    </border>
    <border>
      <left/>
      <right style="medium">
        <color theme="6" tint="-0.499984740745262"/>
      </right>
      <top style="medium">
        <color theme="6" tint="-0.499984740745262"/>
      </top>
      <bottom style="medium">
        <color theme="6" tint="-0.499984740745262"/>
      </bottom>
      <diagonal/>
    </border>
    <border>
      <left style="medium">
        <color rgb="FF0070C0"/>
      </left>
      <right/>
      <top style="medium">
        <color rgb="FF0070C0"/>
      </top>
      <bottom/>
      <diagonal/>
    </border>
    <border>
      <left style="mediumDashed">
        <color rgb="FFFF0000"/>
      </left>
      <right style="mediumDashed">
        <color rgb="FFFF0000"/>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70C0"/>
      </left>
      <right/>
      <top/>
      <bottom style="medium">
        <color rgb="FF0070C0"/>
      </bottom>
      <diagonal/>
    </border>
    <border>
      <left style="mediumDashed">
        <color rgb="FFFF0000"/>
      </left>
      <right style="mediumDashed">
        <color rgb="FFFF0000"/>
      </right>
      <top/>
      <bottom style="medium">
        <color rgb="FF0070C0"/>
      </bottom>
      <diagonal/>
    </border>
    <border>
      <left/>
      <right/>
      <top/>
      <bottom style="medium">
        <color rgb="FF0070C0"/>
      </bottom>
      <diagonal/>
    </border>
    <border>
      <left/>
      <right style="medium">
        <color rgb="FF0070C0"/>
      </right>
      <top/>
      <bottom style="medium">
        <color rgb="FF0070C0"/>
      </bottom>
      <diagonal/>
    </border>
    <border>
      <left/>
      <right/>
      <top style="thin">
        <color auto="1"/>
      </top>
      <bottom style="thin">
        <color auto="1"/>
      </bottom>
      <diagonal/>
    </border>
    <border>
      <left/>
      <right/>
      <top style="hair">
        <color auto="1"/>
      </top>
      <bottom/>
      <diagonal/>
    </border>
    <border>
      <left/>
      <right/>
      <top/>
      <bottom style="dotted">
        <color auto="1"/>
      </bottom>
      <diagonal/>
    </border>
    <border>
      <left style="mediumDashed">
        <color rgb="FF002060"/>
      </left>
      <right/>
      <top style="mediumDashed">
        <color rgb="FF002060"/>
      </top>
      <bottom/>
      <diagonal/>
    </border>
    <border>
      <left/>
      <right/>
      <top style="mediumDashed">
        <color rgb="FF002060"/>
      </top>
      <bottom/>
      <diagonal/>
    </border>
    <border>
      <left/>
      <right style="mediumDashed">
        <color rgb="FF002060"/>
      </right>
      <top style="mediumDashed">
        <color rgb="FF002060"/>
      </top>
      <bottom/>
      <diagonal/>
    </border>
    <border>
      <left style="mediumDashed">
        <color rgb="FF002060"/>
      </left>
      <right/>
      <top/>
      <bottom style="mediumDashed">
        <color rgb="FF002060"/>
      </bottom>
      <diagonal/>
    </border>
    <border>
      <left/>
      <right/>
      <top/>
      <bottom style="mediumDashed">
        <color rgb="FF002060"/>
      </bottom>
      <diagonal/>
    </border>
    <border>
      <left/>
      <right style="mediumDashed">
        <color rgb="FF002060"/>
      </right>
      <top/>
      <bottom style="mediumDashed">
        <color rgb="FF002060"/>
      </bottom>
      <diagonal/>
    </border>
    <border>
      <left style="mediumDashed">
        <color rgb="FFFF0000"/>
      </left>
      <right/>
      <top style="mediumDashed">
        <color rgb="FFFF0000"/>
      </top>
      <bottom style="mediumDashed">
        <color rgb="FFFF0000"/>
      </bottom>
      <diagonal/>
    </border>
    <border>
      <left/>
      <right/>
      <top style="mediumDashed">
        <color rgb="FFFF0000"/>
      </top>
      <bottom style="mediumDashed">
        <color rgb="FFFF0000"/>
      </bottom>
      <diagonal/>
    </border>
    <border>
      <left/>
      <right style="mediumDashed">
        <color rgb="FFFF0000"/>
      </right>
      <top style="mediumDashed">
        <color rgb="FFFF0000"/>
      </top>
      <bottom style="mediumDashed">
        <color rgb="FFFF0000"/>
      </bottom>
      <diagonal/>
    </border>
    <border>
      <left style="mediumDashed">
        <color rgb="FF002060"/>
      </left>
      <right/>
      <top/>
      <bottom/>
      <diagonal/>
    </border>
    <border>
      <left/>
      <right/>
      <top/>
      <bottom style="medium">
        <color theme="0" tint="-0.499984740745262"/>
      </bottom>
      <diagonal/>
    </border>
    <border>
      <left/>
      <right/>
      <top style="medium">
        <color theme="0" tint="-0.499984740745262"/>
      </top>
      <bottom/>
      <diagonal/>
    </border>
    <border>
      <left style="medium">
        <color theme="0" tint="-0.499984740745262"/>
      </left>
      <right/>
      <top/>
      <bottom style="medium">
        <color theme="0" tint="-0.499984740745262"/>
      </bottom>
      <diagonal/>
    </border>
    <border>
      <left style="medium">
        <color theme="0" tint="-0.499984740745262"/>
      </left>
      <right/>
      <top/>
      <bottom/>
      <diagonal/>
    </border>
    <border>
      <left/>
      <right/>
      <top/>
      <bottom style="hair">
        <color auto="1"/>
      </bottom>
      <diagonal/>
    </border>
    <border>
      <left style="hair">
        <color auto="1"/>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top style="thick">
        <color auto="1"/>
      </top>
      <bottom/>
      <diagonal/>
    </border>
    <border>
      <left/>
      <right/>
      <top style="thick">
        <color auto="1"/>
      </top>
      <bottom style="thick">
        <color auto="1"/>
      </bottom>
      <diagonal/>
    </border>
    <border>
      <left/>
      <right/>
      <top style="medium">
        <color auto="1"/>
      </top>
      <bottom style="medium">
        <color auto="1"/>
      </bottom>
      <diagonal/>
    </border>
    <border>
      <left/>
      <right/>
      <top style="dashed">
        <color auto="1"/>
      </top>
      <bottom style="dashed">
        <color auto="1"/>
      </bottom>
      <diagonal/>
    </border>
    <border>
      <left style="thick">
        <color rgb="FFFFC000"/>
      </left>
      <right/>
      <top style="thick">
        <color rgb="FFFFC000"/>
      </top>
      <bottom style="thick">
        <color rgb="FFFFC000"/>
      </bottom>
      <diagonal/>
    </border>
    <border>
      <left style="thick">
        <color rgb="FFFFC000"/>
      </left>
      <right/>
      <top style="thick">
        <color rgb="FFFFC000"/>
      </top>
      <bottom style="thin">
        <color auto="1"/>
      </bottom>
      <diagonal/>
    </border>
    <border>
      <left/>
      <right/>
      <top style="thick">
        <color rgb="FFFFC000"/>
      </top>
      <bottom style="thin">
        <color auto="1"/>
      </bottom>
      <diagonal/>
    </border>
    <border>
      <left/>
      <right style="thick">
        <color rgb="FFFFC000"/>
      </right>
      <top style="thick">
        <color rgb="FFFFC000"/>
      </top>
      <bottom style="thin">
        <color auto="1"/>
      </bottom>
      <diagonal/>
    </border>
    <border>
      <left style="thick">
        <color rgb="FFFFC000"/>
      </left>
      <right/>
      <top/>
      <bottom/>
      <diagonal/>
    </border>
    <border>
      <left/>
      <right style="thick">
        <color rgb="FFFFC000"/>
      </right>
      <top/>
      <bottom/>
      <diagonal/>
    </border>
    <border>
      <left style="thick">
        <color rgb="FFFFC000"/>
      </left>
      <right/>
      <top style="thin">
        <color auto="1"/>
      </top>
      <bottom style="thin">
        <color auto="1"/>
      </bottom>
      <diagonal/>
    </border>
    <border>
      <left/>
      <right style="thick">
        <color rgb="FFFFC000"/>
      </right>
      <top style="thin">
        <color auto="1"/>
      </top>
      <bottom style="thin">
        <color auto="1"/>
      </bottom>
      <diagonal/>
    </border>
    <border>
      <left style="thick">
        <color rgb="FFFFC000"/>
      </left>
      <right/>
      <top style="thin">
        <color auto="1"/>
      </top>
      <bottom style="thick">
        <color rgb="FFFFC000"/>
      </bottom>
      <diagonal/>
    </border>
    <border>
      <left/>
      <right/>
      <top style="thin">
        <color auto="1"/>
      </top>
      <bottom style="thick">
        <color rgb="FFFFC000"/>
      </bottom>
      <diagonal/>
    </border>
    <border>
      <left/>
      <right style="thick">
        <color rgb="FFFFC000"/>
      </right>
      <top style="thin">
        <color auto="1"/>
      </top>
      <bottom style="thick">
        <color rgb="FFFFC000"/>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
      <left style="thick">
        <color rgb="FFFFC000"/>
      </left>
      <right/>
      <top style="thin">
        <color auto="1"/>
      </top>
      <bottom/>
      <diagonal/>
    </border>
    <border>
      <left/>
      <right style="thick">
        <color rgb="FFFFC000"/>
      </right>
      <top style="thin">
        <color auto="1"/>
      </top>
      <bottom/>
      <diagonal/>
    </border>
    <border>
      <left style="thick">
        <color rgb="FFFFC000"/>
      </left>
      <right style="thick">
        <color rgb="FFFFC000"/>
      </right>
      <top style="thick">
        <color rgb="FFFFC000"/>
      </top>
      <bottom style="thin">
        <color auto="1"/>
      </bottom>
      <diagonal/>
    </border>
    <border>
      <left style="thick">
        <color rgb="FFFFC000"/>
      </left>
      <right style="thick">
        <color rgb="FFFFC000"/>
      </right>
      <top/>
      <bottom/>
      <diagonal/>
    </border>
    <border>
      <left style="thick">
        <color rgb="FFFFC000"/>
      </left>
      <right style="thick">
        <color rgb="FFFFC000"/>
      </right>
      <top style="thin">
        <color auto="1"/>
      </top>
      <bottom style="thin">
        <color auto="1"/>
      </bottom>
      <diagonal/>
    </border>
    <border>
      <left style="thick">
        <color rgb="FFFFC000"/>
      </left>
      <right style="thick">
        <color rgb="FFFFC000"/>
      </right>
      <top/>
      <bottom style="thick">
        <color rgb="FFFFC000"/>
      </bottom>
      <diagonal/>
    </border>
    <border>
      <left style="thick">
        <color rgb="FFFFC000"/>
      </left>
      <right/>
      <top/>
      <bottom style="thin">
        <color auto="1"/>
      </bottom>
      <diagonal/>
    </border>
    <border>
      <left/>
      <right style="thick">
        <color rgb="FFFFC000"/>
      </right>
      <top/>
      <bottom style="thin">
        <color auto="1"/>
      </bottom>
      <diagonal/>
    </border>
    <border>
      <left style="thick">
        <color rgb="FFFFC000"/>
      </left>
      <right style="thick">
        <color rgb="FFFFC000"/>
      </right>
      <top style="thick">
        <color rgb="FFFFC000"/>
      </top>
      <bottom/>
      <diagonal/>
    </border>
    <border>
      <left style="thin">
        <color auto="1"/>
      </left>
      <right style="thin">
        <color auto="1"/>
      </right>
      <top style="thin">
        <color auto="1"/>
      </top>
      <bottom style="thin">
        <color auto="1"/>
      </bottom>
      <diagonal/>
    </border>
    <border>
      <left/>
      <right/>
      <top/>
      <bottom style="dashed">
        <color auto="1"/>
      </bottom>
      <diagonal/>
    </border>
    <border>
      <left/>
      <right/>
      <top style="dotted">
        <color theme="1"/>
      </top>
      <bottom/>
      <diagonal/>
    </border>
    <border>
      <left style="thick">
        <color rgb="FFFFC000"/>
      </left>
      <right/>
      <top style="dotted">
        <color theme="1"/>
      </top>
      <bottom/>
      <diagonal/>
    </border>
    <border>
      <left/>
      <right style="thick">
        <color rgb="FFFFC000"/>
      </right>
      <top style="dotted">
        <color theme="1"/>
      </top>
      <bottom/>
      <diagonal/>
    </border>
    <border>
      <left/>
      <right/>
      <top/>
      <bottom style="dotted">
        <color theme="1"/>
      </bottom>
      <diagonal/>
    </border>
    <border>
      <left style="thick">
        <color rgb="FFFFC000"/>
      </left>
      <right/>
      <top/>
      <bottom style="dotted">
        <color theme="1"/>
      </bottom>
      <diagonal/>
    </border>
    <border>
      <left/>
      <right style="thick">
        <color rgb="FFFFC000"/>
      </right>
      <top/>
      <bottom style="dotted">
        <color theme="1"/>
      </bottom>
      <diagonal/>
    </border>
    <border>
      <left style="medium">
        <color rgb="FFFFC000"/>
      </left>
      <right style="medium">
        <color rgb="FFFFC000"/>
      </right>
      <top style="medium">
        <color rgb="FFFFC000"/>
      </top>
      <bottom/>
      <diagonal/>
    </border>
    <border>
      <left style="medium">
        <color rgb="FFFFC000"/>
      </left>
      <right style="medium">
        <color rgb="FFFFC000"/>
      </right>
      <top/>
      <bottom/>
      <diagonal/>
    </border>
    <border>
      <left style="medium">
        <color rgb="FFFFC000"/>
      </left>
      <right style="medium">
        <color rgb="FFFFC000"/>
      </right>
      <top/>
      <bottom style="medium">
        <color rgb="FFFFC000"/>
      </bottom>
      <diagonal/>
    </border>
    <border>
      <left style="thick">
        <color rgb="FFFFC000"/>
      </left>
      <right style="thick">
        <color rgb="FFFFC000"/>
      </right>
      <top/>
      <bottom style="thin">
        <color auto="1"/>
      </bottom>
      <diagonal/>
    </border>
    <border>
      <left style="medium">
        <color auto="1"/>
      </left>
      <right style="medium">
        <color auto="1"/>
      </right>
      <top style="medium">
        <color auto="1"/>
      </top>
      <bottom style="medium">
        <color auto="1"/>
      </bottom>
      <diagonal/>
    </border>
    <border>
      <left/>
      <right/>
      <top style="thin">
        <color auto="1"/>
      </top>
      <bottom style="dotted">
        <color auto="1"/>
      </bottom>
      <diagonal/>
    </border>
    <border>
      <left style="thick">
        <color rgb="FFFFC000"/>
      </left>
      <right/>
      <top style="thin">
        <color auto="1"/>
      </top>
      <bottom style="dotted">
        <color auto="1"/>
      </bottom>
      <diagonal/>
    </border>
    <border>
      <left/>
      <right style="thick">
        <color rgb="FFFFC000"/>
      </right>
      <top style="thin">
        <color auto="1"/>
      </top>
      <bottom style="dotted">
        <color auto="1"/>
      </bottom>
      <diagonal/>
    </border>
    <border>
      <left/>
      <right/>
      <top style="dotted">
        <color auto="1"/>
      </top>
      <bottom style="dotted">
        <color auto="1"/>
      </bottom>
      <diagonal/>
    </border>
    <border>
      <left style="thick">
        <color rgb="FFFFC000"/>
      </left>
      <right/>
      <top style="dotted">
        <color auto="1"/>
      </top>
      <bottom style="dotted">
        <color auto="1"/>
      </bottom>
      <diagonal/>
    </border>
    <border>
      <left/>
      <right style="thick">
        <color rgb="FFFFC000"/>
      </right>
      <top style="dotted">
        <color auto="1"/>
      </top>
      <bottom style="dotted">
        <color auto="1"/>
      </bottom>
      <diagonal/>
    </border>
    <border>
      <left style="thick">
        <color rgb="FFFFC000"/>
      </left>
      <right/>
      <top style="dotted">
        <color auto="1"/>
      </top>
      <bottom/>
      <diagonal/>
    </border>
    <border>
      <left/>
      <right style="thick">
        <color rgb="FFFFC000"/>
      </right>
      <top style="dotted">
        <color auto="1"/>
      </top>
      <bottom/>
      <diagonal/>
    </border>
    <border>
      <left/>
      <right/>
      <top style="dotted">
        <color theme="1"/>
      </top>
      <bottom style="dotted">
        <color theme="1"/>
      </bottom>
      <diagonal/>
    </border>
    <border>
      <left style="thick">
        <color rgb="FFFFC000"/>
      </left>
      <right/>
      <top style="dotted">
        <color theme="1"/>
      </top>
      <bottom style="dotted">
        <color theme="1"/>
      </bottom>
      <diagonal/>
    </border>
    <border>
      <left/>
      <right style="thick">
        <color rgb="FFFFC000"/>
      </right>
      <top style="dotted">
        <color theme="1"/>
      </top>
      <bottom style="dotted">
        <color theme="1"/>
      </bottom>
      <diagonal/>
    </border>
    <border>
      <left/>
      <right/>
      <top style="thin">
        <color auto="1"/>
      </top>
      <bottom style="dotted">
        <color theme="1"/>
      </bottom>
      <diagonal/>
    </border>
    <border>
      <left style="thick">
        <color rgb="FFFFC000"/>
      </left>
      <right/>
      <top style="thin">
        <color auto="1"/>
      </top>
      <bottom style="dotted">
        <color theme="1"/>
      </bottom>
      <diagonal/>
    </border>
    <border>
      <left/>
      <right style="thick">
        <color rgb="FFFFC000"/>
      </right>
      <top style="thin">
        <color auto="1"/>
      </top>
      <bottom style="dotted">
        <color theme="1"/>
      </bottom>
      <diagonal/>
    </border>
    <border>
      <left style="medium">
        <color rgb="FF000000"/>
      </left>
      <right style="medium">
        <color rgb="FF000000"/>
      </right>
      <top style="medium">
        <color rgb="FF000000"/>
      </top>
      <bottom style="medium">
        <color rgb="FF000000"/>
      </bottom>
      <diagonal/>
    </border>
    <border>
      <left/>
      <right/>
      <top style="dotted">
        <color rgb="FFC00000"/>
      </top>
      <bottom/>
      <diagonal/>
    </border>
    <border>
      <left/>
      <right/>
      <top/>
      <bottom style="dotted">
        <color rgb="FFC00000"/>
      </bottom>
      <diagonal/>
    </border>
    <border>
      <left/>
      <right/>
      <top/>
      <bottom style="dotted">
        <color rgb="FF003300"/>
      </bottom>
      <diagonal/>
    </border>
    <border>
      <left style="dotted">
        <color auto="1"/>
      </left>
      <right style="dotted">
        <color auto="1"/>
      </right>
      <top style="dotted">
        <color auto="1"/>
      </top>
      <bottom/>
      <diagonal/>
    </border>
    <border>
      <left style="dotted">
        <color auto="1"/>
      </left>
      <right style="dotted">
        <color auto="1"/>
      </right>
      <top/>
      <bottom/>
      <diagonal/>
    </border>
    <border>
      <left style="dotted">
        <color auto="1"/>
      </left>
      <right style="dotted">
        <color auto="1"/>
      </right>
      <top/>
      <bottom style="thin">
        <color auto="1"/>
      </bottom>
      <diagonal/>
    </border>
    <border>
      <left style="dotted">
        <color auto="1"/>
      </left>
      <right style="dotted">
        <color auto="1"/>
      </right>
      <top/>
      <bottom style="dotted">
        <color auto="1"/>
      </bottom>
      <diagonal/>
    </border>
    <border>
      <left/>
      <right style="dotted">
        <color auto="1"/>
      </right>
      <top style="dotted">
        <color auto="1"/>
      </top>
      <bottom/>
      <diagonal/>
    </border>
    <border>
      <left/>
      <right style="dotted">
        <color auto="1"/>
      </right>
      <top/>
      <bottom/>
      <diagonal/>
    </border>
    <border>
      <left/>
      <right/>
      <top style="medium">
        <color auto="1"/>
      </top>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theme="1"/>
      </bottom>
      <diagonal/>
    </border>
    <border>
      <left/>
      <right/>
      <top/>
      <bottom style="medium">
        <color auto="1"/>
      </bottom>
      <diagonal/>
    </border>
    <border>
      <left style="thick">
        <color rgb="FFFFC000"/>
      </left>
      <right/>
      <top/>
      <bottom style="dotted">
        <color auto="1"/>
      </bottom>
      <diagonal/>
    </border>
    <border>
      <left/>
      <right style="thick">
        <color rgb="FFFFC000"/>
      </right>
      <top/>
      <bottom style="dotted">
        <color auto="1"/>
      </bottom>
      <diagonal/>
    </border>
    <border>
      <left/>
      <right/>
      <top style="thick">
        <color rgb="FFC00000"/>
      </top>
      <bottom style="dotted">
        <color auto="1"/>
      </bottom>
      <diagonal/>
    </border>
    <border>
      <left style="thick">
        <color rgb="FFFFC000"/>
      </left>
      <right/>
      <top style="thick">
        <color rgb="FFC00000"/>
      </top>
      <bottom style="dotted">
        <color auto="1"/>
      </bottom>
      <diagonal/>
    </border>
    <border>
      <left/>
      <right style="thick">
        <color rgb="FFFFC000"/>
      </right>
      <top style="thick">
        <color rgb="FFC00000"/>
      </top>
      <bottom style="dotted">
        <color auto="1"/>
      </bottom>
      <diagonal/>
    </border>
    <border>
      <left/>
      <right/>
      <top style="dotted">
        <color auto="1"/>
      </top>
      <bottom style="thick">
        <color rgb="FFC00000"/>
      </bottom>
      <diagonal/>
    </border>
    <border>
      <left style="thick">
        <color rgb="FFFFC000"/>
      </left>
      <right/>
      <top style="dotted">
        <color auto="1"/>
      </top>
      <bottom style="thick">
        <color rgb="FFC00000"/>
      </bottom>
      <diagonal/>
    </border>
    <border>
      <left/>
      <right style="thick">
        <color rgb="FFFFC000"/>
      </right>
      <top style="dotted">
        <color auto="1"/>
      </top>
      <bottom style="thick">
        <color rgb="FFC00000"/>
      </bottom>
      <diagonal/>
    </border>
    <border>
      <left/>
      <right/>
      <top style="thick">
        <color rgb="FFC00000"/>
      </top>
      <bottom/>
      <diagonal/>
    </border>
    <border>
      <left/>
      <right/>
      <top/>
      <bottom style="thick">
        <color rgb="FFC00000"/>
      </bottom>
      <diagonal/>
    </border>
    <border>
      <left/>
      <right/>
      <top/>
      <bottom style="hair">
        <color theme="1"/>
      </bottom>
      <diagonal/>
    </border>
    <border>
      <left style="thick">
        <color rgb="FFFFC000"/>
      </left>
      <right/>
      <top/>
      <bottom style="hair">
        <color theme="1"/>
      </bottom>
      <diagonal/>
    </border>
    <border>
      <left/>
      <right style="thick">
        <color rgb="FFFFC000"/>
      </right>
      <top/>
      <bottom style="hair">
        <color theme="1"/>
      </bottom>
      <diagonal/>
    </border>
    <border>
      <left/>
      <right/>
      <top style="hair">
        <color theme="1"/>
      </top>
      <bottom style="hair">
        <color theme="1"/>
      </bottom>
      <diagonal/>
    </border>
    <border>
      <left style="thick">
        <color rgb="FFFFC000"/>
      </left>
      <right/>
      <top style="hair">
        <color theme="1"/>
      </top>
      <bottom style="hair">
        <color theme="1"/>
      </bottom>
      <diagonal/>
    </border>
    <border>
      <left/>
      <right style="thick">
        <color rgb="FFFFC000"/>
      </right>
      <top style="hair">
        <color theme="1"/>
      </top>
      <bottom style="hair">
        <color theme="1"/>
      </bottom>
      <diagonal/>
    </border>
    <border>
      <left/>
      <right/>
      <top style="hair">
        <color theme="1"/>
      </top>
      <bottom/>
      <diagonal/>
    </border>
    <border>
      <left style="thick">
        <color rgb="FFFFC000"/>
      </left>
      <right/>
      <top style="hair">
        <color theme="1"/>
      </top>
      <bottom/>
      <diagonal/>
    </border>
    <border>
      <left/>
      <right style="thick">
        <color rgb="FFFFC000"/>
      </right>
      <top style="hair">
        <color theme="1"/>
      </top>
      <bottom/>
      <diagonal/>
    </border>
    <border>
      <left/>
      <right/>
      <top style="thin">
        <color theme="1"/>
      </top>
      <bottom style="thin">
        <color theme="1"/>
      </bottom>
      <diagonal/>
    </border>
    <border>
      <left/>
      <right/>
      <top style="thin">
        <color auto="1"/>
      </top>
      <bottom style="hair">
        <color auto="1"/>
      </bottom>
      <diagonal/>
    </border>
    <border>
      <left style="thick">
        <color rgb="FFFFC000"/>
      </left>
      <right/>
      <top style="thin">
        <color auto="1"/>
      </top>
      <bottom style="hair">
        <color auto="1"/>
      </bottom>
      <diagonal/>
    </border>
    <border>
      <left/>
      <right style="thick">
        <color rgb="FFFFC000"/>
      </right>
      <top style="thin">
        <color auto="1"/>
      </top>
      <bottom style="hair">
        <color auto="1"/>
      </bottom>
      <diagonal/>
    </border>
    <border>
      <left/>
      <right/>
      <top style="hair">
        <color auto="1"/>
      </top>
      <bottom style="medium">
        <color auto="1"/>
      </bottom>
      <diagonal/>
    </border>
    <border>
      <left/>
      <right/>
      <top style="hair">
        <color theme="0" tint="-0.499984740745262"/>
      </top>
      <bottom/>
      <diagonal/>
    </border>
    <border>
      <left/>
      <right style="thick">
        <color rgb="FFFFC000"/>
      </right>
      <top style="hair">
        <color theme="0" tint="-0.499984740745262"/>
      </top>
      <bottom/>
      <diagonal/>
    </border>
    <border>
      <left/>
      <right/>
      <top/>
      <bottom style="hair">
        <color theme="0" tint="-0.499984740745262"/>
      </bottom>
      <diagonal/>
    </border>
    <border>
      <left/>
      <right style="thick">
        <color rgb="FFFFC000"/>
      </right>
      <top/>
      <bottom style="hair">
        <color theme="0" tint="-0.499984740745262"/>
      </bottom>
      <diagonal/>
    </border>
    <border>
      <left/>
      <right/>
      <top style="thick">
        <color rgb="FFFFC000"/>
      </top>
      <bottom style="thick">
        <color rgb="FFFFC000"/>
      </bottom>
      <diagonal/>
    </border>
    <border>
      <left/>
      <right style="thick">
        <color rgb="FFFFC000"/>
      </right>
      <top style="thick">
        <color rgb="FFFFC000"/>
      </top>
      <bottom style="thick">
        <color rgb="FFFFC000"/>
      </bottom>
      <diagonal/>
    </border>
    <border>
      <left/>
      <right style="medium">
        <color rgb="FFFFC000"/>
      </right>
      <top/>
      <bottom/>
      <diagonal/>
    </border>
    <border>
      <left/>
      <right/>
      <top/>
      <bottom style="medium">
        <color rgb="FFFFC000"/>
      </bottom>
      <diagonal/>
    </border>
    <border>
      <left style="thick">
        <color rgb="FFFFC000"/>
      </left>
      <right style="thick">
        <color rgb="FFFFC000"/>
      </right>
      <top style="thin">
        <color auto="1"/>
      </top>
      <bottom/>
      <diagonal/>
    </border>
    <border>
      <left style="thick">
        <color rgb="FFFFC000"/>
      </left>
      <right style="thick">
        <color rgb="FFFFC000"/>
      </right>
      <top style="dotted">
        <color theme="1"/>
      </top>
      <bottom/>
      <diagonal/>
    </border>
    <border>
      <left/>
      <right style="thick">
        <color rgb="FFFFC000"/>
      </right>
      <top style="hair">
        <color auto="1"/>
      </top>
      <bottom style="thin">
        <color auto="1"/>
      </bottom>
      <diagonal/>
    </border>
    <border>
      <left style="thick">
        <color rgb="FFFFC000"/>
      </left>
      <right/>
      <top style="thin">
        <color auto="1"/>
      </top>
      <bottom style="hair">
        <color theme="1"/>
      </bottom>
      <diagonal/>
    </border>
    <border>
      <left/>
      <right style="thick">
        <color rgb="FFFFC000"/>
      </right>
      <top style="thin">
        <color auto="1"/>
      </top>
      <bottom style="hair">
        <color theme="1"/>
      </bottom>
      <diagonal/>
    </border>
    <border>
      <left/>
      <right/>
      <top style="thin">
        <color auto="1"/>
      </top>
      <bottom style="hair">
        <color theme="1"/>
      </bottom>
      <diagonal/>
    </border>
    <border>
      <left/>
      <right/>
      <top style="hair">
        <color theme="1"/>
      </top>
      <bottom style="thin">
        <color theme="1"/>
      </bottom>
      <diagonal/>
    </border>
    <border>
      <left style="thick">
        <color rgb="FFC00000"/>
      </left>
      <right style="thick">
        <color rgb="FFC00000"/>
      </right>
      <top style="thin">
        <color auto="1"/>
      </top>
      <bottom/>
      <diagonal/>
    </border>
    <border>
      <left style="thick">
        <color rgb="FFC00000"/>
      </left>
      <right style="thick">
        <color rgb="FFC00000"/>
      </right>
      <top/>
      <bottom/>
      <diagonal/>
    </border>
    <border>
      <left style="thick">
        <color rgb="FFC00000"/>
      </left>
      <right style="thick">
        <color rgb="FFC00000"/>
      </right>
      <top/>
      <bottom style="thick">
        <color rgb="FFC00000"/>
      </bottom>
      <diagonal/>
    </border>
    <border>
      <left style="medium">
        <color rgb="FFFFC000"/>
      </left>
      <right/>
      <top style="dotted">
        <color theme="1"/>
      </top>
      <bottom/>
      <diagonal/>
    </border>
    <border>
      <left style="medium">
        <color rgb="FFFFC000"/>
      </left>
      <right/>
      <top/>
      <bottom/>
      <diagonal/>
    </border>
    <border>
      <left style="medium">
        <color rgb="FFFFC000"/>
      </left>
      <right/>
      <top/>
      <bottom style="dotted">
        <color theme="1"/>
      </bottom>
      <diagonal/>
    </border>
    <border>
      <left style="thick">
        <color rgb="FFFFC000"/>
      </left>
      <right/>
      <top style="hair">
        <color theme="1"/>
      </top>
      <bottom style="thick">
        <color rgb="FFFFC000"/>
      </bottom>
      <diagonal/>
    </border>
    <border>
      <left/>
      <right style="thick">
        <color rgb="FFFFC000"/>
      </right>
      <top style="hair">
        <color theme="1"/>
      </top>
      <bottom style="thick">
        <color rgb="FFFFC000"/>
      </bottom>
      <diagonal/>
    </border>
    <border>
      <left/>
      <right/>
      <top style="hair">
        <color theme="1"/>
      </top>
      <bottom style="thick">
        <color rgb="FFFFC000"/>
      </bottom>
      <diagonal/>
    </border>
    <border>
      <left/>
      <right style="thick">
        <color rgb="FFFFC000"/>
      </right>
      <top style="dotted">
        <color auto="1"/>
      </top>
      <bottom style="thick">
        <color rgb="FFFFC000"/>
      </bottom>
      <diagonal/>
    </border>
    <border>
      <left/>
      <right style="thick">
        <color rgb="FFFFC000"/>
      </right>
      <top style="thin">
        <color theme="1"/>
      </top>
      <bottom style="thin">
        <color theme="1"/>
      </bottom>
      <diagonal/>
    </border>
    <border>
      <left/>
      <right style="thick">
        <color rgb="FFFFC000"/>
      </right>
      <top style="thin">
        <color theme="1"/>
      </top>
      <bottom/>
      <diagonal/>
    </border>
    <border>
      <left style="thick">
        <color rgb="FF0000FF"/>
      </left>
      <right/>
      <top style="thick">
        <color rgb="FF0000FF"/>
      </top>
      <bottom style="thick">
        <color rgb="FF0000FF"/>
      </bottom>
      <diagonal/>
    </border>
    <border>
      <left/>
      <right/>
      <top style="thick">
        <color rgb="FF0000FF"/>
      </top>
      <bottom style="thick">
        <color rgb="FF0000FF"/>
      </bottom>
      <diagonal/>
    </border>
    <border>
      <left/>
      <right style="thick">
        <color rgb="FF0000FF"/>
      </right>
      <top style="thick">
        <color rgb="FF0000FF"/>
      </top>
      <bottom style="thick">
        <color rgb="FF0000FF"/>
      </bottom>
      <diagonal/>
    </border>
    <border>
      <left style="thick">
        <color rgb="FFFFC000"/>
      </left>
      <right/>
      <top style="thick">
        <color theme="0" tint="-0.499984740745262"/>
      </top>
      <bottom style="thick">
        <color theme="0" tint="-0.499984740745262"/>
      </bottom>
      <diagonal/>
    </border>
    <border>
      <left/>
      <right/>
      <top style="thick">
        <color theme="0" tint="-0.499984740745262"/>
      </top>
      <bottom style="thick">
        <color theme="0" tint="-0.499984740745262"/>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medium">
        <color rgb="FFC00000"/>
      </top>
      <bottom style="medium">
        <color rgb="FFC00000"/>
      </bottom>
      <diagonal/>
    </border>
  </borders>
  <cellStyleXfs count="4">
    <xf numFmtId="0" fontId="0" fillId="0" borderId="0"/>
    <xf numFmtId="9" fontId="12" fillId="0" borderId="0" applyFont="0" applyFill="0" applyBorder="0" applyAlignment="0" applyProtection="0"/>
    <xf numFmtId="0" fontId="20" fillId="0" borderId="0" applyNumberFormat="0" applyFill="0" applyBorder="0" applyAlignment="0" applyProtection="0">
      <alignment vertical="top"/>
      <protection locked="0"/>
    </xf>
    <xf numFmtId="0" fontId="25" fillId="0" borderId="0"/>
  </cellStyleXfs>
  <cellXfs count="2249">
    <xf numFmtId="0" fontId="0" fillId="0" borderId="0" xfId="0"/>
    <xf numFmtId="0" fontId="1" fillId="0" borderId="0" xfId="0" applyFont="1"/>
    <xf numFmtId="0" fontId="2" fillId="0" borderId="0" xfId="0" applyFont="1"/>
    <xf numFmtId="0" fontId="1" fillId="0" borderId="0" xfId="0" applyFont="1" applyAlignment="1">
      <alignment vertical="top"/>
    </xf>
    <xf numFmtId="0" fontId="1" fillId="2" borderId="0" xfId="0" applyFont="1" applyFill="1"/>
    <xf numFmtId="165" fontId="1" fillId="2" borderId="0" xfId="0" applyNumberFormat="1" applyFont="1" applyFill="1" applyAlignment="1">
      <alignment vertical="top"/>
    </xf>
    <xf numFmtId="0" fontId="1" fillId="2" borderId="0" xfId="0" applyFont="1" applyFill="1" applyAlignment="1">
      <alignment vertical="top"/>
    </xf>
    <xf numFmtId="166" fontId="1" fillId="2" borderId="0" xfId="0" applyNumberFormat="1" applyFont="1" applyFill="1" applyAlignment="1">
      <alignment vertical="top"/>
    </xf>
    <xf numFmtId="165" fontId="1" fillId="2" borderId="0" xfId="0" applyNumberFormat="1" applyFont="1" applyFill="1"/>
    <xf numFmtId="166" fontId="1" fillId="2" borderId="0" xfId="0" applyNumberFormat="1" applyFont="1" applyFill="1"/>
    <xf numFmtId="0" fontId="1" fillId="2" borderId="1" xfId="0" applyFont="1" applyFill="1" applyBorder="1"/>
    <xf numFmtId="0" fontId="4" fillId="2" borderId="0" xfId="0" applyFont="1" applyFill="1"/>
    <xf numFmtId="0" fontId="2" fillId="2" borderId="0" xfId="0" applyFont="1" applyFill="1"/>
    <xf numFmtId="0" fontId="2" fillId="2" borderId="0" xfId="0" applyFont="1" applyFill="1" applyAlignment="1">
      <alignment vertical="top"/>
    </xf>
    <xf numFmtId="166" fontId="2" fillId="2" borderId="0" xfId="0" applyNumberFormat="1" applyFont="1" applyFill="1" applyAlignment="1">
      <alignment vertical="top"/>
    </xf>
    <xf numFmtId="0" fontId="1" fillId="2" borderId="2" xfId="0" applyFont="1" applyFill="1" applyBorder="1"/>
    <xf numFmtId="0" fontId="2" fillId="2" borderId="1" xfId="0" applyFont="1" applyFill="1" applyBorder="1"/>
    <xf numFmtId="166" fontId="2" fillId="2" borderId="0" xfId="0" applyNumberFormat="1" applyFont="1" applyFill="1"/>
    <xf numFmtId="0" fontId="3" fillId="0" borderId="0" xfId="0" applyFont="1"/>
    <xf numFmtId="0" fontId="0" fillId="2" borderId="0" xfId="0" applyFill="1"/>
    <xf numFmtId="0" fontId="0" fillId="2" borderId="0" xfId="0" applyFill="1" applyAlignment="1">
      <alignment horizontal="right"/>
    </xf>
    <xf numFmtId="0" fontId="8" fillId="2" borderId="0" xfId="0" applyFont="1" applyFill="1"/>
    <xf numFmtId="0" fontId="8" fillId="0" borderId="0" xfId="0" applyFont="1"/>
    <xf numFmtId="0" fontId="8" fillId="3" borderId="0" xfId="0" applyFont="1" applyFill="1"/>
    <xf numFmtId="0" fontId="8" fillId="2" borderId="0" xfId="0" applyFont="1" applyFill="1" applyAlignment="1">
      <alignment horizontal="right"/>
    </xf>
    <xf numFmtId="0" fontId="4" fillId="2" borderId="1" xfId="0" applyFont="1" applyFill="1" applyBorder="1" applyAlignment="1">
      <alignment horizontal="right"/>
    </xf>
    <xf numFmtId="0" fontId="4" fillId="2" borderId="1" xfId="0" applyFont="1" applyFill="1" applyBorder="1"/>
    <xf numFmtId="0" fontId="8" fillId="2" borderId="1" xfId="0" applyFont="1" applyFill="1" applyBorder="1"/>
    <xf numFmtId="0" fontId="4" fillId="0" borderId="0" xfId="0" applyFont="1"/>
    <xf numFmtId="0" fontId="2" fillId="2" borderId="0" xfId="0" applyFont="1" applyFill="1" applyAlignment="1">
      <alignment horizontal="center" wrapText="1"/>
    </xf>
    <xf numFmtId="0" fontId="1" fillId="2" borderId="0" xfId="0" applyFont="1" applyFill="1" applyAlignment="1">
      <alignment horizontal="center" wrapText="1"/>
    </xf>
    <xf numFmtId="0" fontId="0" fillId="4" borderId="0" xfId="0" applyFill="1"/>
    <xf numFmtId="0" fontId="8" fillId="3" borderId="0" xfId="0" applyFont="1" applyFill="1" applyAlignment="1">
      <alignment horizontal="right"/>
    </xf>
    <xf numFmtId="166" fontId="1" fillId="2" borderId="0" xfId="1" applyNumberFormat="1" applyFont="1" applyFill="1"/>
    <xf numFmtId="164" fontId="1" fillId="2" borderId="2" xfId="0" applyNumberFormat="1" applyFont="1" applyFill="1" applyBorder="1"/>
    <xf numFmtId="9" fontId="1" fillId="2" borderId="0" xfId="1" applyFont="1" applyFill="1"/>
    <xf numFmtId="0" fontId="1" fillId="2" borderId="0" xfId="0" applyFont="1" applyFill="1" applyAlignment="1">
      <alignment horizontal="center"/>
    </xf>
    <xf numFmtId="0" fontId="1" fillId="2" borderId="3" xfId="0" applyFont="1" applyFill="1" applyBorder="1"/>
    <xf numFmtId="0" fontId="5" fillId="2" borderId="0" xfId="0" applyFont="1" applyFill="1"/>
    <xf numFmtId="0" fontId="19" fillId="2" borderId="0" xfId="0" applyFont="1" applyFill="1"/>
    <xf numFmtId="3" fontId="1" fillId="0" borderId="0" xfId="0" applyNumberFormat="1" applyFont="1"/>
    <xf numFmtId="9" fontId="1" fillId="0" borderId="0" xfId="1" applyFont="1"/>
    <xf numFmtId="49" fontId="1" fillId="2" borderId="2" xfId="0" applyNumberFormat="1" applyFont="1" applyFill="1" applyBorder="1" applyAlignment="1">
      <alignment horizontal="center" vertical="center"/>
    </xf>
    <xf numFmtId="3" fontId="1" fillId="2" borderId="0" xfId="0" applyNumberFormat="1" applyFont="1" applyFill="1"/>
    <xf numFmtId="0" fontId="21" fillId="2" borderId="0" xfId="2" applyFont="1" applyFill="1" applyAlignment="1" applyProtection="1"/>
    <xf numFmtId="49" fontId="2" fillId="2" borderId="2" xfId="0" applyNumberFormat="1" applyFont="1" applyFill="1" applyBorder="1" applyAlignment="1">
      <alignment horizontal="center" vertical="center"/>
    </xf>
    <xf numFmtId="3" fontId="2" fillId="2" borderId="0" xfId="0" applyNumberFormat="1" applyFont="1" applyFill="1"/>
    <xf numFmtId="49" fontId="1" fillId="2" borderId="4" xfId="0" applyNumberFormat="1" applyFont="1" applyFill="1" applyBorder="1" applyAlignment="1">
      <alignment horizontal="center" vertical="center"/>
    </xf>
    <xf numFmtId="0" fontId="1" fillId="2" borderId="5" xfId="0" applyFont="1" applyFill="1" applyBorder="1"/>
    <xf numFmtId="3" fontId="1" fillId="2" borderId="5" xfId="0" applyNumberFormat="1" applyFont="1" applyFill="1" applyBorder="1"/>
    <xf numFmtId="0" fontId="1" fillId="2" borderId="6" xfId="0" applyFont="1" applyFill="1" applyBorder="1"/>
    <xf numFmtId="3" fontId="1" fillId="2" borderId="7" xfId="0" applyNumberFormat="1" applyFont="1" applyFill="1" applyBorder="1"/>
    <xf numFmtId="0" fontId="1" fillId="3" borderId="8" xfId="0" applyFont="1" applyFill="1" applyBorder="1"/>
    <xf numFmtId="166" fontId="1" fillId="3" borderId="9" xfId="1" applyNumberFormat="1" applyFont="1" applyFill="1" applyBorder="1"/>
    <xf numFmtId="166" fontId="1" fillId="3" borderId="10" xfId="1" applyNumberFormat="1" applyFont="1" applyFill="1" applyBorder="1"/>
    <xf numFmtId="166" fontId="2" fillId="3" borderId="11" xfId="1" applyNumberFormat="1" applyFont="1" applyFill="1" applyBorder="1"/>
    <xf numFmtId="0" fontId="1" fillId="10" borderId="12" xfId="0" applyFont="1" applyFill="1" applyBorder="1"/>
    <xf numFmtId="166" fontId="22" fillId="10" borderId="13" xfId="1" applyNumberFormat="1" applyFont="1" applyFill="1" applyBorder="1" applyAlignment="1">
      <alignment horizontal="center"/>
    </xf>
    <xf numFmtId="166" fontId="1" fillId="10" borderId="14" xfId="1" applyNumberFormat="1" applyFont="1" applyFill="1" applyBorder="1"/>
    <xf numFmtId="166" fontId="2" fillId="10" borderId="15" xfId="1" applyNumberFormat="1" applyFont="1" applyFill="1" applyBorder="1"/>
    <xf numFmtId="0" fontId="1" fillId="10" borderId="16" xfId="0" applyFont="1" applyFill="1" applyBorder="1"/>
    <xf numFmtId="166" fontId="22" fillId="10" borderId="17" xfId="1" applyNumberFormat="1" applyFont="1" applyFill="1" applyBorder="1" applyAlignment="1">
      <alignment horizontal="center"/>
    </xf>
    <xf numFmtId="166" fontId="1" fillId="10" borderId="18" xfId="1" applyNumberFormat="1" applyFont="1" applyFill="1" applyBorder="1"/>
    <xf numFmtId="166" fontId="2" fillId="10" borderId="19" xfId="1" applyNumberFormat="1" applyFont="1" applyFill="1" applyBorder="1"/>
    <xf numFmtId="0" fontId="1" fillId="0" borderId="0" xfId="0" applyFont="1" applyAlignment="1">
      <alignment horizontal="center" vertical="center"/>
    </xf>
    <xf numFmtId="0" fontId="5" fillId="0" borderId="0" xfId="0" applyFont="1"/>
    <xf numFmtId="0" fontId="1" fillId="2" borderId="0" xfId="0" applyFont="1" applyFill="1" applyAlignment="1">
      <alignment horizontal="center" vertical="center"/>
    </xf>
    <xf numFmtId="0" fontId="24" fillId="2" borderId="0" xfId="0" applyFont="1" applyFill="1" applyAlignment="1">
      <alignment horizontal="left"/>
    </xf>
    <xf numFmtId="0" fontId="13" fillId="0" borderId="0" xfId="0" applyFont="1"/>
    <xf numFmtId="0" fontId="13" fillId="2" borderId="0" xfId="0" applyFont="1" applyFill="1"/>
    <xf numFmtId="0" fontId="13" fillId="2" borderId="0" xfId="0" applyFont="1" applyFill="1" applyAlignment="1">
      <alignment horizontal="center" vertical="center"/>
    </xf>
    <xf numFmtId="0" fontId="26" fillId="2" borderId="0" xfId="0" applyFont="1" applyFill="1"/>
    <xf numFmtId="0" fontId="28" fillId="2" borderId="0" xfId="0" applyFont="1" applyFill="1"/>
    <xf numFmtId="0" fontId="8" fillId="2" borderId="2" xfId="0" applyFont="1" applyFill="1" applyBorder="1" applyAlignment="1">
      <alignment horizontal="center" vertical="center"/>
    </xf>
    <xf numFmtId="0" fontId="8" fillId="2" borderId="20" xfId="0" applyFont="1" applyFill="1" applyBorder="1" applyAlignment="1">
      <alignment horizontal="center" vertical="center" wrapText="1"/>
    </xf>
    <xf numFmtId="0" fontId="8" fillId="2" borderId="0" xfId="0" applyFont="1" applyFill="1" applyAlignment="1">
      <alignment horizontal="center" vertical="center"/>
    </xf>
    <xf numFmtId="10" fontId="8" fillId="2" borderId="20" xfId="0" applyNumberFormat="1" applyFont="1" applyFill="1" applyBorder="1" applyAlignment="1">
      <alignment horizontal="center" vertical="center" wrapText="1"/>
    </xf>
    <xf numFmtId="0" fontId="33" fillId="2" borderId="0" xfId="0" applyFont="1" applyFill="1" applyAlignment="1">
      <alignment horizontal="right" vertical="center"/>
    </xf>
    <xf numFmtId="0" fontId="33" fillId="2" borderId="0" xfId="0" applyFont="1" applyFill="1" applyAlignment="1">
      <alignment horizontal="left" vertical="center" indent="1"/>
    </xf>
    <xf numFmtId="0" fontId="33" fillId="8" borderId="23" xfId="0" applyFont="1" applyFill="1" applyBorder="1" applyAlignment="1">
      <alignment horizontal="right" vertical="center"/>
    </xf>
    <xf numFmtId="0" fontId="33" fillId="8" borderId="26" xfId="0" applyFont="1" applyFill="1" applyBorder="1" applyAlignment="1">
      <alignment horizontal="right" vertical="center"/>
    </xf>
    <xf numFmtId="0" fontId="33" fillId="2" borderId="0" xfId="0" applyFont="1" applyFill="1" applyAlignment="1">
      <alignment horizontal="left" vertical="center" wrapText="1"/>
    </xf>
    <xf numFmtId="0" fontId="33" fillId="2" borderId="0" xfId="0" applyFont="1" applyFill="1" applyAlignment="1">
      <alignment horizontal="left" vertical="center" wrapText="1" indent="1"/>
    </xf>
    <xf numFmtId="0" fontId="33" fillId="7" borderId="29" xfId="0" applyFont="1" applyFill="1" applyBorder="1" applyAlignment="1">
      <alignment horizontal="right" vertical="center"/>
    </xf>
    <xf numFmtId="0" fontId="39" fillId="2" borderId="0" xfId="0" applyFont="1" applyFill="1" applyAlignment="1">
      <alignment horizontal="center" vertical="center" wrapText="1"/>
    </xf>
    <xf numFmtId="0" fontId="36" fillId="2" borderId="0" xfId="0" applyFont="1" applyFill="1" applyAlignment="1">
      <alignment horizontal="center" vertical="center"/>
    </xf>
    <xf numFmtId="0" fontId="40" fillId="2" borderId="0" xfId="0" applyFont="1" applyFill="1" applyAlignment="1">
      <alignment horizontal="center" vertical="center"/>
    </xf>
    <xf numFmtId="0" fontId="34" fillId="2" borderId="0" xfId="0" applyFont="1" applyFill="1" applyAlignment="1">
      <alignment horizontal="center" vertical="center" wrapText="1"/>
    </xf>
    <xf numFmtId="0" fontId="34" fillId="2" borderId="0" xfId="0" applyFont="1" applyFill="1" applyAlignment="1">
      <alignment horizontal="center" vertical="top" wrapText="1"/>
    </xf>
    <xf numFmtId="0" fontId="37" fillId="2" borderId="0" xfId="0" applyFont="1" applyFill="1" applyAlignment="1">
      <alignment horizontal="left" vertical="center" indent="1"/>
    </xf>
    <xf numFmtId="9" fontId="8" fillId="2" borderId="0" xfId="1" applyFont="1" applyFill="1"/>
    <xf numFmtId="9" fontId="41" fillId="2" borderId="0" xfId="1" applyFont="1" applyFill="1" applyAlignment="1">
      <alignment horizontal="right"/>
    </xf>
    <xf numFmtId="9" fontId="42" fillId="2" borderId="0" xfId="1" applyFont="1" applyFill="1"/>
    <xf numFmtId="0" fontId="1" fillId="4" borderId="0" xfId="0" applyFont="1" applyFill="1"/>
    <xf numFmtId="0" fontId="6" fillId="2" borderId="0" xfId="0" applyFont="1" applyFill="1"/>
    <xf numFmtId="0" fontId="44" fillId="2" borderId="0" xfId="0" applyFont="1" applyFill="1"/>
    <xf numFmtId="9" fontId="43" fillId="2" borderId="0" xfId="1" applyFont="1" applyFill="1" applyAlignment="1">
      <alignment vertical="top"/>
    </xf>
    <xf numFmtId="4" fontId="1" fillId="2" borderId="0" xfId="0" applyNumberFormat="1" applyFont="1" applyFill="1"/>
    <xf numFmtId="0" fontId="47" fillId="11" borderId="0" xfId="0" applyFont="1" applyFill="1" applyAlignment="1">
      <alignment vertical="top"/>
    </xf>
    <xf numFmtId="0" fontId="47" fillId="4" borderId="0" xfId="0" applyFont="1" applyFill="1" applyAlignment="1">
      <alignment vertical="top"/>
    </xf>
    <xf numFmtId="9" fontId="48" fillId="11" borderId="0" xfId="1" applyFont="1" applyFill="1" applyAlignment="1">
      <alignment horizontal="center" vertical="center"/>
    </xf>
    <xf numFmtId="0" fontId="47" fillId="2" borderId="0" xfId="0" applyFont="1" applyFill="1"/>
    <xf numFmtId="0" fontId="47" fillId="2" borderId="0" xfId="0" applyFont="1" applyFill="1" applyAlignment="1">
      <alignment vertical="top"/>
    </xf>
    <xf numFmtId="0" fontId="47" fillId="0" borderId="0" xfId="0" applyFont="1"/>
    <xf numFmtId="165" fontId="47" fillId="2" borderId="0" xfId="0" applyNumberFormat="1" applyFont="1" applyFill="1"/>
    <xf numFmtId="0" fontId="47" fillId="9" borderId="34" xfId="0" applyFont="1" applyFill="1" applyBorder="1"/>
    <xf numFmtId="0" fontId="47" fillId="9" borderId="34" xfId="0" applyFont="1" applyFill="1" applyBorder="1" applyAlignment="1">
      <alignment vertical="top"/>
    </xf>
    <xf numFmtId="0" fontId="50" fillId="2" borderId="0" xfId="0" applyFont="1" applyFill="1"/>
    <xf numFmtId="0" fontId="50" fillId="2" borderId="0" xfId="0" applyFont="1" applyFill="1" applyAlignment="1">
      <alignment vertical="top"/>
    </xf>
    <xf numFmtId="9" fontId="47" fillId="2" borderId="0" xfId="1" applyFont="1" applyFill="1"/>
    <xf numFmtId="165" fontId="50" fillId="2" borderId="0" xfId="0" applyNumberFormat="1" applyFont="1" applyFill="1"/>
    <xf numFmtId="0" fontId="50" fillId="0" borderId="0" xfId="0" applyFont="1"/>
    <xf numFmtId="0" fontId="47" fillId="9" borderId="0" xfId="0" applyFont="1" applyFill="1"/>
    <xf numFmtId="0" fontId="47" fillId="9" borderId="0" xfId="0" applyFont="1" applyFill="1" applyAlignment="1">
      <alignment vertical="top"/>
    </xf>
    <xf numFmtId="0" fontId="47" fillId="2" borderId="34" xfId="0" applyFont="1" applyFill="1" applyBorder="1"/>
    <xf numFmtId="0" fontId="47" fillId="2" borderId="34" xfId="0" applyFont="1" applyFill="1" applyBorder="1" applyAlignment="1">
      <alignment vertical="top"/>
    </xf>
    <xf numFmtId="0" fontId="49" fillId="2" borderId="34" xfId="0" applyFont="1" applyFill="1" applyBorder="1" applyAlignment="1">
      <alignment vertical="top"/>
    </xf>
    <xf numFmtId="9" fontId="49" fillId="2" borderId="34" xfId="1" applyFont="1" applyFill="1" applyBorder="1" applyAlignment="1">
      <alignment horizontal="center"/>
    </xf>
    <xf numFmtId="165" fontId="47" fillId="2" borderId="0" xfId="0" applyNumberFormat="1" applyFont="1" applyFill="1" applyAlignment="1">
      <alignment horizontal="center"/>
    </xf>
    <xf numFmtId="9" fontId="50" fillId="2" borderId="0" xfId="1" applyFont="1" applyFill="1"/>
    <xf numFmtId="0" fontId="51" fillId="2" borderId="0" xfId="0" applyFont="1" applyFill="1"/>
    <xf numFmtId="0" fontId="51" fillId="2" borderId="0" xfId="0" applyFont="1" applyFill="1" applyAlignment="1">
      <alignment vertical="top"/>
    </xf>
    <xf numFmtId="0" fontId="48" fillId="11" borderId="0" xfId="0" applyFont="1" applyFill="1" applyAlignment="1">
      <alignment vertical="top"/>
    </xf>
    <xf numFmtId="0" fontId="48" fillId="4" borderId="0" xfId="0" applyFont="1" applyFill="1" applyAlignment="1">
      <alignment vertical="top"/>
    </xf>
    <xf numFmtId="165" fontId="52" fillId="2" borderId="0" xfId="0" applyNumberFormat="1" applyFont="1" applyFill="1"/>
    <xf numFmtId="165" fontId="51" fillId="2" borderId="0" xfId="0" applyNumberFormat="1" applyFont="1" applyFill="1"/>
    <xf numFmtId="0" fontId="51" fillId="0" borderId="0" xfId="0" applyFont="1"/>
    <xf numFmtId="0" fontId="47" fillId="9" borderId="0" xfId="0" applyFont="1" applyFill="1" applyAlignment="1">
      <alignment horizontal="left"/>
    </xf>
    <xf numFmtId="0" fontId="47" fillId="9" borderId="0" xfId="0" applyFont="1" applyFill="1" applyAlignment="1">
      <alignment horizontal="left" vertical="top"/>
    </xf>
    <xf numFmtId="0" fontId="48" fillId="11" borderId="0" xfId="0" applyFont="1" applyFill="1" applyAlignment="1">
      <alignment horizontal="left" vertical="top"/>
    </xf>
    <xf numFmtId="0" fontId="48" fillId="4" borderId="0" xfId="0" applyFont="1" applyFill="1" applyAlignment="1">
      <alignment horizontal="left" vertical="top"/>
    </xf>
    <xf numFmtId="0" fontId="54" fillId="11" borderId="0" xfId="0" applyFont="1" applyFill="1" applyAlignment="1">
      <alignment horizontal="right" vertical="top"/>
    </xf>
    <xf numFmtId="0" fontId="48" fillId="9" borderId="0" xfId="0" applyFont="1" applyFill="1"/>
    <xf numFmtId="0" fontId="48" fillId="9" borderId="0" xfId="0" applyFont="1" applyFill="1" applyAlignment="1">
      <alignment vertical="top"/>
    </xf>
    <xf numFmtId="0" fontId="48" fillId="9" borderId="0" xfId="0" applyFont="1" applyFill="1" applyAlignment="1">
      <alignment horizontal="left"/>
    </xf>
    <xf numFmtId="0" fontId="48" fillId="9" borderId="0" xfId="0" applyFont="1" applyFill="1" applyAlignment="1">
      <alignment horizontal="left" vertical="top"/>
    </xf>
    <xf numFmtId="165" fontId="48" fillId="2" borderId="0" xfId="0" applyNumberFormat="1" applyFont="1" applyFill="1"/>
    <xf numFmtId="0" fontId="48" fillId="2" borderId="0" xfId="0" applyFont="1" applyFill="1"/>
    <xf numFmtId="0" fontId="48" fillId="0" borderId="0" xfId="0" applyFont="1"/>
    <xf numFmtId="0" fontId="48" fillId="2" borderId="0" xfId="0" applyFont="1" applyFill="1" applyAlignment="1">
      <alignment vertical="top"/>
    </xf>
    <xf numFmtId="9" fontId="48" fillId="4" borderId="0" xfId="1" applyFont="1" applyFill="1"/>
    <xf numFmtId="168" fontId="1" fillId="2" borderId="0" xfId="0" applyNumberFormat="1" applyFont="1" applyFill="1"/>
    <xf numFmtId="9" fontId="47" fillId="2" borderId="0" xfId="1" applyFont="1" applyFill="1" applyAlignment="1">
      <alignment horizontal="center"/>
    </xf>
    <xf numFmtId="165" fontId="47" fillId="2" borderId="0" xfId="0" applyNumberFormat="1" applyFont="1" applyFill="1" applyAlignment="1">
      <alignment horizontal="center" vertical="top"/>
    </xf>
    <xf numFmtId="9" fontId="50" fillId="2" borderId="0" xfId="1" applyFont="1" applyFill="1" applyAlignment="1">
      <alignment horizontal="right" vertical="top"/>
    </xf>
    <xf numFmtId="165" fontId="47" fillId="2" borderId="0" xfId="0" applyNumberFormat="1" applyFont="1" applyFill="1" applyAlignment="1">
      <alignment horizontal="right"/>
    </xf>
    <xf numFmtId="0" fontId="56" fillId="2" borderId="0" xfId="0" applyFont="1" applyFill="1"/>
    <xf numFmtId="0" fontId="56" fillId="2" borderId="0" xfId="0" applyFont="1" applyFill="1" applyAlignment="1">
      <alignment vertical="top"/>
    </xf>
    <xf numFmtId="165" fontId="56" fillId="2" borderId="0" xfId="0" applyNumberFormat="1" applyFont="1" applyFill="1"/>
    <xf numFmtId="0" fontId="56" fillId="0" borderId="0" xfId="0" applyFont="1"/>
    <xf numFmtId="0" fontId="57" fillId="2" borderId="0" xfId="0" applyFont="1" applyFill="1" applyAlignment="1">
      <alignment vertical="top"/>
    </xf>
    <xf numFmtId="166" fontId="47" fillId="2" borderId="0" xfId="0" applyNumberFormat="1" applyFont="1" applyFill="1"/>
    <xf numFmtId="0" fontId="54" fillId="2" borderId="0" xfId="0" applyFont="1" applyFill="1" applyAlignment="1">
      <alignment vertical="top"/>
    </xf>
    <xf numFmtId="165" fontId="54" fillId="2" borderId="0" xfId="0" applyNumberFormat="1" applyFont="1" applyFill="1"/>
    <xf numFmtId="0" fontId="47" fillId="2" borderId="33" xfId="0" applyFont="1" applyFill="1" applyBorder="1" applyAlignment="1">
      <alignment vertical="top"/>
    </xf>
    <xf numFmtId="9" fontId="47" fillId="9" borderId="34" xfId="1" applyFont="1" applyFill="1" applyBorder="1" applyAlignment="1">
      <alignment horizontal="right" vertical="top"/>
    </xf>
    <xf numFmtId="9" fontId="47" fillId="9" borderId="0" xfId="1" applyFont="1" applyFill="1" applyAlignment="1">
      <alignment horizontal="right"/>
    </xf>
    <xf numFmtId="165" fontId="48" fillId="2" borderId="0" xfId="0" applyNumberFormat="1" applyFont="1" applyFill="1" applyAlignment="1">
      <alignment horizontal="right" vertical="top"/>
    </xf>
    <xf numFmtId="9" fontId="48" fillId="9" borderId="0" xfId="1" applyFont="1" applyFill="1" applyAlignment="1">
      <alignment horizontal="right" vertical="top"/>
    </xf>
    <xf numFmtId="0" fontId="47" fillId="12" borderId="0" xfId="0" applyFont="1" applyFill="1"/>
    <xf numFmtId="0" fontId="47" fillId="12" borderId="0" xfId="0" applyFont="1" applyFill="1" applyAlignment="1">
      <alignment vertical="top"/>
    </xf>
    <xf numFmtId="165" fontId="47" fillId="12" borderId="0" xfId="0" applyNumberFormat="1" applyFont="1" applyFill="1"/>
    <xf numFmtId="9" fontId="48" fillId="4" borderId="0" xfId="1" applyFont="1" applyFill="1" applyAlignment="1">
      <alignment horizontal="center" vertical="top"/>
    </xf>
    <xf numFmtId="0" fontId="49" fillId="2" borderId="0" xfId="0" applyFont="1" applyFill="1"/>
    <xf numFmtId="0" fontId="49" fillId="2" borderId="0" xfId="0" applyFont="1" applyFill="1" applyAlignment="1">
      <alignment vertical="top"/>
    </xf>
    <xf numFmtId="165" fontId="49" fillId="2" borderId="0" xfId="0" applyNumberFormat="1" applyFont="1" applyFill="1"/>
    <xf numFmtId="0" fontId="49" fillId="0" borderId="0" xfId="0" applyFont="1"/>
    <xf numFmtId="0" fontId="47" fillId="0" borderId="0" xfId="0" applyFont="1" applyAlignment="1">
      <alignment vertical="top"/>
    </xf>
    <xf numFmtId="165" fontId="47" fillId="2" borderId="0" xfId="0" applyNumberFormat="1" applyFont="1" applyFill="1" applyAlignment="1">
      <alignment vertical="top"/>
    </xf>
    <xf numFmtId="9" fontId="47" fillId="9" borderId="34" xfId="1" applyFont="1" applyFill="1" applyBorder="1" applyAlignment="1">
      <alignment horizontal="center" vertical="top"/>
    </xf>
    <xf numFmtId="9" fontId="47" fillId="2" borderId="0" xfId="1" applyFont="1" applyFill="1" applyAlignment="1">
      <alignment vertical="top"/>
    </xf>
    <xf numFmtId="165" fontId="46" fillId="2" borderId="0" xfId="0" applyNumberFormat="1" applyFont="1" applyFill="1" applyAlignment="1">
      <alignment vertical="top"/>
    </xf>
    <xf numFmtId="3" fontId="47" fillId="2" borderId="0" xfId="0" applyNumberFormat="1" applyFont="1" applyFill="1"/>
    <xf numFmtId="3" fontId="49" fillId="2" borderId="0" xfId="0" applyNumberFormat="1" applyFont="1" applyFill="1" applyAlignment="1">
      <alignment horizontal="center" vertical="top"/>
    </xf>
    <xf numFmtId="0" fontId="47" fillId="9" borderId="33" xfId="0" applyFont="1" applyFill="1" applyBorder="1" applyAlignment="1">
      <alignment vertical="top"/>
    </xf>
    <xf numFmtId="3" fontId="47" fillId="9" borderId="33" xfId="0" applyNumberFormat="1" applyFont="1" applyFill="1" applyBorder="1" applyAlignment="1">
      <alignment horizontal="center" vertical="top"/>
    </xf>
    <xf numFmtId="9" fontId="47" fillId="9" borderId="33" xfId="1" applyFont="1" applyFill="1" applyBorder="1" applyAlignment="1">
      <alignment horizontal="center" vertical="top"/>
    </xf>
    <xf numFmtId="3" fontId="47" fillId="2" borderId="0" xfId="0" applyNumberFormat="1" applyFont="1" applyFill="1" applyAlignment="1">
      <alignment vertical="top"/>
    </xf>
    <xf numFmtId="165" fontId="47" fillId="12" borderId="0" xfId="0" applyNumberFormat="1" applyFont="1" applyFill="1" applyAlignment="1">
      <alignment vertical="top"/>
    </xf>
    <xf numFmtId="3" fontId="47" fillId="9" borderId="34" xfId="0" applyNumberFormat="1" applyFont="1" applyFill="1" applyBorder="1" applyAlignment="1">
      <alignment horizontal="center" vertical="top"/>
    </xf>
    <xf numFmtId="165" fontId="49" fillId="2" borderId="0" xfId="0" applyNumberFormat="1" applyFont="1" applyFill="1" applyAlignment="1">
      <alignment vertical="top"/>
    </xf>
    <xf numFmtId="9" fontId="49" fillId="2" borderId="0" xfId="1" applyFont="1" applyFill="1" applyAlignment="1">
      <alignment vertical="top"/>
    </xf>
    <xf numFmtId="0" fontId="49" fillId="0" borderId="0" xfId="0" applyFont="1" applyAlignment="1">
      <alignment vertical="top"/>
    </xf>
    <xf numFmtId="9" fontId="50" fillId="2" borderId="0" xfId="1" applyFont="1" applyFill="1" applyAlignment="1">
      <alignment vertical="top"/>
    </xf>
    <xf numFmtId="166" fontId="47" fillId="2" borderId="0" xfId="0" applyNumberFormat="1" applyFont="1" applyFill="1" applyAlignment="1">
      <alignment vertical="top"/>
    </xf>
    <xf numFmtId="3" fontId="57" fillId="2" borderId="0" xfId="0" applyNumberFormat="1" applyFont="1" applyFill="1" applyAlignment="1">
      <alignment vertical="top"/>
    </xf>
    <xf numFmtId="3" fontId="54" fillId="2" borderId="0" xfId="0" applyNumberFormat="1" applyFont="1" applyFill="1" applyAlignment="1">
      <alignment vertical="top"/>
    </xf>
    <xf numFmtId="3" fontId="49" fillId="2" borderId="0" xfId="1" applyNumberFormat="1" applyFont="1" applyFill="1"/>
    <xf numFmtId="9" fontId="47" fillId="2" borderId="0" xfId="0" applyNumberFormat="1" applyFont="1" applyFill="1"/>
    <xf numFmtId="165" fontId="47" fillId="2" borderId="0" xfId="0" applyNumberFormat="1" applyFont="1" applyFill="1" applyAlignment="1">
      <alignment horizontal="right" vertical="top"/>
    </xf>
    <xf numFmtId="0" fontId="54" fillId="4" borderId="0" xfId="0" applyFont="1" applyFill="1" applyAlignment="1">
      <alignment horizontal="right" vertical="top"/>
    </xf>
    <xf numFmtId="3" fontId="49" fillId="2" borderId="34" xfId="0" applyNumberFormat="1" applyFont="1" applyFill="1" applyBorder="1" applyAlignment="1">
      <alignment horizontal="center"/>
    </xf>
    <xf numFmtId="3" fontId="49" fillId="2" borderId="0" xfId="0" applyNumberFormat="1" applyFont="1" applyFill="1"/>
    <xf numFmtId="166" fontId="58" fillId="2" borderId="0" xfId="0" applyNumberFormat="1" applyFont="1" applyFill="1" applyAlignment="1">
      <alignment horizontal="right" vertical="top"/>
    </xf>
    <xf numFmtId="3" fontId="47" fillId="9" borderId="34" xfId="0" applyNumberFormat="1" applyFont="1" applyFill="1" applyBorder="1" applyAlignment="1">
      <alignment horizontal="right" vertical="top"/>
    </xf>
    <xf numFmtId="3" fontId="47" fillId="9" borderId="0" xfId="0" applyNumberFormat="1" applyFont="1" applyFill="1" applyAlignment="1">
      <alignment vertical="top"/>
    </xf>
    <xf numFmtId="9" fontId="49" fillId="2" borderId="34" xfId="1" applyFont="1" applyFill="1" applyBorder="1"/>
    <xf numFmtId="9" fontId="47" fillId="2" borderId="0" xfId="1" applyFont="1" applyFill="1" applyAlignment="1">
      <alignment horizontal="right" vertical="top"/>
    </xf>
    <xf numFmtId="9" fontId="2" fillId="0" borderId="0" xfId="1" applyFont="1"/>
    <xf numFmtId="165" fontId="2" fillId="0" borderId="0" xfId="0" applyNumberFormat="1" applyFont="1"/>
    <xf numFmtId="165" fontId="1" fillId="0" borderId="0" xfId="0" applyNumberFormat="1" applyFont="1"/>
    <xf numFmtId="0" fontId="50" fillId="11" borderId="0" xfId="0" applyFont="1" applyFill="1" applyAlignment="1">
      <alignment vertical="top"/>
    </xf>
    <xf numFmtId="0" fontId="50" fillId="4" borderId="0" xfId="0" applyFont="1" applyFill="1" applyAlignment="1">
      <alignment horizontal="right" vertical="top"/>
    </xf>
    <xf numFmtId="165" fontId="59" fillId="2" borderId="0" xfId="0" applyNumberFormat="1" applyFont="1" applyFill="1" applyAlignment="1">
      <alignment vertical="top"/>
    </xf>
    <xf numFmtId="0" fontId="62" fillId="4" borderId="0" xfId="0" applyFont="1" applyFill="1" applyAlignment="1">
      <alignment horizontal="left" vertical="top"/>
    </xf>
    <xf numFmtId="0" fontId="62" fillId="11" borderId="0" xfId="0" applyFont="1" applyFill="1" applyAlignment="1">
      <alignment horizontal="center" vertical="top"/>
    </xf>
    <xf numFmtId="0" fontId="63" fillId="11" borderId="0" xfId="0" applyFont="1" applyFill="1" applyAlignment="1">
      <alignment horizontal="center" vertical="top"/>
    </xf>
    <xf numFmtId="0" fontId="64" fillId="11" borderId="0" xfId="0" applyFont="1" applyFill="1" applyAlignment="1">
      <alignment vertical="top"/>
    </xf>
    <xf numFmtId="165" fontId="64" fillId="11" borderId="0" xfId="0" applyNumberFormat="1" applyFont="1" applyFill="1"/>
    <xf numFmtId="0" fontId="1" fillId="2" borderId="33" xfId="0" applyFont="1" applyFill="1" applyBorder="1" applyAlignment="1">
      <alignment vertical="top"/>
    </xf>
    <xf numFmtId="1" fontId="47" fillId="2" borderId="33" xfId="0" applyNumberFormat="1" applyFont="1" applyFill="1" applyBorder="1"/>
    <xf numFmtId="1" fontId="47" fillId="12" borderId="35" xfId="0" applyNumberFormat="1" applyFont="1" applyFill="1" applyBorder="1" applyAlignment="1">
      <alignment horizontal="left"/>
    </xf>
    <xf numFmtId="0" fontId="65" fillId="2" borderId="0" xfId="0" applyFont="1" applyFill="1"/>
    <xf numFmtId="0" fontId="65" fillId="2" borderId="0" xfId="0" applyFont="1" applyFill="1" applyAlignment="1">
      <alignment vertical="top"/>
    </xf>
    <xf numFmtId="1" fontId="65" fillId="2" borderId="0" xfId="0" applyNumberFormat="1" applyFont="1" applyFill="1"/>
    <xf numFmtId="3" fontId="65" fillId="2" borderId="0" xfId="0" applyNumberFormat="1" applyFont="1" applyFill="1" applyAlignment="1">
      <alignment horizontal="center" vertical="top"/>
    </xf>
    <xf numFmtId="3" fontId="65" fillId="12" borderId="36" xfId="0" applyNumberFormat="1" applyFont="1" applyFill="1" applyBorder="1" applyAlignment="1">
      <alignment horizontal="center" vertical="top"/>
    </xf>
    <xf numFmtId="3" fontId="1" fillId="12" borderId="36" xfId="0" applyNumberFormat="1" applyFont="1" applyFill="1" applyBorder="1"/>
    <xf numFmtId="3" fontId="65" fillId="2" borderId="0" xfId="0" applyNumberFormat="1" applyFont="1" applyFill="1" applyAlignment="1">
      <alignment horizontal="center"/>
    </xf>
    <xf numFmtId="3" fontId="65" fillId="12" borderId="36" xfId="0" applyNumberFormat="1" applyFont="1" applyFill="1" applyBorder="1" applyAlignment="1">
      <alignment horizontal="center"/>
    </xf>
    <xf numFmtId="3" fontId="66" fillId="2" borderId="0" xfId="0" applyNumberFormat="1" applyFont="1" applyFill="1" applyAlignment="1">
      <alignment horizontal="center"/>
    </xf>
    <xf numFmtId="3" fontId="66" fillId="12" borderId="36" xfId="0" applyNumberFormat="1" applyFont="1" applyFill="1" applyBorder="1" applyAlignment="1">
      <alignment horizontal="center"/>
    </xf>
    <xf numFmtId="3" fontId="2" fillId="2" borderId="0" xfId="0" applyNumberFormat="1" applyFont="1" applyFill="1" applyAlignment="1">
      <alignment horizontal="center"/>
    </xf>
    <xf numFmtId="3" fontId="2" fillId="12" borderId="36" xfId="0" applyNumberFormat="1" applyFont="1" applyFill="1" applyBorder="1" applyAlignment="1">
      <alignment horizontal="center"/>
    </xf>
    <xf numFmtId="0" fontId="67" fillId="11" borderId="0" xfId="0" applyFont="1" applyFill="1"/>
    <xf numFmtId="165" fontId="5" fillId="2" borderId="0" xfId="0" applyNumberFormat="1" applyFont="1" applyFill="1" applyAlignment="1">
      <alignment vertical="top"/>
    </xf>
    <xf numFmtId="166" fontId="5" fillId="2" borderId="0" xfId="1" applyNumberFormat="1" applyFont="1" applyFill="1"/>
    <xf numFmtId="0" fontId="43" fillId="2" borderId="0" xfId="0" applyFont="1" applyFill="1"/>
    <xf numFmtId="165" fontId="26" fillId="2" borderId="0" xfId="0" applyNumberFormat="1" applyFont="1" applyFill="1" applyAlignment="1">
      <alignment vertical="top"/>
    </xf>
    <xf numFmtId="9" fontId="26" fillId="2" borderId="0" xfId="1" applyFont="1" applyFill="1"/>
    <xf numFmtId="0" fontId="5" fillId="4" borderId="0" xfId="0" applyFont="1" applyFill="1"/>
    <xf numFmtId="0" fontId="68" fillId="2" borderId="0" xfId="0" applyFont="1" applyFill="1"/>
    <xf numFmtId="0" fontId="7" fillId="2" borderId="0" xfId="0" applyFont="1" applyFill="1"/>
    <xf numFmtId="166" fontId="26" fillId="2" borderId="0" xfId="0" applyNumberFormat="1" applyFont="1" applyFill="1" applyAlignment="1">
      <alignment vertical="top"/>
    </xf>
    <xf numFmtId="0" fontId="26" fillId="0" borderId="0" xfId="0" applyFont="1"/>
    <xf numFmtId="166" fontId="26" fillId="2" borderId="0" xfId="1" applyNumberFormat="1" applyFont="1" applyFill="1"/>
    <xf numFmtId="0" fontId="5" fillId="2" borderId="2" xfId="0" applyFont="1" applyFill="1" applyBorder="1"/>
    <xf numFmtId="0" fontId="70" fillId="2" borderId="0" xfId="0" applyFont="1" applyFill="1" applyAlignment="1">
      <alignment vertical="top"/>
    </xf>
    <xf numFmtId="166" fontId="70" fillId="2" borderId="0" xfId="0" applyNumberFormat="1" applyFont="1" applyFill="1" applyAlignment="1">
      <alignment vertical="top"/>
    </xf>
    <xf numFmtId="0" fontId="70" fillId="0" borderId="0" xfId="0" applyFont="1"/>
    <xf numFmtId="0" fontId="73" fillId="2" borderId="0" xfId="0" applyFont="1" applyFill="1" applyAlignment="1">
      <alignment vertical="top"/>
    </xf>
    <xf numFmtId="3" fontId="1" fillId="2" borderId="0" xfId="0" applyNumberFormat="1" applyFont="1" applyFill="1" applyAlignment="1">
      <alignment horizontal="center"/>
    </xf>
    <xf numFmtId="0" fontId="25" fillId="2" borderId="0" xfId="0" applyFont="1" applyFill="1"/>
    <xf numFmtId="0" fontId="64" fillId="2" borderId="0" xfId="0" applyFont="1" applyFill="1"/>
    <xf numFmtId="3" fontId="47" fillId="2" borderId="0" xfId="1" applyNumberFormat="1" applyFont="1" applyFill="1"/>
    <xf numFmtId="3" fontId="49" fillId="2" borderId="2" xfId="1" applyNumberFormat="1" applyFont="1" applyFill="1" applyBorder="1"/>
    <xf numFmtId="9" fontId="47" fillId="2" borderId="0" xfId="0" applyNumberFormat="1" applyFont="1" applyFill="1" applyAlignment="1">
      <alignment vertical="top"/>
    </xf>
    <xf numFmtId="0" fontId="47" fillId="2" borderId="2" xfId="0" applyFont="1" applyFill="1" applyBorder="1" applyAlignment="1">
      <alignment vertical="top"/>
    </xf>
    <xf numFmtId="0" fontId="47" fillId="0" borderId="2" xfId="0" applyFont="1" applyBorder="1"/>
    <xf numFmtId="3" fontId="49" fillId="2" borderId="2" xfId="0" applyNumberFormat="1" applyFont="1" applyFill="1" applyBorder="1" applyAlignment="1">
      <alignment vertical="top"/>
    </xf>
    <xf numFmtId="3" fontId="47" fillId="2" borderId="22" xfId="0" applyNumberFormat="1" applyFont="1" applyFill="1" applyBorder="1" applyAlignment="1">
      <alignment vertical="top"/>
    </xf>
    <xf numFmtId="165" fontId="47" fillId="2" borderId="0" xfId="0" applyNumberFormat="1" applyFont="1" applyFill="1" applyAlignment="1">
      <alignment horizontal="center" vertical="center"/>
    </xf>
    <xf numFmtId="165" fontId="47" fillId="2" borderId="22" xfId="0" applyNumberFormat="1" applyFont="1" applyFill="1" applyBorder="1" applyAlignment="1">
      <alignment horizontal="center" vertical="center"/>
    </xf>
    <xf numFmtId="0" fontId="47" fillId="2" borderId="22" xfId="0" applyFont="1" applyFill="1" applyBorder="1" applyAlignment="1">
      <alignment vertical="top"/>
    </xf>
    <xf numFmtId="9" fontId="48" fillId="2" borderId="0" xfId="0" applyNumberFormat="1" applyFont="1" applyFill="1" applyAlignment="1">
      <alignment vertical="top"/>
    </xf>
    <xf numFmtId="9" fontId="47" fillId="2" borderId="2" xfId="0" applyNumberFormat="1" applyFont="1" applyFill="1" applyBorder="1"/>
    <xf numFmtId="165" fontId="47" fillId="2" borderId="2" xfId="0" applyNumberFormat="1" applyFont="1" applyFill="1" applyBorder="1"/>
    <xf numFmtId="9" fontId="47" fillId="2" borderId="1" xfId="0" applyNumberFormat="1" applyFont="1" applyFill="1" applyBorder="1" applyAlignment="1">
      <alignment vertical="top"/>
    </xf>
    <xf numFmtId="9" fontId="49" fillId="2" borderId="0" xfId="0" applyNumberFormat="1" applyFont="1" applyFill="1" applyAlignment="1">
      <alignment vertical="top"/>
    </xf>
    <xf numFmtId="9" fontId="54" fillId="2" borderId="22" xfId="0" applyNumberFormat="1" applyFont="1" applyFill="1" applyBorder="1" applyAlignment="1">
      <alignment vertical="top"/>
    </xf>
    <xf numFmtId="9" fontId="48" fillId="2" borderId="22" xfId="0" applyNumberFormat="1" applyFont="1" applyFill="1" applyBorder="1" applyAlignment="1">
      <alignment vertical="top"/>
    </xf>
    <xf numFmtId="9" fontId="65" fillId="2" borderId="0" xfId="0" applyNumberFormat="1" applyFont="1" applyFill="1" applyAlignment="1">
      <alignment vertical="top"/>
    </xf>
    <xf numFmtId="9" fontId="67" fillId="2" borderId="0" xfId="0" applyNumberFormat="1" applyFont="1" applyFill="1" applyAlignment="1">
      <alignment vertical="top"/>
    </xf>
    <xf numFmtId="9" fontId="53" fillId="2" borderId="1" xfId="0" applyNumberFormat="1" applyFont="1" applyFill="1" applyBorder="1" applyAlignment="1">
      <alignment vertical="top"/>
    </xf>
    <xf numFmtId="9" fontId="53" fillId="2" borderId="0" xfId="0" applyNumberFormat="1" applyFont="1" applyFill="1" applyAlignment="1">
      <alignment vertical="top"/>
    </xf>
    <xf numFmtId="9" fontId="75" fillId="2" borderId="0" xfId="0" applyNumberFormat="1" applyFont="1" applyFill="1" applyAlignment="1">
      <alignment vertical="top"/>
    </xf>
    <xf numFmtId="9" fontId="75" fillId="2" borderId="22" xfId="0" applyNumberFormat="1" applyFont="1" applyFill="1" applyBorder="1" applyAlignment="1">
      <alignment vertical="top"/>
    </xf>
    <xf numFmtId="9" fontId="49" fillId="2" borderId="0" xfId="0" applyNumberFormat="1" applyFont="1" applyFill="1"/>
    <xf numFmtId="9" fontId="65" fillId="2" borderId="0" xfId="0" applyNumberFormat="1" applyFont="1" applyFill="1"/>
    <xf numFmtId="9" fontId="67" fillId="2" borderId="0" xfId="0" applyNumberFormat="1" applyFont="1" applyFill="1"/>
    <xf numFmtId="3" fontId="48" fillId="2" borderId="0" xfId="0" applyNumberFormat="1" applyFont="1" applyFill="1" applyAlignment="1">
      <alignment vertical="top"/>
    </xf>
    <xf numFmtId="165" fontId="76" fillId="2" borderId="0" xfId="0" applyNumberFormat="1" applyFont="1" applyFill="1"/>
    <xf numFmtId="0" fontId="47" fillId="2" borderId="0" xfId="0" applyFont="1" applyFill="1" applyAlignment="1">
      <alignment horizontal="right" vertical="top"/>
    </xf>
    <xf numFmtId="0" fontId="47" fillId="10" borderId="38" xfId="0" applyFont="1" applyFill="1" applyBorder="1" applyAlignment="1">
      <alignment vertical="top"/>
    </xf>
    <xf numFmtId="0" fontId="47" fillId="10" borderId="21" xfId="0" applyFont="1" applyFill="1" applyBorder="1" applyAlignment="1">
      <alignment vertical="top"/>
    </xf>
    <xf numFmtId="0" fontId="47" fillId="10" borderId="40" xfId="0" applyFont="1" applyFill="1" applyBorder="1" applyAlignment="1">
      <alignment vertical="top"/>
    </xf>
    <xf numFmtId="0" fontId="47" fillId="10" borderId="0" xfId="0" applyFont="1" applyFill="1" applyAlignment="1">
      <alignment vertical="top"/>
    </xf>
    <xf numFmtId="0" fontId="47" fillId="10" borderId="42" xfId="0" applyFont="1" applyFill="1" applyBorder="1" applyAlignment="1">
      <alignment vertical="top"/>
    </xf>
    <xf numFmtId="0" fontId="47" fillId="10" borderId="37" xfId="0" applyFont="1" applyFill="1" applyBorder="1" applyAlignment="1">
      <alignment vertical="top"/>
    </xf>
    <xf numFmtId="165" fontId="47" fillId="10" borderId="39" xfId="0" applyNumberFormat="1" applyFont="1" applyFill="1" applyBorder="1" applyAlignment="1">
      <alignment vertical="top"/>
    </xf>
    <xf numFmtId="165" fontId="47" fillId="10" borderId="41" xfId="0" applyNumberFormat="1" applyFont="1" applyFill="1" applyBorder="1" applyAlignment="1">
      <alignment vertical="top"/>
    </xf>
    <xf numFmtId="165" fontId="47" fillId="10" borderId="43" xfId="0" applyNumberFormat="1" applyFont="1" applyFill="1" applyBorder="1" applyAlignment="1">
      <alignment vertical="top"/>
    </xf>
    <xf numFmtId="3" fontId="74" fillId="2" borderId="0" xfId="0" applyNumberFormat="1" applyFont="1" applyFill="1" applyAlignment="1">
      <alignment vertical="top"/>
    </xf>
    <xf numFmtId="166" fontId="65" fillId="2" borderId="0" xfId="0" applyNumberFormat="1" applyFont="1" applyFill="1" applyAlignment="1">
      <alignment vertical="top"/>
    </xf>
    <xf numFmtId="166" fontId="65" fillId="13" borderId="0" xfId="0" applyNumberFormat="1" applyFont="1" applyFill="1" applyAlignment="1">
      <alignment vertical="top"/>
    </xf>
    <xf numFmtId="9" fontId="62" fillId="9" borderId="0" xfId="0" applyNumberFormat="1" applyFont="1" applyFill="1"/>
    <xf numFmtId="166" fontId="53" fillId="2" borderId="0" xfId="0" applyNumberFormat="1" applyFont="1" applyFill="1"/>
    <xf numFmtId="165" fontId="78" fillId="2" borderId="0" xfId="0" applyNumberFormat="1" applyFont="1" applyFill="1"/>
    <xf numFmtId="9" fontId="74" fillId="3" borderId="0" xfId="0" applyNumberFormat="1" applyFont="1" applyFill="1"/>
    <xf numFmtId="1" fontId="79" fillId="2" borderId="0" xfId="0" applyNumberFormat="1" applyFont="1" applyFill="1" applyAlignment="1">
      <alignment vertical="top"/>
    </xf>
    <xf numFmtId="1" fontId="77" fillId="2" borderId="0" xfId="0" applyNumberFormat="1" applyFont="1" applyFill="1" applyAlignment="1">
      <alignment vertical="top"/>
    </xf>
    <xf numFmtId="0" fontId="8" fillId="2" borderId="0" xfId="0" applyFont="1" applyFill="1" applyAlignment="1">
      <alignment wrapText="1"/>
    </xf>
    <xf numFmtId="0" fontId="4" fillId="0" borderId="0" xfId="0" applyFont="1" applyAlignment="1">
      <alignment horizontal="center" vertical="center"/>
    </xf>
    <xf numFmtId="0" fontId="8" fillId="0" borderId="0" xfId="0" applyFont="1" applyAlignment="1">
      <alignment wrapText="1"/>
    </xf>
    <xf numFmtId="169" fontId="82" fillId="2" borderId="0" xfId="0" applyNumberFormat="1" applyFont="1" applyFill="1" applyAlignment="1">
      <alignment horizontal="center" vertical="top"/>
    </xf>
    <xf numFmtId="1" fontId="8" fillId="2" borderId="0" xfId="0" applyNumberFormat="1" applyFont="1" applyFill="1"/>
    <xf numFmtId="164" fontId="8" fillId="2" borderId="0" xfId="0" applyNumberFormat="1" applyFont="1" applyFill="1"/>
    <xf numFmtId="0" fontId="4" fillId="2" borderId="0" xfId="0" applyFont="1" applyFill="1" applyAlignment="1">
      <alignment horizontal="center" vertical="center"/>
    </xf>
    <xf numFmtId="0" fontId="8" fillId="2" borderId="20" xfId="0" applyFont="1" applyFill="1" applyBorder="1" applyAlignment="1">
      <alignment wrapText="1"/>
    </xf>
    <xf numFmtId="0" fontId="81" fillId="2" borderId="0" xfId="0" applyFont="1" applyFill="1" applyAlignment="1">
      <alignment wrapText="1"/>
    </xf>
    <xf numFmtId="169" fontId="80" fillId="2" borderId="20" xfId="0" applyNumberFormat="1" applyFont="1" applyFill="1" applyBorder="1" applyAlignment="1">
      <alignment horizontal="center" vertical="center"/>
    </xf>
    <xf numFmtId="1" fontId="8" fillId="2" borderId="2" xfId="0" applyNumberFormat="1" applyFont="1" applyFill="1" applyBorder="1" applyAlignment="1">
      <alignment horizontal="right"/>
    </xf>
    <xf numFmtId="169" fontId="82" fillId="2" borderId="0" xfId="0" applyNumberFormat="1" applyFont="1" applyFill="1" applyAlignment="1">
      <alignment horizontal="right" vertical="top"/>
    </xf>
    <xf numFmtId="0" fontId="4" fillId="2" borderId="0" xfId="0" applyFont="1" applyFill="1" applyAlignment="1">
      <alignment wrapText="1"/>
    </xf>
    <xf numFmtId="0" fontId="83" fillId="2" borderId="0" xfId="0" applyFont="1" applyFill="1"/>
    <xf numFmtId="0" fontId="83" fillId="0" borderId="0" xfId="0" applyFont="1"/>
    <xf numFmtId="0" fontId="81" fillId="2" borderId="2" xfId="0" applyFont="1" applyFill="1" applyBorder="1" applyAlignment="1">
      <alignment wrapText="1"/>
    </xf>
    <xf numFmtId="0" fontId="4" fillId="2" borderId="20" xfId="0" applyFont="1" applyFill="1" applyBorder="1" applyAlignment="1">
      <alignment horizontal="left" vertical="center" wrapText="1"/>
    </xf>
    <xf numFmtId="0" fontId="8" fillId="2" borderId="0" xfId="0" applyFont="1" applyFill="1" applyAlignment="1">
      <alignment vertical="center" wrapText="1"/>
    </xf>
    <xf numFmtId="0" fontId="83" fillId="2" borderId="0" xfId="0" applyFont="1" applyFill="1" applyAlignment="1">
      <alignment wrapText="1"/>
    </xf>
    <xf numFmtId="0" fontId="4" fillId="2" borderId="1" xfId="0" applyFont="1" applyFill="1" applyBorder="1" applyAlignment="1">
      <alignment wrapText="1"/>
    </xf>
    <xf numFmtId="0" fontId="4" fillId="2" borderId="20" xfId="0" applyFont="1" applyFill="1" applyBorder="1" applyAlignment="1">
      <alignment vertical="top" wrapText="1"/>
    </xf>
    <xf numFmtId="0" fontId="4" fillId="2" borderId="1" xfId="0" applyFont="1" applyFill="1" applyBorder="1" applyAlignment="1">
      <alignment vertical="top" wrapText="1"/>
    </xf>
    <xf numFmtId="0" fontId="8" fillId="2" borderId="2" xfId="0" applyFont="1" applyFill="1" applyBorder="1" applyAlignment="1">
      <alignment wrapText="1"/>
    </xf>
    <xf numFmtId="0" fontId="8" fillId="4" borderId="0" xfId="0" applyFont="1" applyFill="1" applyAlignment="1">
      <alignment wrapText="1"/>
    </xf>
    <xf numFmtId="0" fontId="8" fillId="5" borderId="0" xfId="0" applyFont="1" applyFill="1"/>
    <xf numFmtId="0" fontId="69" fillId="2" borderId="0" xfId="0" applyFont="1" applyFill="1" applyAlignment="1">
      <alignment wrapText="1"/>
    </xf>
    <xf numFmtId="0" fontId="8" fillId="2" borderId="1" xfId="0" applyFont="1" applyFill="1" applyBorder="1" applyAlignment="1">
      <alignment wrapText="1"/>
    </xf>
    <xf numFmtId="0" fontId="8" fillId="2" borderId="0" xfId="0" applyFont="1" applyFill="1" applyAlignment="1">
      <alignment vertical="center"/>
    </xf>
    <xf numFmtId="0" fontId="8" fillId="0" borderId="0" xfId="0" applyFont="1" applyAlignment="1">
      <alignment vertical="center"/>
    </xf>
    <xf numFmtId="0" fontId="8" fillId="2" borderId="0" xfId="0" applyFont="1" applyFill="1" applyAlignment="1">
      <alignment vertical="top"/>
    </xf>
    <xf numFmtId="0" fontId="8" fillId="2" borderId="1" xfId="0" applyFont="1" applyFill="1" applyBorder="1" applyAlignment="1">
      <alignment vertical="top" wrapText="1"/>
    </xf>
    <xf numFmtId="0" fontId="8" fillId="0" borderId="0" xfId="0" applyFont="1" applyAlignment="1">
      <alignment vertical="top"/>
    </xf>
    <xf numFmtId="0" fontId="8" fillId="2" borderId="20" xfId="0" applyFont="1" applyFill="1" applyBorder="1" applyAlignment="1">
      <alignment vertical="center" wrapText="1"/>
    </xf>
    <xf numFmtId="0" fontId="84" fillId="2" borderId="0" xfId="0" applyFont="1" applyFill="1" applyAlignment="1">
      <alignment wrapText="1"/>
    </xf>
    <xf numFmtId="169" fontId="80" fillId="2" borderId="0" xfId="0" applyNumberFormat="1" applyFont="1" applyFill="1" applyAlignment="1">
      <alignment horizontal="right" vertical="top"/>
    </xf>
    <xf numFmtId="0" fontId="4" fillId="2" borderId="2" xfId="0" applyFont="1" applyFill="1" applyBorder="1" applyAlignment="1">
      <alignment wrapText="1"/>
    </xf>
    <xf numFmtId="0" fontId="8" fillId="4" borderId="0" xfId="0" applyFont="1" applyFill="1"/>
    <xf numFmtId="0" fontId="8" fillId="14" borderId="0" xfId="0" applyFont="1" applyFill="1"/>
    <xf numFmtId="0" fontId="69" fillId="14" borderId="0" xfId="0" applyFont="1" applyFill="1" applyAlignment="1">
      <alignment wrapText="1"/>
    </xf>
    <xf numFmtId="0" fontId="85" fillId="2" borderId="0" xfId="0" applyFont="1" applyFill="1"/>
    <xf numFmtId="0" fontId="85" fillId="0" borderId="0" xfId="0" applyFont="1"/>
    <xf numFmtId="0" fontId="8" fillId="2" borderId="20" xfId="0" applyFont="1" applyFill="1" applyBorder="1" applyAlignment="1">
      <alignment vertical="top" wrapText="1"/>
    </xf>
    <xf numFmtId="0" fontId="86" fillId="2" borderId="0" xfId="0" applyFont="1" applyFill="1" applyAlignment="1">
      <alignment wrapText="1"/>
    </xf>
    <xf numFmtId="0" fontId="8" fillId="2" borderId="3" xfId="0" applyFont="1" applyFill="1" applyBorder="1" applyAlignment="1">
      <alignment wrapText="1"/>
    </xf>
    <xf numFmtId="0" fontId="8" fillId="2" borderId="22" xfId="0" applyFont="1" applyFill="1" applyBorder="1" applyAlignment="1">
      <alignment wrapText="1"/>
    </xf>
    <xf numFmtId="0" fontId="44" fillId="4" borderId="0" xfId="0" applyFont="1" applyFill="1"/>
    <xf numFmtId="0" fontId="26" fillId="4" borderId="0" xfId="0" applyFont="1" applyFill="1"/>
    <xf numFmtId="0" fontId="69" fillId="2" borderId="0" xfId="0" applyFont="1" applyFill="1"/>
    <xf numFmtId="0" fontId="87" fillId="2" borderId="0" xfId="0" applyFont="1" applyFill="1"/>
    <xf numFmtId="0" fontId="82" fillId="2" borderId="0" xfId="0" applyFont="1" applyFill="1"/>
    <xf numFmtId="0" fontId="8" fillId="2" borderId="2" xfId="0" applyFont="1" applyFill="1" applyBorder="1"/>
    <xf numFmtId="0" fontId="87" fillId="2" borderId="2" xfId="0" applyFont="1" applyFill="1" applyBorder="1"/>
    <xf numFmtId="0" fontId="4" fillId="2" borderId="0" xfId="0" applyFont="1" applyFill="1" applyAlignment="1">
      <alignment horizontal="left" vertical="top"/>
    </xf>
    <xf numFmtId="0" fontId="4" fillId="2" borderId="0" xfId="0" applyFont="1" applyFill="1" applyAlignment="1">
      <alignment horizontal="left" vertical="top" wrapText="1"/>
    </xf>
    <xf numFmtId="0" fontId="8" fillId="2" borderId="0" xfId="0" applyFont="1" applyFill="1" applyAlignment="1">
      <alignment horizontal="left" vertical="top"/>
    </xf>
    <xf numFmtId="49" fontId="8" fillId="2" borderId="0" xfId="0" applyNumberFormat="1" applyFont="1" applyFill="1" applyAlignment="1">
      <alignment horizontal="left" vertical="top"/>
    </xf>
    <xf numFmtId="0" fontId="8" fillId="2" borderId="0" xfId="0" applyFont="1" applyFill="1" applyAlignment="1">
      <alignment horizontal="left" vertical="top" wrapText="1"/>
    </xf>
    <xf numFmtId="49" fontId="4" fillId="2" borderId="0" xfId="0" applyNumberFormat="1" applyFont="1" applyFill="1" applyAlignment="1">
      <alignment horizontal="left" vertical="top"/>
    </xf>
    <xf numFmtId="49" fontId="1" fillId="2" borderId="0" xfId="0" applyNumberFormat="1" applyFont="1" applyFill="1" applyAlignment="1">
      <alignment horizontal="left" vertical="top"/>
    </xf>
    <xf numFmtId="0" fontId="1" fillId="2" borderId="0" xfId="0" applyFont="1" applyFill="1" applyAlignment="1">
      <alignment horizontal="left" vertical="top"/>
    </xf>
    <xf numFmtId="0" fontId="1" fillId="2" borderId="0" xfId="0" applyFont="1" applyFill="1" applyAlignment="1">
      <alignment horizontal="left" vertical="top" wrapText="1"/>
    </xf>
    <xf numFmtId="49" fontId="70" fillId="2" borderId="0" xfId="0" applyNumberFormat="1" applyFont="1" applyFill="1" applyAlignment="1">
      <alignment horizontal="left" vertical="top"/>
    </xf>
    <xf numFmtId="0" fontId="70" fillId="2" borderId="0" xfId="0" applyFont="1" applyFill="1" applyAlignment="1">
      <alignment horizontal="left" vertical="top"/>
    </xf>
    <xf numFmtId="0" fontId="70" fillId="2" borderId="0" xfId="0" applyFont="1" applyFill="1" applyAlignment="1">
      <alignment horizontal="left" vertical="top" wrapText="1"/>
    </xf>
    <xf numFmtId="165" fontId="2" fillId="0" borderId="0" xfId="0" applyNumberFormat="1" applyFont="1" applyAlignment="1">
      <alignment horizontal="center" vertical="center"/>
    </xf>
    <xf numFmtId="9" fontId="2" fillId="0" borderId="0" xfId="1" applyFont="1" applyAlignment="1">
      <alignment horizontal="center" vertical="center"/>
    </xf>
    <xf numFmtId="165" fontId="26" fillId="2" borderId="0" xfId="0" applyNumberFormat="1" applyFont="1" applyFill="1"/>
    <xf numFmtId="169" fontId="83" fillId="2" borderId="0" xfId="0" applyNumberFormat="1" applyFont="1" applyFill="1" applyAlignment="1">
      <alignment horizontal="right" vertical="top"/>
    </xf>
    <xf numFmtId="49" fontId="83" fillId="2" borderId="0" xfId="0" applyNumberFormat="1" applyFont="1" applyFill="1" applyAlignment="1">
      <alignment horizontal="left" vertical="top"/>
    </xf>
    <xf numFmtId="0" fontId="83" fillId="2" borderId="0" xfId="0" applyFont="1" applyFill="1" applyAlignment="1">
      <alignment horizontal="left" vertical="top"/>
    </xf>
    <xf numFmtId="0" fontId="83" fillId="2" borderId="0" xfId="0" applyFont="1" applyFill="1" applyAlignment="1">
      <alignment horizontal="left" vertical="top" wrapText="1"/>
    </xf>
    <xf numFmtId="0" fontId="83" fillId="2" borderId="0" xfId="0" applyFont="1" applyFill="1" applyAlignment="1">
      <alignment vertical="top"/>
    </xf>
    <xf numFmtId="49" fontId="4" fillId="2" borderId="20" xfId="0" applyNumberFormat="1" applyFont="1" applyFill="1" applyBorder="1" applyAlignment="1">
      <alignment horizontal="center" vertical="center"/>
    </xf>
    <xf numFmtId="49" fontId="4" fillId="2" borderId="20" xfId="0" applyNumberFormat="1" applyFont="1" applyFill="1" applyBorder="1" applyAlignment="1">
      <alignment horizontal="left" vertical="center"/>
    </xf>
    <xf numFmtId="0" fontId="4" fillId="2" borderId="20" xfId="0" applyFont="1" applyFill="1" applyBorder="1" applyAlignment="1">
      <alignment horizontal="center" vertical="center"/>
    </xf>
    <xf numFmtId="0" fontId="88" fillId="2" borderId="20" xfId="0" applyFont="1" applyFill="1" applyBorder="1" applyAlignment="1">
      <alignment horizontal="center" vertical="center" wrapText="1"/>
    </xf>
    <xf numFmtId="0" fontId="2" fillId="0" borderId="0" xfId="0" applyFont="1" applyAlignment="1">
      <alignment horizontal="center" vertical="center"/>
    </xf>
    <xf numFmtId="166" fontId="2" fillId="2" borderId="1" xfId="0" applyNumberFormat="1" applyFont="1" applyFill="1" applyBorder="1" applyAlignment="1">
      <alignment horizontal="center" vertical="center"/>
    </xf>
    <xf numFmtId="49" fontId="26" fillId="9" borderId="0" xfId="0" applyNumberFormat="1" applyFont="1" applyFill="1" applyAlignment="1">
      <alignment horizontal="left" vertical="top"/>
    </xf>
    <xf numFmtId="0" fontId="26" fillId="9" borderId="0" xfId="0" applyFont="1" applyFill="1" applyAlignment="1">
      <alignment horizontal="left" vertical="top"/>
    </xf>
    <xf numFmtId="0" fontId="26" fillId="9" borderId="0" xfId="0" applyFont="1" applyFill="1" applyAlignment="1">
      <alignment horizontal="left" vertical="top" wrapText="1"/>
    </xf>
    <xf numFmtId="169" fontId="26" fillId="9" borderId="0" xfId="0" applyNumberFormat="1" applyFont="1" applyFill="1" applyAlignment="1">
      <alignment horizontal="right" vertical="top"/>
    </xf>
    <xf numFmtId="170" fontId="82" fillId="2" borderId="0" xfId="0" applyNumberFormat="1" applyFont="1" applyFill="1" applyAlignment="1">
      <alignment horizontal="right" vertical="top"/>
    </xf>
    <xf numFmtId="170" fontId="80" fillId="2" borderId="20" xfId="0" applyNumberFormat="1" applyFont="1" applyFill="1" applyBorder="1" applyAlignment="1">
      <alignment horizontal="center" vertical="center"/>
    </xf>
    <xf numFmtId="170" fontId="7" fillId="2" borderId="20" xfId="0" applyNumberFormat="1" applyFont="1" applyFill="1" applyBorder="1" applyAlignment="1">
      <alignment horizontal="center" vertical="center"/>
    </xf>
    <xf numFmtId="170" fontId="82" fillId="2" borderId="0" xfId="0" applyNumberFormat="1" applyFont="1" applyFill="1" applyAlignment="1">
      <alignment horizontal="center" vertical="top"/>
    </xf>
    <xf numFmtId="170" fontId="7" fillId="2" borderId="20" xfId="0" applyNumberFormat="1" applyFont="1" applyFill="1" applyBorder="1" applyAlignment="1">
      <alignment horizontal="right" vertical="center"/>
    </xf>
    <xf numFmtId="170" fontId="82" fillId="2" borderId="20" xfId="0" applyNumberFormat="1" applyFont="1" applyFill="1" applyBorder="1" applyAlignment="1">
      <alignment horizontal="right" vertical="center"/>
    </xf>
    <xf numFmtId="170" fontId="82" fillId="2" borderId="0" xfId="0" applyNumberFormat="1" applyFont="1" applyFill="1" applyAlignment="1">
      <alignment horizontal="right"/>
    </xf>
    <xf numFmtId="170" fontId="80" fillId="2" borderId="1" xfId="0" applyNumberFormat="1" applyFont="1" applyFill="1" applyBorder="1" applyAlignment="1">
      <alignment horizontal="right" vertical="top"/>
    </xf>
    <xf numFmtId="170" fontId="80" fillId="2" borderId="0" xfId="0" applyNumberFormat="1" applyFont="1" applyFill="1" applyAlignment="1">
      <alignment horizontal="right"/>
    </xf>
    <xf numFmtId="170" fontId="82" fillId="4" borderId="0" xfId="0" applyNumberFormat="1" applyFont="1" applyFill="1" applyAlignment="1">
      <alignment horizontal="right" vertical="top"/>
    </xf>
    <xf numFmtId="170" fontId="80" fillId="2" borderId="20" xfId="0" applyNumberFormat="1" applyFont="1" applyFill="1" applyBorder="1" applyAlignment="1">
      <alignment horizontal="right" vertical="top"/>
    </xf>
    <xf numFmtId="170" fontId="82" fillId="2" borderId="2" xfId="0" applyNumberFormat="1" applyFont="1" applyFill="1" applyBorder="1" applyAlignment="1">
      <alignment horizontal="right" vertical="top"/>
    </xf>
    <xf numFmtId="170" fontId="82" fillId="2" borderId="20" xfId="0" applyNumberFormat="1" applyFont="1" applyFill="1" applyBorder="1" applyAlignment="1">
      <alignment horizontal="right"/>
    </xf>
    <xf numFmtId="170" fontId="83" fillId="2" borderId="0" xfId="0" applyNumberFormat="1" applyFont="1" applyFill="1" applyAlignment="1">
      <alignment horizontal="center" vertical="center"/>
    </xf>
    <xf numFmtId="170" fontId="8" fillId="2" borderId="0" xfId="0" applyNumberFormat="1" applyFont="1" applyFill="1"/>
    <xf numFmtId="170" fontId="82" fillId="4" borderId="0" xfId="0" applyNumberFormat="1" applyFont="1" applyFill="1" applyAlignment="1">
      <alignment horizontal="right"/>
    </xf>
    <xf numFmtId="170" fontId="82" fillId="2" borderId="2" xfId="0" applyNumberFormat="1" applyFont="1" applyFill="1" applyBorder="1" applyAlignment="1">
      <alignment horizontal="right"/>
    </xf>
    <xf numFmtId="170" fontId="80" fillId="2" borderId="0" xfId="0" applyNumberFormat="1" applyFont="1" applyFill="1" applyAlignment="1">
      <alignment horizontal="right" vertical="top"/>
    </xf>
    <xf numFmtId="170" fontId="8" fillId="14" borderId="0" xfId="0" applyNumberFormat="1" applyFont="1" applyFill="1"/>
    <xf numFmtId="170" fontId="82" fillId="2" borderId="1" xfId="0" applyNumberFormat="1" applyFont="1" applyFill="1" applyBorder="1" applyAlignment="1">
      <alignment horizontal="right" vertical="top"/>
    </xf>
    <xf numFmtId="170" fontId="80" fillId="2" borderId="2" xfId="0" applyNumberFormat="1" applyFont="1" applyFill="1" applyBorder="1" applyAlignment="1">
      <alignment horizontal="right" vertical="top"/>
    </xf>
    <xf numFmtId="170" fontId="82" fillId="2" borderId="20" xfId="0" applyNumberFormat="1" applyFont="1" applyFill="1" applyBorder="1" applyAlignment="1">
      <alignment horizontal="right" vertical="top"/>
    </xf>
    <xf numFmtId="170" fontId="82" fillId="2" borderId="3" xfId="0" applyNumberFormat="1" applyFont="1" applyFill="1" applyBorder="1" applyAlignment="1">
      <alignment horizontal="right" vertical="top"/>
    </xf>
    <xf numFmtId="170" fontId="82" fillId="2" borderId="22" xfId="0" applyNumberFormat="1" applyFont="1" applyFill="1" applyBorder="1" applyAlignment="1">
      <alignment horizontal="right" vertical="top"/>
    </xf>
    <xf numFmtId="170" fontId="86" fillId="2" borderId="0" xfId="0" applyNumberFormat="1" applyFont="1" applyFill="1" applyAlignment="1">
      <alignment horizontal="right" vertical="top"/>
    </xf>
    <xf numFmtId="170" fontId="4" fillId="2" borderId="0" xfId="0" applyNumberFormat="1" applyFont="1" applyFill="1"/>
    <xf numFmtId="0" fontId="80" fillId="2" borderId="0" xfId="0" applyFont="1" applyFill="1" applyAlignment="1">
      <alignment wrapText="1"/>
    </xf>
    <xf numFmtId="170" fontId="82" fillId="13" borderId="0" xfId="0" applyNumberFormat="1" applyFont="1" applyFill="1" applyAlignment="1">
      <alignment horizontal="right" vertical="top"/>
    </xf>
    <xf numFmtId="0" fontId="81" fillId="2" borderId="0" xfId="0" applyFont="1" applyFill="1"/>
    <xf numFmtId="170" fontId="81" fillId="2" borderId="0" xfId="0" applyNumberFormat="1" applyFont="1" applyFill="1"/>
    <xf numFmtId="0" fontId="81" fillId="0" borderId="0" xfId="0" applyFont="1"/>
    <xf numFmtId="0" fontId="4" fillId="13" borderId="0" xfId="0" applyFont="1" applyFill="1" applyAlignment="1">
      <alignment wrapText="1"/>
    </xf>
    <xf numFmtId="170" fontId="26" fillId="9" borderId="0" xfId="0" applyNumberFormat="1" applyFont="1" applyFill="1" applyAlignment="1">
      <alignment horizontal="right" vertical="top"/>
    </xf>
    <xf numFmtId="170" fontId="83" fillId="2" borderId="0" xfId="0" applyNumberFormat="1" applyFont="1" applyFill="1" applyAlignment="1">
      <alignment horizontal="right" vertical="top"/>
    </xf>
    <xf numFmtId="170" fontId="70" fillId="2" borderId="0" xfId="0" applyNumberFormat="1" applyFont="1" applyFill="1" applyAlignment="1">
      <alignment vertical="top"/>
    </xf>
    <xf numFmtId="0" fontId="1" fillId="14" borderId="0" xfId="0" applyFont="1" applyFill="1" applyAlignment="1">
      <alignment horizontal="left" vertical="top"/>
    </xf>
    <xf numFmtId="0" fontId="1" fillId="14" borderId="0" xfId="0" applyFont="1" applyFill="1"/>
    <xf numFmtId="0" fontId="5" fillId="14" borderId="0" xfId="0" applyFont="1" applyFill="1"/>
    <xf numFmtId="0" fontId="26" fillId="14" borderId="0" xfId="0" applyFont="1" applyFill="1"/>
    <xf numFmtId="0" fontId="4" fillId="14" borderId="0" xfId="0" applyFont="1" applyFill="1" applyAlignment="1">
      <alignment horizontal="left" vertical="top"/>
    </xf>
    <xf numFmtId="1" fontId="8" fillId="2" borderId="33" xfId="0" applyNumberFormat="1" applyFont="1" applyFill="1" applyBorder="1" applyAlignment="1">
      <alignment horizontal="right"/>
    </xf>
    <xf numFmtId="0" fontId="88" fillId="2" borderId="33" xfId="0" applyFont="1" applyFill="1" applyBorder="1" applyAlignment="1">
      <alignment horizontal="left" vertical="top"/>
    </xf>
    <xf numFmtId="0" fontId="8" fillId="2" borderId="33" xfId="0" applyFont="1" applyFill="1" applyBorder="1" applyAlignment="1">
      <alignment horizontal="left" vertical="top"/>
    </xf>
    <xf numFmtId="0" fontId="89" fillId="2" borderId="0" xfId="0" applyFont="1" applyFill="1" applyAlignment="1">
      <alignment horizontal="left" vertical="top"/>
    </xf>
    <xf numFmtId="171" fontId="89" fillId="2" borderId="0" xfId="0" applyNumberFormat="1" applyFont="1" applyFill="1"/>
    <xf numFmtId="171" fontId="1" fillId="2" borderId="0" xfId="0" applyNumberFormat="1" applyFont="1" applyFill="1"/>
    <xf numFmtId="171" fontId="26" fillId="2" borderId="0" xfId="0" applyNumberFormat="1" applyFont="1" applyFill="1"/>
    <xf numFmtId="0" fontId="69" fillId="2" borderId="0" xfId="0" applyFont="1" applyFill="1" applyAlignment="1">
      <alignment horizontal="left" vertical="top"/>
    </xf>
    <xf numFmtId="49" fontId="89" fillId="2" borderId="0" xfId="0" applyNumberFormat="1" applyFont="1" applyFill="1" applyAlignment="1">
      <alignment horizontal="left" vertical="top"/>
    </xf>
    <xf numFmtId="166" fontId="8" fillId="2" borderId="0" xfId="1" applyNumberFormat="1" applyFont="1" applyFill="1"/>
    <xf numFmtId="166" fontId="82" fillId="2" borderId="0" xfId="1" applyNumberFormat="1" applyFont="1" applyFill="1"/>
    <xf numFmtId="166" fontId="8" fillId="2" borderId="0" xfId="0" applyNumberFormat="1" applyFont="1" applyFill="1"/>
    <xf numFmtId="166" fontId="87" fillId="2" borderId="0" xfId="0" applyNumberFormat="1" applyFont="1" applyFill="1"/>
    <xf numFmtId="166" fontId="82" fillId="2" borderId="0" xfId="0" applyNumberFormat="1" applyFont="1" applyFill="1"/>
    <xf numFmtId="0" fontId="4" fillId="2" borderId="0" xfId="0" applyFont="1" applyFill="1" applyAlignment="1">
      <alignment horizontal="center"/>
    </xf>
    <xf numFmtId="166" fontId="4" fillId="2" borderId="0" xfId="0" applyNumberFormat="1" applyFont="1" applyFill="1"/>
    <xf numFmtId="166" fontId="42" fillId="2" borderId="0" xfId="0" applyNumberFormat="1" applyFont="1" applyFill="1"/>
    <xf numFmtId="166" fontId="80" fillId="2" borderId="0" xfId="0" applyNumberFormat="1" applyFont="1" applyFill="1"/>
    <xf numFmtId="0" fontId="8" fillId="2" borderId="0" xfId="0" applyFont="1" applyFill="1" applyAlignment="1">
      <alignment horizontal="center"/>
    </xf>
    <xf numFmtId="0" fontId="8" fillId="2" borderId="3" xfId="0" applyFont="1" applyFill="1" applyBorder="1"/>
    <xf numFmtId="166" fontId="8" fillId="2" borderId="3" xfId="0" applyNumberFormat="1" applyFont="1" applyFill="1" applyBorder="1"/>
    <xf numFmtId="166" fontId="87" fillId="2" borderId="0" xfId="1" applyNumberFormat="1" applyFont="1" applyFill="1"/>
    <xf numFmtId="166" fontId="80" fillId="2" borderId="20" xfId="1" applyNumberFormat="1" applyFont="1" applyFill="1" applyBorder="1" applyAlignment="1">
      <alignment horizontal="center" vertical="center"/>
    </xf>
    <xf numFmtId="166" fontId="8" fillId="2" borderId="20" xfId="0" applyNumberFormat="1" applyFont="1" applyFill="1" applyBorder="1" applyAlignment="1">
      <alignment vertical="center"/>
    </xf>
    <xf numFmtId="0" fontId="4" fillId="2" borderId="0" xfId="0" applyFont="1" applyFill="1" applyAlignment="1">
      <alignment horizontal="center" vertical="top"/>
    </xf>
    <xf numFmtId="0" fontId="8" fillId="2" borderId="0" xfId="0" applyFont="1" applyFill="1" applyAlignment="1">
      <alignment horizontal="center" vertical="top"/>
    </xf>
    <xf numFmtId="0" fontId="90" fillId="2" borderId="0" xfId="0" applyFont="1" applyFill="1"/>
    <xf numFmtId="0" fontId="90" fillId="2" borderId="0" xfId="0" applyFont="1" applyFill="1" applyAlignment="1">
      <alignment horizontal="left" wrapText="1" indent="2"/>
    </xf>
    <xf numFmtId="170" fontId="90" fillId="2" borderId="0" xfId="0" applyNumberFormat="1" applyFont="1" applyFill="1" applyAlignment="1">
      <alignment horizontal="right" vertical="top"/>
    </xf>
    <xf numFmtId="0" fontId="90" fillId="0" borderId="0" xfId="0" applyFont="1"/>
    <xf numFmtId="0" fontId="8" fillId="4" borderId="0" xfId="0" applyFont="1" applyFill="1" applyAlignment="1">
      <alignment horizontal="center" vertical="top"/>
    </xf>
    <xf numFmtId="170" fontId="47" fillId="9" borderId="34" xfId="0" applyNumberFormat="1" applyFont="1" applyFill="1" applyBorder="1" applyAlignment="1">
      <alignment horizontal="right" vertical="top"/>
    </xf>
    <xf numFmtId="170" fontId="48" fillId="11" borderId="0" xfId="0" applyNumberFormat="1" applyFont="1" applyFill="1" applyAlignment="1">
      <alignment horizontal="center" vertical="top"/>
    </xf>
    <xf numFmtId="170" fontId="53" fillId="11" borderId="0" xfId="0" applyNumberFormat="1" applyFont="1" applyFill="1" applyAlignment="1">
      <alignment horizontal="center" vertical="top"/>
    </xf>
    <xf numFmtId="170" fontId="47" fillId="9" borderId="0" xfId="0" applyNumberFormat="1" applyFont="1" applyFill="1" applyAlignment="1">
      <alignment vertical="top"/>
    </xf>
    <xf numFmtId="170" fontId="48" fillId="9" borderId="0" xfId="0" applyNumberFormat="1" applyFont="1" applyFill="1" applyAlignment="1">
      <alignment vertical="top"/>
    </xf>
    <xf numFmtId="170" fontId="48" fillId="4" borderId="0" xfId="0" applyNumberFormat="1" applyFont="1" applyFill="1" applyAlignment="1">
      <alignment horizontal="center" vertical="top"/>
    </xf>
    <xf numFmtId="170" fontId="49" fillId="2" borderId="34" xfId="0" applyNumberFormat="1" applyFont="1" applyFill="1" applyBorder="1" applyAlignment="1">
      <alignment horizontal="center"/>
    </xf>
    <xf numFmtId="170" fontId="56" fillId="2" borderId="0" xfId="0" applyNumberFormat="1" applyFont="1" applyFill="1" applyAlignment="1">
      <alignment horizontal="center"/>
    </xf>
    <xf numFmtId="9" fontId="8" fillId="2" borderId="0" xfId="0" applyNumberFormat="1" applyFont="1" applyFill="1" applyAlignment="1">
      <alignment horizontal="center" vertical="top"/>
    </xf>
    <xf numFmtId="0" fontId="92" fillId="2" borderId="0" xfId="0" applyFont="1" applyFill="1" applyAlignment="1">
      <alignment horizontal="center" vertical="top"/>
    </xf>
    <xf numFmtId="166" fontId="82" fillId="2" borderId="0" xfId="0" applyNumberFormat="1" applyFont="1" applyFill="1" applyAlignment="1">
      <alignment horizontal="right" vertical="top"/>
    </xf>
    <xf numFmtId="9" fontId="8" fillId="4" borderId="0" xfId="0" applyNumberFormat="1" applyFont="1" applyFill="1" applyAlignment="1">
      <alignment horizontal="center" vertical="top"/>
    </xf>
    <xf numFmtId="166" fontId="82" fillId="4" borderId="0" xfId="0" applyNumberFormat="1" applyFont="1" applyFill="1" applyAlignment="1">
      <alignment horizontal="right" vertical="top"/>
    </xf>
    <xf numFmtId="0" fontId="92" fillId="4" borderId="0" xfId="0" applyFont="1" applyFill="1" applyAlignment="1">
      <alignment horizontal="center" vertical="top"/>
    </xf>
    <xf numFmtId="165" fontId="94" fillId="2" borderId="0" xfId="0" applyNumberFormat="1" applyFont="1" applyFill="1"/>
    <xf numFmtId="9" fontId="47" fillId="9" borderId="0" xfId="1" applyFont="1" applyFill="1" applyBorder="1" applyAlignment="1">
      <alignment horizontal="right" vertical="top"/>
    </xf>
    <xf numFmtId="0" fontId="92" fillId="2" borderId="0" xfId="0" applyFont="1" applyFill="1"/>
    <xf numFmtId="0" fontId="92" fillId="2" borderId="0" xfId="0" applyFont="1" applyFill="1" applyAlignment="1">
      <alignment horizontal="right"/>
    </xf>
    <xf numFmtId="0" fontId="95" fillId="2" borderId="0" xfId="0" applyFont="1" applyFill="1"/>
    <xf numFmtId="0" fontId="92" fillId="2" borderId="2" xfId="0" applyFont="1" applyFill="1" applyBorder="1"/>
    <xf numFmtId="1" fontId="92" fillId="2" borderId="2" xfId="0" applyNumberFormat="1" applyFont="1" applyFill="1" applyBorder="1" applyAlignment="1">
      <alignment horizontal="right"/>
    </xf>
    <xf numFmtId="0" fontId="96" fillId="2" borderId="2" xfId="0" applyFont="1" applyFill="1" applyBorder="1"/>
    <xf numFmtId="0" fontId="97" fillId="12" borderId="0" xfId="0" applyFont="1" applyFill="1" applyAlignment="1">
      <alignment vertical="top"/>
    </xf>
    <xf numFmtId="1" fontId="47" fillId="2" borderId="0" xfId="0" applyNumberFormat="1" applyFont="1" applyFill="1" applyAlignment="1">
      <alignment vertical="top"/>
    </xf>
    <xf numFmtId="1" fontId="47" fillId="2" borderId="0" xfId="0" applyNumberFormat="1" applyFont="1" applyFill="1"/>
    <xf numFmtId="170" fontId="47" fillId="11" borderId="0" xfId="0" applyNumberFormat="1" applyFont="1" applyFill="1" applyAlignment="1">
      <alignment horizontal="center" vertical="top"/>
    </xf>
    <xf numFmtId="170" fontId="49" fillId="2" borderId="34" xfId="0" applyNumberFormat="1" applyFont="1" applyFill="1" applyBorder="1" applyAlignment="1">
      <alignment horizontal="center" vertical="top"/>
    </xf>
    <xf numFmtId="0" fontId="79" fillId="2" borderId="0" xfId="0" applyFont="1" applyFill="1"/>
    <xf numFmtId="0" fontId="79" fillId="2" borderId="0" xfId="0" applyFont="1" applyFill="1" applyAlignment="1">
      <alignment vertical="top"/>
    </xf>
    <xf numFmtId="165" fontId="79" fillId="2" borderId="0" xfId="0" applyNumberFormat="1" applyFont="1" applyFill="1"/>
    <xf numFmtId="0" fontId="79" fillId="0" borderId="0" xfId="0" applyFont="1"/>
    <xf numFmtId="170" fontId="79" fillId="2" borderId="0" xfId="0" applyNumberFormat="1" applyFont="1" applyFill="1" applyAlignment="1">
      <alignment horizontal="center"/>
    </xf>
    <xf numFmtId="9" fontId="54" fillId="2" borderId="0" xfId="1" applyFont="1" applyFill="1" applyBorder="1" applyAlignment="1">
      <alignment horizontal="center"/>
    </xf>
    <xf numFmtId="0" fontId="4" fillId="2" borderId="0" xfId="0" applyFont="1" applyFill="1" applyAlignment="1">
      <alignment vertical="top" wrapText="1"/>
    </xf>
    <xf numFmtId="170" fontId="50" fillId="11" borderId="0" xfId="0" applyNumberFormat="1" applyFont="1" applyFill="1" applyAlignment="1">
      <alignment horizontal="right" vertical="top"/>
    </xf>
    <xf numFmtId="0" fontId="8" fillId="2" borderId="0" xfId="0" applyFont="1" applyFill="1" applyAlignment="1">
      <alignment vertical="top" wrapText="1"/>
    </xf>
    <xf numFmtId="170" fontId="80" fillId="2" borderId="2" xfId="0" applyNumberFormat="1" applyFont="1" applyFill="1" applyBorder="1" applyAlignment="1">
      <alignment horizontal="right"/>
    </xf>
    <xf numFmtId="0" fontId="4" fillId="2" borderId="20" xfId="0" applyFont="1" applyFill="1" applyBorder="1" applyAlignment="1">
      <alignment wrapText="1"/>
    </xf>
    <xf numFmtId="170" fontId="80" fillId="2" borderId="20" xfId="0" applyNumberFormat="1" applyFont="1" applyFill="1" applyBorder="1" applyAlignment="1">
      <alignment horizontal="right"/>
    </xf>
    <xf numFmtId="0" fontId="4" fillId="2" borderId="1" xfId="0" applyFont="1" applyFill="1" applyBorder="1" applyAlignment="1">
      <alignment horizontal="left" vertical="center" wrapText="1"/>
    </xf>
    <xf numFmtId="170" fontId="80" fillId="2" borderId="1" xfId="0" applyNumberFormat="1" applyFont="1" applyFill="1" applyBorder="1" applyAlignment="1">
      <alignment horizontal="center" vertical="center"/>
    </xf>
    <xf numFmtId="0" fontId="4" fillId="2" borderId="44" xfId="0" applyFont="1" applyFill="1" applyBorder="1" applyAlignment="1">
      <alignment wrapText="1"/>
    </xf>
    <xf numFmtId="0" fontId="4" fillId="2" borderId="44" xfId="0" applyFont="1" applyFill="1" applyBorder="1"/>
    <xf numFmtId="0" fontId="4" fillId="2" borderId="45" xfId="0" applyFont="1" applyFill="1" applyBorder="1" applyAlignment="1">
      <alignment horizontal="left" vertical="center" wrapText="1"/>
    </xf>
    <xf numFmtId="170" fontId="80" fillId="2" borderId="45" xfId="0" applyNumberFormat="1" applyFont="1" applyFill="1" applyBorder="1" applyAlignment="1">
      <alignment horizontal="center" vertical="center"/>
    </xf>
    <xf numFmtId="49" fontId="24" fillId="2" borderId="0" xfId="0" applyNumberFormat="1" applyFont="1" applyFill="1" applyAlignment="1">
      <alignment horizontal="left"/>
    </xf>
    <xf numFmtId="1" fontId="8" fillId="2" borderId="0" xfId="0" applyNumberFormat="1" applyFont="1" applyFill="1" applyAlignment="1">
      <alignment horizontal="right"/>
    </xf>
    <xf numFmtId="0" fontId="1" fillId="9" borderId="0" xfId="0" applyFont="1" applyFill="1" applyAlignment="1">
      <alignment horizontal="left"/>
    </xf>
    <xf numFmtId="3" fontId="1" fillId="2" borderId="0" xfId="0" applyNumberFormat="1" applyFont="1" applyFill="1" applyAlignment="1">
      <alignment horizontal="left"/>
    </xf>
    <xf numFmtId="49" fontId="1" fillId="2" borderId="0" xfId="0" applyNumberFormat="1" applyFont="1" applyFill="1" applyAlignment="1">
      <alignment horizontal="left"/>
    </xf>
    <xf numFmtId="0" fontId="1" fillId="2" borderId="0" xfId="0" applyFont="1" applyFill="1" applyAlignment="1">
      <alignment horizontal="left"/>
    </xf>
    <xf numFmtId="0" fontId="23" fillId="2" borderId="0" xfId="0" applyFont="1" applyFill="1" applyAlignment="1">
      <alignment horizontal="left"/>
    </xf>
    <xf numFmtId="3" fontId="2" fillId="2" borderId="0" xfId="0" applyNumberFormat="1" applyFont="1" applyFill="1" applyAlignment="1">
      <alignment horizontal="left"/>
    </xf>
    <xf numFmtId="170" fontId="1" fillId="2" borderId="0" xfId="0" applyNumberFormat="1" applyFont="1" applyFill="1"/>
    <xf numFmtId="170" fontId="26" fillId="2" borderId="0" xfId="0" applyNumberFormat="1" applyFont="1" applyFill="1"/>
    <xf numFmtId="170" fontId="1" fillId="2" borderId="0" xfId="0" applyNumberFormat="1" applyFont="1" applyFill="1" applyAlignment="1">
      <alignment horizontal="center"/>
    </xf>
    <xf numFmtId="170" fontId="2" fillId="2" borderId="0" xfId="0" applyNumberFormat="1" applyFont="1" applyFill="1"/>
    <xf numFmtId="0" fontId="30" fillId="2" borderId="0" xfId="0" applyFont="1" applyFill="1"/>
    <xf numFmtId="0" fontId="2" fillId="2" borderId="0" xfId="0" applyFont="1" applyFill="1" applyAlignment="1">
      <alignment horizontal="center" vertical="center"/>
    </xf>
    <xf numFmtId="0" fontId="23" fillId="2" borderId="1" xfId="0" applyFont="1" applyFill="1" applyBorder="1" applyAlignment="1">
      <alignment horizontal="left"/>
    </xf>
    <xf numFmtId="0" fontId="2" fillId="2" borderId="1" xfId="0" applyFont="1" applyFill="1" applyBorder="1" applyAlignment="1">
      <alignment horizontal="left"/>
    </xf>
    <xf numFmtId="3" fontId="2" fillId="2" borderId="1" xfId="0" applyNumberFormat="1" applyFont="1" applyFill="1" applyBorder="1" applyAlignment="1">
      <alignment horizontal="left"/>
    </xf>
    <xf numFmtId="170" fontId="2" fillId="2" borderId="1" xfId="0" applyNumberFormat="1" applyFont="1" applyFill="1" applyBorder="1"/>
    <xf numFmtId="0" fontId="1" fillId="8" borderId="0" xfId="0" applyFont="1" applyFill="1"/>
    <xf numFmtId="0" fontId="2" fillId="9" borderId="0" xfId="0" applyFont="1" applyFill="1" applyAlignment="1">
      <alignment horizontal="left" vertical="center"/>
    </xf>
    <xf numFmtId="0" fontId="1" fillId="9" borderId="0" xfId="0" applyFont="1" applyFill="1"/>
    <xf numFmtId="170" fontId="1" fillId="9" borderId="0" xfId="0" applyNumberFormat="1" applyFont="1" applyFill="1"/>
    <xf numFmtId="170" fontId="5" fillId="9" borderId="0" xfId="0" applyNumberFormat="1" applyFont="1" applyFill="1"/>
    <xf numFmtId="0" fontId="23" fillId="2" borderId="46" xfId="0" applyFont="1" applyFill="1" applyBorder="1" applyAlignment="1">
      <alignment horizontal="left" vertical="center"/>
    </xf>
    <xf numFmtId="49" fontId="23" fillId="2" borderId="46" xfId="0" applyNumberFormat="1" applyFont="1" applyFill="1" applyBorder="1" applyAlignment="1">
      <alignment horizontal="left" vertical="center"/>
    </xf>
    <xf numFmtId="3" fontId="2" fillId="2" borderId="46" xfId="0" applyNumberFormat="1" applyFont="1" applyFill="1" applyBorder="1" applyAlignment="1">
      <alignment horizontal="left" vertical="center"/>
    </xf>
    <xf numFmtId="0" fontId="23" fillId="2" borderId="20" xfId="0" applyFont="1" applyFill="1" applyBorder="1" applyAlignment="1">
      <alignment horizontal="left" vertical="center"/>
    </xf>
    <xf numFmtId="49" fontId="23" fillId="2" borderId="20" xfId="0" applyNumberFormat="1" applyFont="1" applyFill="1" applyBorder="1" applyAlignment="1">
      <alignment horizontal="left" vertical="center"/>
    </xf>
    <xf numFmtId="3" fontId="2" fillId="2" borderId="20" xfId="0" applyNumberFormat="1" applyFont="1" applyFill="1" applyBorder="1" applyAlignment="1">
      <alignment horizontal="left" vertical="center"/>
    </xf>
    <xf numFmtId="170" fontId="2" fillId="2" borderId="20" xfId="0" applyNumberFormat="1" applyFont="1" applyFill="1" applyBorder="1" applyAlignment="1">
      <alignment horizontal="center" vertical="center"/>
    </xf>
    <xf numFmtId="170" fontId="1" fillId="2" borderId="0" xfId="0" applyNumberFormat="1" applyFont="1" applyFill="1" applyAlignment="1">
      <alignment horizontal="right"/>
    </xf>
    <xf numFmtId="0" fontId="23" fillId="2" borderId="1" xfId="0" applyFont="1" applyFill="1" applyBorder="1" applyAlignment="1">
      <alignment horizontal="left" vertical="top"/>
    </xf>
    <xf numFmtId="0" fontId="2" fillId="2" borderId="1" xfId="0" applyFont="1" applyFill="1" applyBorder="1" applyAlignment="1">
      <alignment horizontal="left" vertical="top"/>
    </xf>
    <xf numFmtId="3" fontId="2" fillId="2" borderId="1" xfId="0" applyNumberFormat="1" applyFont="1" applyFill="1" applyBorder="1" applyAlignment="1">
      <alignment horizontal="left" vertical="top"/>
    </xf>
    <xf numFmtId="170" fontId="2" fillId="2" borderId="1" xfId="0" applyNumberFormat="1" applyFont="1" applyFill="1" applyBorder="1" applyAlignment="1">
      <alignment vertical="top"/>
    </xf>
    <xf numFmtId="0" fontId="2" fillId="2" borderId="0" xfId="0" applyFont="1" applyFill="1" applyAlignment="1">
      <alignment horizontal="center" vertical="top"/>
    </xf>
    <xf numFmtId="3" fontId="2" fillId="2" borderId="0" xfId="0" applyNumberFormat="1" applyFont="1" applyFill="1" applyAlignment="1">
      <alignment vertical="top"/>
    </xf>
    <xf numFmtId="0" fontId="2" fillId="0" borderId="0" xfId="0" applyFont="1" applyAlignment="1">
      <alignment vertical="top"/>
    </xf>
    <xf numFmtId="170" fontId="2" fillId="2" borderId="46" xfId="0" applyNumberFormat="1" applyFont="1" applyFill="1" applyBorder="1" applyAlignment="1">
      <alignment horizontal="center" vertical="center"/>
    </xf>
    <xf numFmtId="0" fontId="98" fillId="2" borderId="0" xfId="2" applyFont="1" applyFill="1" applyBorder="1" applyAlignment="1" applyProtection="1"/>
    <xf numFmtId="170" fontId="2" fillId="2" borderId="0" xfId="0" applyNumberFormat="1" applyFont="1" applyFill="1" applyAlignment="1">
      <alignment vertical="top"/>
    </xf>
    <xf numFmtId="3" fontId="1" fillId="2" borderId="0" xfId="0" applyNumberFormat="1" applyFont="1" applyFill="1" applyAlignment="1">
      <alignment horizontal="center" vertical="center" wrapText="1"/>
    </xf>
    <xf numFmtId="0" fontId="0" fillId="2" borderId="0" xfId="0" applyFill="1" applyAlignment="1">
      <alignment horizontal="center" vertical="center" wrapText="1"/>
    </xf>
    <xf numFmtId="3" fontId="82" fillId="2" borderId="0" xfId="0" applyNumberFormat="1" applyFont="1" applyFill="1" applyAlignment="1">
      <alignment horizontal="right" vertical="top"/>
    </xf>
    <xf numFmtId="3" fontId="8" fillId="2" borderId="0" xfId="0" applyNumberFormat="1" applyFont="1" applyFill="1" applyAlignment="1">
      <alignment horizontal="right"/>
    </xf>
    <xf numFmtId="0" fontId="44" fillId="8" borderId="0" xfId="0" applyFont="1" applyFill="1"/>
    <xf numFmtId="3" fontId="44" fillId="8" borderId="0" xfId="0" applyNumberFormat="1" applyFont="1" applyFill="1"/>
    <xf numFmtId="170" fontId="44" fillId="8" borderId="0" xfId="0" applyNumberFormat="1" applyFont="1" applyFill="1"/>
    <xf numFmtId="3" fontId="1" fillId="2" borderId="2" xfId="0" applyNumberFormat="1" applyFont="1" applyFill="1" applyBorder="1"/>
    <xf numFmtId="1" fontId="1" fillId="2" borderId="2" xfId="0" applyNumberFormat="1" applyFont="1" applyFill="1" applyBorder="1"/>
    <xf numFmtId="1" fontId="1" fillId="2" borderId="2" xfId="0" applyNumberFormat="1" applyFont="1" applyFill="1" applyBorder="1" applyAlignment="1">
      <alignment horizontal="right"/>
    </xf>
    <xf numFmtId="1" fontId="1" fillId="2" borderId="0" xfId="0" applyNumberFormat="1" applyFont="1" applyFill="1" applyAlignment="1">
      <alignment horizontal="right"/>
    </xf>
    <xf numFmtId="0" fontId="79" fillId="2" borderId="0" xfId="0" applyFont="1" applyFill="1" applyAlignment="1">
      <alignment wrapText="1"/>
    </xf>
    <xf numFmtId="170" fontId="79" fillId="2" borderId="0" xfId="0" applyNumberFormat="1" applyFont="1" applyFill="1" applyAlignment="1">
      <alignment horizontal="center" vertical="center"/>
    </xf>
    <xf numFmtId="172" fontId="1" fillId="2" borderId="0" xfId="0" applyNumberFormat="1" applyFont="1" applyFill="1"/>
    <xf numFmtId="172" fontId="26" fillId="2" borderId="0" xfId="0" applyNumberFormat="1" applyFont="1" applyFill="1"/>
    <xf numFmtId="173" fontId="1" fillId="2" borderId="0" xfId="0" applyNumberFormat="1" applyFont="1" applyFill="1"/>
    <xf numFmtId="172" fontId="1" fillId="2" borderId="0" xfId="1" applyNumberFormat="1" applyFont="1" applyFill="1" applyBorder="1" applyAlignment="1">
      <alignment horizontal="right"/>
    </xf>
    <xf numFmtId="172" fontId="1" fillId="2" borderId="0" xfId="0" applyNumberFormat="1" applyFont="1" applyFill="1" applyAlignment="1">
      <alignment horizontal="right"/>
    </xf>
    <xf numFmtId="3" fontId="1" fillId="4" borderId="0" xfId="0" applyNumberFormat="1" applyFont="1" applyFill="1"/>
    <xf numFmtId="172" fontId="1" fillId="4" borderId="0" xfId="0" applyNumberFormat="1" applyFont="1" applyFill="1"/>
    <xf numFmtId="172" fontId="2" fillId="2" borderId="20" xfId="0" applyNumberFormat="1" applyFont="1" applyFill="1" applyBorder="1" applyAlignment="1">
      <alignment horizontal="right" vertical="top"/>
    </xf>
    <xf numFmtId="172" fontId="2" fillId="2" borderId="20" xfId="0" applyNumberFormat="1" applyFont="1" applyFill="1" applyBorder="1" applyAlignment="1">
      <alignment horizontal="right" vertical="center"/>
    </xf>
    <xf numFmtId="172" fontId="2" fillId="2" borderId="46" xfId="0" applyNumberFormat="1" applyFont="1" applyFill="1" applyBorder="1" applyAlignment="1">
      <alignment horizontal="right" vertical="center"/>
    </xf>
    <xf numFmtId="170" fontId="1" fillId="4" borderId="0" xfId="0" applyNumberFormat="1" applyFont="1" applyFill="1" applyAlignment="1">
      <alignment horizontal="right"/>
    </xf>
    <xf numFmtId="172" fontId="2" fillId="2" borderId="0" xfId="0" applyNumberFormat="1" applyFont="1" applyFill="1"/>
    <xf numFmtId="167" fontId="14" fillId="2" borderId="0" xfId="0" applyNumberFormat="1" applyFont="1" applyFill="1"/>
    <xf numFmtId="172" fontId="6" fillId="2" borderId="0" xfId="0" applyNumberFormat="1" applyFont="1" applyFill="1"/>
    <xf numFmtId="172" fontId="7" fillId="2" borderId="0" xfId="0" applyNumberFormat="1" applyFont="1" applyFill="1"/>
    <xf numFmtId="172" fontId="79" fillId="2" borderId="0" xfId="0" applyNumberFormat="1" applyFont="1" applyFill="1" applyAlignment="1">
      <alignment horizontal="center" vertical="center"/>
    </xf>
    <xf numFmtId="0" fontId="30" fillId="0" borderId="0" xfId="0" applyFont="1"/>
    <xf numFmtId="3" fontId="30" fillId="2" borderId="0" xfId="0" applyNumberFormat="1" applyFont="1" applyFill="1"/>
    <xf numFmtId="170" fontId="30" fillId="2" borderId="0" xfId="0" applyNumberFormat="1" applyFont="1" applyFill="1"/>
    <xf numFmtId="0" fontId="30" fillId="2" borderId="2" xfId="0" applyFont="1" applyFill="1" applyBorder="1"/>
    <xf numFmtId="3" fontId="30" fillId="2" borderId="2" xfId="0" applyNumberFormat="1" applyFont="1" applyFill="1" applyBorder="1"/>
    <xf numFmtId="1" fontId="30" fillId="2" borderId="2" xfId="0" applyNumberFormat="1" applyFont="1" applyFill="1" applyBorder="1"/>
    <xf numFmtId="171" fontId="30" fillId="2" borderId="0" xfId="0" applyNumberFormat="1" applyFont="1" applyFill="1" applyAlignment="1">
      <alignment horizontal="right"/>
    </xf>
    <xf numFmtId="4" fontId="30" fillId="2" borderId="0" xfId="0" applyNumberFormat="1" applyFont="1" applyFill="1"/>
    <xf numFmtId="172" fontId="45" fillId="3" borderId="0" xfId="0" applyNumberFormat="1" applyFont="1" applyFill="1"/>
    <xf numFmtId="172" fontId="6" fillId="9" borderId="0" xfId="0" applyNumberFormat="1" applyFont="1" applyFill="1"/>
    <xf numFmtId="172" fontId="27" fillId="2" borderId="0" xfId="0" applyNumberFormat="1" applyFont="1" applyFill="1"/>
    <xf numFmtId="172" fontId="1" fillId="9" borderId="0" xfId="0" applyNumberFormat="1" applyFont="1" applyFill="1" applyAlignment="1">
      <alignment horizontal="right"/>
    </xf>
    <xf numFmtId="174" fontId="5" fillId="9" borderId="0" xfId="0" applyNumberFormat="1" applyFont="1" applyFill="1"/>
    <xf numFmtId="174" fontId="1" fillId="9" borderId="0" xfId="0" applyNumberFormat="1" applyFont="1" applyFill="1"/>
    <xf numFmtId="174" fontId="1" fillId="2" borderId="0" xfId="0" applyNumberFormat="1" applyFont="1" applyFill="1" applyAlignment="1">
      <alignment horizontal="right"/>
    </xf>
    <xf numFmtId="174" fontId="1" fillId="2" borderId="0" xfId="0" applyNumberFormat="1" applyFont="1" applyFill="1" applyAlignment="1">
      <alignment horizontal="center"/>
    </xf>
    <xf numFmtId="174" fontId="2" fillId="2" borderId="1" xfId="0" applyNumberFormat="1" applyFont="1" applyFill="1" applyBorder="1"/>
    <xf numFmtId="174" fontId="1" fillId="2" borderId="0" xfId="0" applyNumberFormat="1" applyFont="1" applyFill="1"/>
    <xf numFmtId="174" fontId="2" fillId="2" borderId="1" xfId="0" applyNumberFormat="1" applyFont="1" applyFill="1" applyBorder="1" applyAlignment="1">
      <alignment vertical="top"/>
    </xf>
    <xf numFmtId="174" fontId="2" fillId="2" borderId="20" xfId="0" applyNumberFormat="1" applyFont="1" applyFill="1" applyBorder="1" applyAlignment="1">
      <alignment horizontal="center" vertical="center"/>
    </xf>
    <xf numFmtId="174" fontId="2" fillId="2" borderId="46" xfId="0" applyNumberFormat="1" applyFont="1" applyFill="1" applyBorder="1" applyAlignment="1">
      <alignment horizontal="center" vertical="center"/>
    </xf>
    <xf numFmtId="0" fontId="97" fillId="2" borderId="0" xfId="0" applyFont="1" applyFill="1" applyAlignment="1">
      <alignment vertical="top"/>
    </xf>
    <xf numFmtId="1" fontId="1" fillId="0" borderId="0" xfId="0" applyNumberFormat="1" applyFont="1"/>
    <xf numFmtId="172" fontId="2" fillId="2" borderId="1" xfId="0" applyNumberFormat="1" applyFont="1" applyFill="1" applyBorder="1" applyAlignment="1">
      <alignment horizontal="right"/>
    </xf>
    <xf numFmtId="0" fontId="43" fillId="8" borderId="0" xfId="0" applyFont="1" applyFill="1"/>
    <xf numFmtId="172" fontId="7" fillId="2" borderId="1" xfId="0" applyNumberFormat="1" applyFont="1" applyFill="1" applyBorder="1"/>
    <xf numFmtId="0" fontId="84" fillId="2" borderId="0" xfId="0" applyFont="1" applyFill="1"/>
    <xf numFmtId="174" fontId="1" fillId="2" borderId="0" xfId="0" applyNumberFormat="1" applyFont="1" applyFill="1" applyAlignment="1">
      <alignment horizontal="right" vertical="center"/>
    </xf>
    <xf numFmtId="0" fontId="0" fillId="2" borderId="2" xfId="0" applyFill="1" applyBorder="1" applyAlignment="1">
      <alignment horizontal="right" vertical="center"/>
    </xf>
    <xf numFmtId="3" fontId="79" fillId="2" borderId="0" xfId="0" applyNumberFormat="1" applyFont="1" applyFill="1"/>
    <xf numFmtId="0" fontId="82" fillId="4" borderId="0" xfId="0" applyFont="1" applyFill="1"/>
    <xf numFmtId="173" fontId="1" fillId="4" borderId="0" xfId="0" applyNumberFormat="1" applyFont="1" applyFill="1"/>
    <xf numFmtId="0" fontId="69" fillId="4" borderId="0" xfId="0" applyFont="1" applyFill="1"/>
    <xf numFmtId="0" fontId="87" fillId="4" borderId="0" xfId="0" applyFont="1" applyFill="1"/>
    <xf numFmtId="170" fontId="2" fillId="2" borderId="0" xfId="0" applyNumberFormat="1" applyFont="1" applyFill="1" applyAlignment="1">
      <alignment horizontal="center"/>
    </xf>
    <xf numFmtId="172" fontId="2" fillId="2" borderId="0" xfId="0" applyNumberFormat="1" applyFont="1" applyFill="1" applyAlignment="1">
      <alignment horizontal="right"/>
    </xf>
    <xf numFmtId="170" fontId="1" fillId="2" borderId="0" xfId="0" applyNumberFormat="1" applyFont="1" applyFill="1" applyAlignment="1">
      <alignment horizontal="center" vertical="top"/>
    </xf>
    <xf numFmtId="172" fontId="1" fillId="2" borderId="0" xfId="0" applyNumberFormat="1" applyFont="1" applyFill="1" applyAlignment="1">
      <alignment horizontal="right" vertical="top"/>
    </xf>
    <xf numFmtId="0" fontId="2" fillId="9" borderId="0" xfId="0" applyFont="1" applyFill="1" applyAlignment="1">
      <alignment horizontal="center"/>
    </xf>
    <xf numFmtId="0" fontId="2" fillId="9" borderId="0" xfId="0" applyFont="1" applyFill="1"/>
    <xf numFmtId="170" fontId="1" fillId="9" borderId="0" xfId="0" applyNumberFormat="1" applyFont="1" applyFill="1" applyAlignment="1">
      <alignment horizontal="center"/>
    </xf>
    <xf numFmtId="170" fontId="2" fillId="9" borderId="0" xfId="0" applyNumberFormat="1" applyFont="1" applyFill="1" applyAlignment="1">
      <alignment horizontal="center"/>
    </xf>
    <xf numFmtId="0" fontId="1" fillId="0" borderId="1" xfId="0" applyFont="1" applyBorder="1" applyAlignment="1">
      <alignment horizontal="center" vertical="top"/>
    </xf>
    <xf numFmtId="170" fontId="1" fillId="2" borderId="1" xfId="0" applyNumberFormat="1" applyFont="1" applyFill="1" applyBorder="1" applyAlignment="1">
      <alignment horizontal="center" vertical="top"/>
    </xf>
    <xf numFmtId="173" fontId="1" fillId="2" borderId="0" xfId="0" applyNumberFormat="1" applyFont="1" applyFill="1" applyAlignment="1">
      <alignment horizontal="right"/>
    </xf>
    <xf numFmtId="170" fontId="1" fillId="2" borderId="20" xfId="0" applyNumberFormat="1" applyFont="1" applyFill="1" applyBorder="1" applyAlignment="1">
      <alignment horizontal="center"/>
    </xf>
    <xf numFmtId="0" fontId="1" fillId="2" borderId="1" xfId="0" applyFont="1" applyFill="1" applyBorder="1" applyAlignment="1">
      <alignment horizontal="left" vertical="top"/>
    </xf>
    <xf numFmtId="3" fontId="1" fillId="2" borderId="1" xfId="0" applyNumberFormat="1" applyFont="1" applyFill="1" applyBorder="1" applyAlignment="1">
      <alignment horizontal="left" vertical="top"/>
    </xf>
    <xf numFmtId="170" fontId="1" fillId="2" borderId="1" xfId="0" applyNumberFormat="1" applyFont="1" applyFill="1" applyBorder="1" applyAlignment="1">
      <alignment vertical="top"/>
    </xf>
    <xf numFmtId="173" fontId="2" fillId="2" borderId="20" xfId="0" applyNumberFormat="1" applyFont="1" applyFill="1" applyBorder="1" applyAlignment="1">
      <alignment horizontal="center" vertical="center"/>
    </xf>
    <xf numFmtId="0" fontId="44" fillId="2" borderId="0" xfId="0" applyFont="1" applyFill="1" applyAlignment="1">
      <alignment vertical="center"/>
    </xf>
    <xf numFmtId="1" fontId="44" fillId="2" borderId="0" xfId="0" applyNumberFormat="1" applyFont="1" applyFill="1" applyAlignment="1">
      <alignment horizontal="right" vertical="center"/>
    </xf>
    <xf numFmtId="0" fontId="44" fillId="0" borderId="0" xfId="0" applyFont="1" applyAlignment="1">
      <alignment vertical="center"/>
    </xf>
    <xf numFmtId="173" fontId="1" fillId="2" borderId="0" xfId="0" applyNumberFormat="1" applyFont="1" applyFill="1" applyAlignment="1">
      <alignment horizontal="right" vertical="top"/>
    </xf>
    <xf numFmtId="173" fontId="2" fillId="2" borderId="0" xfId="0" applyNumberFormat="1" applyFont="1" applyFill="1" applyAlignment="1">
      <alignment horizontal="center" vertical="center"/>
    </xf>
    <xf numFmtId="172" fontId="1" fillId="2" borderId="1" xfId="0" applyNumberFormat="1" applyFont="1" applyFill="1" applyBorder="1" applyAlignment="1">
      <alignment vertical="top"/>
    </xf>
    <xf numFmtId="173" fontId="1" fillId="2" borderId="1" xfId="0" applyNumberFormat="1" applyFont="1" applyFill="1" applyBorder="1" applyAlignment="1">
      <alignment vertical="top"/>
    </xf>
    <xf numFmtId="0" fontId="1" fillId="8" borderId="0" xfId="0" applyFont="1" applyFill="1" applyAlignment="1">
      <alignment horizontal="center"/>
    </xf>
    <xf numFmtId="0" fontId="44" fillId="8" borderId="0" xfId="0" applyFont="1" applyFill="1" applyAlignment="1">
      <alignment vertical="center"/>
    </xf>
    <xf numFmtId="170" fontId="1" fillId="8" borderId="0" xfId="0" applyNumberFormat="1" applyFont="1" applyFill="1" applyAlignment="1">
      <alignment horizontal="center"/>
    </xf>
    <xf numFmtId="172" fontId="1" fillId="8" borderId="0" xfId="0" applyNumberFormat="1" applyFont="1" applyFill="1" applyAlignment="1">
      <alignment horizontal="right"/>
    </xf>
    <xf numFmtId="170" fontId="26" fillId="2" borderId="0" xfId="0" applyNumberFormat="1" applyFont="1" applyFill="1" applyAlignment="1">
      <alignment horizontal="right" vertical="top"/>
    </xf>
    <xf numFmtId="170" fontId="26" fillId="2" borderId="3" xfId="0" applyNumberFormat="1" applyFont="1" applyFill="1" applyBorder="1" applyAlignment="1">
      <alignment horizontal="right" vertical="top"/>
    </xf>
    <xf numFmtId="0" fontId="1" fillId="2" borderId="22" xfId="0" applyFont="1" applyFill="1" applyBorder="1"/>
    <xf numFmtId="170" fontId="26" fillId="2" borderId="22" xfId="0" applyNumberFormat="1" applyFont="1" applyFill="1" applyBorder="1" applyAlignment="1">
      <alignment horizontal="right" vertical="top"/>
    </xf>
    <xf numFmtId="173" fontId="26" fillId="2" borderId="0" xfId="0" applyNumberFormat="1" applyFont="1" applyFill="1" applyAlignment="1">
      <alignment horizontal="right" vertical="top"/>
    </xf>
    <xf numFmtId="173" fontId="26" fillId="2" borderId="3" xfId="0" applyNumberFormat="1" applyFont="1" applyFill="1" applyBorder="1" applyAlignment="1">
      <alignment horizontal="right" vertical="top"/>
    </xf>
    <xf numFmtId="173" fontId="26" fillId="2" borderId="22" xfId="0" applyNumberFormat="1" applyFont="1" applyFill="1" applyBorder="1" applyAlignment="1">
      <alignment horizontal="right" vertical="top"/>
    </xf>
    <xf numFmtId="1" fontId="8" fillId="9" borderId="0" xfId="0" applyNumberFormat="1" applyFont="1" applyFill="1" applyAlignment="1">
      <alignment horizontal="right" vertical="center"/>
    </xf>
    <xf numFmtId="0" fontId="8" fillId="9" borderId="0" xfId="0" applyFont="1" applyFill="1" applyAlignment="1">
      <alignment vertical="center"/>
    </xf>
    <xf numFmtId="0" fontId="4" fillId="9" borderId="0" xfId="0" applyFont="1" applyFill="1" applyAlignment="1">
      <alignment vertical="center"/>
    </xf>
    <xf numFmtId="1" fontId="8" fillId="9" borderId="0" xfId="0" applyNumberFormat="1" applyFont="1" applyFill="1" applyAlignment="1">
      <alignment vertical="center"/>
    </xf>
    <xf numFmtId="170" fontId="1" fillId="4" borderId="0" xfId="0" applyNumberFormat="1" applyFont="1" applyFill="1"/>
    <xf numFmtId="175" fontId="1" fillId="2" borderId="0" xfId="0" applyNumberFormat="1" applyFont="1" applyFill="1"/>
    <xf numFmtId="175" fontId="4" fillId="2" borderId="0" xfId="0" applyNumberFormat="1" applyFont="1" applyFill="1" applyAlignment="1">
      <alignment vertical="top"/>
    </xf>
    <xf numFmtId="175" fontId="8" fillId="2" borderId="0" xfId="0" applyNumberFormat="1" applyFont="1" applyFill="1" applyAlignment="1">
      <alignment vertical="top"/>
    </xf>
    <xf numFmtId="175" fontId="1" fillId="9" borderId="0" xfId="0" applyNumberFormat="1" applyFont="1" applyFill="1" applyAlignment="1">
      <alignment vertical="top"/>
    </xf>
    <xf numFmtId="175" fontId="8" fillId="2" borderId="0" xfId="1" applyNumberFormat="1" applyFont="1" applyFill="1" applyAlignment="1">
      <alignment vertical="top"/>
    </xf>
    <xf numFmtId="175" fontId="4" fillId="2" borderId="20" xfId="0" applyNumberFormat="1" applyFont="1" applyFill="1" applyBorder="1" applyAlignment="1">
      <alignment horizontal="center" vertical="center"/>
    </xf>
    <xf numFmtId="175" fontId="80" fillId="2" borderId="20" xfId="0" applyNumberFormat="1" applyFont="1" applyFill="1" applyBorder="1" applyAlignment="1">
      <alignment horizontal="center" vertical="center"/>
    </xf>
    <xf numFmtId="175" fontId="83" fillId="2" borderId="0" xfId="0" applyNumberFormat="1" applyFont="1" applyFill="1" applyAlignment="1">
      <alignment vertical="top"/>
    </xf>
    <xf numFmtId="175" fontId="83" fillId="2" borderId="0" xfId="0" applyNumberFormat="1" applyFont="1" applyFill="1"/>
    <xf numFmtId="175" fontId="1" fillId="2" borderId="0" xfId="0" applyNumberFormat="1" applyFont="1" applyFill="1" applyAlignment="1">
      <alignment vertical="top"/>
    </xf>
    <xf numFmtId="175" fontId="26" fillId="2" borderId="0" xfId="0" applyNumberFormat="1" applyFont="1" applyFill="1"/>
    <xf numFmtId="175" fontId="8" fillId="2" borderId="0" xfId="0" applyNumberFormat="1" applyFont="1" applyFill="1"/>
    <xf numFmtId="175" fontId="82" fillId="2" borderId="0" xfId="0" applyNumberFormat="1" applyFont="1" applyFill="1"/>
    <xf numFmtId="175" fontId="1" fillId="9" borderId="0" xfId="0" applyNumberFormat="1" applyFont="1" applyFill="1"/>
    <xf numFmtId="175" fontId="1" fillId="2" borderId="0" xfId="1" applyNumberFormat="1" applyFont="1" applyFill="1" applyBorder="1" applyAlignment="1">
      <alignment horizontal="right"/>
    </xf>
    <xf numFmtId="175" fontId="1" fillId="2" borderId="0" xfId="0" applyNumberFormat="1" applyFont="1" applyFill="1" applyAlignment="1">
      <alignment horizontal="right"/>
    </xf>
    <xf numFmtId="175" fontId="2" fillId="2" borderId="1" xfId="0" applyNumberFormat="1" applyFont="1" applyFill="1" applyBorder="1" applyAlignment="1">
      <alignment horizontal="right"/>
    </xf>
    <xf numFmtId="175" fontId="2" fillId="2" borderId="20" xfId="0" applyNumberFormat="1" applyFont="1" applyFill="1" applyBorder="1" applyAlignment="1">
      <alignment horizontal="right" vertical="top"/>
    </xf>
    <xf numFmtId="175" fontId="2" fillId="2" borderId="20" xfId="0" applyNumberFormat="1" applyFont="1" applyFill="1" applyBorder="1" applyAlignment="1">
      <alignment horizontal="right" vertical="center"/>
    </xf>
    <xf numFmtId="175" fontId="1" fillId="9" borderId="0" xfId="0" applyNumberFormat="1" applyFont="1" applyFill="1" applyAlignment="1">
      <alignment horizontal="right"/>
    </xf>
    <xf numFmtId="175" fontId="2" fillId="2" borderId="46" xfId="0" applyNumberFormat="1" applyFont="1" applyFill="1" applyBorder="1" applyAlignment="1">
      <alignment horizontal="right" vertical="center"/>
    </xf>
    <xf numFmtId="175" fontId="1" fillId="2" borderId="1" xfId="0" applyNumberFormat="1" applyFont="1" applyFill="1" applyBorder="1" applyAlignment="1">
      <alignment horizontal="right" vertical="top"/>
    </xf>
    <xf numFmtId="175" fontId="2" fillId="9" borderId="0" xfId="0" applyNumberFormat="1" applyFont="1" applyFill="1" applyAlignment="1">
      <alignment horizontal="right"/>
    </xf>
    <xf numFmtId="175" fontId="2" fillId="2" borderId="20" xfId="0" applyNumberFormat="1" applyFont="1" applyFill="1" applyBorder="1" applyAlignment="1">
      <alignment horizontal="center" vertical="center"/>
    </xf>
    <xf numFmtId="176" fontId="1" fillId="2" borderId="0" xfId="0" applyNumberFormat="1" applyFont="1" applyFill="1"/>
    <xf numFmtId="175" fontId="27" fillId="2" borderId="0" xfId="0" applyNumberFormat="1" applyFont="1" applyFill="1"/>
    <xf numFmtId="175" fontId="7" fillId="2" borderId="0" xfId="0" applyNumberFormat="1" applyFont="1" applyFill="1"/>
    <xf numFmtId="165" fontId="1" fillId="4" borderId="0" xfId="0" applyNumberFormat="1" applyFont="1" applyFill="1"/>
    <xf numFmtId="175" fontId="1" fillId="4" borderId="0" xfId="0" applyNumberFormat="1" applyFont="1" applyFill="1"/>
    <xf numFmtId="176" fontId="1" fillId="4" borderId="0" xfId="0" applyNumberFormat="1" applyFont="1" applyFill="1"/>
    <xf numFmtId="176" fontId="26" fillId="2" borderId="0" xfId="0" applyNumberFormat="1" applyFont="1" applyFill="1"/>
    <xf numFmtId="176" fontId="26" fillId="4" borderId="0" xfId="0" applyNumberFormat="1" applyFont="1" applyFill="1"/>
    <xf numFmtId="9" fontId="1" fillId="2" borderId="0" xfId="0" applyNumberFormat="1" applyFont="1" applyFill="1" applyAlignment="1">
      <alignment horizontal="left" vertical="top"/>
    </xf>
    <xf numFmtId="0" fontId="1" fillId="4" borderId="0" xfId="0" applyFont="1" applyFill="1" applyAlignment="1">
      <alignment horizontal="left" vertical="top"/>
    </xf>
    <xf numFmtId="0" fontId="1" fillId="0" borderId="0" xfId="0" applyFont="1" applyAlignment="1">
      <alignment horizontal="left" vertical="top"/>
    </xf>
    <xf numFmtId="1" fontId="8" fillId="2" borderId="0" xfId="0" applyNumberFormat="1" applyFont="1" applyFill="1" applyAlignment="1">
      <alignment horizontal="right" vertical="center"/>
    </xf>
    <xf numFmtId="1" fontId="8" fillId="2" borderId="0" xfId="0" applyNumberFormat="1" applyFont="1" applyFill="1" applyAlignment="1">
      <alignment vertical="center"/>
    </xf>
    <xf numFmtId="0" fontId="47" fillId="2" borderId="0" xfId="0" applyFont="1" applyFill="1" applyAlignment="1">
      <alignment horizontal="left" vertical="top"/>
    </xf>
    <xf numFmtId="9" fontId="1" fillId="4" borderId="0" xfId="0" applyNumberFormat="1" applyFont="1" applyFill="1" applyAlignment="1">
      <alignment horizontal="left" vertical="top"/>
    </xf>
    <xf numFmtId="4" fontId="1" fillId="4" borderId="0" xfId="0" applyNumberFormat="1" applyFont="1" applyFill="1"/>
    <xf numFmtId="0" fontId="69" fillId="8" borderId="0" xfId="0" applyFont="1" applyFill="1"/>
    <xf numFmtId="176" fontId="1" fillId="2" borderId="0" xfId="1" applyNumberFormat="1" applyFont="1" applyFill="1"/>
    <xf numFmtId="176" fontId="1" fillId="4" borderId="0" xfId="1" applyNumberFormat="1" applyFont="1" applyFill="1"/>
    <xf numFmtId="9" fontId="1" fillId="4" borderId="0" xfId="1" applyFont="1" applyFill="1"/>
    <xf numFmtId="0" fontId="4" fillId="2" borderId="20" xfId="0" applyFont="1" applyFill="1" applyBorder="1" applyAlignment="1">
      <alignment vertical="center" wrapText="1"/>
    </xf>
    <xf numFmtId="170" fontId="80" fillId="2" borderId="20" xfId="0" applyNumberFormat="1" applyFont="1" applyFill="1" applyBorder="1" applyAlignment="1">
      <alignment horizontal="right" vertical="center"/>
    </xf>
    <xf numFmtId="165" fontId="101" fillId="2" borderId="0" xfId="0" applyNumberFormat="1" applyFont="1" applyFill="1"/>
    <xf numFmtId="0" fontId="8" fillId="2" borderId="20" xfId="0" applyFont="1" applyFill="1" applyBorder="1" applyAlignment="1">
      <alignment horizontal="left" vertical="center" wrapText="1"/>
    </xf>
    <xf numFmtId="170" fontId="82" fillId="2" borderId="20" xfId="0" applyNumberFormat="1" applyFont="1" applyFill="1" applyBorder="1" applyAlignment="1">
      <alignment horizontal="center" vertical="center"/>
    </xf>
    <xf numFmtId="0" fontId="8" fillId="0" borderId="0" xfId="0" applyFont="1" applyAlignment="1">
      <alignment horizontal="center" vertical="center"/>
    </xf>
    <xf numFmtId="170" fontId="42" fillId="2" borderId="20" xfId="0" applyNumberFormat="1" applyFont="1" applyFill="1" applyBorder="1" applyAlignment="1">
      <alignment horizontal="center" vertical="center"/>
    </xf>
    <xf numFmtId="170" fontId="0" fillId="2" borderId="2" xfId="0" applyNumberFormat="1" applyFill="1" applyBorder="1" applyAlignment="1">
      <alignment horizontal="right" vertical="center"/>
    </xf>
    <xf numFmtId="173" fontId="0" fillId="2" borderId="2" xfId="0" applyNumberFormat="1" applyFill="1" applyBorder="1" applyAlignment="1">
      <alignment horizontal="right" vertical="center"/>
    </xf>
    <xf numFmtId="0" fontId="2" fillId="10" borderId="47" xfId="0" applyFont="1" applyFill="1" applyBorder="1"/>
    <xf numFmtId="170" fontId="2" fillId="10" borderId="47" xfId="0" applyNumberFormat="1" applyFont="1" applyFill="1" applyBorder="1" applyAlignment="1">
      <alignment horizontal="right" vertical="center"/>
    </xf>
    <xf numFmtId="170" fontId="2" fillId="10" borderId="47" xfId="0" applyNumberFormat="1" applyFont="1" applyFill="1" applyBorder="1" applyAlignment="1">
      <alignment horizontal="right" vertical="top"/>
    </xf>
    <xf numFmtId="173" fontId="2" fillId="10" borderId="47" xfId="0" applyNumberFormat="1" applyFont="1" applyFill="1" applyBorder="1" applyAlignment="1">
      <alignment horizontal="right" vertical="center"/>
    </xf>
    <xf numFmtId="173" fontId="2" fillId="10" borderId="47" xfId="0" applyNumberFormat="1" applyFont="1" applyFill="1" applyBorder="1" applyAlignment="1">
      <alignment horizontal="right" vertical="top"/>
    </xf>
    <xf numFmtId="176" fontId="1" fillId="2" borderId="0" xfId="1" applyNumberFormat="1" applyFont="1" applyFill="1" applyAlignment="1">
      <alignment vertical="top"/>
    </xf>
    <xf numFmtId="0" fontId="50" fillId="2" borderId="33" xfId="0" applyFont="1" applyFill="1" applyBorder="1" applyAlignment="1">
      <alignment vertical="top"/>
    </xf>
    <xf numFmtId="0" fontId="49" fillId="2" borderId="33" xfId="0" applyFont="1" applyFill="1" applyBorder="1" applyAlignment="1">
      <alignment vertical="top"/>
    </xf>
    <xf numFmtId="0" fontId="50" fillId="2" borderId="33" xfId="0" applyFont="1" applyFill="1" applyBorder="1"/>
    <xf numFmtId="1" fontId="92" fillId="2" borderId="33" xfId="0" applyNumberFormat="1" applyFont="1" applyFill="1" applyBorder="1" applyAlignment="1">
      <alignment horizontal="right"/>
    </xf>
    <xf numFmtId="9" fontId="49" fillId="2" borderId="2" xfId="0" applyNumberFormat="1" applyFont="1" applyFill="1" applyBorder="1" applyAlignment="1">
      <alignment horizontal="center"/>
    </xf>
    <xf numFmtId="9" fontId="47" fillId="2" borderId="0" xfId="0" applyNumberFormat="1" applyFont="1" applyFill="1" applyAlignment="1">
      <alignment horizontal="center"/>
    </xf>
    <xf numFmtId="164" fontId="47" fillId="2" borderId="0" xfId="0" applyNumberFormat="1" applyFont="1" applyFill="1" applyAlignment="1">
      <alignment vertical="top"/>
    </xf>
    <xf numFmtId="3" fontId="47" fillId="9" borderId="0" xfId="0" applyNumberFormat="1" applyFont="1" applyFill="1" applyAlignment="1">
      <alignment horizontal="center" vertical="top"/>
    </xf>
    <xf numFmtId="3" fontId="76" fillId="2" borderId="0" xfId="0" applyNumberFormat="1" applyFont="1" applyFill="1" applyAlignment="1">
      <alignment vertical="top"/>
    </xf>
    <xf numFmtId="3" fontId="47" fillId="2" borderId="33" xfId="0" applyNumberFormat="1" applyFont="1" applyFill="1" applyBorder="1" applyAlignment="1">
      <alignment vertical="top"/>
    </xf>
    <xf numFmtId="3" fontId="1" fillId="2" borderId="0" xfId="0" applyNumberFormat="1" applyFont="1" applyFill="1" applyAlignment="1">
      <alignment horizontal="right"/>
    </xf>
    <xf numFmtId="1" fontId="47" fillId="2" borderId="33" xfId="0" applyNumberFormat="1" applyFont="1" applyFill="1" applyBorder="1" applyAlignment="1">
      <alignment vertical="top"/>
    </xf>
    <xf numFmtId="4" fontId="82" fillId="2" borderId="0" xfId="0" applyNumberFormat="1" applyFont="1" applyFill="1" applyAlignment="1">
      <alignment horizontal="right" vertical="top"/>
    </xf>
    <xf numFmtId="0" fontId="1" fillId="2" borderId="1" xfId="0" applyFont="1" applyFill="1" applyBorder="1" applyAlignment="1">
      <alignment horizontal="center"/>
    </xf>
    <xf numFmtId="170" fontId="1" fillId="2" borderId="1" xfId="0" applyNumberFormat="1" applyFont="1" applyFill="1" applyBorder="1" applyAlignment="1">
      <alignment horizontal="center"/>
    </xf>
    <xf numFmtId="173" fontId="1" fillId="2" borderId="1" xfId="0" applyNumberFormat="1" applyFont="1" applyFill="1" applyBorder="1" applyAlignment="1">
      <alignment horizontal="right"/>
    </xf>
    <xf numFmtId="0" fontId="1" fillId="2" borderId="2" xfId="0" applyFont="1" applyFill="1" applyBorder="1" applyAlignment="1">
      <alignment horizontal="center"/>
    </xf>
    <xf numFmtId="170" fontId="1" fillId="2" borderId="2" xfId="0" applyNumberFormat="1" applyFont="1" applyFill="1" applyBorder="1" applyAlignment="1">
      <alignment horizontal="center"/>
    </xf>
    <xf numFmtId="173" fontId="1" fillId="2" borderId="2" xfId="0" applyNumberFormat="1" applyFont="1" applyFill="1" applyBorder="1" applyAlignment="1">
      <alignment horizontal="right"/>
    </xf>
    <xf numFmtId="170" fontId="2" fillId="2" borderId="0" xfId="0" applyNumberFormat="1" applyFont="1" applyFill="1" applyAlignment="1">
      <alignment horizontal="right"/>
    </xf>
    <xf numFmtId="172" fontId="26" fillId="4" borderId="0" xfId="0" applyNumberFormat="1" applyFont="1" applyFill="1"/>
    <xf numFmtId="0" fontId="1" fillId="2" borderId="0" xfId="0" applyFont="1" applyFill="1" applyAlignment="1">
      <alignment horizontal="right"/>
    </xf>
    <xf numFmtId="170" fontId="1" fillId="2" borderId="2" xfId="0" applyNumberFormat="1" applyFont="1" applyFill="1" applyBorder="1"/>
    <xf numFmtId="170" fontId="26" fillId="2" borderId="2" xfId="0" applyNumberFormat="1" applyFont="1" applyFill="1" applyBorder="1"/>
    <xf numFmtId="0" fontId="2" fillId="2" borderId="0" xfId="0" applyFont="1" applyFill="1" applyAlignment="1">
      <alignment horizontal="right"/>
    </xf>
    <xf numFmtId="170" fontId="7" fillId="2" borderId="0" xfId="0" applyNumberFormat="1" applyFont="1" applyFill="1"/>
    <xf numFmtId="9" fontId="26" fillId="2" borderId="0" xfId="1" applyFont="1" applyFill="1" applyBorder="1"/>
    <xf numFmtId="9" fontId="1" fillId="2" borderId="0" xfId="1" applyFont="1" applyFill="1" applyBorder="1"/>
    <xf numFmtId="0" fontId="1" fillId="2" borderId="2" xfId="0" applyFont="1" applyFill="1" applyBorder="1" applyAlignment="1">
      <alignment horizontal="right"/>
    </xf>
    <xf numFmtId="9" fontId="1" fillId="2" borderId="2" xfId="1" applyFont="1" applyFill="1" applyBorder="1"/>
    <xf numFmtId="9" fontId="26" fillId="2" borderId="2" xfId="1" applyFont="1" applyFill="1" applyBorder="1"/>
    <xf numFmtId="9" fontId="2" fillId="2" borderId="0" xfId="1" applyFont="1" applyFill="1" applyBorder="1"/>
    <xf numFmtId="0" fontId="44" fillId="10" borderId="0" xfId="0" applyFont="1" applyFill="1"/>
    <xf numFmtId="3" fontId="44" fillId="10" borderId="0" xfId="0" applyNumberFormat="1" applyFont="1" applyFill="1"/>
    <xf numFmtId="170" fontId="44" fillId="10" borderId="0" xfId="0" applyNumberFormat="1" applyFont="1" applyFill="1"/>
    <xf numFmtId="1" fontId="8" fillId="2" borderId="49" xfId="0" applyNumberFormat="1" applyFont="1" applyFill="1" applyBorder="1" applyAlignment="1">
      <alignment horizontal="right"/>
    </xf>
    <xf numFmtId="1" fontId="8" fillId="2" borderId="50" xfId="0" applyNumberFormat="1" applyFont="1" applyFill="1" applyBorder="1" applyAlignment="1">
      <alignment horizontal="right"/>
    </xf>
    <xf numFmtId="1" fontId="8" fillId="2" borderId="51" xfId="0" applyNumberFormat="1" applyFont="1" applyFill="1" applyBorder="1" applyAlignment="1">
      <alignment horizontal="right"/>
    </xf>
    <xf numFmtId="170" fontId="82" fillId="2" borderId="52" xfId="0" applyNumberFormat="1" applyFont="1" applyFill="1" applyBorder="1" applyAlignment="1">
      <alignment horizontal="right" vertical="top"/>
    </xf>
    <xf numFmtId="170" fontId="82" fillId="2" borderId="53" xfId="0" applyNumberFormat="1" applyFont="1" applyFill="1" applyBorder="1" applyAlignment="1">
      <alignment horizontal="right" vertical="top"/>
    </xf>
    <xf numFmtId="170" fontId="80" fillId="2" borderId="66" xfId="0" applyNumberFormat="1" applyFont="1" applyFill="1" applyBorder="1" applyAlignment="1">
      <alignment horizontal="right" vertical="top"/>
    </xf>
    <xf numFmtId="170" fontId="80" fillId="2" borderId="54" xfId="0" applyNumberFormat="1" applyFont="1" applyFill="1" applyBorder="1" applyAlignment="1">
      <alignment horizontal="center" vertical="center"/>
    </xf>
    <xf numFmtId="170" fontId="80" fillId="2" borderId="55" xfId="0" applyNumberFormat="1" applyFont="1" applyFill="1" applyBorder="1" applyAlignment="1">
      <alignment horizontal="center" vertical="center"/>
    </xf>
    <xf numFmtId="170" fontId="83" fillId="2" borderId="62" xfId="0" applyNumberFormat="1" applyFont="1" applyFill="1" applyBorder="1" applyAlignment="1">
      <alignment horizontal="center" vertical="center"/>
    </xf>
    <xf numFmtId="170" fontId="83" fillId="2" borderId="63" xfId="0" applyNumberFormat="1" applyFont="1" applyFill="1" applyBorder="1" applyAlignment="1">
      <alignment horizontal="center" vertical="center"/>
    </xf>
    <xf numFmtId="170" fontId="83" fillId="2" borderId="64" xfId="0" applyNumberFormat="1" applyFont="1" applyFill="1" applyBorder="1" applyAlignment="1">
      <alignment horizontal="center" vertical="center"/>
    </xf>
    <xf numFmtId="170" fontId="82" fillId="10" borderId="0" xfId="0" applyNumberFormat="1" applyFont="1" applyFill="1" applyAlignment="1">
      <alignment horizontal="right" vertical="top"/>
    </xf>
    <xf numFmtId="166" fontId="82" fillId="2" borderId="52" xfId="0" applyNumberFormat="1" applyFont="1" applyFill="1" applyBorder="1" applyAlignment="1">
      <alignment horizontal="right" vertical="top"/>
    </xf>
    <xf numFmtId="166" fontId="82" fillId="2" borderId="53" xfId="0" applyNumberFormat="1" applyFont="1" applyFill="1" applyBorder="1" applyAlignment="1">
      <alignment horizontal="right" vertical="top"/>
    </xf>
    <xf numFmtId="166" fontId="82" fillId="4" borderId="52" xfId="0" applyNumberFormat="1" applyFont="1" applyFill="1" applyBorder="1" applyAlignment="1">
      <alignment horizontal="right" vertical="top"/>
    </xf>
    <xf numFmtId="166" fontId="82" fillId="4" borderId="53" xfId="0" applyNumberFormat="1" applyFont="1" applyFill="1" applyBorder="1" applyAlignment="1">
      <alignment horizontal="right" vertical="top"/>
    </xf>
    <xf numFmtId="0" fontId="8" fillId="4" borderId="0" xfId="0" applyFont="1" applyFill="1" applyAlignment="1">
      <alignment horizontal="left" vertical="top" wrapText="1"/>
    </xf>
    <xf numFmtId="1" fontId="8" fillId="10" borderId="2" xfId="0" applyNumberFormat="1" applyFont="1" applyFill="1" applyBorder="1" applyAlignment="1">
      <alignment horizontal="right"/>
    </xf>
    <xf numFmtId="4" fontId="82" fillId="10" borderId="0" xfId="0" applyNumberFormat="1" applyFont="1" applyFill="1" applyAlignment="1">
      <alignment horizontal="right" vertical="top"/>
    </xf>
    <xf numFmtId="170" fontId="80" fillId="2" borderId="52" xfId="0" applyNumberFormat="1" applyFont="1" applyFill="1" applyBorder="1" applyAlignment="1">
      <alignment horizontal="right" vertical="top"/>
    </xf>
    <xf numFmtId="170" fontId="80" fillId="2" borderId="53" xfId="0" applyNumberFormat="1" applyFont="1" applyFill="1" applyBorder="1" applyAlignment="1">
      <alignment horizontal="right" vertical="top"/>
    </xf>
    <xf numFmtId="170" fontId="8" fillId="2" borderId="52" xfId="0" applyNumberFormat="1" applyFont="1" applyFill="1" applyBorder="1"/>
    <xf numFmtId="170" fontId="8" fillId="2" borderId="53" xfId="0" applyNumberFormat="1" applyFont="1" applyFill="1" applyBorder="1"/>
    <xf numFmtId="170" fontId="82" fillId="2" borderId="65" xfId="0" applyNumberFormat="1" applyFont="1" applyFill="1" applyBorder="1" applyAlignment="1">
      <alignment horizontal="right" vertical="top"/>
    </xf>
    <xf numFmtId="170" fontId="82" fillId="2" borderId="66" xfId="0" applyNumberFormat="1" applyFont="1" applyFill="1" applyBorder="1" applyAlignment="1">
      <alignment horizontal="right" vertical="top"/>
    </xf>
    <xf numFmtId="170" fontId="82" fillId="2" borderId="54" xfId="0" applyNumberFormat="1" applyFont="1" applyFill="1" applyBorder="1" applyAlignment="1">
      <alignment horizontal="right" vertical="center"/>
    </xf>
    <xf numFmtId="170" fontId="82" fillId="2" borderId="54" xfId="0" applyNumberFormat="1" applyFont="1" applyFill="1" applyBorder="1" applyAlignment="1">
      <alignment horizontal="right" vertical="top"/>
    </xf>
    <xf numFmtId="170" fontId="80" fillId="2" borderId="54" xfId="0" applyNumberFormat="1" applyFont="1" applyFill="1" applyBorder="1" applyAlignment="1">
      <alignment horizontal="right" vertical="top"/>
    </xf>
    <xf numFmtId="170" fontId="8" fillId="2" borderId="59" xfId="0" applyNumberFormat="1" applyFont="1" applyFill="1" applyBorder="1"/>
    <xf numFmtId="170" fontId="8" fillId="2" borderId="60" xfId="0" applyNumberFormat="1" applyFont="1" applyFill="1" applyBorder="1"/>
    <xf numFmtId="170" fontId="8" fillId="2" borderId="61" xfId="0" applyNumberFormat="1" applyFont="1" applyFill="1" applyBorder="1"/>
    <xf numFmtId="170" fontId="8" fillId="2" borderId="63" xfId="0" applyNumberFormat="1" applyFont="1" applyFill="1" applyBorder="1"/>
    <xf numFmtId="170" fontId="82" fillId="2" borderId="54" xfId="0" applyNumberFormat="1" applyFont="1" applyFill="1" applyBorder="1" applyAlignment="1">
      <alignment horizontal="center" vertical="center"/>
    </xf>
    <xf numFmtId="170" fontId="82" fillId="2" borderId="55" xfId="0" applyNumberFormat="1" applyFont="1" applyFill="1" applyBorder="1" applyAlignment="1">
      <alignment horizontal="center" vertical="center"/>
    </xf>
    <xf numFmtId="170" fontId="80" fillId="2" borderId="54" xfId="0" applyNumberFormat="1" applyFont="1" applyFill="1" applyBorder="1" applyAlignment="1">
      <alignment horizontal="right" vertical="center"/>
    </xf>
    <xf numFmtId="170" fontId="80" fillId="2" borderId="55" xfId="0" applyNumberFormat="1" applyFont="1" applyFill="1" applyBorder="1" applyAlignment="1">
      <alignment horizontal="right" vertical="center"/>
    </xf>
    <xf numFmtId="170" fontId="8" fillId="2" borderId="62" xfId="0" applyNumberFormat="1" applyFont="1" applyFill="1" applyBorder="1"/>
    <xf numFmtId="170" fontId="8" fillId="2" borderId="64" xfId="0" applyNumberFormat="1" applyFont="1" applyFill="1" applyBorder="1"/>
    <xf numFmtId="0" fontId="81" fillId="2" borderId="67" xfId="0" applyFont="1" applyFill="1" applyBorder="1" applyAlignment="1">
      <alignment wrapText="1"/>
    </xf>
    <xf numFmtId="0" fontId="4" fillId="2" borderId="69" xfId="0" applyFont="1" applyFill="1" applyBorder="1" applyAlignment="1">
      <alignment horizontal="left" vertical="center" wrapText="1"/>
    </xf>
    <xf numFmtId="0" fontId="83" fillId="2" borderId="70" xfId="0" applyFont="1" applyFill="1" applyBorder="1" applyAlignment="1">
      <alignment wrapText="1"/>
    </xf>
    <xf numFmtId="1" fontId="8" fillId="2" borderId="71" xfId="0" applyNumberFormat="1" applyFont="1" applyFill="1" applyBorder="1" applyAlignment="1">
      <alignment horizontal="right"/>
    </xf>
    <xf numFmtId="1" fontId="8" fillId="2" borderId="72" xfId="0" applyNumberFormat="1" applyFont="1" applyFill="1" applyBorder="1" applyAlignment="1">
      <alignment horizontal="right"/>
    </xf>
    <xf numFmtId="167" fontId="27" fillId="2" borderId="0" xfId="0" applyNumberFormat="1" applyFont="1" applyFill="1"/>
    <xf numFmtId="0" fontId="4" fillId="2" borderId="1" xfId="0" applyFont="1" applyFill="1" applyBorder="1" applyAlignment="1">
      <alignment horizontal="left" vertical="top" wrapText="1"/>
    </xf>
    <xf numFmtId="49" fontId="2" fillId="2" borderId="0" xfId="0" applyNumberFormat="1" applyFont="1" applyFill="1" applyAlignment="1">
      <alignment horizontal="center" vertical="top"/>
    </xf>
    <xf numFmtId="174" fontId="2" fillId="2" borderId="0" xfId="0" applyNumberFormat="1" applyFont="1" applyFill="1"/>
    <xf numFmtId="0" fontId="2" fillId="2" borderId="20" xfId="0" applyFont="1" applyFill="1" applyBorder="1"/>
    <xf numFmtId="170" fontId="2" fillId="2" borderId="20" xfId="0" applyNumberFormat="1" applyFont="1" applyFill="1" applyBorder="1" applyAlignment="1">
      <alignment horizontal="center"/>
    </xf>
    <xf numFmtId="171" fontId="2" fillId="2" borderId="20" xfId="0" applyNumberFormat="1" applyFont="1" applyFill="1" applyBorder="1" applyAlignment="1">
      <alignment horizontal="center"/>
    </xf>
    <xf numFmtId="0" fontId="102" fillId="2" borderId="0" xfId="0" applyFont="1" applyFill="1"/>
    <xf numFmtId="0" fontId="102" fillId="2" borderId="0" xfId="0" applyFont="1" applyFill="1" applyAlignment="1">
      <alignment horizontal="center"/>
    </xf>
    <xf numFmtId="9" fontId="102" fillId="2" borderId="0" xfId="1" applyFont="1" applyFill="1" applyAlignment="1">
      <alignment horizontal="center"/>
    </xf>
    <xf numFmtId="170" fontId="102" fillId="2" borderId="0" xfId="0" applyNumberFormat="1" applyFont="1" applyFill="1"/>
    <xf numFmtId="3" fontId="102" fillId="2" borderId="0" xfId="0" applyNumberFormat="1" applyFont="1" applyFill="1"/>
    <xf numFmtId="166" fontId="102" fillId="2" borderId="0" xfId="0" applyNumberFormat="1" applyFont="1" applyFill="1"/>
    <xf numFmtId="0" fontId="102" fillId="2" borderId="0" xfId="0" applyFont="1" applyFill="1" applyAlignment="1">
      <alignment horizontal="center" vertical="center"/>
    </xf>
    <xf numFmtId="0" fontId="102" fillId="0" borderId="0" xfId="0" applyFont="1"/>
    <xf numFmtId="9" fontId="1" fillId="2" borderId="0" xfId="1" applyFont="1" applyFill="1" applyAlignment="1">
      <alignment horizontal="center"/>
    </xf>
    <xf numFmtId="0" fontId="1" fillId="8" borderId="0" xfId="0" applyFont="1" applyFill="1" applyAlignment="1">
      <alignment vertical="top"/>
    </xf>
    <xf numFmtId="0" fontId="44" fillId="8" borderId="0" xfId="0" applyFont="1" applyFill="1" applyAlignment="1">
      <alignment vertical="top"/>
    </xf>
    <xf numFmtId="168" fontId="1" fillId="8" borderId="0" xfId="0" applyNumberFormat="1" applyFont="1" applyFill="1"/>
    <xf numFmtId="165" fontId="1" fillId="8" borderId="0" xfId="0" applyNumberFormat="1" applyFont="1" applyFill="1"/>
    <xf numFmtId="0" fontId="103" fillId="2" borderId="0" xfId="0" applyFont="1" applyFill="1" applyAlignment="1">
      <alignment vertical="top"/>
    </xf>
    <xf numFmtId="170" fontId="48" fillId="2" borderId="0" xfId="0" applyNumberFormat="1" applyFont="1" applyFill="1" applyAlignment="1">
      <alignment horizontal="right" vertical="top"/>
    </xf>
    <xf numFmtId="170" fontId="48" fillId="2" borderId="2" xfId="0" applyNumberFormat="1" applyFont="1" applyFill="1" applyBorder="1" applyAlignment="1">
      <alignment horizontal="right" vertical="top"/>
    </xf>
    <xf numFmtId="0" fontId="47" fillId="2" borderId="1" xfId="0" applyFont="1" applyFill="1" applyBorder="1" applyAlignment="1">
      <alignment vertical="top"/>
    </xf>
    <xf numFmtId="170" fontId="48" fillId="2" borderId="1" xfId="0" applyNumberFormat="1" applyFont="1" applyFill="1" applyBorder="1" applyAlignment="1">
      <alignment horizontal="right" vertical="top"/>
    </xf>
    <xf numFmtId="0" fontId="53" fillId="2" borderId="0" xfId="0" applyFont="1" applyFill="1" applyAlignment="1">
      <alignment vertical="top"/>
    </xf>
    <xf numFmtId="165" fontId="53" fillId="2" borderId="0" xfId="0" applyNumberFormat="1" applyFont="1" applyFill="1"/>
    <xf numFmtId="0" fontId="92" fillId="2" borderId="0" xfId="0" applyFont="1" applyFill="1" applyAlignment="1">
      <alignment vertical="top"/>
    </xf>
    <xf numFmtId="166" fontId="92" fillId="2" borderId="0" xfId="0" applyNumberFormat="1" applyFont="1" applyFill="1"/>
    <xf numFmtId="0" fontId="92" fillId="2" borderId="1" xfId="0" applyFont="1" applyFill="1" applyBorder="1" applyAlignment="1">
      <alignment vertical="top"/>
    </xf>
    <xf numFmtId="166" fontId="92" fillId="2" borderId="1" xfId="0" applyNumberFormat="1" applyFont="1" applyFill="1" applyBorder="1"/>
    <xf numFmtId="0" fontId="8" fillId="10" borderId="0" xfId="0" applyFont="1" applyFill="1" applyAlignment="1">
      <alignment vertical="top" wrapText="1"/>
    </xf>
    <xf numFmtId="172" fontId="64" fillId="2" borderId="0" xfId="0" applyNumberFormat="1" applyFont="1" applyFill="1"/>
    <xf numFmtId="3" fontId="1" fillId="2" borderId="0" xfId="0" applyNumberFormat="1" applyFont="1" applyFill="1" applyAlignment="1">
      <alignment horizontal="left" indent="2"/>
    </xf>
    <xf numFmtId="0" fontId="104" fillId="2" borderId="0" xfId="0" applyFont="1" applyFill="1"/>
    <xf numFmtId="0" fontId="79" fillId="2" borderId="0" xfId="0" applyFont="1" applyFill="1" applyAlignment="1">
      <alignment horizontal="center" vertical="center"/>
    </xf>
    <xf numFmtId="0" fontId="89" fillId="2" borderId="0" xfId="0" applyFont="1" applyFill="1"/>
    <xf numFmtId="0" fontId="106" fillId="2" borderId="2" xfId="0" applyFont="1" applyFill="1" applyBorder="1" applyAlignment="1">
      <alignment wrapText="1"/>
    </xf>
    <xf numFmtId="1" fontId="89" fillId="2" borderId="2" xfId="0" applyNumberFormat="1" applyFont="1" applyFill="1" applyBorder="1" applyAlignment="1">
      <alignment horizontal="right"/>
    </xf>
    <xf numFmtId="0" fontId="88" fillId="2" borderId="0" xfId="0" applyFont="1" applyFill="1" applyAlignment="1">
      <alignment horizontal="center" vertical="center"/>
    </xf>
    <xf numFmtId="0" fontId="88" fillId="2" borderId="20" xfId="0" applyFont="1" applyFill="1" applyBorder="1" applyAlignment="1">
      <alignment horizontal="left" vertical="center" wrapText="1"/>
    </xf>
    <xf numFmtId="170" fontId="88" fillId="2" borderId="20" xfId="0" applyNumberFormat="1" applyFont="1" applyFill="1" applyBorder="1" applyAlignment="1">
      <alignment horizontal="center" vertical="center"/>
    </xf>
    <xf numFmtId="0" fontId="88" fillId="2" borderId="0" xfId="0" applyFont="1" applyFill="1" applyAlignment="1">
      <alignment horizontal="center" vertical="top"/>
    </xf>
    <xf numFmtId="0" fontId="88" fillId="2" borderId="0" xfId="0" applyFont="1" applyFill="1" applyAlignment="1">
      <alignment wrapText="1"/>
    </xf>
    <xf numFmtId="170" fontId="88" fillId="2" borderId="0" xfId="0" applyNumberFormat="1" applyFont="1" applyFill="1" applyAlignment="1">
      <alignment horizontal="right" vertical="top"/>
    </xf>
    <xf numFmtId="0" fontId="89" fillId="2" borderId="0" xfId="0" applyFont="1" applyFill="1" applyAlignment="1">
      <alignment horizontal="center" vertical="top"/>
    </xf>
    <xf numFmtId="0" fontId="89" fillId="2" borderId="0" xfId="0" applyFont="1" applyFill="1" applyAlignment="1">
      <alignment wrapText="1"/>
    </xf>
    <xf numFmtId="170" fontId="89" fillId="2" borderId="0" xfId="0" applyNumberFormat="1" applyFont="1" applyFill="1" applyAlignment="1">
      <alignment horizontal="right" vertical="top"/>
    </xf>
    <xf numFmtId="0" fontId="106" fillId="2" borderId="0" xfId="0" applyFont="1" applyFill="1" applyAlignment="1">
      <alignment horizontal="center" vertical="top"/>
    </xf>
    <xf numFmtId="0" fontId="89" fillId="4" borderId="0" xfId="0" applyFont="1" applyFill="1" applyAlignment="1">
      <alignment horizontal="center" vertical="top"/>
    </xf>
    <xf numFmtId="0" fontId="89" fillId="4" borderId="0" xfId="0" applyFont="1" applyFill="1" applyAlignment="1">
      <alignment horizontal="left" wrapText="1" indent="2"/>
    </xf>
    <xf numFmtId="170" fontId="89" fillId="4" borderId="0" xfId="0" applyNumberFormat="1" applyFont="1" applyFill="1" applyAlignment="1">
      <alignment horizontal="right" vertical="top"/>
    </xf>
    <xf numFmtId="0" fontId="88" fillId="2" borderId="1" xfId="0" applyFont="1" applyFill="1" applyBorder="1" applyAlignment="1">
      <alignment vertical="top" wrapText="1"/>
    </xf>
    <xf numFmtId="170" fontId="88" fillId="2" borderId="1" xfId="0" applyNumberFormat="1" applyFont="1" applyFill="1" applyBorder="1" applyAlignment="1">
      <alignment horizontal="right" vertical="top"/>
    </xf>
    <xf numFmtId="3" fontId="47" fillId="2" borderId="75" xfId="0" applyNumberFormat="1" applyFont="1" applyFill="1" applyBorder="1" applyAlignment="1">
      <alignment vertical="top"/>
    </xf>
    <xf numFmtId="165" fontId="47" fillId="2" borderId="75" xfId="0" applyNumberFormat="1" applyFont="1" applyFill="1" applyBorder="1" applyAlignment="1">
      <alignment horizontal="center" vertical="center"/>
    </xf>
    <xf numFmtId="9" fontId="48" fillId="2" borderId="75" xfId="0" applyNumberFormat="1" applyFont="1" applyFill="1" applyBorder="1" applyAlignment="1">
      <alignment vertical="top"/>
    </xf>
    <xf numFmtId="9" fontId="75" fillId="2" borderId="75" xfId="0" applyNumberFormat="1" applyFont="1" applyFill="1" applyBorder="1" applyAlignment="1">
      <alignment vertical="top"/>
    </xf>
    <xf numFmtId="170" fontId="82" fillId="2" borderId="76" xfId="0" applyNumberFormat="1" applyFont="1" applyFill="1" applyBorder="1" applyAlignment="1">
      <alignment horizontal="right" vertical="top"/>
    </xf>
    <xf numFmtId="170" fontId="82" fillId="2" borderId="79" xfId="0" applyNumberFormat="1" applyFont="1" applyFill="1" applyBorder="1" applyAlignment="1">
      <alignment horizontal="right" vertical="top"/>
    </xf>
    <xf numFmtId="0" fontId="87" fillId="2" borderId="82" xfId="0" applyFont="1" applyFill="1" applyBorder="1" applyAlignment="1">
      <alignment wrapText="1"/>
    </xf>
    <xf numFmtId="0" fontId="87" fillId="2" borderId="83" xfId="0" applyFont="1" applyFill="1" applyBorder="1" applyAlignment="1">
      <alignment wrapText="1"/>
    </xf>
    <xf numFmtId="0" fontId="87" fillId="2" borderId="84" xfId="0" applyFont="1" applyFill="1" applyBorder="1" applyAlignment="1">
      <alignment wrapText="1"/>
    </xf>
    <xf numFmtId="0" fontId="87" fillId="2" borderId="73" xfId="0" applyFont="1" applyFill="1" applyBorder="1" applyAlignment="1">
      <alignment wrapText="1"/>
    </xf>
    <xf numFmtId="0" fontId="87" fillId="2" borderId="68" xfId="0" applyFont="1" applyFill="1" applyBorder="1" applyAlignment="1">
      <alignment wrapText="1"/>
    </xf>
    <xf numFmtId="0" fontId="87" fillId="2" borderId="70" xfId="0" applyFont="1" applyFill="1" applyBorder="1" applyAlignment="1">
      <alignment wrapText="1"/>
    </xf>
    <xf numFmtId="0" fontId="26" fillId="2" borderId="1" xfId="0" applyFont="1" applyFill="1" applyBorder="1"/>
    <xf numFmtId="170" fontId="26" fillId="2" borderId="1" xfId="0" applyNumberFormat="1" applyFont="1" applyFill="1" applyBorder="1"/>
    <xf numFmtId="170" fontId="26" fillId="2" borderId="53" xfId="0" applyNumberFormat="1" applyFont="1" applyFill="1" applyBorder="1"/>
    <xf numFmtId="0" fontId="26" fillId="2" borderId="59" xfId="0" applyFont="1" applyFill="1" applyBorder="1"/>
    <xf numFmtId="0" fontId="26" fillId="2" borderId="60" xfId="0" applyFont="1" applyFill="1" applyBorder="1"/>
    <xf numFmtId="170" fontId="26" fillId="2" borderId="60" xfId="0" applyNumberFormat="1" applyFont="1" applyFill="1" applyBorder="1"/>
    <xf numFmtId="170" fontId="26" fillId="2" borderId="61" xfId="0" applyNumberFormat="1" applyFont="1" applyFill="1" applyBorder="1"/>
    <xf numFmtId="0" fontId="26" fillId="2" borderId="52" xfId="0" applyFont="1" applyFill="1" applyBorder="1"/>
    <xf numFmtId="3" fontId="48" fillId="2" borderId="0" xfId="0" applyNumberFormat="1" applyFont="1" applyFill="1" applyAlignment="1">
      <alignment horizontal="right" vertical="top"/>
    </xf>
    <xf numFmtId="3" fontId="47" fillId="2" borderId="0" xfId="0" applyNumberFormat="1" applyFont="1" applyFill="1" applyAlignment="1">
      <alignment horizontal="right" vertical="top"/>
    </xf>
    <xf numFmtId="3" fontId="49" fillId="2" borderId="0" xfId="0" applyNumberFormat="1" applyFont="1" applyFill="1" applyAlignment="1">
      <alignment vertical="top"/>
    </xf>
    <xf numFmtId="9" fontId="54" fillId="2" borderId="86" xfId="0" applyNumberFormat="1" applyFont="1" applyFill="1" applyBorder="1" applyAlignment="1">
      <alignment horizontal="center" vertical="center"/>
    </xf>
    <xf numFmtId="9" fontId="54" fillId="2" borderId="86" xfId="1" applyFont="1" applyFill="1" applyBorder="1" applyAlignment="1">
      <alignment vertical="top"/>
    </xf>
    <xf numFmtId="165" fontId="49" fillId="2" borderId="0" xfId="0" applyNumberFormat="1" applyFont="1" applyFill="1" applyAlignment="1">
      <alignment horizontal="right" vertical="top"/>
    </xf>
    <xf numFmtId="166" fontId="65" fillId="2" borderId="0" xfId="0" applyNumberFormat="1" applyFont="1" applyFill="1" applyAlignment="1">
      <alignment horizontal="right" vertical="top"/>
    </xf>
    <xf numFmtId="166" fontId="44" fillId="2" borderId="0" xfId="1" applyNumberFormat="1" applyFont="1" applyFill="1"/>
    <xf numFmtId="0" fontId="83" fillId="2" borderId="0" xfId="0" applyFont="1" applyFill="1" applyAlignment="1">
      <alignment horizontal="right" vertical="top"/>
    </xf>
    <xf numFmtId="49" fontId="1" fillId="4" borderId="0" xfId="0" applyNumberFormat="1" applyFont="1" applyFill="1"/>
    <xf numFmtId="49" fontId="8" fillId="2" borderId="0" xfId="0" applyNumberFormat="1" applyFont="1" applyFill="1"/>
    <xf numFmtId="49" fontId="1" fillId="2" borderId="0" xfId="0" applyNumberFormat="1" applyFont="1" applyFill="1"/>
    <xf numFmtId="49" fontId="1" fillId="2" borderId="2" xfId="0" applyNumberFormat="1" applyFont="1" applyFill="1" applyBorder="1"/>
    <xf numFmtId="49" fontId="2" fillId="9" borderId="0" xfId="0" applyNumberFormat="1" applyFont="1" applyFill="1" applyAlignment="1">
      <alignment horizontal="left" vertical="center"/>
    </xf>
    <xf numFmtId="49" fontId="23" fillId="2" borderId="1" xfId="0" applyNumberFormat="1" applyFont="1" applyFill="1" applyBorder="1" applyAlignment="1">
      <alignment horizontal="left"/>
    </xf>
    <xf numFmtId="49" fontId="23" fillId="2" borderId="1" xfId="0" applyNumberFormat="1" applyFont="1" applyFill="1" applyBorder="1" applyAlignment="1">
      <alignment horizontal="left" vertical="top"/>
    </xf>
    <xf numFmtId="49" fontId="2" fillId="2" borderId="0" xfId="0" applyNumberFormat="1" applyFont="1" applyFill="1"/>
    <xf numFmtId="49" fontId="44" fillId="8" borderId="0" xfId="0" applyNumberFormat="1" applyFont="1" applyFill="1"/>
    <xf numFmtId="49" fontId="1" fillId="2" borderId="20" xfId="0" applyNumberFormat="1" applyFont="1" applyFill="1" applyBorder="1"/>
    <xf numFmtId="49" fontId="102" fillId="2" borderId="0" xfId="0" applyNumberFormat="1" applyFont="1" applyFill="1"/>
    <xf numFmtId="49" fontId="13" fillId="2" borderId="0" xfId="0" applyNumberFormat="1" applyFont="1" applyFill="1"/>
    <xf numFmtId="49" fontId="1" fillId="0" borderId="0" xfId="0" applyNumberFormat="1" applyFont="1"/>
    <xf numFmtId="0" fontId="8" fillId="16" borderId="0" xfId="0" applyFont="1" applyFill="1" applyAlignment="1">
      <alignment vertical="center" wrapText="1"/>
    </xf>
    <xf numFmtId="170" fontId="82" fillId="16" borderId="0" xfId="0" applyNumberFormat="1" applyFont="1" applyFill="1" applyAlignment="1">
      <alignment horizontal="right" vertical="top"/>
    </xf>
    <xf numFmtId="49" fontId="64" fillId="8" borderId="0" xfId="0" applyNumberFormat="1" applyFont="1" applyFill="1"/>
    <xf numFmtId="0" fontId="64" fillId="8" borderId="0" xfId="0" applyFont="1" applyFill="1"/>
    <xf numFmtId="3" fontId="64" fillId="8" borderId="0" xfId="0" applyNumberFormat="1" applyFont="1" applyFill="1"/>
    <xf numFmtId="170" fontId="64" fillId="8" borderId="0" xfId="0" applyNumberFormat="1" applyFont="1" applyFill="1"/>
    <xf numFmtId="170" fontId="104" fillId="2" borderId="0" xfId="0" applyNumberFormat="1" applyFont="1" applyFill="1"/>
    <xf numFmtId="3" fontId="104" fillId="2" borderId="0" xfId="0" applyNumberFormat="1" applyFont="1" applyFill="1"/>
    <xf numFmtId="166" fontId="104" fillId="2" borderId="0" xfId="0" applyNumberFormat="1" applyFont="1" applyFill="1"/>
    <xf numFmtId="0" fontId="104" fillId="2" borderId="0" xfId="0" applyFont="1" applyFill="1" applyAlignment="1">
      <alignment horizontal="center" vertical="center"/>
    </xf>
    <xf numFmtId="0" fontId="104" fillId="8" borderId="0" xfId="0" applyFont="1" applyFill="1"/>
    <xf numFmtId="0" fontId="104" fillId="0" borderId="0" xfId="0" applyFont="1"/>
    <xf numFmtId="0" fontId="23" fillId="9" borderId="20" xfId="0" applyFont="1" applyFill="1" applyBorder="1" applyAlignment="1">
      <alignment horizontal="left" vertical="center"/>
    </xf>
    <xf numFmtId="49" fontId="23" fillId="9" borderId="20" xfId="0" applyNumberFormat="1" applyFont="1" applyFill="1" applyBorder="1" applyAlignment="1">
      <alignment horizontal="left" vertical="center"/>
    </xf>
    <xf numFmtId="3" fontId="2" fillId="9" borderId="20" xfId="0" applyNumberFormat="1" applyFont="1" applyFill="1" applyBorder="1" applyAlignment="1">
      <alignment horizontal="left" vertical="center"/>
    </xf>
    <xf numFmtId="0" fontId="1" fillId="2" borderId="60" xfId="0" applyFont="1" applyFill="1" applyBorder="1"/>
    <xf numFmtId="0" fontId="107" fillId="2" borderId="0" xfId="0" applyFont="1" applyFill="1"/>
    <xf numFmtId="0" fontId="23" fillId="2" borderId="54" xfId="0" applyFont="1" applyFill="1" applyBorder="1" applyAlignment="1">
      <alignment horizontal="left" vertical="center"/>
    </xf>
    <xf numFmtId="170" fontId="2" fillId="2" borderId="55" xfId="0" applyNumberFormat="1" applyFont="1" applyFill="1" applyBorder="1" applyAlignment="1">
      <alignment horizontal="center" vertical="center"/>
    </xf>
    <xf numFmtId="173" fontId="2" fillId="2" borderId="55" xfId="0" applyNumberFormat="1" applyFont="1" applyFill="1" applyBorder="1" applyAlignment="1">
      <alignment horizontal="center" vertical="center"/>
    </xf>
    <xf numFmtId="0" fontId="1" fillId="2" borderId="62" xfId="0" applyFont="1" applyFill="1" applyBorder="1"/>
    <xf numFmtId="0" fontId="1" fillId="2" borderId="63" xfId="0" applyFont="1" applyFill="1" applyBorder="1"/>
    <xf numFmtId="0" fontId="1" fillId="2" borderId="64" xfId="0" applyFont="1" applyFill="1" applyBorder="1"/>
    <xf numFmtId="175" fontId="1" fillId="2" borderId="1" xfId="0" applyNumberFormat="1" applyFont="1" applyFill="1" applyBorder="1" applyAlignment="1">
      <alignment vertical="top"/>
    </xf>
    <xf numFmtId="0" fontId="80" fillId="2" borderId="20" xfId="0" applyFont="1" applyFill="1" applyBorder="1" applyAlignment="1">
      <alignment horizontal="left" vertical="center" wrapText="1"/>
    </xf>
    <xf numFmtId="173" fontId="1" fillId="2" borderId="0" xfId="0" applyNumberFormat="1" applyFont="1" applyFill="1" applyAlignment="1">
      <alignment horizontal="center"/>
    </xf>
    <xf numFmtId="173" fontId="2" fillId="2" borderId="20" xfId="0" applyNumberFormat="1" applyFont="1" applyFill="1" applyBorder="1" applyAlignment="1">
      <alignment horizontal="center"/>
    </xf>
    <xf numFmtId="0" fontId="8" fillId="2" borderId="87" xfId="0" applyFont="1" applyFill="1" applyBorder="1" applyAlignment="1">
      <alignment vertical="center" wrapText="1"/>
    </xf>
    <xf numFmtId="170" fontId="82" fillId="2" borderId="87" xfId="0" applyNumberFormat="1" applyFont="1" applyFill="1" applyBorder="1" applyAlignment="1">
      <alignment horizontal="right" vertical="top"/>
    </xf>
    <xf numFmtId="0" fontId="8" fillId="2" borderId="90" xfId="0" applyFont="1" applyFill="1" applyBorder="1" applyAlignment="1">
      <alignment vertical="center" wrapText="1"/>
    </xf>
    <xf numFmtId="170" fontId="82" fillId="2" borderId="90" xfId="0" applyNumberFormat="1" applyFont="1" applyFill="1" applyBorder="1" applyAlignment="1">
      <alignment horizontal="right" vertical="top"/>
    </xf>
    <xf numFmtId="0" fontId="8" fillId="2" borderId="3" xfId="0" applyFont="1" applyFill="1" applyBorder="1" applyAlignment="1">
      <alignment vertical="center" wrapText="1"/>
    </xf>
    <xf numFmtId="170" fontId="82" fillId="2" borderId="93" xfId="0" applyNumberFormat="1" applyFont="1" applyFill="1" applyBorder="1" applyAlignment="1">
      <alignment horizontal="right" vertical="top"/>
    </xf>
    <xf numFmtId="0" fontId="82" fillId="2" borderId="90" xfId="0" applyFont="1" applyFill="1" applyBorder="1" applyAlignment="1">
      <alignment vertical="center" wrapText="1"/>
    </xf>
    <xf numFmtId="170" fontId="82" fillId="2" borderId="90" xfId="0" applyNumberFormat="1" applyFont="1" applyFill="1" applyBorder="1" applyAlignment="1">
      <alignment horizontal="right" vertical="center"/>
    </xf>
    <xf numFmtId="0" fontId="8" fillId="2" borderId="90" xfId="0" applyFont="1" applyFill="1" applyBorder="1" applyAlignment="1">
      <alignment horizontal="left" vertical="center" wrapText="1"/>
    </xf>
    <xf numFmtId="0" fontId="8" fillId="15" borderId="90" xfId="0" applyFont="1" applyFill="1" applyBorder="1" applyAlignment="1">
      <alignment horizontal="left" vertical="center" wrapText="1"/>
    </xf>
    <xf numFmtId="0" fontId="82" fillId="15" borderId="90" xfId="0" applyFont="1" applyFill="1" applyBorder="1" applyAlignment="1">
      <alignment vertical="center" wrapText="1"/>
    </xf>
    <xf numFmtId="170" fontId="82" fillId="15" borderId="90" xfId="0" applyNumberFormat="1" applyFont="1" applyFill="1" applyBorder="1" applyAlignment="1">
      <alignment horizontal="right" vertical="center"/>
    </xf>
    <xf numFmtId="0" fontId="8" fillId="2" borderId="79" xfId="0" applyFont="1" applyFill="1" applyBorder="1" applyAlignment="1">
      <alignment horizontal="left" vertical="center"/>
    </xf>
    <xf numFmtId="0" fontId="8" fillId="2" borderId="95" xfId="0" applyFont="1" applyFill="1" applyBorder="1" applyAlignment="1">
      <alignment horizontal="left" vertical="center"/>
    </xf>
    <xf numFmtId="0" fontId="82" fillId="2" borderId="98" xfId="0" applyFont="1" applyFill="1" applyBorder="1" applyAlignment="1">
      <alignment vertical="center" wrapText="1"/>
    </xf>
    <xf numFmtId="170" fontId="82" fillId="2" borderId="98" xfId="0" applyNumberFormat="1" applyFont="1" applyFill="1" applyBorder="1" applyAlignment="1">
      <alignment horizontal="right" vertical="center"/>
    </xf>
    <xf numFmtId="0" fontId="82" fillId="2" borderId="95" xfId="0" applyFont="1" applyFill="1" applyBorder="1" applyAlignment="1">
      <alignment vertical="center" wrapText="1"/>
    </xf>
    <xf numFmtId="170" fontId="82" fillId="2" borderId="95" xfId="0" applyNumberFormat="1" applyFont="1" applyFill="1" applyBorder="1" applyAlignment="1">
      <alignment horizontal="right" vertical="center"/>
    </xf>
    <xf numFmtId="0" fontId="8" fillId="2" borderId="20" xfId="0" applyFont="1" applyFill="1" applyBorder="1"/>
    <xf numFmtId="49" fontId="2" fillId="2" borderId="1" xfId="0" applyNumberFormat="1" applyFont="1" applyFill="1" applyBorder="1"/>
    <xf numFmtId="49" fontId="2" fillId="2" borderId="1" xfId="0" applyNumberFormat="1" applyFont="1" applyFill="1" applyBorder="1" applyAlignment="1">
      <alignment horizontal="center" vertical="top"/>
    </xf>
    <xf numFmtId="170" fontId="2" fillId="2" borderId="1" xfId="0" applyNumberFormat="1" applyFont="1" applyFill="1" applyBorder="1" applyAlignment="1">
      <alignment horizontal="center"/>
    </xf>
    <xf numFmtId="49" fontId="1" fillId="9" borderId="20" xfId="0" applyNumberFormat="1" applyFont="1" applyFill="1" applyBorder="1"/>
    <xf numFmtId="0" fontId="2" fillId="9" borderId="20" xfId="0" applyFont="1" applyFill="1" applyBorder="1"/>
    <xf numFmtId="175" fontId="2" fillId="2" borderId="0" xfId="0" applyNumberFormat="1" applyFont="1" applyFill="1" applyAlignment="1">
      <alignment horizontal="center"/>
    </xf>
    <xf numFmtId="175" fontId="1" fillId="2" borderId="0" xfId="0" applyNumberFormat="1" applyFont="1" applyFill="1" applyAlignment="1">
      <alignment horizontal="center"/>
    </xf>
    <xf numFmtId="175" fontId="2" fillId="2" borderId="1" xfId="0" applyNumberFormat="1" applyFont="1" applyFill="1" applyBorder="1" applyAlignment="1">
      <alignment horizontal="center"/>
    </xf>
    <xf numFmtId="175" fontId="2" fillId="2" borderId="20" xfId="0" applyNumberFormat="1" applyFont="1" applyFill="1" applyBorder="1" applyAlignment="1">
      <alignment horizontal="center"/>
    </xf>
    <xf numFmtId="49" fontId="70" fillId="2" borderId="0" xfId="0" applyNumberFormat="1" applyFont="1" applyFill="1"/>
    <xf numFmtId="0" fontId="70" fillId="2" borderId="0" xfId="0" applyFont="1" applyFill="1"/>
    <xf numFmtId="3" fontId="70" fillId="2" borderId="0" xfId="0" applyNumberFormat="1" applyFont="1" applyFill="1"/>
    <xf numFmtId="170" fontId="70" fillId="2" borderId="0" xfId="0" applyNumberFormat="1" applyFont="1" applyFill="1"/>
    <xf numFmtId="166" fontId="70" fillId="2" borderId="0" xfId="0" applyNumberFormat="1" applyFont="1" applyFill="1"/>
    <xf numFmtId="0" fontId="70" fillId="2" borderId="0" xfId="0" applyFont="1" applyFill="1" applyAlignment="1">
      <alignment horizontal="center" vertical="center"/>
    </xf>
    <xf numFmtId="10" fontId="70" fillId="2" borderId="0" xfId="0" applyNumberFormat="1" applyFont="1" applyFill="1"/>
    <xf numFmtId="177" fontId="2" fillId="9" borderId="20" xfId="0" applyNumberFormat="1" applyFont="1" applyFill="1" applyBorder="1" applyAlignment="1">
      <alignment horizontal="center"/>
    </xf>
    <xf numFmtId="0" fontId="109" fillId="17" borderId="101" xfId="0" applyFont="1" applyFill="1" applyBorder="1" applyAlignment="1">
      <alignment horizontal="center" vertical="center" wrapText="1" readingOrder="1"/>
    </xf>
    <xf numFmtId="0" fontId="110" fillId="18" borderId="101" xfId="0" applyFont="1" applyFill="1" applyBorder="1" applyAlignment="1">
      <alignment horizontal="center" vertical="center" wrapText="1" readingOrder="1"/>
    </xf>
    <xf numFmtId="171" fontId="2" fillId="2" borderId="0" xfId="0" applyNumberFormat="1" applyFont="1" applyFill="1" applyAlignment="1">
      <alignment horizontal="center" vertical="center"/>
    </xf>
    <xf numFmtId="171" fontId="7" fillId="2" borderId="0" xfId="0" applyNumberFormat="1" applyFont="1" applyFill="1" applyAlignment="1">
      <alignment horizontal="center" vertical="center"/>
    </xf>
    <xf numFmtId="49" fontId="90" fillId="2" borderId="0" xfId="0" applyNumberFormat="1" applyFont="1" applyFill="1" applyAlignment="1">
      <alignment horizontal="center" vertical="top"/>
    </xf>
    <xf numFmtId="0" fontId="2" fillId="2" borderId="1" xfId="0" applyFont="1" applyFill="1" applyBorder="1" applyAlignment="1">
      <alignment horizontal="right"/>
    </xf>
    <xf numFmtId="3" fontId="2" fillId="2" borderId="1" xfId="0" applyNumberFormat="1" applyFont="1" applyFill="1" applyBorder="1"/>
    <xf numFmtId="170" fontId="7" fillId="2" borderId="1" xfId="0" applyNumberFormat="1" applyFont="1" applyFill="1" applyBorder="1"/>
    <xf numFmtId="0" fontId="1" fillId="9" borderId="102" xfId="0" applyFont="1" applyFill="1" applyBorder="1"/>
    <xf numFmtId="3" fontId="1" fillId="9" borderId="102" xfId="0" applyNumberFormat="1" applyFont="1" applyFill="1" applyBorder="1"/>
    <xf numFmtId="172" fontId="26" fillId="9" borderId="102" xfId="0" applyNumberFormat="1" applyFont="1" applyFill="1" applyBorder="1"/>
    <xf numFmtId="0" fontId="1" fillId="9" borderId="103" xfId="0" applyFont="1" applyFill="1" applyBorder="1" applyAlignment="1">
      <alignment horizontal="left"/>
    </xf>
    <xf numFmtId="3" fontId="1" fillId="9" borderId="103" xfId="0" applyNumberFormat="1" applyFont="1" applyFill="1" applyBorder="1"/>
    <xf numFmtId="172" fontId="26" fillId="9" borderId="103" xfId="0" applyNumberFormat="1" applyFont="1" applyFill="1" applyBorder="1"/>
    <xf numFmtId="0" fontId="1" fillId="3" borderId="1" xfId="0" applyFont="1" applyFill="1" applyBorder="1"/>
    <xf numFmtId="3" fontId="1" fillId="3" borderId="1" xfId="0" applyNumberFormat="1" applyFont="1" applyFill="1" applyBorder="1"/>
    <xf numFmtId="172" fontId="26" fillId="3" borderId="1" xfId="0" applyNumberFormat="1" applyFont="1" applyFill="1" applyBorder="1"/>
    <xf numFmtId="0" fontId="1" fillId="3" borderId="0" xfId="0" applyFont="1" applyFill="1"/>
    <xf numFmtId="3" fontId="1" fillId="3" borderId="0" xfId="0" applyNumberFormat="1" applyFont="1" applyFill="1"/>
    <xf numFmtId="172" fontId="26" fillId="3" borderId="0" xfId="0" applyNumberFormat="1" applyFont="1" applyFill="1"/>
    <xf numFmtId="0" fontId="1" fillId="3" borderId="104" xfId="0" applyFont="1" applyFill="1" applyBorder="1"/>
    <xf numFmtId="3" fontId="1" fillId="3" borderId="104" xfId="0" applyNumberFormat="1" applyFont="1" applyFill="1" applyBorder="1"/>
    <xf numFmtId="172" fontId="26" fillId="3" borderId="104" xfId="0" applyNumberFormat="1" applyFont="1" applyFill="1" applyBorder="1"/>
    <xf numFmtId="0" fontId="108" fillId="4" borderId="54" xfId="0" applyFont="1" applyFill="1" applyBorder="1" applyAlignment="1">
      <alignment horizontal="left" vertical="center"/>
    </xf>
    <xf numFmtId="49" fontId="108" fillId="4" borderId="20" xfId="0" applyNumberFormat="1" applyFont="1" applyFill="1" applyBorder="1" applyAlignment="1">
      <alignment horizontal="left" vertical="center"/>
    </xf>
    <xf numFmtId="3" fontId="108" fillId="4" borderId="20" xfId="0" applyNumberFormat="1" applyFont="1" applyFill="1" applyBorder="1" applyAlignment="1">
      <alignment horizontal="left" vertical="center"/>
    </xf>
    <xf numFmtId="173" fontId="108" fillId="4" borderId="20" xfId="0" applyNumberFormat="1" applyFont="1" applyFill="1" applyBorder="1" applyAlignment="1">
      <alignment horizontal="center" vertical="center"/>
    </xf>
    <xf numFmtId="173" fontId="108" fillId="4" borderId="55" xfId="0" applyNumberFormat="1" applyFont="1" applyFill="1" applyBorder="1" applyAlignment="1">
      <alignment horizontal="center" vertical="center"/>
    </xf>
    <xf numFmtId="166" fontId="82" fillId="2" borderId="63" xfId="0" applyNumberFormat="1" applyFont="1" applyFill="1" applyBorder="1" applyAlignment="1">
      <alignment horizontal="right" vertical="top"/>
    </xf>
    <xf numFmtId="166" fontId="82" fillId="2" borderId="64" xfId="0" applyNumberFormat="1" applyFont="1" applyFill="1" applyBorder="1" applyAlignment="1">
      <alignment horizontal="right" vertical="top"/>
    </xf>
    <xf numFmtId="9" fontId="2" fillId="2" borderId="0" xfId="1" applyFont="1" applyFill="1"/>
    <xf numFmtId="1" fontId="76" fillId="2" borderId="33" xfId="0" applyNumberFormat="1" applyFont="1" applyFill="1" applyBorder="1" applyAlignment="1">
      <alignment vertical="top"/>
    </xf>
    <xf numFmtId="3" fontId="62" fillId="2" borderId="2" xfId="0" applyNumberFormat="1" applyFont="1" applyFill="1" applyBorder="1" applyAlignment="1">
      <alignment vertical="top"/>
    </xf>
    <xf numFmtId="0" fontId="62" fillId="2" borderId="0" xfId="0" applyFont="1" applyFill="1" applyAlignment="1">
      <alignment vertical="top"/>
    </xf>
    <xf numFmtId="170" fontId="62" fillId="2" borderId="0" xfId="0" applyNumberFormat="1" applyFont="1" applyFill="1" applyAlignment="1">
      <alignment horizontal="center"/>
    </xf>
    <xf numFmtId="0" fontId="50" fillId="2" borderId="22" xfId="0" applyFont="1" applyFill="1" applyBorder="1" applyAlignment="1">
      <alignment vertical="top"/>
    </xf>
    <xf numFmtId="9" fontId="54" fillId="2" borderId="0" xfId="0" applyNumberFormat="1" applyFont="1" applyFill="1" applyAlignment="1">
      <alignment vertical="top"/>
    </xf>
    <xf numFmtId="0" fontId="112" fillId="2" borderId="0" xfId="0" applyFont="1" applyFill="1" applyAlignment="1">
      <alignment horizontal="center" vertical="top"/>
    </xf>
    <xf numFmtId="165" fontId="49" fillId="2" borderId="0" xfId="0" applyNumberFormat="1" applyFont="1" applyFill="1" applyAlignment="1">
      <alignment horizontal="center" vertical="center"/>
    </xf>
    <xf numFmtId="9" fontId="49" fillId="2" borderId="0" xfId="0" applyNumberFormat="1" applyFont="1" applyFill="1" applyAlignment="1">
      <alignment horizontal="center" vertical="top"/>
    </xf>
    <xf numFmtId="9" fontId="54" fillId="2" borderId="0" xfId="0" applyNumberFormat="1" applyFont="1" applyFill="1" applyAlignment="1">
      <alignment horizontal="center" vertical="top"/>
    </xf>
    <xf numFmtId="0" fontId="112" fillId="2" borderId="22" xfId="0" applyFont="1" applyFill="1" applyBorder="1" applyAlignment="1">
      <alignment horizontal="center" vertical="top"/>
    </xf>
    <xf numFmtId="9" fontId="54" fillId="2" borderId="22" xfId="0" applyNumberFormat="1" applyFont="1" applyFill="1" applyBorder="1" applyAlignment="1">
      <alignment horizontal="center" vertical="top"/>
    </xf>
    <xf numFmtId="1" fontId="48" fillId="2" borderId="33" xfId="0" applyNumberFormat="1" applyFont="1" applyFill="1" applyBorder="1" applyAlignment="1">
      <alignment vertical="top"/>
    </xf>
    <xf numFmtId="3" fontId="54" fillId="2" borderId="2" xfId="0" applyNumberFormat="1" applyFont="1" applyFill="1" applyBorder="1" applyAlignment="1">
      <alignment vertical="top"/>
    </xf>
    <xf numFmtId="170" fontId="48" fillId="2" borderId="0" xfId="0" applyNumberFormat="1" applyFont="1" applyFill="1" applyAlignment="1">
      <alignment horizontal="center"/>
    </xf>
    <xf numFmtId="165" fontId="63" fillId="2" borderId="0" xfId="0" applyNumberFormat="1" applyFont="1" applyFill="1" applyAlignment="1">
      <alignment horizontal="center" vertical="top"/>
    </xf>
    <xf numFmtId="3" fontId="51" fillId="2" borderId="0" xfId="0" applyNumberFormat="1" applyFont="1" applyFill="1" applyAlignment="1">
      <alignment horizontal="center" vertical="top"/>
    </xf>
    <xf numFmtId="3" fontId="112" fillId="2" borderId="0" xfId="0" applyNumberFormat="1" applyFont="1" applyFill="1" applyAlignment="1">
      <alignment horizontal="center" vertical="top"/>
    </xf>
    <xf numFmtId="165" fontId="63" fillId="2" borderId="22" xfId="0" applyNumberFormat="1" applyFont="1" applyFill="1" applyBorder="1" applyAlignment="1">
      <alignment horizontal="center" vertical="top"/>
    </xf>
    <xf numFmtId="3" fontId="51" fillId="2" borderId="22" xfId="0" applyNumberFormat="1" applyFont="1" applyFill="1" applyBorder="1" applyAlignment="1">
      <alignment horizontal="center" vertical="top"/>
    </xf>
    <xf numFmtId="9" fontId="51" fillId="2" borderId="0" xfId="0" applyNumberFormat="1" applyFont="1" applyFill="1" applyAlignment="1">
      <alignment horizontal="center" vertical="top"/>
    </xf>
    <xf numFmtId="9" fontId="51" fillId="2" borderId="22" xfId="0" applyNumberFormat="1" applyFont="1" applyFill="1" applyBorder="1" applyAlignment="1">
      <alignment horizontal="center" vertical="top"/>
    </xf>
    <xf numFmtId="0" fontId="47" fillId="5" borderId="0" xfId="0" applyFont="1" applyFill="1" applyAlignment="1">
      <alignment vertical="top"/>
    </xf>
    <xf numFmtId="165" fontId="76" fillId="5" borderId="0" xfId="0" applyNumberFormat="1" applyFont="1" applyFill="1" applyAlignment="1">
      <alignment vertical="top"/>
    </xf>
    <xf numFmtId="3" fontId="48" fillId="5" borderId="0" xfId="0" applyNumberFormat="1" applyFont="1" applyFill="1" applyAlignment="1">
      <alignment vertical="top"/>
    </xf>
    <xf numFmtId="3" fontId="47" fillId="5" borderId="0" xfId="0" applyNumberFormat="1" applyFont="1" applyFill="1" applyAlignment="1">
      <alignment vertical="top"/>
    </xf>
    <xf numFmtId="165" fontId="47" fillId="5" borderId="0" xfId="0" applyNumberFormat="1" applyFont="1" applyFill="1" applyAlignment="1">
      <alignment horizontal="center" vertical="center"/>
    </xf>
    <xf numFmtId="9" fontId="47" fillId="5" borderId="1" xfId="0" applyNumberFormat="1" applyFont="1" applyFill="1" applyBorder="1" applyAlignment="1">
      <alignment vertical="top"/>
    </xf>
    <xf numFmtId="9" fontId="48" fillId="5" borderId="1" xfId="0" applyNumberFormat="1" applyFont="1" applyFill="1" applyBorder="1" applyAlignment="1">
      <alignment vertical="top"/>
    </xf>
    <xf numFmtId="9" fontId="48" fillId="5" borderId="0" xfId="0" applyNumberFormat="1" applyFont="1" applyFill="1" applyAlignment="1">
      <alignment vertical="top"/>
    </xf>
    <xf numFmtId="0" fontId="47" fillId="5" borderId="2" xfId="0" applyFont="1" applyFill="1" applyBorder="1" applyAlignment="1">
      <alignment vertical="top"/>
    </xf>
    <xf numFmtId="165" fontId="76" fillId="5" borderId="2" xfId="0" applyNumberFormat="1" applyFont="1" applyFill="1" applyBorder="1" applyAlignment="1">
      <alignment vertical="top"/>
    </xf>
    <xf numFmtId="3" fontId="48" fillId="5" borderId="2" xfId="0" applyNumberFormat="1" applyFont="1" applyFill="1" applyBorder="1" applyAlignment="1">
      <alignment vertical="top"/>
    </xf>
    <xf numFmtId="9" fontId="48" fillId="5" borderId="2" xfId="0" applyNumberFormat="1" applyFont="1" applyFill="1" applyBorder="1" applyAlignment="1">
      <alignment vertical="top"/>
    </xf>
    <xf numFmtId="0" fontId="49" fillId="5" borderId="0" xfId="0" applyFont="1" applyFill="1" applyAlignment="1">
      <alignment vertical="top"/>
    </xf>
    <xf numFmtId="0" fontId="92" fillId="9" borderId="34" xfId="0" applyFont="1" applyFill="1" applyBorder="1"/>
    <xf numFmtId="0" fontId="92" fillId="9" borderId="34" xfId="0" applyFont="1" applyFill="1" applyBorder="1" applyAlignment="1">
      <alignment vertical="top"/>
    </xf>
    <xf numFmtId="3" fontId="92" fillId="9" borderId="34" xfId="0" applyNumberFormat="1" applyFont="1" applyFill="1" applyBorder="1" applyAlignment="1">
      <alignment horizontal="right" vertical="top"/>
    </xf>
    <xf numFmtId="0" fontId="92" fillId="9" borderId="34" xfId="0" applyFont="1" applyFill="1" applyBorder="1" applyAlignment="1">
      <alignment vertical="center"/>
    </xf>
    <xf numFmtId="178" fontId="92" fillId="9" borderId="34" xfId="0" applyNumberFormat="1" applyFont="1" applyFill="1" applyBorder="1" applyAlignment="1">
      <alignment horizontal="right" vertical="center"/>
    </xf>
    <xf numFmtId="0" fontId="1" fillId="0" borderId="0" xfId="0" applyFont="1" applyAlignment="1">
      <alignment vertical="center"/>
    </xf>
    <xf numFmtId="0" fontId="47" fillId="12" borderId="0" xfId="0" applyFont="1" applyFill="1" applyAlignment="1">
      <alignment vertical="center"/>
    </xf>
    <xf numFmtId="0" fontId="97" fillId="12" borderId="0" xfId="0" applyFont="1" applyFill="1" applyAlignment="1">
      <alignment vertical="center"/>
    </xf>
    <xf numFmtId="165" fontId="47" fillId="12" borderId="0" xfId="0" applyNumberFormat="1" applyFont="1" applyFill="1" applyAlignment="1">
      <alignment vertical="center"/>
    </xf>
    <xf numFmtId="0" fontId="97" fillId="2" borderId="0" xfId="0" applyFont="1" applyFill="1" applyAlignment="1">
      <alignment vertical="center"/>
    </xf>
    <xf numFmtId="0" fontId="47" fillId="2" borderId="0" xfId="0" applyFont="1" applyFill="1" applyAlignment="1">
      <alignment vertical="center"/>
    </xf>
    <xf numFmtId="165" fontId="47" fillId="2" borderId="0" xfId="0" applyNumberFormat="1" applyFont="1" applyFill="1" applyAlignment="1">
      <alignment vertical="center"/>
    </xf>
    <xf numFmtId="49" fontId="1" fillId="2" borderId="0" xfId="0" applyNumberFormat="1" applyFont="1" applyFill="1" applyAlignment="1">
      <alignment vertical="center"/>
    </xf>
    <xf numFmtId="0" fontId="1" fillId="2" borderId="0" xfId="0" applyFont="1" applyFill="1" applyAlignment="1">
      <alignment vertical="center"/>
    </xf>
    <xf numFmtId="3" fontId="1" fillId="2" borderId="0" xfId="0" applyNumberFormat="1" applyFont="1" applyFill="1" applyAlignment="1">
      <alignment vertical="center"/>
    </xf>
    <xf numFmtId="170" fontId="1" fillId="2" borderId="0" xfId="0" applyNumberFormat="1" applyFont="1" applyFill="1" applyAlignment="1">
      <alignment vertical="center"/>
    </xf>
    <xf numFmtId="0" fontId="47" fillId="2" borderId="2" xfId="0" applyFont="1" applyFill="1" applyBorder="1"/>
    <xf numFmtId="174" fontId="1" fillId="2" borderId="3" xfId="0" applyNumberFormat="1" applyFont="1" applyFill="1" applyBorder="1" applyAlignment="1">
      <alignment horizontal="right"/>
    </xf>
    <xf numFmtId="49" fontId="24" fillId="2" borderId="22" xfId="0" applyNumberFormat="1" applyFont="1" applyFill="1" applyBorder="1" applyAlignment="1">
      <alignment horizontal="left"/>
    </xf>
    <xf numFmtId="0" fontId="1" fillId="2" borderId="22" xfId="0" applyFont="1" applyFill="1" applyBorder="1" applyAlignment="1">
      <alignment horizontal="left"/>
    </xf>
    <xf numFmtId="3" fontId="1" fillId="2" borderId="22" xfId="0" applyNumberFormat="1" applyFont="1" applyFill="1" applyBorder="1" applyAlignment="1">
      <alignment horizontal="left"/>
    </xf>
    <xf numFmtId="170" fontId="1" fillId="2" borderId="22" xfId="0" applyNumberFormat="1" applyFont="1" applyFill="1" applyBorder="1" applyAlignment="1">
      <alignment horizontal="center"/>
    </xf>
    <xf numFmtId="174" fontId="1" fillId="2" borderId="22" xfId="0" applyNumberFormat="1" applyFont="1" applyFill="1" applyBorder="1" applyAlignment="1">
      <alignment horizontal="right"/>
    </xf>
    <xf numFmtId="49" fontId="24" fillId="2" borderId="3" xfId="0" applyNumberFormat="1" applyFont="1" applyFill="1" applyBorder="1" applyAlignment="1">
      <alignment horizontal="left"/>
    </xf>
    <xf numFmtId="0" fontId="1" fillId="2" borderId="3" xfId="0" applyFont="1" applyFill="1" applyBorder="1" applyAlignment="1">
      <alignment horizontal="left"/>
    </xf>
    <xf numFmtId="3" fontId="1" fillId="2" borderId="3" xfId="0" applyNumberFormat="1" applyFont="1" applyFill="1" applyBorder="1" applyAlignment="1">
      <alignment horizontal="left"/>
    </xf>
    <xf numFmtId="170" fontId="1" fillId="2" borderId="3" xfId="0" applyNumberFormat="1" applyFont="1" applyFill="1" applyBorder="1"/>
    <xf numFmtId="174" fontId="1" fillId="2" borderId="109" xfId="0" applyNumberFormat="1" applyFont="1" applyFill="1" applyBorder="1" applyAlignment="1">
      <alignment horizontal="right"/>
    </xf>
    <xf numFmtId="174" fontId="1" fillId="2" borderId="110" xfId="0" applyNumberFormat="1" applyFont="1" applyFill="1" applyBorder="1" applyAlignment="1">
      <alignment horizontal="right"/>
    </xf>
    <xf numFmtId="0" fontId="30" fillId="4" borderId="0" xfId="0" applyFont="1" applyFill="1" applyAlignment="1">
      <alignment vertical="center"/>
    </xf>
    <xf numFmtId="0" fontId="88" fillId="2" borderId="0" xfId="0" applyFont="1" applyFill="1" applyAlignment="1">
      <alignment vertical="center"/>
    </xf>
    <xf numFmtId="1" fontId="88" fillId="2" borderId="0" xfId="0" applyNumberFormat="1" applyFont="1" applyFill="1" applyAlignment="1">
      <alignment horizontal="right" vertical="center"/>
    </xf>
    <xf numFmtId="0" fontId="30" fillId="2" borderId="0" xfId="0" applyFont="1" applyFill="1" applyAlignment="1">
      <alignment horizontal="center" vertical="center"/>
    </xf>
    <xf numFmtId="0" fontId="113" fillId="2" borderId="0" xfId="0" applyFont="1" applyFill="1" applyAlignment="1">
      <alignment horizontal="center" vertical="center"/>
    </xf>
    <xf numFmtId="0" fontId="30" fillId="0" borderId="0" xfId="0" applyFont="1" applyAlignment="1">
      <alignment horizontal="center" vertical="center"/>
    </xf>
    <xf numFmtId="174" fontId="2" fillId="9" borderId="46" xfId="0" applyNumberFormat="1" applyFont="1" applyFill="1" applyBorder="1" applyAlignment="1">
      <alignment horizontal="center" vertical="center"/>
    </xf>
    <xf numFmtId="0" fontId="92" fillId="0" borderId="0" xfId="0" applyFont="1"/>
    <xf numFmtId="3" fontId="92" fillId="9" borderId="34" xfId="0" applyNumberFormat="1" applyFont="1" applyFill="1" applyBorder="1" applyAlignment="1">
      <alignment horizontal="center" vertical="top"/>
    </xf>
    <xf numFmtId="3" fontId="92" fillId="2" borderId="0" xfId="0" applyNumberFormat="1" applyFont="1" applyFill="1" applyAlignment="1">
      <alignment vertical="top"/>
    </xf>
    <xf numFmtId="0" fontId="92" fillId="9" borderId="0" xfId="0" applyFont="1" applyFill="1"/>
    <xf numFmtId="0" fontId="92" fillId="9" borderId="0" xfId="0" applyFont="1" applyFill="1" applyAlignment="1">
      <alignment vertical="top"/>
    </xf>
    <xf numFmtId="0" fontId="92" fillId="9" borderId="0" xfId="0" applyFont="1" applyFill="1" applyAlignment="1">
      <alignment horizontal="left"/>
    </xf>
    <xf numFmtId="0" fontId="92" fillId="9" borderId="0" xfId="0" applyFont="1" applyFill="1" applyAlignment="1">
      <alignment horizontal="left" vertical="top"/>
    </xf>
    <xf numFmtId="3" fontId="92" fillId="9" borderId="0" xfId="0" applyNumberFormat="1" applyFont="1" applyFill="1" applyAlignment="1">
      <alignment vertical="top"/>
    </xf>
    <xf numFmtId="3" fontId="92" fillId="9" borderId="33" xfId="0" applyNumberFormat="1" applyFont="1" applyFill="1" applyBorder="1" applyAlignment="1">
      <alignment horizontal="center" vertical="top"/>
    </xf>
    <xf numFmtId="0" fontId="105" fillId="2" borderId="0" xfId="0" applyFont="1" applyFill="1"/>
    <xf numFmtId="0" fontId="105" fillId="2" borderId="34" xfId="0" applyFont="1" applyFill="1" applyBorder="1" applyAlignment="1">
      <alignment vertical="top"/>
    </xf>
    <xf numFmtId="3" fontId="105" fillId="2" borderId="34" xfId="0" applyNumberFormat="1" applyFont="1" applyFill="1" applyBorder="1" applyAlignment="1">
      <alignment horizontal="center"/>
    </xf>
    <xf numFmtId="3" fontId="105" fillId="2" borderId="34" xfId="0" applyNumberFormat="1" applyFont="1" applyFill="1" applyBorder="1"/>
    <xf numFmtId="3" fontId="92" fillId="2" borderId="0" xfId="0" applyNumberFormat="1" applyFont="1" applyFill="1"/>
    <xf numFmtId="0" fontId="114" fillId="2" borderId="0" xfId="0" applyFont="1" applyFill="1"/>
    <xf numFmtId="0" fontId="114" fillId="2" borderId="0" xfId="0" applyFont="1" applyFill="1" applyAlignment="1">
      <alignment vertical="top"/>
    </xf>
    <xf numFmtId="9" fontId="114" fillId="2" borderId="0" xfId="1" applyFont="1" applyFill="1"/>
    <xf numFmtId="9" fontId="114" fillId="2" borderId="0" xfId="1" applyFont="1" applyFill="1" applyAlignment="1">
      <alignment vertical="top"/>
    </xf>
    <xf numFmtId="0" fontId="114" fillId="2" borderId="33" xfId="0" applyFont="1" applyFill="1" applyBorder="1" applyAlignment="1">
      <alignment vertical="top"/>
    </xf>
    <xf numFmtId="0" fontId="105" fillId="2" borderId="33" xfId="0" applyFont="1" applyFill="1" applyBorder="1" applyAlignment="1">
      <alignment vertical="top"/>
    </xf>
    <xf numFmtId="0" fontId="92" fillId="2" borderId="2" xfId="0" applyFont="1" applyFill="1" applyBorder="1" applyAlignment="1">
      <alignment vertical="top"/>
    </xf>
    <xf numFmtId="0" fontId="92" fillId="0" borderId="2" xfId="0" applyFont="1" applyBorder="1"/>
    <xf numFmtId="3" fontId="105" fillId="2" borderId="2" xfId="0" applyNumberFormat="1" applyFont="1" applyFill="1" applyBorder="1" applyAlignment="1">
      <alignment vertical="top"/>
    </xf>
    <xf numFmtId="165" fontId="92" fillId="2" borderId="0" xfId="0" applyNumberFormat="1" applyFont="1" applyFill="1" applyAlignment="1">
      <alignment vertical="top"/>
    </xf>
    <xf numFmtId="0" fontId="92" fillId="2" borderId="22" xfId="0" applyFont="1" applyFill="1" applyBorder="1" applyAlignment="1">
      <alignment vertical="top"/>
    </xf>
    <xf numFmtId="165" fontId="92" fillId="2" borderId="22" xfId="0" applyNumberFormat="1" applyFont="1" applyFill="1" applyBorder="1" applyAlignment="1">
      <alignment vertical="top"/>
    </xf>
    <xf numFmtId="3" fontId="92" fillId="2" borderId="22" xfId="0" applyNumberFormat="1" applyFont="1" applyFill="1" applyBorder="1" applyAlignment="1">
      <alignment vertical="top"/>
    </xf>
    <xf numFmtId="3" fontId="92" fillId="2" borderId="0" xfId="0" applyNumberFormat="1" applyFont="1" applyFill="1" applyAlignment="1">
      <alignment horizontal="right" vertical="top"/>
    </xf>
    <xf numFmtId="3" fontId="92" fillId="2" borderId="0" xfId="1" applyNumberFormat="1" applyFont="1" applyFill="1"/>
    <xf numFmtId="165" fontId="114" fillId="2" borderId="0" xfId="0" applyNumberFormat="1" applyFont="1" applyFill="1" applyAlignment="1">
      <alignment vertical="top"/>
    </xf>
    <xf numFmtId="3" fontId="114" fillId="2" borderId="0" xfId="0" applyNumberFormat="1" applyFont="1" applyFill="1" applyAlignment="1">
      <alignment vertical="top"/>
    </xf>
    <xf numFmtId="3" fontId="114" fillId="2" borderId="0" xfId="0" applyNumberFormat="1" applyFont="1" applyFill="1" applyAlignment="1">
      <alignment horizontal="center" vertical="top"/>
    </xf>
    <xf numFmtId="0" fontId="114" fillId="2" borderId="22" xfId="0" applyFont="1" applyFill="1" applyBorder="1" applyAlignment="1">
      <alignment vertical="top"/>
    </xf>
    <xf numFmtId="165" fontId="114" fillId="2" borderId="22" xfId="0" applyNumberFormat="1" applyFont="1" applyFill="1" applyBorder="1" applyAlignment="1">
      <alignment vertical="top"/>
    </xf>
    <xf numFmtId="3" fontId="114" fillId="2" borderId="22" xfId="0" applyNumberFormat="1" applyFont="1" applyFill="1" applyBorder="1" applyAlignment="1">
      <alignment vertical="top"/>
    </xf>
    <xf numFmtId="3" fontId="114" fillId="2" borderId="22" xfId="0" applyNumberFormat="1" applyFont="1" applyFill="1" applyBorder="1" applyAlignment="1">
      <alignment horizontal="center" vertical="top"/>
    </xf>
    <xf numFmtId="165" fontId="92" fillId="2" borderId="2" xfId="0" applyNumberFormat="1" applyFont="1" applyFill="1" applyBorder="1" applyAlignment="1">
      <alignment vertical="top"/>
    </xf>
    <xf numFmtId="3" fontId="92" fillId="2" borderId="2" xfId="0" applyNumberFormat="1" applyFont="1" applyFill="1" applyBorder="1" applyAlignment="1">
      <alignment vertical="top"/>
    </xf>
    <xf numFmtId="0" fontId="115" fillId="2" borderId="33" xfId="0" applyFont="1" applyFill="1" applyBorder="1" applyAlignment="1">
      <alignment vertical="top"/>
    </xf>
    <xf numFmtId="0" fontId="92" fillId="2" borderId="33" xfId="0" applyFont="1" applyFill="1" applyBorder="1" applyAlignment="1">
      <alignment vertical="top"/>
    </xf>
    <xf numFmtId="166" fontId="116" fillId="2" borderId="0" xfId="0" applyNumberFormat="1" applyFont="1" applyFill="1" applyAlignment="1">
      <alignment horizontal="right" vertical="top"/>
    </xf>
    <xf numFmtId="166" fontId="92" fillId="2" borderId="0" xfId="0" applyNumberFormat="1" applyFont="1" applyFill="1" applyAlignment="1">
      <alignment vertical="top"/>
    </xf>
    <xf numFmtId="165" fontId="92" fillId="2" borderId="0" xfId="0" applyNumberFormat="1" applyFont="1" applyFill="1"/>
    <xf numFmtId="3" fontId="115" fillId="2" borderId="0" xfId="0" applyNumberFormat="1" applyFont="1" applyFill="1" applyAlignment="1">
      <alignment vertical="top"/>
    </xf>
    <xf numFmtId="0" fontId="115" fillId="2" borderId="0" xfId="0" applyFont="1" applyFill="1" applyAlignment="1">
      <alignment vertical="top"/>
    </xf>
    <xf numFmtId="0" fontId="117" fillId="2" borderId="0" xfId="0" applyFont="1" applyFill="1" applyAlignment="1">
      <alignment vertical="top"/>
    </xf>
    <xf numFmtId="3" fontId="105" fillId="2" borderId="0" xfId="1" applyNumberFormat="1" applyFont="1" applyFill="1"/>
    <xf numFmtId="3" fontId="117" fillId="2" borderId="0" xfId="0" applyNumberFormat="1" applyFont="1" applyFill="1" applyAlignment="1">
      <alignment vertical="top"/>
    </xf>
    <xf numFmtId="9" fontId="92" fillId="2" borderId="0" xfId="1" applyFont="1" applyFill="1" applyAlignment="1">
      <alignment horizontal="right" vertical="top"/>
    </xf>
    <xf numFmtId="0" fontId="92" fillId="2" borderId="3" xfId="0" applyFont="1" applyFill="1" applyBorder="1" applyAlignment="1">
      <alignment vertical="top"/>
    </xf>
    <xf numFmtId="3" fontId="92" fillId="2" borderId="3" xfId="0" applyNumberFormat="1" applyFont="1" applyFill="1" applyBorder="1" applyAlignment="1">
      <alignment vertical="top"/>
    </xf>
    <xf numFmtId="0" fontId="92" fillId="13" borderId="111" xfId="0" applyFont="1" applyFill="1" applyBorder="1" applyAlignment="1">
      <alignment vertical="top"/>
    </xf>
    <xf numFmtId="3" fontId="92" fillId="13" borderId="111" xfId="0" applyNumberFormat="1" applyFont="1" applyFill="1" applyBorder="1" applyAlignment="1">
      <alignment vertical="top"/>
    </xf>
    <xf numFmtId="3" fontId="30" fillId="2" borderId="0" xfId="0" applyNumberFormat="1" applyFont="1" applyFill="1" applyAlignment="1">
      <alignment horizontal="right"/>
    </xf>
    <xf numFmtId="174" fontId="113" fillId="2" borderId="0" xfId="0" applyNumberFormat="1" applyFont="1" applyFill="1"/>
    <xf numFmtId="172" fontId="118" fillId="2" borderId="0" xfId="0" applyNumberFormat="1" applyFont="1" applyFill="1" applyAlignment="1">
      <alignment horizontal="center"/>
    </xf>
    <xf numFmtId="0" fontId="119" fillId="0" borderId="0" xfId="0" applyFont="1"/>
    <xf numFmtId="49" fontId="2" fillId="2" borderId="1" xfId="0" applyNumberFormat="1" applyFont="1" applyFill="1" applyBorder="1" applyAlignment="1">
      <alignment horizontal="left"/>
    </xf>
    <xf numFmtId="174" fontId="2" fillId="2" borderId="1" xfId="0" applyNumberFormat="1" applyFont="1" applyFill="1" applyBorder="1" applyAlignment="1">
      <alignment horizontal="right"/>
    </xf>
    <xf numFmtId="49" fontId="24" fillId="2" borderId="2" xfId="0" applyNumberFormat="1" applyFont="1" applyFill="1" applyBorder="1" applyAlignment="1">
      <alignment horizontal="left"/>
    </xf>
    <xf numFmtId="3" fontId="1" fillId="2" borderId="2" xfId="0" applyNumberFormat="1" applyFont="1" applyFill="1" applyBorder="1" applyAlignment="1">
      <alignment horizontal="left"/>
    </xf>
    <xf numFmtId="174" fontId="1" fillId="2" borderId="2" xfId="0" applyNumberFormat="1" applyFont="1" applyFill="1" applyBorder="1" applyAlignment="1">
      <alignment horizontal="center"/>
    </xf>
    <xf numFmtId="49" fontId="120" fillId="2" borderId="3" xfId="0" applyNumberFormat="1" applyFont="1" applyFill="1" applyBorder="1" applyAlignment="1">
      <alignment horizontal="left"/>
    </xf>
    <xf numFmtId="0" fontId="102" fillId="2" borderId="3" xfId="0" applyFont="1" applyFill="1" applyBorder="1" applyAlignment="1">
      <alignment horizontal="left"/>
    </xf>
    <xf numFmtId="3" fontId="102" fillId="2" borderId="3" xfId="0" applyNumberFormat="1" applyFont="1" applyFill="1" applyBorder="1" applyAlignment="1">
      <alignment horizontal="left"/>
    </xf>
    <xf numFmtId="170" fontId="102" fillId="2" borderId="3" xfId="0" applyNumberFormat="1" applyFont="1" applyFill="1" applyBorder="1" applyAlignment="1">
      <alignment horizontal="center"/>
    </xf>
    <xf numFmtId="174" fontId="102" fillId="2" borderId="3" xfId="0" applyNumberFormat="1" applyFont="1" applyFill="1" applyBorder="1" applyAlignment="1">
      <alignment horizontal="right"/>
    </xf>
    <xf numFmtId="0" fontId="70" fillId="2" borderId="0" xfId="0" applyFont="1" applyFill="1" applyAlignment="1">
      <alignment horizontal="right"/>
    </xf>
    <xf numFmtId="0" fontId="30" fillId="4" borderId="0" xfId="0" applyFont="1" applyFill="1" applyAlignment="1">
      <alignment horizontal="right"/>
    </xf>
    <xf numFmtId="0" fontId="30" fillId="2" borderId="0" xfId="0" applyFont="1" applyFill="1" applyAlignment="1">
      <alignment horizontal="right"/>
    </xf>
    <xf numFmtId="0" fontId="30" fillId="2" borderId="0" xfId="0" applyFont="1" applyFill="1" applyAlignment="1">
      <alignment horizontal="right" vertical="top"/>
    </xf>
    <xf numFmtId="0" fontId="88" fillId="2" borderId="0" xfId="0" applyFont="1" applyFill="1" applyAlignment="1">
      <alignment horizontal="right"/>
    </xf>
    <xf numFmtId="0" fontId="30" fillId="2" borderId="0" xfId="0" applyFont="1" applyFill="1" applyAlignment="1">
      <alignment horizontal="right" vertical="center"/>
    </xf>
    <xf numFmtId="0" fontId="113" fillId="2" borderId="0" xfId="0" applyFont="1" applyFill="1" applyAlignment="1">
      <alignment horizontal="right"/>
    </xf>
    <xf numFmtId="0" fontId="30" fillId="0" borderId="0" xfId="0" applyFont="1" applyAlignment="1">
      <alignment horizontal="right"/>
    </xf>
    <xf numFmtId="0" fontId="30" fillId="2" borderId="0" xfId="0" applyFont="1" applyFill="1" applyAlignment="1">
      <alignment horizontal="center" vertical="top"/>
    </xf>
    <xf numFmtId="0" fontId="121" fillId="0" borderId="112" xfId="0" applyFont="1" applyBorder="1" applyAlignment="1">
      <alignment horizontal="center" vertical="center" wrapText="1"/>
    </xf>
    <xf numFmtId="0" fontId="121" fillId="0" borderId="116" xfId="0" applyFont="1" applyBorder="1" applyAlignment="1">
      <alignment vertical="center" wrapText="1"/>
    </xf>
    <xf numFmtId="0" fontId="121" fillId="0" borderId="86" xfId="0" applyFont="1" applyBorder="1" applyAlignment="1">
      <alignment horizontal="justify" vertical="center" wrapText="1"/>
    </xf>
    <xf numFmtId="0" fontId="121" fillId="0" borderId="113" xfId="0" applyFont="1" applyBorder="1" applyAlignment="1">
      <alignment vertical="center" wrapText="1"/>
    </xf>
    <xf numFmtId="0" fontId="122" fillId="0" borderId="115" xfId="0" applyFont="1" applyBorder="1" applyAlignment="1">
      <alignment vertical="center" wrapText="1"/>
    </xf>
    <xf numFmtId="0" fontId="121" fillId="0" borderId="112" xfId="0" applyFont="1" applyBorder="1" applyAlignment="1">
      <alignment vertical="center" wrapText="1"/>
    </xf>
    <xf numFmtId="0" fontId="122" fillId="0" borderId="114" xfId="0" applyFont="1" applyBorder="1" applyAlignment="1">
      <alignment vertical="center" wrapText="1"/>
    </xf>
    <xf numFmtId="0" fontId="20" fillId="0" borderId="114" xfId="2" applyBorder="1" applyAlignment="1" applyProtection="1">
      <alignment vertical="center" wrapText="1"/>
    </xf>
    <xf numFmtId="0" fontId="121" fillId="0" borderId="114" xfId="0" applyFont="1" applyBorder="1" applyAlignment="1">
      <alignment horizontal="center" vertical="center" wrapText="1"/>
    </xf>
    <xf numFmtId="0" fontId="121" fillId="0" borderId="114" xfId="0" applyFont="1" applyBorder="1" applyAlignment="1">
      <alignment horizontal="justify" vertical="center" wrapText="1"/>
    </xf>
    <xf numFmtId="0" fontId="122" fillId="0" borderId="86" xfId="0" applyFont="1" applyBorder="1" applyAlignment="1">
      <alignment vertical="center" wrapText="1"/>
    </xf>
    <xf numFmtId="0" fontId="121" fillId="0" borderId="114" xfId="0" applyFont="1" applyBorder="1" applyAlignment="1">
      <alignment vertical="center" wrapText="1"/>
    </xf>
    <xf numFmtId="49" fontId="121" fillId="0" borderId="112" xfId="0" applyNumberFormat="1" applyFont="1" applyBorder="1" applyAlignment="1">
      <alignment horizontal="center" vertical="center" wrapText="1"/>
    </xf>
    <xf numFmtId="49" fontId="121" fillId="0" borderId="113" xfId="0" applyNumberFormat="1" applyFont="1" applyBorder="1" applyAlignment="1">
      <alignment horizontal="center" vertical="center" wrapText="1"/>
    </xf>
    <xf numFmtId="49" fontId="0" fillId="0" borderId="0" xfId="0" applyNumberFormat="1" applyAlignment="1">
      <alignment horizontal="center" vertical="center"/>
    </xf>
    <xf numFmtId="0" fontId="8" fillId="2" borderId="118" xfId="0" applyFont="1" applyFill="1" applyBorder="1" applyAlignment="1">
      <alignment wrapText="1"/>
    </xf>
    <xf numFmtId="0" fontId="4" fillId="2" borderId="0" xfId="0" applyFont="1" applyFill="1" applyAlignment="1">
      <alignment horizontal="center" vertical="center" wrapText="1"/>
    </xf>
    <xf numFmtId="0" fontId="82" fillId="0" borderId="0" xfId="0" applyFont="1"/>
    <xf numFmtId="0" fontId="87" fillId="0" borderId="0" xfId="0" applyFont="1"/>
    <xf numFmtId="0" fontId="4" fillId="2" borderId="1" xfId="0" applyFont="1" applyFill="1" applyBorder="1" applyAlignment="1">
      <alignment horizontal="center" vertical="center"/>
    </xf>
    <xf numFmtId="0" fontId="2" fillId="14" borderId="119" xfId="0" applyFont="1" applyFill="1" applyBorder="1" applyAlignment="1">
      <alignment vertical="center" wrapText="1"/>
    </xf>
    <xf numFmtId="0" fontId="82" fillId="2" borderId="0" xfId="0" applyFont="1" applyFill="1" applyAlignment="1">
      <alignment wrapText="1"/>
    </xf>
    <xf numFmtId="0" fontId="4" fillId="14" borderId="119" xfId="0" applyFont="1" applyFill="1" applyBorder="1" applyAlignment="1">
      <alignment vertical="center" wrapText="1"/>
    </xf>
    <xf numFmtId="0" fontId="4" fillId="14" borderId="119" xfId="0" applyFont="1" applyFill="1" applyBorder="1" applyAlignment="1">
      <alignment vertical="center"/>
    </xf>
    <xf numFmtId="0" fontId="8" fillId="2" borderId="0" xfId="0" applyFont="1" applyFill="1" applyAlignment="1">
      <alignment horizontal="left" vertical="center" wrapText="1"/>
    </xf>
    <xf numFmtId="0" fontId="82" fillId="2" borderId="0" xfId="0" applyFont="1" applyFill="1" applyAlignment="1">
      <alignment vertical="center" wrapText="1"/>
    </xf>
    <xf numFmtId="170" fontId="82" fillId="2" borderId="0" xfId="0" applyNumberFormat="1" applyFont="1" applyFill="1" applyAlignment="1">
      <alignment horizontal="right" vertical="center"/>
    </xf>
    <xf numFmtId="170" fontId="82" fillId="2" borderId="52" xfId="0" applyNumberFormat="1" applyFont="1" applyFill="1" applyBorder="1" applyAlignment="1">
      <alignment horizontal="right" vertical="center"/>
    </xf>
    <xf numFmtId="170" fontId="82" fillId="2" borderId="53" xfId="0" applyNumberFormat="1" applyFont="1" applyFill="1" applyBorder="1" applyAlignment="1">
      <alignment horizontal="right" vertical="center"/>
    </xf>
    <xf numFmtId="0" fontId="8" fillId="15" borderId="3" xfId="0" applyFont="1" applyFill="1" applyBorder="1" applyAlignment="1">
      <alignment horizontal="left" vertical="center" wrapText="1"/>
    </xf>
    <xf numFmtId="0" fontId="82" fillId="15" borderId="3" xfId="0" applyFont="1" applyFill="1" applyBorder="1" applyAlignment="1">
      <alignment vertical="center" wrapText="1"/>
    </xf>
    <xf numFmtId="170" fontId="82" fillId="15" borderId="3" xfId="0" applyNumberFormat="1" applyFont="1" applyFill="1" applyBorder="1" applyAlignment="1">
      <alignment horizontal="right" vertical="center"/>
    </xf>
    <xf numFmtId="0" fontId="8" fillId="15" borderId="22" xfId="0" applyFont="1" applyFill="1" applyBorder="1" applyAlignment="1">
      <alignment horizontal="left" vertical="center" wrapText="1"/>
    </xf>
    <xf numFmtId="0" fontId="82" fillId="15" borderId="22" xfId="0" applyFont="1" applyFill="1" applyBorder="1" applyAlignment="1">
      <alignment vertical="center" wrapText="1"/>
    </xf>
    <xf numFmtId="170" fontId="82" fillId="15" borderId="22" xfId="0" applyNumberFormat="1" applyFont="1" applyFill="1" applyBorder="1" applyAlignment="1">
      <alignment horizontal="right" vertical="center"/>
    </xf>
    <xf numFmtId="0" fontId="8" fillId="2" borderId="122" xfId="0" applyFont="1" applyFill="1" applyBorder="1" applyAlignment="1">
      <alignment horizontal="left" vertical="center" wrapText="1"/>
    </xf>
    <xf numFmtId="0" fontId="82" fillId="2" borderId="122" xfId="0" applyFont="1" applyFill="1" applyBorder="1" applyAlignment="1">
      <alignment vertical="center" wrapText="1"/>
    </xf>
    <xf numFmtId="170" fontId="82" fillId="2" borderId="122" xfId="0" applyNumberFormat="1" applyFont="1" applyFill="1" applyBorder="1" applyAlignment="1">
      <alignment horizontal="right" vertical="center"/>
    </xf>
    <xf numFmtId="0" fontId="8" fillId="15" borderId="125" xfId="0" applyFont="1" applyFill="1" applyBorder="1" applyAlignment="1">
      <alignment horizontal="left" vertical="center" wrapText="1"/>
    </xf>
    <xf numFmtId="0" fontId="82" fillId="15" borderId="125" xfId="0" applyFont="1" applyFill="1" applyBorder="1" applyAlignment="1">
      <alignment vertical="center" wrapText="1"/>
    </xf>
    <xf numFmtId="170" fontId="82" fillId="15" borderId="125" xfId="0" applyNumberFormat="1" applyFont="1" applyFill="1" applyBorder="1" applyAlignment="1">
      <alignment horizontal="right" vertical="center"/>
    </xf>
    <xf numFmtId="0" fontId="1" fillId="2" borderId="128" xfId="0" applyFont="1" applyFill="1" applyBorder="1"/>
    <xf numFmtId="170" fontId="1" fillId="2" borderId="128" xfId="0" applyNumberFormat="1" applyFont="1" applyFill="1" applyBorder="1" applyAlignment="1">
      <alignment horizontal="center"/>
    </xf>
    <xf numFmtId="0" fontId="1" fillId="2" borderId="129" xfId="0" applyFont="1" applyFill="1" applyBorder="1"/>
    <xf numFmtId="170" fontId="1" fillId="2" borderId="129" xfId="0" applyNumberFormat="1" applyFont="1" applyFill="1" applyBorder="1" applyAlignment="1">
      <alignment horizontal="center"/>
    </xf>
    <xf numFmtId="3" fontId="64" fillId="2" borderId="0" xfId="0" applyNumberFormat="1" applyFont="1" applyFill="1"/>
    <xf numFmtId="0" fontId="1" fillId="19" borderId="0" xfId="0" applyFont="1" applyFill="1" applyAlignment="1">
      <alignment horizontal="left"/>
    </xf>
    <xf numFmtId="0" fontId="121" fillId="13" borderId="112" xfId="0" applyFont="1" applyFill="1" applyBorder="1" applyAlignment="1">
      <alignment vertical="center" wrapText="1"/>
    </xf>
    <xf numFmtId="0" fontId="122" fillId="13" borderId="114" xfId="0" applyFont="1" applyFill="1" applyBorder="1" applyAlignment="1">
      <alignment vertical="center" wrapText="1"/>
    </xf>
    <xf numFmtId="0" fontId="4" fillId="20" borderId="119" xfId="0" applyFont="1" applyFill="1" applyBorder="1" applyAlignment="1">
      <alignment vertical="center" wrapText="1"/>
    </xf>
    <xf numFmtId="4" fontId="4" fillId="20" borderId="119" xfId="0" applyNumberFormat="1" applyFont="1" applyFill="1" applyBorder="1" applyAlignment="1">
      <alignment vertical="center"/>
    </xf>
    <xf numFmtId="0" fontId="121" fillId="13" borderId="116" xfId="0" applyFont="1" applyFill="1" applyBorder="1" applyAlignment="1">
      <alignment vertical="center" wrapText="1"/>
    </xf>
    <xf numFmtId="0" fontId="122" fillId="13" borderId="86" xfId="0" applyFont="1" applyFill="1" applyBorder="1" applyAlignment="1">
      <alignment vertical="center" wrapText="1"/>
    </xf>
    <xf numFmtId="166" fontId="47" fillId="0" borderId="0" xfId="1" applyNumberFormat="1" applyFont="1"/>
    <xf numFmtId="166" fontId="114" fillId="2" borderId="0" xfId="0" applyNumberFormat="1" applyFont="1" applyFill="1" applyAlignment="1">
      <alignment vertical="top"/>
    </xf>
    <xf numFmtId="166" fontId="114" fillId="2" borderId="0" xfId="0" applyNumberFormat="1" applyFont="1" applyFill="1" applyAlignment="1">
      <alignment horizontal="center" vertical="top"/>
    </xf>
    <xf numFmtId="166" fontId="114" fillId="2" borderId="22" xfId="0" applyNumberFormat="1" applyFont="1" applyFill="1" applyBorder="1" applyAlignment="1">
      <alignment vertical="top"/>
    </xf>
    <xf numFmtId="166" fontId="114" fillId="2" borderId="22" xfId="0" applyNumberFormat="1" applyFont="1" applyFill="1" applyBorder="1" applyAlignment="1">
      <alignment horizontal="center" vertical="top"/>
    </xf>
    <xf numFmtId="166" fontId="92" fillId="2" borderId="2" xfId="0" applyNumberFormat="1" applyFont="1" applyFill="1" applyBorder="1" applyAlignment="1">
      <alignment vertical="top"/>
    </xf>
    <xf numFmtId="0" fontId="8" fillId="2" borderId="90" xfId="0" applyFont="1" applyFill="1" applyBorder="1" applyAlignment="1">
      <alignment wrapText="1"/>
    </xf>
    <xf numFmtId="170" fontId="82" fillId="2" borderId="90" xfId="0" applyNumberFormat="1" applyFont="1" applyFill="1" applyBorder="1" applyAlignment="1">
      <alignment horizontal="center" vertical="top"/>
    </xf>
    <xf numFmtId="9" fontId="48" fillId="2" borderId="0" xfId="0" applyNumberFormat="1" applyFont="1" applyFill="1"/>
    <xf numFmtId="165" fontId="48" fillId="2" borderId="0" xfId="0" applyNumberFormat="1" applyFont="1" applyFill="1" applyAlignment="1">
      <alignment horizontal="center"/>
    </xf>
    <xf numFmtId="170" fontId="82" fillId="2" borderId="1" xfId="0" applyNumberFormat="1" applyFont="1" applyFill="1" applyBorder="1" applyAlignment="1">
      <alignment horizontal="center" vertical="top"/>
    </xf>
    <xf numFmtId="0" fontId="114" fillId="4" borderId="0" xfId="0" applyFont="1" applyFill="1" applyAlignment="1">
      <alignment wrapText="1"/>
    </xf>
    <xf numFmtId="170" fontId="125" fillId="4" borderId="0" xfId="0" applyNumberFormat="1" applyFont="1" applyFill="1" applyAlignment="1">
      <alignment horizontal="right" vertical="top"/>
    </xf>
    <xf numFmtId="0" fontId="114" fillId="4" borderId="22" xfId="0" applyFont="1" applyFill="1" applyBorder="1" applyAlignment="1">
      <alignment wrapText="1"/>
    </xf>
    <xf numFmtId="170" fontId="125" fillId="4" borderId="22" xfId="0" applyNumberFormat="1" applyFont="1" applyFill="1" applyBorder="1" applyAlignment="1">
      <alignment horizontal="right" vertical="top"/>
    </xf>
    <xf numFmtId="170" fontId="125" fillId="4" borderId="22" xfId="0" applyNumberFormat="1" applyFont="1" applyFill="1" applyBorder="1" applyAlignment="1">
      <alignment horizontal="center" vertical="top"/>
    </xf>
    <xf numFmtId="0" fontId="50" fillId="4" borderId="0" xfId="0" applyFont="1" applyFill="1" applyAlignment="1">
      <alignment vertical="top"/>
    </xf>
    <xf numFmtId="3" fontId="51" fillId="4" borderId="0" xfId="0" applyNumberFormat="1" applyFont="1" applyFill="1" applyAlignment="1">
      <alignment horizontal="right" vertical="top"/>
    </xf>
    <xf numFmtId="3" fontId="51" fillId="4" borderId="0" xfId="0" applyNumberFormat="1" applyFont="1" applyFill="1" applyAlignment="1">
      <alignment vertical="top"/>
    </xf>
    <xf numFmtId="9" fontId="51" fillId="4" borderId="0" xfId="0" applyNumberFormat="1" applyFont="1" applyFill="1"/>
    <xf numFmtId="165" fontId="51" fillId="4" borderId="0" xfId="0" applyNumberFormat="1" applyFont="1" applyFill="1" applyAlignment="1">
      <alignment horizontal="center"/>
    </xf>
    <xf numFmtId="0" fontId="105" fillId="14" borderId="0" xfId="0" applyFont="1" applyFill="1" applyAlignment="1">
      <alignment horizontal="center" vertical="center" wrapText="1"/>
    </xf>
    <xf numFmtId="0" fontId="8" fillId="2" borderId="130" xfId="0" applyFont="1" applyFill="1" applyBorder="1" applyAlignment="1">
      <alignment wrapText="1"/>
    </xf>
    <xf numFmtId="170" fontId="82" fillId="2" borderId="130" xfId="0" applyNumberFormat="1" applyFont="1" applyFill="1" applyBorder="1" applyAlignment="1">
      <alignment horizontal="right" vertical="top"/>
    </xf>
    <xf numFmtId="0" fontId="8" fillId="2" borderId="133" xfId="0" applyFont="1" applyFill="1" applyBorder="1" applyAlignment="1">
      <alignment wrapText="1"/>
    </xf>
    <xf numFmtId="170" fontId="82" fillId="2" borderId="133" xfId="0" applyNumberFormat="1" applyFont="1" applyFill="1" applyBorder="1" applyAlignment="1">
      <alignment horizontal="right" vertical="top"/>
    </xf>
    <xf numFmtId="0" fontId="8" fillId="2" borderId="136" xfId="0" applyFont="1" applyFill="1" applyBorder="1" applyAlignment="1">
      <alignment wrapText="1"/>
    </xf>
    <xf numFmtId="170" fontId="82" fillId="2" borderId="136" xfId="0" applyNumberFormat="1" applyFont="1" applyFill="1" applyBorder="1" applyAlignment="1">
      <alignment horizontal="right" vertical="top"/>
    </xf>
    <xf numFmtId="0" fontId="4" fillId="2" borderId="2" xfId="0" applyFont="1" applyFill="1" applyBorder="1" applyAlignment="1">
      <alignment horizontal="left" vertical="top" wrapText="1"/>
    </xf>
    <xf numFmtId="166" fontId="82" fillId="2" borderId="2" xfId="0" applyNumberFormat="1" applyFont="1" applyFill="1" applyBorder="1" applyAlignment="1">
      <alignment horizontal="right" vertical="top"/>
    </xf>
    <xf numFmtId="180" fontId="82" fillId="4" borderId="0" xfId="0" applyNumberFormat="1" applyFont="1" applyFill="1" applyAlignment="1">
      <alignment horizontal="right" vertical="top"/>
    </xf>
    <xf numFmtId="180" fontId="82" fillId="2" borderId="0" xfId="0" applyNumberFormat="1" applyFont="1" applyFill="1" applyAlignment="1">
      <alignment horizontal="right" vertical="top"/>
    </xf>
    <xf numFmtId="0" fontId="4" fillId="2" borderId="0" xfId="0" applyFont="1" applyFill="1" applyAlignment="1">
      <alignment vertical="center"/>
    </xf>
    <xf numFmtId="166" fontId="80" fillId="2" borderId="20" xfId="0" applyNumberFormat="1" applyFont="1" applyFill="1" applyBorder="1" applyAlignment="1">
      <alignment horizontal="right" vertical="center"/>
    </xf>
    <xf numFmtId="180" fontId="80" fillId="2" borderId="20" xfId="0" applyNumberFormat="1" applyFont="1" applyFill="1" applyBorder="1" applyAlignment="1">
      <alignment horizontal="right" vertical="center"/>
    </xf>
    <xf numFmtId="180" fontId="80" fillId="2" borderId="2" xfId="0" applyNumberFormat="1" applyFont="1" applyFill="1" applyBorder="1" applyAlignment="1">
      <alignment horizontal="right" vertical="center"/>
    </xf>
    <xf numFmtId="0" fontId="4" fillId="0" borderId="0" xfId="0" applyFont="1" applyAlignment="1">
      <alignment vertical="center"/>
    </xf>
    <xf numFmtId="0" fontId="47" fillId="2" borderId="2" xfId="0" applyFont="1" applyFill="1" applyBorder="1" applyAlignment="1">
      <alignment horizontal="right" vertical="top"/>
    </xf>
    <xf numFmtId="166" fontId="47" fillId="2" borderId="2" xfId="0" applyNumberFormat="1" applyFont="1" applyFill="1" applyBorder="1"/>
    <xf numFmtId="0" fontId="49" fillId="2" borderId="20" xfId="0" applyFont="1" applyFill="1" applyBorder="1" applyAlignment="1">
      <alignment vertical="center"/>
    </xf>
    <xf numFmtId="0" fontId="49" fillId="2" borderId="20" xfId="0" applyFont="1" applyFill="1" applyBorder="1" applyAlignment="1">
      <alignment horizontal="right" vertical="center"/>
    </xf>
    <xf numFmtId="0" fontId="103" fillId="2" borderId="2" xfId="0" applyFont="1" applyFill="1" applyBorder="1" applyAlignment="1">
      <alignment vertical="top"/>
    </xf>
    <xf numFmtId="0" fontId="47" fillId="2" borderId="1" xfId="0" applyFont="1" applyFill="1" applyBorder="1" applyAlignment="1">
      <alignment horizontal="right" vertical="top"/>
    </xf>
    <xf numFmtId="166" fontId="47" fillId="2" borderId="1" xfId="0" applyNumberFormat="1" applyFont="1" applyFill="1" applyBorder="1"/>
    <xf numFmtId="0" fontId="8" fillId="2" borderId="90" xfId="0" applyFont="1" applyFill="1" applyBorder="1" applyAlignment="1">
      <alignment vertical="top" wrapText="1"/>
    </xf>
    <xf numFmtId="0" fontId="4" fillId="2" borderId="20" xfId="0" applyFont="1" applyFill="1" applyBorder="1" applyAlignment="1">
      <alignment horizontal="left" vertical="top" wrapText="1"/>
    </xf>
    <xf numFmtId="170" fontId="80" fillId="2" borderId="20" xfId="0" applyNumberFormat="1" applyFont="1" applyFill="1" applyBorder="1" applyAlignment="1">
      <alignment horizontal="center" vertical="top"/>
    </xf>
    <xf numFmtId="0" fontId="81" fillId="4" borderId="3" xfId="0" applyFont="1" applyFill="1" applyBorder="1" applyAlignment="1">
      <alignment horizontal="left" vertical="center" wrapText="1" indent="2"/>
    </xf>
    <xf numFmtId="170" fontId="85" fillId="4" borderId="3" xfId="0" applyNumberFormat="1" applyFont="1" applyFill="1" applyBorder="1" applyAlignment="1">
      <alignment horizontal="right" vertical="top"/>
    </xf>
    <xf numFmtId="0" fontId="102" fillId="4" borderId="0" xfId="0" applyFont="1" applyFill="1" applyAlignment="1">
      <alignment horizontal="left"/>
    </xf>
    <xf numFmtId="3" fontId="102" fillId="4" borderId="0" xfId="0" applyNumberFormat="1" applyFont="1" applyFill="1" applyAlignment="1">
      <alignment horizontal="left"/>
    </xf>
    <xf numFmtId="175" fontId="102" fillId="4" borderId="0" xfId="0" applyNumberFormat="1" applyFont="1" applyFill="1" applyAlignment="1">
      <alignment horizontal="center"/>
    </xf>
    <xf numFmtId="0" fontId="8" fillId="8" borderId="0" xfId="0" applyFont="1" applyFill="1"/>
    <xf numFmtId="0" fontId="8" fillId="8" borderId="95" xfId="0" applyFont="1" applyFill="1" applyBorder="1" applyAlignment="1">
      <alignment horizontal="left" vertical="center"/>
    </xf>
    <xf numFmtId="0" fontId="82" fillId="8" borderId="95" xfId="0" applyFont="1" applyFill="1" applyBorder="1" applyAlignment="1">
      <alignment vertical="center" wrapText="1"/>
    </xf>
    <xf numFmtId="170" fontId="82" fillId="8" borderId="95" xfId="0" applyNumberFormat="1" applyFont="1" applyFill="1" applyBorder="1" applyAlignment="1">
      <alignment horizontal="right" vertical="center"/>
    </xf>
    <xf numFmtId="49" fontId="8" fillId="2" borderId="0" xfId="0" applyNumberFormat="1" applyFont="1" applyFill="1" applyAlignment="1">
      <alignment horizontal="center" vertical="top"/>
    </xf>
    <xf numFmtId="49" fontId="8" fillId="2" borderId="95" xfId="0" applyNumberFormat="1" applyFont="1" applyFill="1" applyBorder="1" applyAlignment="1">
      <alignment horizontal="center" vertical="top"/>
    </xf>
    <xf numFmtId="49" fontId="8" fillId="2" borderId="76" xfId="0" applyNumberFormat="1" applyFont="1" applyFill="1" applyBorder="1" applyAlignment="1">
      <alignment horizontal="center" vertical="top"/>
    </xf>
    <xf numFmtId="49" fontId="4" fillId="2" borderId="0" xfId="0" applyNumberFormat="1" applyFont="1" applyFill="1" applyAlignment="1">
      <alignment horizontal="center" vertical="center"/>
    </xf>
    <xf numFmtId="0" fontId="8" fillId="2" borderId="95" xfId="0" applyFont="1" applyFill="1" applyBorder="1" applyAlignment="1">
      <alignment vertical="top" wrapText="1"/>
    </xf>
    <xf numFmtId="0" fontId="8" fillId="2" borderId="76" xfId="0" applyFont="1" applyFill="1" applyBorder="1" applyAlignment="1">
      <alignment vertical="top" wrapText="1"/>
    </xf>
    <xf numFmtId="49" fontId="4" fillId="2" borderId="0" xfId="0" applyNumberFormat="1" applyFont="1" applyFill="1" applyAlignment="1">
      <alignment horizontal="center" vertical="top"/>
    </xf>
    <xf numFmtId="0" fontId="4" fillId="2" borderId="2" xfId="0" applyFont="1" applyFill="1" applyBorder="1" applyAlignment="1">
      <alignment horizontal="left" vertical="center" wrapText="1"/>
    </xf>
    <xf numFmtId="49" fontId="82" fillId="4" borderId="140" xfId="0" applyNumberFormat="1" applyFont="1" applyFill="1" applyBorder="1" applyAlignment="1">
      <alignment horizontal="center" vertical="top"/>
    </xf>
    <xf numFmtId="0" fontId="82" fillId="4" borderId="140" xfId="0" applyFont="1" applyFill="1" applyBorder="1" applyAlignment="1">
      <alignment horizontal="left" vertical="top" wrapText="1"/>
    </xf>
    <xf numFmtId="49" fontId="82" fillId="4" borderId="2" xfId="0" applyNumberFormat="1" applyFont="1" applyFill="1" applyBorder="1" applyAlignment="1">
      <alignment horizontal="center" vertical="top"/>
    </xf>
    <xf numFmtId="0" fontId="82" fillId="4" borderId="2" xfId="0" applyFont="1" applyFill="1" applyBorder="1" applyAlignment="1">
      <alignment horizontal="left" vertical="top" wrapText="1"/>
    </xf>
    <xf numFmtId="49" fontId="4" fillId="2" borderId="1" xfId="0" applyNumberFormat="1" applyFont="1" applyFill="1" applyBorder="1" applyAlignment="1">
      <alignment horizontal="center" vertical="top"/>
    </xf>
    <xf numFmtId="49" fontId="8" fillId="2" borderId="2" xfId="0" applyNumberFormat="1" applyFont="1" applyFill="1" applyBorder="1" applyAlignment="1">
      <alignment horizontal="center" vertical="top"/>
    </xf>
    <xf numFmtId="49" fontId="8" fillId="2" borderId="1" xfId="0" applyNumberFormat="1" applyFont="1" applyFill="1" applyBorder="1" applyAlignment="1">
      <alignment horizontal="center" vertical="top"/>
    </xf>
    <xf numFmtId="49" fontId="90" fillId="2" borderId="2" xfId="0" applyNumberFormat="1" applyFont="1" applyFill="1" applyBorder="1" applyAlignment="1">
      <alignment horizontal="center" vertical="top"/>
    </xf>
    <xf numFmtId="175" fontId="1" fillId="4" borderId="0" xfId="0" applyNumberFormat="1" applyFont="1" applyFill="1" applyAlignment="1">
      <alignment horizontal="right"/>
    </xf>
    <xf numFmtId="175" fontId="1" fillId="4" borderId="20" xfId="0" applyNumberFormat="1" applyFont="1" applyFill="1" applyBorder="1" applyAlignment="1">
      <alignment horizontal="right" vertical="center"/>
    </xf>
    <xf numFmtId="49" fontId="24" fillId="4" borderId="140" xfId="0" applyNumberFormat="1" applyFont="1" applyFill="1" applyBorder="1" applyAlignment="1">
      <alignment horizontal="left" vertical="center"/>
    </xf>
    <xf numFmtId="3" fontId="1" fillId="4" borderId="140" xfId="0" applyNumberFormat="1" applyFont="1" applyFill="1" applyBorder="1" applyAlignment="1">
      <alignment horizontal="left" vertical="center"/>
    </xf>
    <xf numFmtId="170" fontId="1" fillId="4" borderId="140" xfId="0" applyNumberFormat="1" applyFont="1" applyFill="1" applyBorder="1" applyAlignment="1">
      <alignment horizontal="center" vertical="center"/>
    </xf>
    <xf numFmtId="49" fontId="1" fillId="4" borderId="143" xfId="0" applyNumberFormat="1" applyFont="1" applyFill="1" applyBorder="1"/>
    <xf numFmtId="0" fontId="1" fillId="4" borderId="143" xfId="0" applyFont="1" applyFill="1" applyBorder="1"/>
    <xf numFmtId="3" fontId="1" fillId="4" borderId="143" xfId="0" applyNumberFormat="1" applyFont="1" applyFill="1" applyBorder="1"/>
    <xf numFmtId="170" fontId="1" fillId="4" borderId="143" xfId="0" applyNumberFormat="1" applyFont="1" applyFill="1" applyBorder="1"/>
    <xf numFmtId="0" fontId="95" fillId="2" borderId="0" xfId="0" applyFont="1" applyFill="1" applyAlignment="1">
      <alignment horizontal="center" vertical="center" wrapText="1"/>
    </xf>
    <xf numFmtId="49" fontId="83" fillId="2" borderId="0" xfId="0" applyNumberFormat="1" applyFont="1" applyFill="1"/>
    <xf numFmtId="0" fontId="119" fillId="0" borderId="74" xfId="0" applyFont="1" applyBorder="1" applyAlignment="1">
      <alignment horizontal="center" vertical="center" wrapText="1"/>
    </xf>
    <xf numFmtId="0" fontId="132" fillId="0" borderId="74" xfId="0" applyFont="1" applyBorder="1" applyAlignment="1">
      <alignment horizontal="justify" vertical="center" wrapText="1"/>
    </xf>
    <xf numFmtId="0" fontId="119" fillId="0" borderId="74" xfId="0" applyFont="1" applyBorder="1" applyAlignment="1">
      <alignment vertical="center" wrapText="1"/>
    </xf>
    <xf numFmtId="167" fontId="132" fillId="0" borderId="74" xfId="0" applyNumberFormat="1" applyFont="1" applyBorder="1" applyAlignment="1">
      <alignment horizontal="center" vertical="center" wrapText="1"/>
    </xf>
    <xf numFmtId="167" fontId="119" fillId="0" borderId="74" xfId="0" applyNumberFormat="1" applyFont="1" applyBorder="1" applyAlignment="1">
      <alignment horizontal="center" vertical="center" wrapText="1"/>
    </xf>
    <xf numFmtId="4" fontId="8" fillId="2" borderId="0" xfId="0" applyNumberFormat="1" applyFont="1" applyFill="1" applyAlignment="1">
      <alignment horizontal="center"/>
    </xf>
    <xf numFmtId="4" fontId="4" fillId="14" borderId="119" xfId="0" applyNumberFormat="1" applyFont="1" applyFill="1" applyBorder="1" applyAlignment="1">
      <alignment horizontal="center" vertical="center"/>
    </xf>
    <xf numFmtId="4" fontId="4" fillId="20" borderId="119" xfId="0" applyNumberFormat="1" applyFont="1" applyFill="1" applyBorder="1" applyAlignment="1">
      <alignment horizontal="center" vertical="center"/>
    </xf>
    <xf numFmtId="4" fontId="8" fillId="2" borderId="0" xfId="0" applyNumberFormat="1" applyFont="1" applyFill="1" applyAlignment="1">
      <alignment horizontal="center" vertical="center"/>
    </xf>
    <xf numFmtId="4" fontId="8" fillId="2" borderId="1" xfId="0" applyNumberFormat="1" applyFont="1" applyFill="1" applyBorder="1" applyAlignment="1">
      <alignment horizontal="center" vertical="center"/>
    </xf>
    <xf numFmtId="4" fontId="87" fillId="2" borderId="1" xfId="0" applyNumberFormat="1" applyFont="1" applyFill="1" applyBorder="1" applyAlignment="1">
      <alignment horizontal="center" vertical="center"/>
    </xf>
    <xf numFmtId="0" fontId="81" fillId="2" borderId="0" xfId="0" applyFont="1" applyFill="1" applyAlignment="1">
      <alignment horizontal="center" vertical="center" wrapText="1"/>
    </xf>
    <xf numFmtId="170" fontId="8" fillId="2" borderId="0" xfId="0" applyNumberFormat="1" applyFont="1" applyFill="1" applyAlignment="1">
      <alignment horizontal="center" vertical="center"/>
    </xf>
    <xf numFmtId="1" fontId="8" fillId="2" borderId="118" xfId="0" applyNumberFormat="1" applyFont="1" applyFill="1" applyBorder="1" applyAlignment="1">
      <alignment horizontal="center" vertical="center"/>
    </xf>
    <xf numFmtId="1" fontId="8" fillId="2" borderId="0" xfId="0" applyNumberFormat="1" applyFont="1" applyFill="1" applyAlignment="1">
      <alignment horizontal="center" vertical="center"/>
    </xf>
    <xf numFmtId="0" fontId="8" fillId="2" borderId="111" xfId="0" applyFont="1" applyFill="1" applyBorder="1"/>
    <xf numFmtId="0" fontId="8" fillId="2" borderId="1" xfId="0" applyFont="1" applyFill="1" applyBorder="1" applyAlignment="1">
      <alignment horizontal="center" vertical="center"/>
    </xf>
    <xf numFmtId="0" fontId="8" fillId="2" borderId="111" xfId="0" applyFont="1" applyFill="1" applyBorder="1" applyAlignment="1">
      <alignment horizontal="center" vertical="center"/>
    </xf>
    <xf numFmtId="0" fontId="8" fillId="2" borderId="53" xfId="0" applyFont="1" applyFill="1" applyBorder="1"/>
    <xf numFmtId="1" fontId="8" fillId="2" borderId="50" xfId="0" applyNumberFormat="1" applyFont="1" applyFill="1" applyBorder="1" applyAlignment="1">
      <alignment horizontal="center" vertical="center"/>
    </xf>
    <xf numFmtId="170" fontId="82" fillId="2" borderId="0" xfId="0" applyNumberFormat="1" applyFont="1" applyFill="1" applyAlignment="1">
      <alignment horizontal="center" vertical="center"/>
    </xf>
    <xf numFmtId="170" fontId="82" fillId="2" borderId="66" xfId="0" applyNumberFormat="1" applyFont="1" applyFill="1" applyBorder="1" applyAlignment="1">
      <alignment horizontal="center" vertical="top"/>
    </xf>
    <xf numFmtId="170" fontId="82" fillId="2" borderId="92" xfId="0" applyNumberFormat="1" applyFont="1" applyFill="1" applyBorder="1" applyAlignment="1">
      <alignment horizontal="center" vertical="top"/>
    </xf>
    <xf numFmtId="170" fontId="125" fillId="4" borderId="53" xfId="0" applyNumberFormat="1" applyFont="1" applyFill="1" applyBorder="1" applyAlignment="1">
      <alignment horizontal="center" vertical="top"/>
    </xf>
    <xf numFmtId="170" fontId="82" fillId="2" borderId="72" xfId="0" applyNumberFormat="1" applyFont="1" applyFill="1" applyBorder="1" applyAlignment="1">
      <alignment horizontal="right" vertical="top"/>
    </xf>
    <xf numFmtId="169" fontId="82" fillId="2" borderId="66" xfId="0" applyNumberFormat="1" applyFont="1" applyFill="1" applyBorder="1" applyAlignment="1">
      <alignment vertical="center"/>
    </xf>
    <xf numFmtId="169" fontId="82" fillId="2" borderId="0" xfId="0" applyNumberFormat="1" applyFont="1" applyFill="1" applyAlignment="1">
      <alignment vertical="center"/>
    </xf>
    <xf numFmtId="170" fontId="82" fillId="2" borderId="53" xfId="0" applyNumberFormat="1" applyFont="1" applyFill="1" applyBorder="1" applyAlignment="1">
      <alignment vertical="center"/>
    </xf>
    <xf numFmtId="170" fontId="82" fillId="2" borderId="0" xfId="0" applyNumberFormat="1" applyFont="1" applyFill="1" applyAlignment="1">
      <alignment vertical="center"/>
    </xf>
    <xf numFmtId="170" fontId="82" fillId="2" borderId="37" xfId="0" applyNumberFormat="1" applyFont="1" applyFill="1" applyBorder="1" applyAlignment="1">
      <alignment vertical="center"/>
    </xf>
    <xf numFmtId="170" fontId="90" fillId="2" borderId="0" xfId="0" applyNumberFormat="1" applyFont="1" applyFill="1" applyAlignment="1">
      <alignment vertical="center"/>
    </xf>
    <xf numFmtId="170" fontId="90" fillId="2" borderId="53" xfId="0" applyNumberFormat="1" applyFont="1" applyFill="1" applyBorder="1" applyAlignment="1">
      <alignment vertical="center"/>
    </xf>
    <xf numFmtId="0" fontId="8" fillId="2" borderId="2" xfId="0" applyFont="1" applyFill="1" applyBorder="1" applyAlignment="1">
      <alignment vertical="center" wrapText="1"/>
    </xf>
    <xf numFmtId="0" fontId="8" fillId="2" borderId="150" xfId="0" applyFont="1" applyFill="1" applyBorder="1"/>
    <xf numFmtId="0" fontId="8" fillId="2" borderId="150" xfId="0" applyFont="1" applyFill="1" applyBorder="1" applyAlignment="1">
      <alignment vertical="top"/>
    </xf>
    <xf numFmtId="0" fontId="8" fillId="2" borderId="84" xfId="0" applyFont="1" applyFill="1" applyBorder="1" applyAlignment="1">
      <alignment vertical="top" wrapText="1"/>
    </xf>
    <xf numFmtId="0" fontId="4" fillId="2" borderId="151" xfId="0" applyFont="1" applyFill="1" applyBorder="1" applyAlignment="1">
      <alignment wrapText="1"/>
    </xf>
    <xf numFmtId="170" fontId="8" fillId="2" borderId="1" xfId="0" applyNumberFormat="1" applyFont="1" applyFill="1" applyBorder="1"/>
    <xf numFmtId="170" fontId="8" fillId="2" borderId="66" xfId="0" applyNumberFormat="1" applyFont="1" applyFill="1" applyBorder="1"/>
    <xf numFmtId="170" fontId="8" fillId="2" borderId="0" xfId="0" applyNumberFormat="1" applyFont="1" applyFill="1" applyAlignment="1">
      <alignment vertical="center"/>
    </xf>
    <xf numFmtId="1" fontId="47" fillId="2" borderId="0" xfId="0" applyNumberFormat="1" applyFont="1" applyFill="1" applyAlignment="1">
      <alignment horizontal="center" vertical="top"/>
    </xf>
    <xf numFmtId="0" fontId="82" fillId="2" borderId="68" xfId="0" applyFont="1" applyFill="1" applyBorder="1" applyAlignment="1">
      <alignment wrapText="1"/>
    </xf>
    <xf numFmtId="181" fontId="82" fillId="2" borderId="54" xfId="0" applyNumberFormat="1" applyFont="1" applyFill="1" applyBorder="1" applyAlignment="1">
      <alignment horizontal="right" vertical="center"/>
    </xf>
    <xf numFmtId="0" fontId="82" fillId="2" borderId="152" xfId="0" applyFont="1" applyFill="1" applyBorder="1" applyAlignment="1">
      <alignment wrapText="1"/>
    </xf>
    <xf numFmtId="0" fontId="82" fillId="0" borderId="68" xfId="0" applyFont="1" applyBorder="1" applyAlignment="1">
      <alignment wrapText="1"/>
    </xf>
    <xf numFmtId="0" fontId="87" fillId="2" borderId="153" xfId="0" applyFont="1" applyFill="1" applyBorder="1" applyAlignment="1">
      <alignment wrapText="1"/>
    </xf>
    <xf numFmtId="0" fontId="87" fillId="0" borderId="0" xfId="0" applyFont="1" applyAlignment="1">
      <alignment wrapText="1"/>
    </xf>
    <xf numFmtId="181" fontId="8" fillId="2" borderId="0" xfId="0" applyNumberFormat="1" applyFont="1" applyFill="1"/>
    <xf numFmtId="181" fontId="82" fillId="2" borderId="52" xfId="0" applyNumberFormat="1" applyFont="1" applyFill="1" applyBorder="1" applyAlignment="1">
      <alignment horizontal="right" vertical="top"/>
    </xf>
    <xf numFmtId="181" fontId="82" fillId="2" borderId="0" xfId="0" applyNumberFormat="1" applyFont="1" applyFill="1" applyAlignment="1">
      <alignment horizontal="right" vertical="top"/>
    </xf>
    <xf numFmtId="181" fontId="8" fillId="2" borderId="0" xfId="0" applyNumberFormat="1" applyFont="1" applyFill="1" applyAlignment="1">
      <alignment horizontal="center" vertical="center"/>
    </xf>
    <xf numFmtId="182" fontId="79" fillId="2" borderId="0" xfId="0" applyNumberFormat="1" applyFont="1" applyFill="1" applyAlignment="1">
      <alignment horizontal="center" vertical="center"/>
    </xf>
    <xf numFmtId="167" fontId="132" fillId="10" borderId="0" xfId="0" applyNumberFormat="1" applyFont="1" applyFill="1" applyAlignment="1">
      <alignment horizontal="center" vertical="center"/>
    </xf>
    <xf numFmtId="167" fontId="119" fillId="10" borderId="0" xfId="0" applyNumberFormat="1" applyFont="1" applyFill="1" applyAlignment="1">
      <alignment horizontal="center" vertical="center"/>
    </xf>
    <xf numFmtId="170" fontId="8" fillId="2" borderId="53" xfId="0" applyNumberFormat="1" applyFont="1" applyFill="1" applyBorder="1" applyAlignment="1">
      <alignment vertical="center"/>
    </xf>
    <xf numFmtId="0" fontId="105" fillId="21" borderId="0" xfId="0" applyFont="1" applyFill="1" applyAlignment="1">
      <alignment horizontal="center" vertical="center" wrapText="1"/>
    </xf>
    <xf numFmtId="1" fontId="8" fillId="21" borderId="50" xfId="0" applyNumberFormat="1" applyFont="1" applyFill="1" applyBorder="1" applyAlignment="1">
      <alignment horizontal="center" vertical="center"/>
    </xf>
    <xf numFmtId="49" fontId="4" fillId="2" borderId="139" xfId="0" applyNumberFormat="1" applyFont="1" applyFill="1" applyBorder="1" applyAlignment="1">
      <alignment horizontal="center" vertical="center"/>
    </xf>
    <xf numFmtId="49" fontId="8" fillId="2" borderId="130" xfId="0" applyNumberFormat="1" applyFont="1" applyFill="1" applyBorder="1" applyAlignment="1">
      <alignment horizontal="center" vertical="top"/>
    </xf>
    <xf numFmtId="49" fontId="8" fillId="2" borderId="133" xfId="0" applyNumberFormat="1" applyFont="1" applyFill="1" applyBorder="1" applyAlignment="1">
      <alignment horizontal="center" vertical="top"/>
    </xf>
    <xf numFmtId="49" fontId="8" fillId="2" borderId="136" xfId="0" applyNumberFormat="1" applyFont="1" applyFill="1" applyBorder="1" applyAlignment="1">
      <alignment horizontal="center" vertical="top"/>
    </xf>
    <xf numFmtId="1" fontId="8" fillId="8" borderId="49" xfId="0" applyNumberFormat="1" applyFont="1" applyFill="1" applyBorder="1" applyAlignment="1">
      <alignment horizontal="center" vertical="center"/>
    </xf>
    <xf numFmtId="1" fontId="8" fillId="8" borderId="50" xfId="0" applyNumberFormat="1" applyFont="1" applyFill="1" applyBorder="1" applyAlignment="1">
      <alignment horizontal="center" vertical="center"/>
    </xf>
    <xf numFmtId="1" fontId="8" fillId="22" borderId="50" xfId="0" applyNumberFormat="1" applyFont="1" applyFill="1" applyBorder="1" applyAlignment="1">
      <alignment horizontal="center" vertical="center"/>
    </xf>
    <xf numFmtId="1" fontId="8" fillId="22" borderId="51" xfId="0" applyNumberFormat="1" applyFont="1" applyFill="1" applyBorder="1" applyAlignment="1">
      <alignment horizontal="center" vertical="center"/>
    </xf>
    <xf numFmtId="0" fontId="105" fillId="22" borderId="0" xfId="0" applyFont="1" applyFill="1" applyAlignment="1">
      <alignment horizontal="center" vertical="center" wrapText="1"/>
    </xf>
    <xf numFmtId="49" fontId="0" fillId="0" borderId="0" xfId="0" applyNumberFormat="1"/>
    <xf numFmtId="3" fontId="0" fillId="0" borderId="0" xfId="0" applyNumberFormat="1"/>
    <xf numFmtId="165" fontId="8" fillId="2" borderId="0" xfId="0" applyNumberFormat="1" applyFont="1" applyFill="1"/>
    <xf numFmtId="184" fontId="83" fillId="2" borderId="0" xfId="0" applyNumberFormat="1" applyFont="1" applyFill="1" applyAlignment="1">
      <alignment horizontal="center" vertical="center"/>
    </xf>
    <xf numFmtId="3" fontId="3" fillId="0" borderId="0" xfId="0" applyNumberFormat="1" applyFont="1"/>
    <xf numFmtId="170" fontId="80" fillId="2" borderId="0" xfId="0" applyNumberFormat="1" applyFont="1" applyFill="1" applyAlignment="1">
      <alignment horizontal="right" vertical="center"/>
    </xf>
    <xf numFmtId="170" fontId="80" fillId="2" borderId="63" xfId="0" applyNumberFormat="1" applyFont="1" applyFill="1" applyBorder="1" applyAlignment="1">
      <alignment horizontal="right" vertical="center"/>
    </xf>
    <xf numFmtId="170" fontId="80" fillId="2" borderId="63" xfId="0" applyNumberFormat="1" applyFont="1" applyFill="1" applyBorder="1" applyAlignment="1">
      <alignment horizontal="center" vertical="center"/>
    </xf>
    <xf numFmtId="170" fontId="82" fillId="2" borderId="61" xfId="0" applyNumberFormat="1" applyFont="1" applyFill="1" applyBorder="1" applyAlignment="1">
      <alignment horizontal="right" vertical="center"/>
    </xf>
    <xf numFmtId="170" fontId="82" fillId="2" borderId="63" xfId="0" applyNumberFormat="1" applyFont="1" applyFill="1" applyBorder="1" applyAlignment="1">
      <alignment horizontal="right" vertical="center"/>
    </xf>
    <xf numFmtId="170" fontId="82" fillId="2" borderId="64" xfId="0" applyNumberFormat="1" applyFont="1" applyFill="1" applyBorder="1" applyAlignment="1">
      <alignment horizontal="right" vertical="center"/>
    </xf>
    <xf numFmtId="170" fontId="82" fillId="2" borderId="62" xfId="0" applyNumberFormat="1" applyFont="1" applyFill="1" applyBorder="1" applyAlignment="1">
      <alignment horizontal="right" vertical="center"/>
    </xf>
    <xf numFmtId="1" fontId="89" fillId="2" borderId="2" xfId="0" applyNumberFormat="1" applyFont="1" applyFill="1" applyBorder="1" applyAlignment="1">
      <alignment horizontal="right" vertical="center"/>
    </xf>
    <xf numFmtId="170" fontId="88" fillId="2" borderId="0" xfId="0" applyNumberFormat="1" applyFont="1" applyFill="1" applyAlignment="1">
      <alignment horizontal="right" vertical="center"/>
    </xf>
    <xf numFmtId="170" fontId="88" fillId="2" borderId="0" xfId="0" applyNumberFormat="1" applyFont="1" applyFill="1" applyAlignment="1">
      <alignment horizontal="center" vertical="center"/>
    </xf>
    <xf numFmtId="170" fontId="89" fillId="2" borderId="0" xfId="0" applyNumberFormat="1" applyFont="1" applyFill="1" applyAlignment="1">
      <alignment horizontal="right" vertical="center"/>
    </xf>
    <xf numFmtId="170" fontId="89" fillId="2" borderId="0" xfId="0" applyNumberFormat="1" applyFont="1" applyFill="1" applyAlignment="1">
      <alignment horizontal="center" vertical="center"/>
    </xf>
    <xf numFmtId="170" fontId="89" fillId="4" borderId="0" xfId="0" applyNumberFormat="1" applyFont="1" applyFill="1" applyAlignment="1">
      <alignment horizontal="right" vertical="center"/>
    </xf>
    <xf numFmtId="170" fontId="88" fillId="2" borderId="1" xfId="0" applyNumberFormat="1" applyFont="1" applyFill="1" applyBorder="1" applyAlignment="1">
      <alignment horizontal="right" vertical="center"/>
    </xf>
    <xf numFmtId="49" fontId="8" fillId="2" borderId="2" xfId="0" applyNumberFormat="1" applyFont="1" applyFill="1" applyBorder="1" applyAlignment="1">
      <alignment horizontal="right"/>
    </xf>
    <xf numFmtId="1" fontId="8" fillId="14" borderId="50" xfId="0" applyNumberFormat="1" applyFont="1" applyFill="1" applyBorder="1" applyAlignment="1">
      <alignment horizontal="center" vertical="center"/>
    </xf>
    <xf numFmtId="0" fontId="89" fillId="2" borderId="0" xfId="0" applyFont="1" applyFill="1" applyAlignment="1">
      <alignment horizontal="right" vertical="center"/>
    </xf>
    <xf numFmtId="0" fontId="8" fillId="14" borderId="49" xfId="0" applyFont="1" applyFill="1" applyBorder="1" applyAlignment="1">
      <alignment horizontal="right" vertical="center"/>
    </xf>
    <xf numFmtId="0" fontId="8" fillId="14" borderId="50" xfId="0" applyFont="1" applyFill="1" applyBorder="1" applyAlignment="1">
      <alignment horizontal="right" vertical="center"/>
    </xf>
    <xf numFmtId="0" fontId="8" fillId="21" borderId="50" xfId="0" applyFont="1" applyFill="1" applyBorder="1" applyAlignment="1">
      <alignment horizontal="right" vertical="center"/>
    </xf>
    <xf numFmtId="0" fontId="8" fillId="21" borderId="51" xfId="0" applyFont="1" applyFill="1" applyBorder="1" applyAlignment="1">
      <alignment horizontal="right" vertical="center"/>
    </xf>
    <xf numFmtId="49" fontId="8" fillId="14" borderId="49" xfId="0" applyNumberFormat="1" applyFont="1" applyFill="1" applyBorder="1" applyAlignment="1">
      <alignment horizontal="right" vertical="center"/>
    </xf>
    <xf numFmtId="49" fontId="8" fillId="14" borderId="50" xfId="0" applyNumberFormat="1" applyFont="1" applyFill="1" applyBorder="1" applyAlignment="1">
      <alignment horizontal="right" vertical="center"/>
    </xf>
    <xf numFmtId="49" fontId="8" fillId="14" borderId="51" xfId="0" applyNumberFormat="1" applyFont="1" applyFill="1" applyBorder="1" applyAlignment="1">
      <alignment horizontal="right" vertical="center"/>
    </xf>
    <xf numFmtId="184" fontId="82" fillId="2" borderId="0" xfId="0" applyNumberFormat="1" applyFont="1" applyFill="1" applyAlignment="1">
      <alignment horizontal="right" vertical="center"/>
    </xf>
    <xf numFmtId="184" fontId="82" fillId="2" borderId="52" xfId="0" applyNumberFormat="1" applyFont="1" applyFill="1" applyBorder="1" applyAlignment="1">
      <alignment horizontal="right" vertical="center"/>
    </xf>
    <xf numFmtId="184" fontId="82" fillId="2" borderId="62" xfId="0" applyNumberFormat="1" applyFont="1" applyFill="1" applyBorder="1" applyAlignment="1">
      <alignment horizontal="right" vertical="center"/>
    </xf>
    <xf numFmtId="184" fontId="82" fillId="2" borderId="63" xfId="0" applyNumberFormat="1" applyFont="1" applyFill="1" applyBorder="1" applyAlignment="1">
      <alignment horizontal="right" vertical="center"/>
    </xf>
    <xf numFmtId="184" fontId="82" fillId="2" borderId="64" xfId="0" applyNumberFormat="1" applyFont="1" applyFill="1" applyBorder="1" applyAlignment="1">
      <alignment horizontal="right" vertical="center"/>
    </xf>
    <xf numFmtId="184" fontId="80" fillId="2" borderId="20" xfId="0" applyNumberFormat="1" applyFont="1" applyFill="1" applyBorder="1" applyAlignment="1">
      <alignment horizontal="center" vertical="center"/>
    </xf>
    <xf numFmtId="184" fontId="80" fillId="2" borderId="54" xfId="0" applyNumberFormat="1" applyFont="1" applyFill="1" applyBorder="1" applyAlignment="1">
      <alignment horizontal="center" vertical="center"/>
    </xf>
    <xf numFmtId="184" fontId="80" fillId="2" borderId="55" xfId="0" applyNumberFormat="1" applyFont="1" applyFill="1" applyBorder="1" applyAlignment="1">
      <alignment horizontal="center" vertical="center"/>
    </xf>
    <xf numFmtId="184" fontId="82" fillId="2" borderId="130" xfId="0" applyNumberFormat="1" applyFont="1" applyFill="1" applyBorder="1" applyAlignment="1">
      <alignment horizontal="center" vertical="center"/>
    </xf>
    <xf numFmtId="184" fontId="82" fillId="2" borderId="131" xfId="0" applyNumberFormat="1" applyFont="1" applyFill="1" applyBorder="1" applyAlignment="1">
      <alignment horizontal="center" vertical="center"/>
    </xf>
    <xf numFmtId="184" fontId="82" fillId="2" borderId="0" xfId="0" applyNumberFormat="1" applyFont="1" applyFill="1" applyAlignment="1">
      <alignment horizontal="center" vertical="center"/>
    </xf>
    <xf numFmtId="184" fontId="82" fillId="2" borderId="132" xfId="0" applyNumberFormat="1" applyFont="1" applyFill="1" applyBorder="1" applyAlignment="1">
      <alignment horizontal="center" vertical="center"/>
    </xf>
    <xf numFmtId="184" fontId="82" fillId="2" borderId="133" xfId="0" applyNumberFormat="1" applyFont="1" applyFill="1" applyBorder="1" applyAlignment="1">
      <alignment horizontal="center" vertical="center"/>
    </xf>
    <xf numFmtId="184" fontId="82" fillId="2" borderId="134" xfId="0" applyNumberFormat="1" applyFont="1" applyFill="1" applyBorder="1" applyAlignment="1">
      <alignment horizontal="center" vertical="center"/>
    </xf>
    <xf numFmtId="184" fontId="82" fillId="2" borderId="135" xfId="0" applyNumberFormat="1" applyFont="1" applyFill="1" applyBorder="1" applyAlignment="1">
      <alignment horizontal="center" vertical="center"/>
    </xf>
    <xf numFmtId="184" fontId="82" fillId="2" borderId="136" xfId="0" applyNumberFormat="1" applyFont="1" applyFill="1" applyBorder="1" applyAlignment="1">
      <alignment horizontal="center" vertical="center"/>
    </xf>
    <xf numFmtId="184" fontId="82" fillId="2" borderId="137" xfId="0" applyNumberFormat="1" applyFont="1" applyFill="1" applyBorder="1" applyAlignment="1">
      <alignment horizontal="center" vertical="center"/>
    </xf>
    <xf numFmtId="184" fontId="80" fillId="2" borderId="1" xfId="0" applyNumberFormat="1" applyFont="1" applyFill="1" applyBorder="1" applyAlignment="1">
      <alignment horizontal="center" vertical="center"/>
    </xf>
    <xf numFmtId="184" fontId="80" fillId="2" borderId="65" xfId="0" applyNumberFormat="1" applyFont="1" applyFill="1" applyBorder="1" applyAlignment="1">
      <alignment horizontal="center" vertical="center"/>
    </xf>
    <xf numFmtId="184" fontId="80" fillId="2" borderId="66" xfId="0" applyNumberFormat="1" applyFont="1" applyFill="1" applyBorder="1" applyAlignment="1">
      <alignment horizontal="center" vertical="center"/>
    </xf>
    <xf numFmtId="184" fontId="80" fillId="2" borderId="56" xfId="0" applyNumberFormat="1" applyFont="1" applyFill="1" applyBorder="1" applyAlignment="1">
      <alignment horizontal="center" vertical="center"/>
    </xf>
    <xf numFmtId="184" fontId="80" fillId="2" borderId="57" xfId="0" applyNumberFormat="1" applyFont="1" applyFill="1" applyBorder="1" applyAlignment="1">
      <alignment horizontal="center" vertical="center"/>
    </xf>
    <xf numFmtId="184" fontId="80" fillId="2" borderId="58" xfId="0" applyNumberFormat="1" applyFont="1" applyFill="1" applyBorder="1" applyAlignment="1">
      <alignment horizontal="center" vertical="center"/>
    </xf>
    <xf numFmtId="0" fontId="105" fillId="2" borderId="0" xfId="0" applyFont="1" applyFill="1" applyAlignment="1">
      <alignment horizontal="center" vertical="center" wrapText="1"/>
    </xf>
    <xf numFmtId="49" fontId="84" fillId="2" borderId="139" xfId="0" applyNumberFormat="1" applyFont="1" applyFill="1" applyBorder="1" applyAlignment="1">
      <alignment horizontal="center" vertical="center"/>
    </xf>
    <xf numFmtId="0" fontId="84" fillId="2" borderId="20" xfId="0" applyFont="1" applyFill="1" applyBorder="1" applyAlignment="1">
      <alignment horizontal="left" vertical="center" wrapText="1"/>
    </xf>
    <xf numFmtId="170" fontId="84" fillId="2" borderId="20" xfId="0" applyNumberFormat="1" applyFont="1" applyFill="1" applyBorder="1" applyAlignment="1">
      <alignment horizontal="center" vertical="center"/>
    </xf>
    <xf numFmtId="184" fontId="84" fillId="2" borderId="20" xfId="0" applyNumberFormat="1" applyFont="1" applyFill="1" applyBorder="1" applyAlignment="1">
      <alignment horizontal="center" vertical="center"/>
    </xf>
    <xf numFmtId="184" fontId="84" fillId="2" borderId="54" xfId="0" applyNumberFormat="1" applyFont="1" applyFill="1" applyBorder="1" applyAlignment="1">
      <alignment horizontal="center" vertical="center"/>
    </xf>
    <xf numFmtId="184" fontId="84" fillId="2" borderId="55" xfId="0" applyNumberFormat="1" applyFont="1" applyFill="1" applyBorder="1" applyAlignment="1">
      <alignment horizontal="center" vertical="center"/>
    </xf>
    <xf numFmtId="0" fontId="135" fillId="0" borderId="0" xfId="0" applyFont="1"/>
    <xf numFmtId="170" fontId="80" fillId="2" borderId="156" xfId="0" applyNumberFormat="1" applyFont="1" applyFill="1" applyBorder="1" applyAlignment="1">
      <alignment horizontal="right" vertical="top"/>
    </xf>
    <xf numFmtId="49" fontId="69" fillId="2" borderId="139" xfId="0" applyNumberFormat="1" applyFont="1" applyFill="1" applyBorder="1" applyAlignment="1">
      <alignment horizontal="center" vertical="center"/>
    </xf>
    <xf numFmtId="0" fontId="69" fillId="2" borderId="20" xfId="0" applyFont="1" applyFill="1" applyBorder="1" applyAlignment="1">
      <alignment horizontal="left" vertical="center" wrapText="1"/>
    </xf>
    <xf numFmtId="170" fontId="69" fillId="2" borderId="20" xfId="0" applyNumberFormat="1" applyFont="1" applyFill="1" applyBorder="1" applyAlignment="1">
      <alignment horizontal="center" vertical="center"/>
    </xf>
    <xf numFmtId="184" fontId="69" fillId="2" borderId="20" xfId="0" applyNumberFormat="1" applyFont="1" applyFill="1" applyBorder="1" applyAlignment="1">
      <alignment horizontal="center" vertical="center"/>
    </xf>
    <xf numFmtId="184" fontId="69" fillId="2" borderId="54" xfId="0" applyNumberFormat="1" applyFont="1" applyFill="1" applyBorder="1" applyAlignment="1">
      <alignment horizontal="center" vertical="center"/>
    </xf>
    <xf numFmtId="184" fontId="69" fillId="2" borderId="55" xfId="0" applyNumberFormat="1" applyFont="1" applyFill="1" applyBorder="1" applyAlignment="1">
      <alignment horizontal="center" vertical="center"/>
    </xf>
    <xf numFmtId="0" fontId="136" fillId="0" borderId="0" xfId="0" applyFont="1"/>
    <xf numFmtId="1" fontId="8" fillId="21" borderId="49" xfId="0" applyNumberFormat="1" applyFont="1" applyFill="1" applyBorder="1" applyAlignment="1">
      <alignment horizontal="center" vertical="center"/>
    </xf>
    <xf numFmtId="1" fontId="92" fillId="2" borderId="0" xfId="0" applyNumberFormat="1" applyFont="1" applyFill="1" applyAlignment="1">
      <alignment horizontal="right"/>
    </xf>
    <xf numFmtId="1" fontId="47" fillId="22" borderId="0" xfId="0" applyNumberFormat="1" applyFont="1" applyFill="1" applyAlignment="1">
      <alignment horizontal="center" vertical="top"/>
    </xf>
    <xf numFmtId="184" fontId="48" fillId="9" borderId="34" xfId="0" applyNumberFormat="1" applyFont="1" applyFill="1" applyBorder="1" applyAlignment="1">
      <alignment horizontal="center" vertical="top"/>
    </xf>
    <xf numFmtId="184" fontId="48" fillId="9" borderId="34" xfId="0" applyNumberFormat="1" applyFont="1" applyFill="1" applyBorder="1" applyAlignment="1">
      <alignment horizontal="center" vertical="center"/>
    </xf>
    <xf numFmtId="184" fontId="47" fillId="9" borderId="34" xfId="0" applyNumberFormat="1" applyFont="1" applyFill="1" applyBorder="1" applyAlignment="1">
      <alignment horizontal="center" vertical="top"/>
    </xf>
    <xf numFmtId="184" fontId="47" fillId="9" borderId="0" xfId="0" applyNumberFormat="1" applyFont="1" applyFill="1" applyAlignment="1">
      <alignment horizontal="center" vertical="top"/>
    </xf>
    <xf numFmtId="184" fontId="48" fillId="11" borderId="0" xfId="0" applyNumberFormat="1" applyFont="1" applyFill="1" applyAlignment="1">
      <alignment horizontal="center" vertical="top"/>
    </xf>
    <xf numFmtId="184" fontId="51" fillId="11" borderId="0" xfId="0" applyNumberFormat="1" applyFont="1" applyFill="1" applyAlignment="1">
      <alignment horizontal="right" vertical="top"/>
    </xf>
    <xf numFmtId="184" fontId="51" fillId="11" borderId="0" xfId="0" applyNumberFormat="1" applyFont="1" applyFill="1" applyAlignment="1">
      <alignment horizontal="center" vertical="top"/>
    </xf>
    <xf numFmtId="184" fontId="50" fillId="11" borderId="0" xfId="0" applyNumberFormat="1" applyFont="1" applyFill="1" applyAlignment="1">
      <alignment horizontal="center" vertical="top"/>
    </xf>
    <xf numFmtId="184" fontId="47" fillId="11" borderId="0" xfId="0" applyNumberFormat="1" applyFont="1" applyFill="1" applyAlignment="1">
      <alignment horizontal="center" vertical="top"/>
    </xf>
    <xf numFmtId="184" fontId="49" fillId="2" borderId="34" xfId="0" applyNumberFormat="1" applyFont="1" applyFill="1" applyBorder="1" applyAlignment="1">
      <alignment horizontal="center" vertical="top"/>
    </xf>
    <xf numFmtId="184" fontId="49" fillId="2" borderId="0" xfId="0" applyNumberFormat="1" applyFont="1" applyFill="1" applyAlignment="1">
      <alignment horizontal="center" vertical="top"/>
    </xf>
    <xf numFmtId="184" fontId="54" fillId="2" borderId="0" xfId="0" applyNumberFormat="1" applyFont="1" applyFill="1" applyAlignment="1">
      <alignment horizontal="center"/>
    </xf>
    <xf numFmtId="184" fontId="79" fillId="2" borderId="0" xfId="0" applyNumberFormat="1" applyFont="1" applyFill="1" applyAlignment="1">
      <alignment horizontal="center"/>
    </xf>
    <xf numFmtId="49" fontId="81" fillId="2" borderId="133" xfId="0" applyNumberFormat="1" applyFont="1" applyFill="1" applyBorder="1" applyAlignment="1">
      <alignment horizontal="center" vertical="top"/>
    </xf>
    <xf numFmtId="170" fontId="85" fillId="2" borderId="133" xfId="0" applyNumberFormat="1" applyFont="1" applyFill="1" applyBorder="1" applyAlignment="1">
      <alignment horizontal="right" vertical="top"/>
    </xf>
    <xf numFmtId="0" fontId="81" fillId="2" borderId="133" xfId="0" applyFont="1" applyFill="1" applyBorder="1" applyAlignment="1">
      <alignment vertical="top" wrapText="1"/>
    </xf>
    <xf numFmtId="184" fontId="85" fillId="2" borderId="133" xfId="0" applyNumberFormat="1" applyFont="1" applyFill="1" applyBorder="1" applyAlignment="1">
      <alignment horizontal="center" vertical="top"/>
    </xf>
    <xf numFmtId="184" fontId="85" fillId="2" borderId="134" xfId="0" applyNumberFormat="1" applyFont="1" applyFill="1" applyBorder="1" applyAlignment="1">
      <alignment horizontal="center" vertical="top"/>
    </xf>
    <xf numFmtId="184" fontId="85" fillId="2" borderId="135" xfId="0" applyNumberFormat="1" applyFont="1" applyFill="1" applyBorder="1" applyAlignment="1">
      <alignment horizontal="center" vertical="top"/>
    </xf>
    <xf numFmtId="0" fontId="81" fillId="0" borderId="0" xfId="0" applyFont="1" applyAlignment="1">
      <alignment vertical="top"/>
    </xf>
    <xf numFmtId="49" fontId="8" fillId="9" borderId="133" xfId="0" applyNumberFormat="1" applyFont="1" applyFill="1" applyBorder="1" applyAlignment="1">
      <alignment horizontal="center" vertical="top"/>
    </xf>
    <xf numFmtId="184" fontId="49" fillId="22" borderId="34" xfId="0" applyNumberFormat="1" applyFont="1" applyFill="1" applyBorder="1" applyAlignment="1">
      <alignment horizontal="center" vertical="top"/>
    </xf>
    <xf numFmtId="0" fontId="67" fillId="9" borderId="0" xfId="0" applyFont="1" applyFill="1" applyAlignment="1">
      <alignment vertical="top"/>
    </xf>
    <xf numFmtId="184" fontId="47" fillId="2" borderId="0" xfId="0" applyNumberFormat="1" applyFont="1" applyFill="1" applyAlignment="1">
      <alignment horizontal="center" vertical="top"/>
    </xf>
    <xf numFmtId="0" fontId="112" fillId="2" borderId="0" xfId="0" applyFont="1" applyFill="1" applyAlignment="1">
      <alignment vertical="top"/>
    </xf>
    <xf numFmtId="184" fontId="54" fillId="2" borderId="0" xfId="0" applyNumberFormat="1" applyFont="1" applyFill="1" applyAlignment="1">
      <alignment vertical="top"/>
    </xf>
    <xf numFmtId="184" fontId="54" fillId="2" borderId="0" xfId="0" applyNumberFormat="1" applyFont="1" applyFill="1" applyAlignment="1">
      <alignment vertical="center"/>
    </xf>
    <xf numFmtId="165" fontId="112" fillId="2" borderId="0" xfId="0" applyNumberFormat="1" applyFont="1" applyFill="1"/>
    <xf numFmtId="0" fontId="112" fillId="0" borderId="0" xfId="0" applyFont="1"/>
    <xf numFmtId="184" fontId="49" fillId="2" borderId="0" xfId="0" applyNumberFormat="1" applyFont="1" applyFill="1" applyAlignment="1">
      <alignment vertical="top"/>
    </xf>
    <xf numFmtId="170" fontId="49" fillId="2" borderId="0" xfId="0" applyNumberFormat="1" applyFont="1" applyFill="1" applyAlignment="1">
      <alignment vertical="top"/>
    </xf>
    <xf numFmtId="184" fontId="48" fillId="2" borderId="0" xfId="0" applyNumberFormat="1" applyFont="1" applyFill="1" applyAlignment="1">
      <alignment horizontal="center" vertical="top"/>
    </xf>
    <xf numFmtId="184" fontId="51" fillId="2" borderId="0" xfId="0" applyNumberFormat="1" applyFont="1" applyFill="1" applyAlignment="1">
      <alignment horizontal="right" vertical="top"/>
    </xf>
    <xf numFmtId="184" fontId="50" fillId="2" borderId="0" xfId="0" applyNumberFormat="1" applyFont="1" applyFill="1" applyAlignment="1">
      <alignment horizontal="center" vertical="top"/>
    </xf>
    <xf numFmtId="0" fontId="8" fillId="2" borderId="133" xfId="0" applyFont="1" applyFill="1" applyBorder="1" applyAlignment="1">
      <alignment vertical="top" wrapText="1"/>
    </xf>
    <xf numFmtId="170" fontId="80" fillId="2" borderId="157" xfId="0" applyNumberFormat="1" applyFont="1" applyFill="1" applyBorder="1" applyAlignment="1">
      <alignment horizontal="right" vertical="top"/>
    </xf>
    <xf numFmtId="184" fontId="80" fillId="2" borderId="157" xfId="0" applyNumberFormat="1" applyFont="1" applyFill="1" applyBorder="1" applyAlignment="1">
      <alignment horizontal="center" vertical="center"/>
    </xf>
    <xf numFmtId="184" fontId="80" fillId="2" borderId="155" xfId="0" applyNumberFormat="1" applyFont="1" applyFill="1" applyBorder="1" applyAlignment="1">
      <alignment horizontal="center" vertical="center"/>
    </xf>
    <xf numFmtId="0" fontId="8" fillId="2" borderId="133" xfId="0" applyFont="1" applyFill="1" applyBorder="1" applyAlignment="1">
      <alignment horizontal="left" vertical="top" wrapText="1"/>
    </xf>
    <xf numFmtId="0" fontId="128" fillId="2" borderId="133" xfId="0" applyFont="1" applyFill="1" applyBorder="1" applyAlignment="1">
      <alignment horizontal="left" vertical="top" wrapText="1"/>
    </xf>
    <xf numFmtId="0" fontId="8" fillId="2" borderId="136" xfId="0" applyFont="1" applyFill="1" applyBorder="1" applyAlignment="1">
      <alignment horizontal="left" vertical="top" wrapText="1"/>
    </xf>
    <xf numFmtId="49" fontId="8" fillId="2" borderId="158" xfId="0" applyNumberFormat="1" applyFont="1" applyFill="1" applyBorder="1" applyAlignment="1">
      <alignment horizontal="center" vertical="top"/>
    </xf>
    <xf numFmtId="0" fontId="4" fillId="2" borderId="130" xfId="0" applyFont="1" applyFill="1" applyBorder="1" applyAlignment="1">
      <alignment vertical="top" wrapText="1"/>
    </xf>
    <xf numFmtId="49" fontId="8" fillId="2" borderId="20" xfId="0" applyNumberFormat="1" applyFont="1" applyFill="1" applyBorder="1" applyAlignment="1">
      <alignment horizontal="center" vertical="top"/>
    </xf>
    <xf numFmtId="170" fontId="47" fillId="23" borderId="0" xfId="0" applyNumberFormat="1" applyFont="1" applyFill="1" applyAlignment="1">
      <alignment horizontal="center" vertical="top"/>
    </xf>
    <xf numFmtId="170" fontId="50" fillId="23" borderId="0" xfId="0" applyNumberFormat="1" applyFont="1" applyFill="1" applyAlignment="1">
      <alignment horizontal="right" vertical="top"/>
    </xf>
    <xf numFmtId="170" fontId="50" fillId="23" borderId="0" xfId="0" applyNumberFormat="1" applyFont="1" applyFill="1" applyAlignment="1">
      <alignment horizontal="center" vertical="top"/>
    </xf>
    <xf numFmtId="170" fontId="48" fillId="23" borderId="0" xfId="0" applyNumberFormat="1" applyFont="1" applyFill="1" applyAlignment="1">
      <alignment horizontal="center" vertical="top"/>
    </xf>
    <xf numFmtId="170" fontId="47" fillId="23" borderId="34" xfId="0" applyNumberFormat="1" applyFont="1" applyFill="1" applyBorder="1" applyAlignment="1">
      <alignment horizontal="center" vertical="top"/>
    </xf>
    <xf numFmtId="170" fontId="54" fillId="23" borderId="0" xfId="0" applyNumberFormat="1" applyFont="1" applyFill="1" applyAlignment="1">
      <alignment vertical="top"/>
    </xf>
    <xf numFmtId="170" fontId="49" fillId="23" borderId="0" xfId="0" applyNumberFormat="1" applyFont="1" applyFill="1" applyAlignment="1">
      <alignment vertical="top"/>
    </xf>
    <xf numFmtId="170" fontId="49" fillId="23" borderId="34" xfId="0" applyNumberFormat="1" applyFont="1" applyFill="1" applyBorder="1" applyAlignment="1">
      <alignment horizontal="center" vertical="top"/>
    </xf>
    <xf numFmtId="0" fontId="137" fillId="2" borderId="0" xfId="0" applyFont="1" applyFill="1" applyAlignment="1">
      <alignment vertical="top"/>
    </xf>
    <xf numFmtId="9" fontId="137" fillId="2" borderId="0" xfId="1" applyFont="1" applyFill="1"/>
    <xf numFmtId="1" fontId="47" fillId="2" borderId="33" xfId="0" applyNumberFormat="1" applyFont="1" applyFill="1" applyBorder="1" applyAlignment="1">
      <alignment horizontal="right"/>
    </xf>
    <xf numFmtId="184" fontId="48" fillId="2" borderId="0" xfId="0" applyNumberFormat="1" applyFont="1" applyFill="1" applyAlignment="1">
      <alignment horizontal="right" vertical="top"/>
    </xf>
    <xf numFmtId="184" fontId="92" fillId="2" borderId="0" xfId="0" applyNumberFormat="1" applyFont="1" applyFill="1"/>
    <xf numFmtId="0" fontId="138" fillId="12" borderId="0" xfId="0" applyFont="1" applyFill="1" applyAlignment="1">
      <alignment vertical="top"/>
    </xf>
    <xf numFmtId="1" fontId="47" fillId="2" borderId="33" xfId="0" applyNumberFormat="1" applyFont="1" applyFill="1" applyBorder="1" applyAlignment="1">
      <alignment horizontal="right" vertical="top"/>
    </xf>
    <xf numFmtId="184" fontId="8" fillId="2" borderId="0" xfId="0" applyNumberFormat="1" applyFont="1" applyFill="1"/>
    <xf numFmtId="184" fontId="8" fillId="2" borderId="56" xfId="0" applyNumberFormat="1" applyFont="1" applyFill="1" applyBorder="1"/>
    <xf numFmtId="184" fontId="82" fillId="2" borderId="57" xfId="0" applyNumberFormat="1" applyFont="1" applyFill="1" applyBorder="1"/>
    <xf numFmtId="184" fontId="82" fillId="2" borderId="58" xfId="0" applyNumberFormat="1" applyFont="1" applyFill="1" applyBorder="1"/>
    <xf numFmtId="3" fontId="8" fillId="2" borderId="0" xfId="0" applyNumberFormat="1" applyFont="1" applyFill="1"/>
    <xf numFmtId="170" fontId="125" fillId="2" borderId="0" xfId="0" applyNumberFormat="1" applyFont="1" applyFill="1" applyAlignment="1">
      <alignment horizontal="right" vertical="top"/>
    </xf>
    <xf numFmtId="170" fontId="125" fillId="2" borderId="120" xfId="0" applyNumberFormat="1" applyFont="1" applyFill="1" applyBorder="1" applyAlignment="1">
      <alignment horizontal="right" vertical="top"/>
    </xf>
    <xf numFmtId="170" fontId="125" fillId="2" borderId="22" xfId="0" applyNumberFormat="1" applyFont="1" applyFill="1" applyBorder="1" applyAlignment="1">
      <alignment horizontal="right" vertical="top"/>
    </xf>
    <xf numFmtId="170" fontId="82" fillId="24" borderId="1" xfId="0" applyNumberFormat="1" applyFont="1" applyFill="1" applyBorder="1" applyAlignment="1">
      <alignment horizontal="right" vertical="top"/>
    </xf>
    <xf numFmtId="170" fontId="125" fillId="24" borderId="22" xfId="0" applyNumberFormat="1" applyFont="1" applyFill="1" applyBorder="1" applyAlignment="1">
      <alignment horizontal="right" vertical="top"/>
    </xf>
    <xf numFmtId="170" fontId="82" fillId="24" borderId="90" xfId="0" applyNumberFormat="1" applyFont="1" applyFill="1" applyBorder="1" applyAlignment="1">
      <alignment horizontal="right" vertical="top"/>
    </xf>
    <xf numFmtId="0" fontId="84" fillId="2" borderId="0" xfId="0" applyFont="1" applyFill="1" applyAlignment="1">
      <alignment horizontal="center" vertical="center"/>
    </xf>
    <xf numFmtId="49" fontId="8" fillId="14" borderId="49" xfId="0" applyNumberFormat="1" applyFont="1" applyFill="1" applyBorder="1" applyAlignment="1">
      <alignment horizontal="right"/>
    </xf>
    <xf numFmtId="49" fontId="8" fillId="14" borderId="50" xfId="0" applyNumberFormat="1" applyFont="1" applyFill="1" applyBorder="1" applyAlignment="1">
      <alignment horizontal="right"/>
    </xf>
    <xf numFmtId="49" fontId="8" fillId="14" borderId="51" xfId="0" applyNumberFormat="1" applyFont="1" applyFill="1" applyBorder="1" applyAlignment="1">
      <alignment horizontal="right"/>
    </xf>
    <xf numFmtId="166" fontId="82" fillId="4" borderId="62" xfId="0" applyNumberFormat="1" applyFont="1" applyFill="1" applyBorder="1" applyAlignment="1">
      <alignment horizontal="right" vertical="top"/>
    </xf>
    <xf numFmtId="166" fontId="82" fillId="4" borderId="63" xfId="0" applyNumberFormat="1" applyFont="1" applyFill="1" applyBorder="1" applyAlignment="1">
      <alignment horizontal="right" vertical="top"/>
    </xf>
    <xf numFmtId="166" fontId="82" fillId="4" borderId="64" xfId="0" applyNumberFormat="1" applyFont="1" applyFill="1" applyBorder="1" applyAlignment="1">
      <alignment horizontal="right" vertical="top"/>
    </xf>
    <xf numFmtId="166" fontId="82" fillId="2" borderId="48" xfId="0" applyNumberFormat="1" applyFont="1" applyFill="1" applyBorder="1" applyAlignment="1">
      <alignment horizontal="right" vertical="top"/>
    </xf>
    <xf numFmtId="166" fontId="82" fillId="2" borderId="148" xfId="0" applyNumberFormat="1" applyFont="1" applyFill="1" applyBorder="1" applyAlignment="1">
      <alignment horizontal="right" vertical="top"/>
    </xf>
    <xf numFmtId="166" fontId="82" fillId="2" borderId="149" xfId="0" applyNumberFormat="1" applyFont="1" applyFill="1" applyBorder="1" applyAlignment="1">
      <alignment horizontal="right" vertical="top"/>
    </xf>
    <xf numFmtId="166" fontId="82" fillId="2" borderId="59" xfId="0" applyNumberFormat="1" applyFont="1" applyFill="1" applyBorder="1" applyAlignment="1">
      <alignment horizontal="right" vertical="top"/>
    </xf>
    <xf numFmtId="166" fontId="82" fillId="2" borderId="60" xfId="0" applyNumberFormat="1" applyFont="1" applyFill="1" applyBorder="1" applyAlignment="1">
      <alignment horizontal="right" vertical="top"/>
    </xf>
    <xf numFmtId="166" fontId="82" fillId="2" borderId="61" xfId="0" applyNumberFormat="1" applyFont="1" applyFill="1" applyBorder="1" applyAlignment="1">
      <alignment horizontal="right" vertical="top"/>
    </xf>
    <xf numFmtId="166" fontId="82" fillId="24" borderId="0" xfId="0" applyNumberFormat="1" applyFont="1" applyFill="1" applyAlignment="1">
      <alignment horizontal="right" vertical="top"/>
    </xf>
    <xf numFmtId="166" fontId="82" fillId="24" borderId="60" xfId="0" applyNumberFormat="1" applyFont="1" applyFill="1" applyBorder="1" applyAlignment="1">
      <alignment horizontal="right" vertical="top"/>
    </xf>
    <xf numFmtId="166" fontId="82" fillId="2" borderId="159" xfId="0" applyNumberFormat="1" applyFont="1" applyFill="1" applyBorder="1" applyAlignment="1">
      <alignment horizontal="right" vertical="top"/>
    </xf>
    <xf numFmtId="166" fontId="82" fillId="4" borderId="160" xfId="0" applyNumberFormat="1" applyFont="1" applyFill="1" applyBorder="1" applyAlignment="1">
      <alignment horizontal="right" vertical="top"/>
    </xf>
    <xf numFmtId="166" fontId="82" fillId="2" borderId="160" xfId="0" applyNumberFormat="1" applyFont="1" applyFill="1" applyBorder="1" applyAlignment="1">
      <alignment horizontal="right" vertical="top"/>
    </xf>
    <xf numFmtId="166" fontId="82" fillId="4" borderId="161" xfId="0" applyNumberFormat="1" applyFont="1" applyFill="1" applyBorder="1" applyAlignment="1">
      <alignment horizontal="right" vertical="top"/>
    </xf>
    <xf numFmtId="0" fontId="84" fillId="2" borderId="0" xfId="0" applyFont="1" applyFill="1" applyAlignment="1">
      <alignment horizontal="center" vertical="top"/>
    </xf>
    <xf numFmtId="3" fontId="82" fillId="2" borderId="52" xfId="0" applyNumberFormat="1" applyFont="1" applyFill="1" applyBorder="1" applyAlignment="1">
      <alignment horizontal="right" vertical="top"/>
    </xf>
    <xf numFmtId="3" fontId="82" fillId="2" borderId="53" xfId="0" applyNumberFormat="1" applyFont="1" applyFill="1" applyBorder="1" applyAlignment="1">
      <alignment horizontal="right" vertical="top"/>
    </xf>
    <xf numFmtId="3" fontId="8" fillId="2" borderId="62" xfId="0" applyNumberFormat="1" applyFont="1" applyFill="1" applyBorder="1" applyAlignment="1">
      <alignment horizontal="right"/>
    </xf>
    <xf numFmtId="3" fontId="8" fillId="2" borderId="63" xfId="0" applyNumberFormat="1" applyFont="1" applyFill="1" applyBorder="1" applyAlignment="1">
      <alignment horizontal="right"/>
    </xf>
    <xf numFmtId="3" fontId="8" fillId="2" borderId="64" xfId="0" applyNumberFormat="1" applyFont="1" applyFill="1" applyBorder="1" applyAlignment="1">
      <alignment horizontal="right"/>
    </xf>
    <xf numFmtId="185" fontId="82" fillId="2" borderId="52" xfId="0" applyNumberFormat="1" applyFont="1" applyFill="1" applyBorder="1" applyAlignment="1">
      <alignment horizontal="right" vertical="top"/>
    </xf>
    <xf numFmtId="185" fontId="82" fillId="2" borderId="0" xfId="0" applyNumberFormat="1" applyFont="1" applyFill="1" applyAlignment="1">
      <alignment horizontal="right" vertical="top"/>
    </xf>
    <xf numFmtId="185" fontId="82" fillId="2" borderId="53" xfId="0" applyNumberFormat="1" applyFont="1" applyFill="1" applyBorder="1" applyAlignment="1">
      <alignment horizontal="right" vertical="top"/>
    </xf>
    <xf numFmtId="185" fontId="82" fillId="2" borderId="62" xfId="0" applyNumberFormat="1" applyFont="1" applyFill="1" applyBorder="1" applyAlignment="1">
      <alignment horizontal="right" vertical="top"/>
    </xf>
    <xf numFmtId="185" fontId="82" fillId="2" borderId="63" xfId="0" applyNumberFormat="1" applyFont="1" applyFill="1" applyBorder="1" applyAlignment="1">
      <alignment horizontal="right" vertical="top"/>
    </xf>
    <xf numFmtId="185" fontId="82" fillId="2" borderId="64" xfId="0" applyNumberFormat="1" applyFont="1" applyFill="1" applyBorder="1" applyAlignment="1">
      <alignment horizontal="right" vertical="top"/>
    </xf>
    <xf numFmtId="186" fontId="82" fillId="2" borderId="52" xfId="0" applyNumberFormat="1" applyFont="1" applyFill="1" applyBorder="1" applyAlignment="1">
      <alignment horizontal="right" vertical="top"/>
    </xf>
    <xf numFmtId="186" fontId="82" fillId="2" borderId="0" xfId="0" applyNumberFormat="1" applyFont="1" applyFill="1" applyAlignment="1">
      <alignment horizontal="right" vertical="top"/>
    </xf>
    <xf numFmtId="186" fontId="82" fillId="2" borderId="53" xfId="0" applyNumberFormat="1" applyFont="1" applyFill="1" applyBorder="1" applyAlignment="1">
      <alignment horizontal="right" vertical="top"/>
    </xf>
    <xf numFmtId="170" fontId="82" fillId="2" borderId="162" xfId="0" applyNumberFormat="1" applyFont="1" applyFill="1" applyBorder="1" applyAlignment="1">
      <alignment horizontal="right" vertical="top"/>
    </xf>
    <xf numFmtId="170" fontId="82" fillId="2" borderId="163" xfId="0" applyNumberFormat="1" applyFont="1" applyFill="1" applyBorder="1" applyAlignment="1">
      <alignment horizontal="right" vertical="top"/>
    </xf>
    <xf numFmtId="170" fontId="82" fillId="2" borderId="164" xfId="0" applyNumberFormat="1" applyFont="1" applyFill="1" applyBorder="1" applyAlignment="1">
      <alignment horizontal="right" vertical="top"/>
    </xf>
    <xf numFmtId="177" fontId="82" fillId="2" borderId="52" xfId="0" applyNumberFormat="1" applyFont="1" applyFill="1" applyBorder="1" applyAlignment="1">
      <alignment horizontal="right" vertical="top"/>
    </xf>
    <xf numFmtId="165" fontId="84" fillId="2" borderId="0" xfId="0" applyNumberFormat="1" applyFont="1" applyFill="1"/>
    <xf numFmtId="184" fontId="82" fillId="2" borderId="52" xfId="0" applyNumberFormat="1" applyFont="1" applyFill="1" applyBorder="1" applyAlignment="1">
      <alignment horizontal="right" vertical="top"/>
    </xf>
    <xf numFmtId="184" fontId="82" fillId="2" borderId="0" xfId="0" applyNumberFormat="1" applyFont="1" applyFill="1" applyAlignment="1">
      <alignment horizontal="right" vertical="top"/>
    </xf>
    <xf numFmtId="184" fontId="82" fillId="2" borderId="53" xfId="0" applyNumberFormat="1" applyFont="1" applyFill="1" applyBorder="1" applyAlignment="1">
      <alignment horizontal="right" vertical="top"/>
    </xf>
    <xf numFmtId="184" fontId="82" fillId="2" borderId="77" xfId="0" applyNumberFormat="1" applyFont="1" applyFill="1" applyBorder="1" applyAlignment="1">
      <alignment horizontal="right" vertical="top"/>
    </xf>
    <xf numFmtId="184" fontId="82" fillId="2" borderId="76" xfId="0" applyNumberFormat="1" applyFont="1" applyFill="1" applyBorder="1" applyAlignment="1">
      <alignment horizontal="right" vertical="top"/>
    </xf>
    <xf numFmtId="184" fontId="82" fillId="2" borderId="80" xfId="0" applyNumberFormat="1" applyFont="1" applyFill="1" applyBorder="1" applyAlignment="1">
      <alignment horizontal="right" vertical="top"/>
    </xf>
    <xf numFmtId="184" fontId="82" fillId="2" borderId="79" xfId="0" applyNumberFormat="1" applyFont="1" applyFill="1" applyBorder="1" applyAlignment="1">
      <alignment horizontal="right" vertical="top"/>
    </xf>
    <xf numFmtId="184" fontId="82" fillId="2" borderId="81" xfId="0" applyNumberFormat="1" applyFont="1" applyFill="1" applyBorder="1" applyAlignment="1">
      <alignment horizontal="right" vertical="top"/>
    </xf>
    <xf numFmtId="184" fontId="80" fillId="2" borderId="52" xfId="0" applyNumberFormat="1" applyFont="1" applyFill="1" applyBorder="1" applyAlignment="1">
      <alignment horizontal="right" vertical="top"/>
    </xf>
    <xf numFmtId="184" fontId="80" fillId="2" borderId="0" xfId="0" applyNumberFormat="1" applyFont="1" applyFill="1" applyAlignment="1">
      <alignment horizontal="right" vertical="top"/>
    </xf>
    <xf numFmtId="184" fontId="4" fillId="2" borderId="0" xfId="0" applyNumberFormat="1" applyFont="1" applyFill="1"/>
    <xf numFmtId="184" fontId="83" fillId="2" borderId="62" xfId="0" applyNumberFormat="1" applyFont="1" applyFill="1" applyBorder="1" applyAlignment="1">
      <alignment horizontal="center" vertical="center"/>
    </xf>
    <xf numFmtId="184" fontId="83" fillId="2" borderId="63" xfId="0" applyNumberFormat="1" applyFont="1" applyFill="1" applyBorder="1" applyAlignment="1">
      <alignment horizontal="center" vertical="center"/>
    </xf>
    <xf numFmtId="184" fontId="83" fillId="2" borderId="64" xfId="0" applyNumberFormat="1" applyFont="1" applyFill="1" applyBorder="1" applyAlignment="1">
      <alignment horizontal="center" vertical="center"/>
    </xf>
    <xf numFmtId="1" fontId="8" fillId="14" borderId="59" xfId="0" applyNumberFormat="1" applyFont="1" applyFill="1" applyBorder="1" applyAlignment="1">
      <alignment horizontal="center" vertical="center"/>
    </xf>
    <xf numFmtId="183" fontId="82" fillId="2" borderId="52" xfId="0" applyNumberFormat="1" applyFont="1" applyFill="1" applyBorder="1" applyAlignment="1">
      <alignment vertical="center"/>
    </xf>
    <xf numFmtId="183" fontId="8" fillId="2" borderId="52" xfId="0" applyNumberFormat="1" applyFont="1" applyFill="1" applyBorder="1" applyAlignment="1">
      <alignment vertical="center"/>
    </xf>
    <xf numFmtId="183" fontId="90" fillId="2" borderId="52" xfId="0" applyNumberFormat="1" applyFont="1" applyFill="1" applyBorder="1" applyAlignment="1">
      <alignment vertical="center"/>
    </xf>
    <xf numFmtId="49" fontId="8" fillId="2" borderId="144" xfId="0" applyNumberFormat="1" applyFont="1" applyFill="1" applyBorder="1" applyAlignment="1">
      <alignment horizontal="center" vertical="top"/>
    </xf>
    <xf numFmtId="49" fontId="8" fillId="2" borderId="146" xfId="0" applyNumberFormat="1" applyFont="1" applyFill="1" applyBorder="1" applyAlignment="1">
      <alignment horizontal="center" vertical="top"/>
    </xf>
    <xf numFmtId="49" fontId="135" fillId="2" borderId="0" xfId="0" applyNumberFormat="1" applyFont="1" applyFill="1" applyAlignment="1">
      <alignment horizontal="center" vertical="top"/>
    </xf>
    <xf numFmtId="184" fontId="82" fillId="24" borderId="0" xfId="0" applyNumberFormat="1" applyFont="1" applyFill="1" applyAlignment="1">
      <alignment horizontal="right" vertical="center"/>
    </xf>
    <xf numFmtId="184" fontId="82" fillId="24" borderId="53" xfId="0" applyNumberFormat="1" applyFont="1" applyFill="1" applyBorder="1" applyAlignment="1">
      <alignment horizontal="right" vertical="center"/>
    </xf>
    <xf numFmtId="170" fontId="82" fillId="2" borderId="59" xfId="0" applyNumberFormat="1" applyFont="1" applyFill="1" applyBorder="1" applyAlignment="1">
      <alignment horizontal="right" vertical="center"/>
    </xf>
    <xf numFmtId="170" fontId="82" fillId="2" borderId="60" xfId="0" applyNumberFormat="1" applyFont="1" applyFill="1" applyBorder="1" applyAlignment="1">
      <alignment horizontal="right" vertical="center"/>
    </xf>
    <xf numFmtId="0" fontId="8" fillId="2" borderId="63" xfId="0" applyFont="1" applyFill="1" applyBorder="1" applyAlignment="1">
      <alignment vertical="center"/>
    </xf>
    <xf numFmtId="170" fontId="7" fillId="15" borderId="148" xfId="0" applyNumberFormat="1" applyFont="1" applyFill="1" applyBorder="1" applyAlignment="1">
      <alignment vertical="center"/>
    </xf>
    <xf numFmtId="0" fontId="8" fillId="2" borderId="144" xfId="0" applyFont="1" applyFill="1" applyBorder="1" applyAlignment="1">
      <alignment wrapText="1"/>
    </xf>
    <xf numFmtId="170" fontId="82" fillId="2" borderId="144" xfId="0" applyNumberFormat="1" applyFont="1" applyFill="1" applyBorder="1" applyAlignment="1">
      <alignment horizontal="right" vertical="top"/>
    </xf>
    <xf numFmtId="170" fontId="82" fillId="2" borderId="144" xfId="0" applyNumberFormat="1" applyFont="1" applyFill="1" applyBorder="1" applyAlignment="1">
      <alignment vertical="center"/>
    </xf>
    <xf numFmtId="170" fontId="82" fillId="2" borderId="145" xfId="0" applyNumberFormat="1" applyFont="1" applyFill="1" applyBorder="1" applyAlignment="1">
      <alignment vertical="center"/>
    </xf>
    <xf numFmtId="0" fontId="8" fillId="2" borderId="146" xfId="0" applyFont="1" applyFill="1" applyBorder="1" applyAlignment="1">
      <alignment wrapText="1"/>
    </xf>
    <xf numFmtId="170" fontId="82" fillId="2" borderId="146" xfId="0" applyNumberFormat="1" applyFont="1" applyFill="1" applyBorder="1" applyAlignment="1">
      <alignment horizontal="right" vertical="top"/>
    </xf>
    <xf numFmtId="170" fontId="8" fillId="2" borderId="37" xfId="0" applyNumberFormat="1" applyFont="1" applyFill="1" applyBorder="1" applyAlignment="1">
      <alignment vertical="center"/>
    </xf>
    <xf numFmtId="170" fontId="82" fillId="2" borderId="146" xfId="0" applyNumberFormat="1" applyFont="1" applyFill="1" applyBorder="1" applyAlignment="1">
      <alignment vertical="center"/>
    </xf>
    <xf numFmtId="170" fontId="82" fillId="2" borderId="147" xfId="0" applyNumberFormat="1" applyFont="1" applyFill="1" applyBorder="1" applyAlignment="1">
      <alignment vertical="center"/>
    </xf>
    <xf numFmtId="170" fontId="7" fillId="15" borderId="20" xfId="0" applyNumberFormat="1" applyFont="1" applyFill="1" applyBorder="1" applyAlignment="1">
      <alignment vertical="center"/>
    </xf>
    <xf numFmtId="0" fontId="4" fillId="9" borderId="148" xfId="0" applyFont="1" applyFill="1" applyBorder="1"/>
    <xf numFmtId="0" fontId="4" fillId="9" borderId="149" xfId="0" applyFont="1" applyFill="1" applyBorder="1"/>
    <xf numFmtId="49" fontId="8" fillId="23" borderId="0" xfId="0" applyNumberFormat="1" applyFont="1" applyFill="1" applyAlignment="1">
      <alignment horizontal="center" vertical="top"/>
    </xf>
    <xf numFmtId="170" fontId="82" fillId="23" borderId="0" xfId="0" applyNumberFormat="1" applyFont="1" applyFill="1" applyAlignment="1">
      <alignment horizontal="right" vertical="top"/>
    </xf>
    <xf numFmtId="49" fontId="135" fillId="23" borderId="0" xfId="0" applyNumberFormat="1" applyFont="1" applyFill="1" applyAlignment="1">
      <alignment horizontal="center" vertical="top"/>
    </xf>
    <xf numFmtId="183" fontId="7" fillId="15" borderId="63" xfId="0" applyNumberFormat="1" applyFont="1" applyFill="1" applyBorder="1" applyAlignment="1">
      <alignment vertical="center"/>
    </xf>
    <xf numFmtId="183" fontId="7" fillId="15" borderId="148" xfId="0" applyNumberFormat="1" applyFont="1" applyFill="1" applyBorder="1" applyAlignment="1">
      <alignment vertical="center"/>
    </xf>
    <xf numFmtId="183" fontId="7" fillId="15" borderId="139" xfId="0" applyNumberFormat="1" applyFont="1" applyFill="1" applyBorder="1" applyAlignment="1">
      <alignment vertical="center"/>
    </xf>
    <xf numFmtId="183" fontId="7" fillId="15" borderId="0" xfId="0" applyNumberFormat="1" applyFont="1" applyFill="1" applyAlignment="1">
      <alignment vertical="center"/>
    </xf>
    <xf numFmtId="170" fontId="7" fillId="15" borderId="1" xfId="0" applyNumberFormat="1" applyFont="1" applyFill="1" applyBorder="1" applyAlignment="1">
      <alignment vertical="center"/>
    </xf>
    <xf numFmtId="49" fontId="84" fillId="23" borderId="0" xfId="0" applyNumberFormat="1" applyFont="1" applyFill="1" applyAlignment="1">
      <alignment horizontal="center" vertical="top"/>
    </xf>
    <xf numFmtId="0" fontId="84" fillId="23" borderId="0" xfId="0" applyFont="1" applyFill="1" applyAlignment="1">
      <alignment wrapText="1"/>
    </xf>
    <xf numFmtId="170" fontId="84" fillId="23" borderId="0" xfId="0" applyNumberFormat="1" applyFont="1" applyFill="1" applyAlignment="1">
      <alignment horizontal="right" vertical="top"/>
    </xf>
    <xf numFmtId="183" fontId="84" fillId="23" borderId="60" xfId="0" applyNumberFormat="1" applyFont="1" applyFill="1" applyBorder="1" applyAlignment="1">
      <alignment vertical="center"/>
    </xf>
    <xf numFmtId="170" fontId="84" fillId="23" borderId="60" xfId="0" applyNumberFormat="1" applyFont="1" applyFill="1" applyBorder="1" applyAlignment="1">
      <alignment vertical="center"/>
    </xf>
    <xf numFmtId="0" fontId="84" fillId="0" borderId="0" xfId="0" applyFont="1"/>
    <xf numFmtId="183" fontId="84" fillId="23" borderId="148" xfId="0" applyNumberFormat="1" applyFont="1" applyFill="1" applyBorder="1" applyAlignment="1">
      <alignment vertical="center"/>
    </xf>
    <xf numFmtId="170" fontId="84" fillId="23" borderId="148" xfId="0" applyNumberFormat="1" applyFont="1" applyFill="1" applyBorder="1" applyAlignment="1">
      <alignment vertical="center"/>
    </xf>
    <xf numFmtId="184" fontId="82" fillId="24" borderId="130" xfId="0" applyNumberFormat="1" applyFont="1" applyFill="1" applyBorder="1" applyAlignment="1">
      <alignment horizontal="center" vertical="center"/>
    </xf>
    <xf numFmtId="184" fontId="82" fillId="24" borderId="132" xfId="0" applyNumberFormat="1" applyFont="1" applyFill="1" applyBorder="1" applyAlignment="1">
      <alignment horizontal="center" vertical="center"/>
    </xf>
    <xf numFmtId="184" fontId="82" fillId="24" borderId="133" xfId="0" applyNumberFormat="1" applyFont="1" applyFill="1" applyBorder="1" applyAlignment="1">
      <alignment horizontal="center" vertical="center"/>
    </xf>
    <xf numFmtId="184" fontId="82" fillId="24" borderId="135" xfId="0" applyNumberFormat="1" applyFont="1" applyFill="1" applyBorder="1" applyAlignment="1">
      <alignment horizontal="center" vertical="center"/>
    </xf>
    <xf numFmtId="184" fontId="82" fillId="24" borderId="136" xfId="0" applyNumberFormat="1" applyFont="1" applyFill="1" applyBorder="1" applyAlignment="1">
      <alignment horizontal="center" vertical="center"/>
    </xf>
    <xf numFmtId="184" fontId="82" fillId="24" borderId="138" xfId="0" applyNumberFormat="1" applyFont="1" applyFill="1" applyBorder="1" applyAlignment="1">
      <alignment horizontal="center" vertical="center"/>
    </xf>
    <xf numFmtId="184" fontId="80" fillId="24" borderId="157" xfId="0" applyNumberFormat="1" applyFont="1" applyFill="1" applyBorder="1" applyAlignment="1">
      <alignment horizontal="center" vertical="center"/>
    </xf>
    <xf numFmtId="184" fontId="80" fillId="24" borderId="156" xfId="0" applyNumberFormat="1" applyFont="1" applyFill="1" applyBorder="1" applyAlignment="1">
      <alignment horizontal="center" vertical="center"/>
    </xf>
    <xf numFmtId="184" fontId="82" fillId="2" borderId="165" xfId="0" applyNumberFormat="1" applyFont="1" applyFill="1" applyBorder="1" applyAlignment="1">
      <alignment horizontal="center" vertical="center"/>
    </xf>
    <xf numFmtId="184" fontId="82" fillId="2" borderId="167" xfId="0" applyNumberFormat="1" applyFont="1" applyFill="1" applyBorder="1" applyAlignment="1">
      <alignment horizontal="center" vertical="center"/>
    </xf>
    <xf numFmtId="184" fontId="82" fillId="2" borderId="166" xfId="0" applyNumberFormat="1" applyFont="1" applyFill="1" applyBorder="1" applyAlignment="1">
      <alignment horizontal="center" vertical="center"/>
    </xf>
    <xf numFmtId="170" fontId="82" fillId="10" borderId="60" xfId="0" applyNumberFormat="1" applyFont="1" applyFill="1" applyBorder="1" applyAlignment="1">
      <alignment horizontal="right" vertical="top"/>
    </xf>
    <xf numFmtId="3" fontId="8" fillId="2" borderId="53" xfId="0" applyNumberFormat="1" applyFont="1" applyFill="1" applyBorder="1"/>
    <xf numFmtId="170" fontId="125" fillId="2" borderId="53" xfId="0" applyNumberFormat="1" applyFont="1" applyFill="1" applyBorder="1" applyAlignment="1">
      <alignment horizontal="right" vertical="top"/>
    </xf>
    <xf numFmtId="170" fontId="125" fillId="2" borderId="121" xfId="0" applyNumberFormat="1" applyFont="1" applyFill="1" applyBorder="1" applyAlignment="1">
      <alignment horizontal="right" vertical="top"/>
    </xf>
    <xf numFmtId="4" fontId="8" fillId="2" borderId="53" xfId="0" applyNumberFormat="1" applyFont="1" applyFill="1" applyBorder="1" applyAlignment="1">
      <alignment horizontal="center"/>
    </xf>
    <xf numFmtId="170" fontId="82" fillId="2" borderId="168" xfId="0" applyNumberFormat="1" applyFont="1" applyFill="1" applyBorder="1" applyAlignment="1">
      <alignment horizontal="right" vertical="top"/>
    </xf>
    <xf numFmtId="3" fontId="8" fillId="24" borderId="0" xfId="0" applyNumberFormat="1" applyFont="1" applyFill="1"/>
    <xf numFmtId="170" fontId="125" fillId="24" borderId="0" xfId="0" applyNumberFormat="1" applyFont="1" applyFill="1" applyAlignment="1">
      <alignment horizontal="right" vertical="top"/>
    </xf>
    <xf numFmtId="4" fontId="8" fillId="24" borderId="0" xfId="0" applyNumberFormat="1" applyFont="1" applyFill="1" applyAlignment="1">
      <alignment horizontal="center"/>
    </xf>
    <xf numFmtId="184" fontId="80" fillId="2" borderId="53" xfId="0" applyNumberFormat="1" applyFont="1" applyFill="1" applyBorder="1" applyAlignment="1">
      <alignment horizontal="right" vertical="top"/>
    </xf>
    <xf numFmtId="184" fontId="8" fillId="2" borderId="76" xfId="0" applyNumberFormat="1" applyFont="1" applyFill="1" applyBorder="1"/>
    <xf numFmtId="184" fontId="8" fillId="2" borderId="78" xfId="0" applyNumberFormat="1" applyFont="1" applyFill="1" applyBorder="1"/>
    <xf numFmtId="184" fontId="4" fillId="2" borderId="53" xfId="0" applyNumberFormat="1" applyFont="1" applyFill="1" applyBorder="1"/>
    <xf numFmtId="184" fontId="8" fillId="2" borderId="77" xfId="0" applyNumberFormat="1" applyFont="1" applyFill="1" applyBorder="1"/>
    <xf numFmtId="184" fontId="83" fillId="2" borderId="52" xfId="0" applyNumberFormat="1" applyFont="1" applyFill="1" applyBorder="1" applyAlignment="1">
      <alignment horizontal="center" vertical="center"/>
    </xf>
    <xf numFmtId="170" fontId="82" fillId="24" borderId="52" xfId="0" applyNumberFormat="1" applyFont="1" applyFill="1" applyBorder="1" applyAlignment="1">
      <alignment horizontal="right" vertical="top"/>
    </xf>
    <xf numFmtId="170" fontId="82" fillId="24" borderId="0" xfId="0" applyNumberFormat="1" applyFont="1" applyFill="1" applyAlignment="1">
      <alignment horizontal="right" vertical="top"/>
    </xf>
    <xf numFmtId="184" fontId="82" fillId="24" borderId="52" xfId="0" applyNumberFormat="1" applyFont="1" applyFill="1" applyBorder="1" applyAlignment="1">
      <alignment horizontal="right" vertical="top"/>
    </xf>
    <xf numFmtId="184" fontId="82" fillId="24" borderId="0" xfId="0" applyNumberFormat="1" applyFont="1" applyFill="1" applyAlignment="1">
      <alignment horizontal="right" vertical="top"/>
    </xf>
    <xf numFmtId="184" fontId="8" fillId="24" borderId="77" xfId="0" applyNumberFormat="1" applyFont="1" applyFill="1" applyBorder="1"/>
    <xf numFmtId="184" fontId="8" fillId="24" borderId="76" xfId="0" applyNumberFormat="1" applyFont="1" applyFill="1" applyBorder="1"/>
    <xf numFmtId="184" fontId="82" fillId="24" borderId="80" xfId="0" applyNumberFormat="1" applyFont="1" applyFill="1" applyBorder="1" applyAlignment="1">
      <alignment horizontal="right" vertical="top"/>
    </xf>
    <xf numFmtId="184" fontId="82" fillId="24" borderId="79" xfId="0" applyNumberFormat="1" applyFont="1" applyFill="1" applyBorder="1" applyAlignment="1">
      <alignment horizontal="right" vertical="top"/>
    </xf>
    <xf numFmtId="184" fontId="80" fillId="24" borderId="52" xfId="0" applyNumberFormat="1" applyFont="1" applyFill="1" applyBorder="1" applyAlignment="1">
      <alignment horizontal="right" vertical="top"/>
    </xf>
    <xf numFmtId="184" fontId="80" fillId="24" borderId="0" xfId="0" applyNumberFormat="1" applyFont="1" applyFill="1" applyAlignment="1">
      <alignment horizontal="right" vertical="top"/>
    </xf>
    <xf numFmtId="184" fontId="4" fillId="24" borderId="52" xfId="0" applyNumberFormat="1" applyFont="1" applyFill="1" applyBorder="1"/>
    <xf numFmtId="184" fontId="4" fillId="24" borderId="0" xfId="0" applyNumberFormat="1" applyFont="1" applyFill="1"/>
    <xf numFmtId="184" fontId="80" fillId="24" borderId="54" xfId="0" applyNumberFormat="1" applyFont="1" applyFill="1" applyBorder="1" applyAlignment="1">
      <alignment horizontal="center" vertical="center"/>
    </xf>
    <xf numFmtId="184" fontId="80" fillId="24" borderId="20" xfId="0" applyNumberFormat="1" applyFont="1" applyFill="1" applyBorder="1" applyAlignment="1">
      <alignment horizontal="center" vertical="center"/>
    </xf>
    <xf numFmtId="170" fontId="83" fillId="2" borderId="52" xfId="0" applyNumberFormat="1" applyFont="1" applyFill="1" applyBorder="1" applyAlignment="1">
      <alignment horizontal="center" vertical="center"/>
    </xf>
    <xf numFmtId="170" fontId="8" fillId="24" borderId="52" xfId="0" applyNumberFormat="1" applyFont="1" applyFill="1" applyBorder="1"/>
    <xf numFmtId="170" fontId="8" fillId="24" borderId="0" xfId="0" applyNumberFormat="1" applyFont="1" applyFill="1"/>
    <xf numFmtId="170" fontId="82" fillId="24" borderId="54" xfId="0" applyNumberFormat="1" applyFont="1" applyFill="1" applyBorder="1" applyAlignment="1">
      <alignment horizontal="right" vertical="center"/>
    </xf>
    <xf numFmtId="170" fontId="82" fillId="24" borderId="20" xfId="0" applyNumberFormat="1" applyFont="1" applyFill="1" applyBorder="1" applyAlignment="1">
      <alignment horizontal="right" vertical="center"/>
    </xf>
    <xf numFmtId="170" fontId="80" fillId="24" borderId="54" xfId="0" applyNumberFormat="1" applyFont="1" applyFill="1" applyBorder="1" applyAlignment="1">
      <alignment horizontal="center" vertical="center"/>
    </xf>
    <xf numFmtId="170" fontId="80" fillId="24" borderId="20" xfId="0" applyNumberFormat="1" applyFont="1" applyFill="1" applyBorder="1" applyAlignment="1">
      <alignment horizontal="center" vertical="center"/>
    </xf>
    <xf numFmtId="170" fontId="82" fillId="24" borderId="54" xfId="0" applyNumberFormat="1" applyFont="1" applyFill="1" applyBorder="1" applyAlignment="1">
      <alignment horizontal="right" vertical="top"/>
    </xf>
    <xf numFmtId="170" fontId="82" fillId="24" borderId="20" xfId="0" applyNumberFormat="1" applyFont="1" applyFill="1" applyBorder="1" applyAlignment="1">
      <alignment horizontal="right" vertical="top"/>
    </xf>
    <xf numFmtId="170" fontId="8" fillId="24" borderId="1" xfId="0" applyNumberFormat="1" applyFont="1" applyFill="1" applyBorder="1"/>
    <xf numFmtId="0" fontId="8" fillId="24" borderId="52" xfId="0" applyFont="1" applyFill="1" applyBorder="1"/>
    <xf numFmtId="0" fontId="8" fillId="24" borderId="0" xfId="0" applyFont="1" applyFill="1"/>
    <xf numFmtId="170" fontId="82" fillId="24" borderId="54" xfId="0" applyNumberFormat="1" applyFont="1" applyFill="1" applyBorder="1" applyAlignment="1">
      <alignment horizontal="center" vertical="center"/>
    </xf>
    <xf numFmtId="170" fontId="82" fillId="24" borderId="20" xfId="0" applyNumberFormat="1" applyFont="1" applyFill="1" applyBorder="1" applyAlignment="1">
      <alignment horizontal="center" vertical="center"/>
    </xf>
    <xf numFmtId="170" fontId="80" fillId="24" borderId="54" xfId="0" applyNumberFormat="1" applyFont="1" applyFill="1" applyBorder="1" applyAlignment="1">
      <alignment horizontal="right" vertical="center"/>
    </xf>
    <xf numFmtId="170" fontId="80" fillId="24" borderId="20" xfId="0" applyNumberFormat="1" applyFont="1" applyFill="1" applyBorder="1" applyAlignment="1">
      <alignment horizontal="right" vertical="center"/>
    </xf>
    <xf numFmtId="184" fontId="8" fillId="2" borderId="65" xfId="0" applyNumberFormat="1" applyFont="1" applyFill="1" applyBorder="1" applyAlignment="1">
      <alignment vertical="center"/>
    </xf>
    <xf numFmtId="184" fontId="8" fillId="2" borderId="0" xfId="0" applyNumberFormat="1" applyFont="1" applyFill="1" applyAlignment="1">
      <alignment vertical="center"/>
    </xf>
    <xf numFmtId="184" fontId="8" fillId="2" borderId="52" xfId="0" applyNumberFormat="1" applyFont="1" applyFill="1" applyBorder="1" applyAlignment="1">
      <alignment vertical="center"/>
    </xf>
    <xf numFmtId="184" fontId="80" fillId="2" borderId="20" xfId="0" applyNumberFormat="1" applyFont="1" applyFill="1" applyBorder="1" applyAlignment="1">
      <alignment horizontal="right" vertical="center"/>
    </xf>
    <xf numFmtId="184" fontId="80" fillId="2" borderId="54" xfId="0" applyNumberFormat="1" applyFont="1" applyFill="1" applyBorder="1" applyAlignment="1">
      <alignment horizontal="right" vertical="center"/>
    </xf>
    <xf numFmtId="170" fontId="8" fillId="24" borderId="65" xfId="0" applyNumberFormat="1" applyFont="1" applyFill="1" applyBorder="1"/>
    <xf numFmtId="170" fontId="82" fillId="24" borderId="120" xfId="0" applyNumberFormat="1" applyFont="1" applyFill="1" applyBorder="1" applyAlignment="1">
      <alignment horizontal="right" vertical="top"/>
    </xf>
    <xf numFmtId="170" fontId="82" fillId="24" borderId="22" xfId="0" applyNumberFormat="1" applyFont="1" applyFill="1" applyBorder="1" applyAlignment="1">
      <alignment horizontal="right" vertical="top"/>
    </xf>
    <xf numFmtId="170" fontId="82" fillId="24" borderId="93" xfId="0" applyNumberFormat="1" applyFont="1" applyFill="1" applyBorder="1" applyAlignment="1">
      <alignment horizontal="right" vertical="top"/>
    </xf>
    <xf numFmtId="170" fontId="82" fillId="24" borderId="3" xfId="0" applyNumberFormat="1" applyFont="1" applyFill="1" applyBorder="1" applyAlignment="1">
      <alignment horizontal="right" vertical="top"/>
    </xf>
    <xf numFmtId="170" fontId="80" fillId="24" borderId="52" xfId="0" applyNumberFormat="1" applyFont="1" applyFill="1" applyBorder="1" applyAlignment="1">
      <alignment horizontal="right" vertical="top"/>
    </xf>
    <xf numFmtId="170" fontId="80" fillId="24" borderId="0" xfId="0" applyNumberFormat="1" applyFont="1" applyFill="1" applyAlignment="1">
      <alignment horizontal="right" vertical="top"/>
    </xf>
    <xf numFmtId="170" fontId="8" fillId="24" borderId="77" xfId="0" applyNumberFormat="1" applyFont="1" applyFill="1" applyBorder="1"/>
    <xf numFmtId="170" fontId="8" fillId="24" borderId="76" xfId="0" applyNumberFormat="1" applyFont="1" applyFill="1" applyBorder="1"/>
    <xf numFmtId="170" fontId="82" fillId="24" borderId="80" xfId="0" applyNumberFormat="1" applyFont="1" applyFill="1" applyBorder="1" applyAlignment="1">
      <alignment horizontal="right" vertical="top"/>
    </xf>
    <xf numFmtId="170" fontId="82" fillId="24" borderId="79" xfId="0" applyNumberFormat="1" applyFont="1" applyFill="1" applyBorder="1" applyAlignment="1">
      <alignment horizontal="right" vertical="top"/>
    </xf>
    <xf numFmtId="184" fontId="8" fillId="2" borderId="52" xfId="0" applyNumberFormat="1" applyFont="1" applyFill="1" applyBorder="1"/>
    <xf numFmtId="184" fontId="8" fillId="2" borderId="53" xfId="0" applyNumberFormat="1" applyFont="1" applyFill="1" applyBorder="1"/>
    <xf numFmtId="184" fontId="82" fillId="2" borderId="20" xfId="0" applyNumberFormat="1" applyFont="1" applyFill="1" applyBorder="1" applyAlignment="1">
      <alignment horizontal="right" vertical="top"/>
    </xf>
    <xf numFmtId="184" fontId="82" fillId="2" borderId="54" xfId="0" applyNumberFormat="1" applyFont="1" applyFill="1" applyBorder="1" applyAlignment="1">
      <alignment horizontal="right" vertical="top"/>
    </xf>
    <xf numFmtId="184" fontId="82" fillId="2" borderId="55" xfId="0" applyNumberFormat="1" applyFont="1" applyFill="1" applyBorder="1" applyAlignment="1">
      <alignment horizontal="right" vertical="top"/>
    </xf>
    <xf numFmtId="184" fontId="82" fillId="2" borderId="20" xfId="0" applyNumberFormat="1" applyFont="1" applyFill="1" applyBorder="1" applyAlignment="1">
      <alignment horizontal="right" vertical="center"/>
    </xf>
    <xf numFmtId="170" fontId="83" fillId="24" borderId="0" xfId="0" applyNumberFormat="1" applyFont="1" applyFill="1" applyAlignment="1">
      <alignment horizontal="center" vertical="center"/>
    </xf>
    <xf numFmtId="181" fontId="8" fillId="2" borderId="53" xfId="0" applyNumberFormat="1" applyFont="1" applyFill="1" applyBorder="1"/>
    <xf numFmtId="181" fontId="82" fillId="2" borderId="53" xfId="0" applyNumberFormat="1" applyFont="1" applyFill="1" applyBorder="1" applyAlignment="1">
      <alignment horizontal="right" vertical="top"/>
    </xf>
    <xf numFmtId="0" fontId="82" fillId="2" borderId="68" xfId="0" applyFont="1" applyFill="1" applyBorder="1" applyAlignment="1">
      <alignment horizontal="left" vertical="top" wrapText="1"/>
    </xf>
    <xf numFmtId="170" fontId="82" fillId="24" borderId="3" xfId="0" applyNumberFormat="1" applyFont="1" applyFill="1" applyBorder="1" applyAlignment="1">
      <alignment horizontal="right" vertical="center"/>
    </xf>
    <xf numFmtId="170" fontId="82" fillId="24" borderId="122" xfId="0" applyNumberFormat="1" applyFont="1" applyFill="1" applyBorder="1" applyAlignment="1">
      <alignment horizontal="right" vertical="center"/>
    </xf>
    <xf numFmtId="170" fontId="82" fillId="24" borderId="90" xfId="0" applyNumberFormat="1" applyFont="1" applyFill="1" applyBorder="1" applyAlignment="1">
      <alignment horizontal="right" vertical="center"/>
    </xf>
    <xf numFmtId="170" fontId="82" fillId="24" borderId="125" xfId="0" applyNumberFormat="1" applyFont="1" applyFill="1" applyBorder="1" applyAlignment="1">
      <alignment horizontal="right" vertical="center"/>
    </xf>
    <xf numFmtId="170" fontId="82" fillId="24" borderId="22" xfId="0" applyNumberFormat="1" applyFont="1" applyFill="1" applyBorder="1" applyAlignment="1">
      <alignment horizontal="right" vertical="center"/>
    </xf>
    <xf numFmtId="170" fontId="82" fillId="24" borderId="0" xfId="0" applyNumberFormat="1" applyFont="1" applyFill="1" applyAlignment="1">
      <alignment horizontal="right" vertical="center"/>
    </xf>
    <xf numFmtId="170" fontId="82" fillId="24" borderId="98" xfId="0" applyNumberFormat="1" applyFont="1" applyFill="1" applyBorder="1" applyAlignment="1">
      <alignment horizontal="right" vertical="center"/>
    </xf>
    <xf numFmtId="170" fontId="82" fillId="24" borderId="95" xfId="0" applyNumberFormat="1" applyFont="1" applyFill="1" applyBorder="1" applyAlignment="1">
      <alignment horizontal="right" vertical="center"/>
    </xf>
    <xf numFmtId="184" fontId="82" fillId="2" borderId="98" xfId="0" applyNumberFormat="1" applyFont="1" applyFill="1" applyBorder="1" applyAlignment="1">
      <alignment horizontal="right" vertical="center"/>
    </xf>
    <xf numFmtId="184" fontId="82" fillId="2" borderId="99" xfId="0" applyNumberFormat="1" applyFont="1" applyFill="1" applyBorder="1" applyAlignment="1">
      <alignment horizontal="right" vertical="center"/>
    </xf>
    <xf numFmtId="184" fontId="82" fillId="2" borderId="100" xfId="0" applyNumberFormat="1" applyFont="1" applyFill="1" applyBorder="1" applyAlignment="1">
      <alignment horizontal="right" vertical="center"/>
    </xf>
    <xf numFmtId="184" fontId="82" fillId="2" borderId="95" xfId="0" applyNumberFormat="1" applyFont="1" applyFill="1" applyBorder="1" applyAlignment="1">
      <alignment horizontal="right" vertical="center"/>
    </xf>
    <xf numFmtId="184" fontId="82" fillId="2" borderId="96" xfId="0" applyNumberFormat="1" applyFont="1" applyFill="1" applyBorder="1" applyAlignment="1">
      <alignment horizontal="right" vertical="center"/>
    </xf>
    <xf numFmtId="184" fontId="82" fillId="2" borderId="97" xfId="0" applyNumberFormat="1" applyFont="1" applyFill="1" applyBorder="1" applyAlignment="1">
      <alignment horizontal="right" vertical="center"/>
    </xf>
    <xf numFmtId="184" fontId="82" fillId="8" borderId="95" xfId="0" applyNumberFormat="1" applyFont="1" applyFill="1" applyBorder="1" applyAlignment="1">
      <alignment horizontal="right" vertical="center"/>
    </xf>
    <xf numFmtId="184" fontId="82" fillId="8" borderId="96" xfId="0" applyNumberFormat="1" applyFont="1" applyFill="1" applyBorder="1" applyAlignment="1">
      <alignment horizontal="right" vertical="center"/>
    </xf>
    <xf numFmtId="184" fontId="82" fillId="8" borderId="97" xfId="0" applyNumberFormat="1" applyFont="1" applyFill="1" applyBorder="1" applyAlignment="1">
      <alignment horizontal="right" vertical="center"/>
    </xf>
    <xf numFmtId="184" fontId="82" fillId="2" borderId="87" xfId="0" applyNumberFormat="1" applyFont="1" applyFill="1" applyBorder="1" applyAlignment="1">
      <alignment horizontal="right" vertical="top"/>
    </xf>
    <xf numFmtId="184" fontId="82" fillId="2" borderId="88" xfId="0" applyNumberFormat="1" applyFont="1" applyFill="1" applyBorder="1" applyAlignment="1">
      <alignment horizontal="right" vertical="top"/>
    </xf>
    <xf numFmtId="184" fontId="82" fillId="2" borderId="90" xfId="0" applyNumberFormat="1" applyFont="1" applyFill="1" applyBorder="1" applyAlignment="1">
      <alignment horizontal="right" vertical="top"/>
    </xf>
    <xf numFmtId="184" fontId="82" fillId="2" borderId="91" xfId="0" applyNumberFormat="1" applyFont="1" applyFill="1" applyBorder="1" applyAlignment="1">
      <alignment horizontal="right" vertical="top"/>
    </xf>
    <xf numFmtId="184" fontId="85" fillId="4" borderId="3" xfId="0" applyNumberFormat="1" applyFont="1" applyFill="1" applyBorder="1" applyAlignment="1">
      <alignment horizontal="center" vertical="top"/>
    </xf>
    <xf numFmtId="184" fontId="85" fillId="4" borderId="93" xfId="0" applyNumberFormat="1" applyFont="1" applyFill="1" applyBorder="1" applyAlignment="1">
      <alignment horizontal="center" vertical="top"/>
    </xf>
    <xf numFmtId="184" fontId="82" fillId="2" borderId="3" xfId="0" applyNumberFormat="1" applyFont="1" applyFill="1" applyBorder="1" applyAlignment="1">
      <alignment horizontal="right" vertical="top"/>
    </xf>
    <xf numFmtId="184" fontId="82" fillId="2" borderId="93" xfId="0" applyNumberFormat="1" applyFont="1" applyFill="1" applyBorder="1" applyAlignment="1">
      <alignment horizontal="right" vertical="top"/>
    </xf>
    <xf numFmtId="184" fontId="82" fillId="16" borderId="0" xfId="0" applyNumberFormat="1" applyFont="1" applyFill="1" applyAlignment="1">
      <alignment horizontal="right" vertical="top"/>
    </xf>
    <xf numFmtId="184" fontId="82" fillId="16" borderId="52" xfId="0" applyNumberFormat="1" applyFont="1" applyFill="1" applyBorder="1" applyAlignment="1">
      <alignment horizontal="right" vertical="top"/>
    </xf>
    <xf numFmtId="184" fontId="82" fillId="10" borderId="0" xfId="0" applyNumberFormat="1" applyFont="1" applyFill="1" applyAlignment="1">
      <alignment horizontal="right" vertical="top"/>
    </xf>
    <xf numFmtId="184" fontId="82" fillId="10" borderId="52" xfId="0" applyNumberFormat="1" applyFont="1" applyFill="1" applyBorder="1" applyAlignment="1">
      <alignment horizontal="right" vertical="top"/>
    </xf>
    <xf numFmtId="184" fontId="80" fillId="2" borderId="20" xfId="0" applyNumberFormat="1" applyFont="1" applyFill="1" applyBorder="1" applyAlignment="1">
      <alignment horizontal="center" vertical="top"/>
    </xf>
    <xf numFmtId="184" fontId="80" fillId="2" borderId="54" xfId="0" applyNumberFormat="1" applyFont="1" applyFill="1" applyBorder="1" applyAlignment="1">
      <alignment horizontal="center" vertical="top"/>
    </xf>
    <xf numFmtId="184" fontId="82" fillId="2" borderId="89" xfId="0" applyNumberFormat="1" applyFont="1" applyFill="1" applyBorder="1" applyAlignment="1">
      <alignment horizontal="right" vertical="top"/>
    </xf>
    <xf numFmtId="184" fontId="82" fillId="2" borderId="92" xfId="0" applyNumberFormat="1" applyFont="1" applyFill="1" applyBorder="1" applyAlignment="1">
      <alignment horizontal="right" vertical="top"/>
    </xf>
    <xf numFmtId="184" fontId="85" fillId="4" borderId="94" xfId="0" applyNumberFormat="1" applyFont="1" applyFill="1" applyBorder="1" applyAlignment="1">
      <alignment horizontal="center" vertical="top"/>
    </xf>
    <xf numFmtId="184" fontId="82" fillId="2" borderId="94" xfId="0" applyNumberFormat="1" applyFont="1" applyFill="1" applyBorder="1" applyAlignment="1">
      <alignment horizontal="right" vertical="top"/>
    </xf>
    <xf numFmtId="184" fontId="82" fillId="16" borderId="53" xfId="0" applyNumberFormat="1" applyFont="1" applyFill="1" applyBorder="1" applyAlignment="1">
      <alignment horizontal="right" vertical="top"/>
    </xf>
    <xf numFmtId="184" fontId="82" fillId="10" borderId="53" xfId="0" applyNumberFormat="1" applyFont="1" applyFill="1" applyBorder="1" applyAlignment="1">
      <alignment horizontal="right" vertical="top"/>
    </xf>
    <xf numFmtId="184" fontId="80" fillId="2" borderId="55" xfId="0" applyNumberFormat="1" applyFont="1" applyFill="1" applyBorder="1" applyAlignment="1">
      <alignment horizontal="center" vertical="top"/>
    </xf>
    <xf numFmtId="170" fontId="82" fillId="24" borderId="87" xfId="0" applyNumberFormat="1" applyFont="1" applyFill="1" applyBorder="1" applyAlignment="1">
      <alignment horizontal="right" vertical="top"/>
    </xf>
    <xf numFmtId="170" fontId="85" fillId="24" borderId="3" xfId="0" applyNumberFormat="1" applyFont="1" applyFill="1" applyBorder="1" applyAlignment="1">
      <alignment horizontal="center" vertical="top"/>
    </xf>
    <xf numFmtId="170" fontId="80" fillId="24" borderId="20" xfId="0" applyNumberFormat="1" applyFont="1" applyFill="1" applyBorder="1" applyAlignment="1">
      <alignment horizontal="center" vertical="top"/>
    </xf>
    <xf numFmtId="0" fontId="49" fillId="4" borderId="0" xfId="0" applyFont="1" applyFill="1" applyAlignment="1">
      <alignment vertical="top"/>
    </xf>
    <xf numFmtId="0" fontId="49" fillId="11" borderId="0" xfId="0" applyFont="1" applyFill="1" applyAlignment="1">
      <alignment vertical="top"/>
    </xf>
    <xf numFmtId="184" fontId="49" fillId="11" borderId="0" xfId="0" applyNumberFormat="1" applyFont="1" applyFill="1" applyAlignment="1">
      <alignment horizontal="center" vertical="top"/>
    </xf>
    <xf numFmtId="165" fontId="139" fillId="2" borderId="0" xfId="0" applyNumberFormat="1" applyFont="1" applyFill="1" applyAlignment="1">
      <alignment vertical="top"/>
    </xf>
    <xf numFmtId="170" fontId="49" fillId="11" borderId="0" xfId="0" applyNumberFormat="1" applyFont="1" applyFill="1" applyAlignment="1">
      <alignment horizontal="center" vertical="top"/>
    </xf>
    <xf numFmtId="184" fontId="47" fillId="23" borderId="0" xfId="0" applyNumberFormat="1" applyFont="1" applyFill="1" applyAlignment="1">
      <alignment horizontal="center" vertical="top"/>
    </xf>
    <xf numFmtId="184" fontId="50" fillId="11" borderId="0" xfId="0" applyNumberFormat="1" applyFont="1" applyFill="1" applyAlignment="1">
      <alignment horizontal="right" vertical="top"/>
    </xf>
    <xf numFmtId="184" fontId="50" fillId="23" borderId="0" xfId="0" applyNumberFormat="1" applyFont="1" applyFill="1" applyAlignment="1">
      <alignment horizontal="right" vertical="top"/>
    </xf>
    <xf numFmtId="184" fontId="50" fillId="23" borderId="0" xfId="0" applyNumberFormat="1" applyFont="1" applyFill="1" applyAlignment="1">
      <alignment horizontal="center" vertical="top"/>
    </xf>
    <xf numFmtId="184" fontId="48" fillId="23" borderId="0" xfId="0" applyNumberFormat="1" applyFont="1" applyFill="1" applyAlignment="1">
      <alignment horizontal="center" vertical="top"/>
    </xf>
    <xf numFmtId="184" fontId="48" fillId="2" borderId="0" xfId="0" applyNumberFormat="1" applyFont="1" applyFill="1"/>
    <xf numFmtId="184" fontId="79" fillId="2" borderId="0" xfId="0" applyNumberFormat="1" applyFont="1" applyFill="1"/>
    <xf numFmtId="184" fontId="47" fillId="2" borderId="0" xfId="0" applyNumberFormat="1" applyFont="1" applyFill="1"/>
    <xf numFmtId="176" fontId="47" fillId="9" borderId="34" xfId="1" applyNumberFormat="1" applyFont="1" applyFill="1" applyBorder="1" applyAlignment="1">
      <alignment horizontal="center" vertical="top"/>
    </xf>
    <xf numFmtId="176" fontId="49" fillId="2" borderId="0" xfId="1" applyNumberFormat="1" applyFont="1" applyFill="1" applyAlignment="1">
      <alignment vertical="top"/>
    </xf>
    <xf numFmtId="176" fontId="47" fillId="11" borderId="0" xfId="1" applyNumberFormat="1" applyFont="1" applyFill="1" applyAlignment="1">
      <alignment horizontal="center" vertical="top"/>
    </xf>
    <xf numFmtId="176" fontId="50" fillId="11" borderId="0" xfId="1" applyNumberFormat="1" applyFont="1" applyFill="1" applyAlignment="1">
      <alignment horizontal="center" vertical="top"/>
    </xf>
    <xf numFmtId="176" fontId="47" fillId="2" borderId="0" xfId="0" applyNumberFormat="1" applyFont="1" applyFill="1"/>
    <xf numFmtId="176" fontId="49" fillId="11" borderId="0" xfId="1" applyNumberFormat="1" applyFont="1" applyFill="1" applyAlignment="1">
      <alignment horizontal="center" vertical="top"/>
    </xf>
    <xf numFmtId="176" fontId="49" fillId="2" borderId="34" xfId="1" applyNumberFormat="1" applyFont="1" applyFill="1" applyBorder="1" applyAlignment="1">
      <alignment horizontal="center" vertical="top"/>
    </xf>
    <xf numFmtId="176" fontId="47" fillId="23" borderId="0" xfId="1" applyNumberFormat="1" applyFont="1" applyFill="1" applyAlignment="1">
      <alignment horizontal="center" vertical="top"/>
    </xf>
    <xf numFmtId="176" fontId="50" fillId="23" borderId="0" xfId="1" applyNumberFormat="1" applyFont="1" applyFill="1" applyAlignment="1">
      <alignment horizontal="center" vertical="top"/>
    </xf>
    <xf numFmtId="176" fontId="48" fillId="11" borderId="0" xfId="1" applyNumberFormat="1" applyFont="1" applyFill="1" applyAlignment="1">
      <alignment horizontal="center" vertical="top"/>
    </xf>
    <xf numFmtId="176" fontId="48" fillId="23" borderId="0" xfId="1" applyNumberFormat="1" applyFont="1" applyFill="1" applyAlignment="1">
      <alignment horizontal="center" vertical="top"/>
    </xf>
    <xf numFmtId="176" fontId="51" fillId="11" borderId="0" xfId="1" applyNumberFormat="1" applyFont="1" applyFill="1" applyAlignment="1">
      <alignment horizontal="center" vertical="top"/>
    </xf>
    <xf numFmtId="176" fontId="51" fillId="23" borderId="0" xfId="1" applyNumberFormat="1" applyFont="1" applyFill="1" applyAlignment="1">
      <alignment horizontal="center" vertical="top"/>
    </xf>
    <xf numFmtId="176" fontId="47" fillId="9" borderId="0" xfId="1" applyNumberFormat="1" applyFont="1" applyFill="1" applyAlignment="1">
      <alignment horizontal="center" vertical="top"/>
    </xf>
    <xf numFmtId="184" fontId="47" fillId="9" borderId="34" xfId="0" applyNumberFormat="1" applyFont="1" applyFill="1" applyBorder="1"/>
    <xf numFmtId="3" fontId="8" fillId="4" borderId="0" xfId="0" applyNumberFormat="1" applyFont="1" applyFill="1"/>
    <xf numFmtId="187" fontId="89" fillId="2" borderId="0" xfId="0" applyNumberFormat="1" applyFont="1" applyFill="1"/>
    <xf numFmtId="0" fontId="1" fillId="25" borderId="171" xfId="0" applyFont="1" applyFill="1" applyBorder="1"/>
    <xf numFmtId="0" fontId="4" fillId="25" borderId="172" xfId="0" applyFont="1" applyFill="1" applyBorder="1" applyAlignment="1">
      <alignment horizontal="center"/>
    </xf>
    <xf numFmtId="0" fontId="8" fillId="25" borderId="173" xfId="0" applyFont="1" applyFill="1" applyBorder="1"/>
    <xf numFmtId="184" fontId="1" fillId="9" borderId="0" xfId="0" applyNumberFormat="1" applyFont="1" applyFill="1"/>
    <xf numFmtId="184" fontId="5" fillId="9" borderId="0" xfId="0" applyNumberFormat="1" applyFont="1" applyFill="1"/>
    <xf numFmtId="184" fontId="1" fillId="2" borderId="0" xfId="0" applyNumberFormat="1" applyFont="1" applyFill="1" applyAlignment="1">
      <alignment horizontal="right"/>
    </xf>
    <xf numFmtId="184" fontId="1" fillId="2" borderId="0" xfId="0" applyNumberFormat="1" applyFont="1" applyFill="1" applyAlignment="1">
      <alignment horizontal="center"/>
    </xf>
    <xf numFmtId="184" fontId="2" fillId="2" borderId="1" xfId="0" applyNumberFormat="1" applyFont="1" applyFill="1" applyBorder="1"/>
    <xf numFmtId="184" fontId="2" fillId="2" borderId="1" xfId="0" applyNumberFormat="1" applyFont="1" applyFill="1" applyBorder="1" applyAlignment="1">
      <alignment vertical="top"/>
    </xf>
    <xf numFmtId="184" fontId="2" fillId="2" borderId="20" xfId="0" applyNumberFormat="1" applyFont="1" applyFill="1" applyBorder="1" applyAlignment="1">
      <alignment horizontal="center" vertical="center"/>
    </xf>
    <xf numFmtId="184" fontId="1" fillId="4" borderId="140" xfId="0" applyNumberFormat="1" applyFont="1" applyFill="1" applyBorder="1" applyAlignment="1">
      <alignment horizontal="center" vertical="center"/>
    </xf>
    <xf numFmtId="184" fontId="1" fillId="4" borderId="143" xfId="0" applyNumberFormat="1" applyFont="1" applyFill="1" applyBorder="1" applyAlignment="1">
      <alignment horizontal="right"/>
    </xf>
    <xf numFmtId="184" fontId="2" fillId="2" borderId="46" xfId="0" applyNumberFormat="1" applyFont="1" applyFill="1" applyBorder="1" applyAlignment="1">
      <alignment horizontal="center" vertical="center"/>
    </xf>
    <xf numFmtId="184" fontId="79" fillId="2" borderId="0" xfId="0" applyNumberFormat="1" applyFont="1" applyFill="1" applyAlignment="1">
      <alignment horizontal="center" vertical="center"/>
    </xf>
    <xf numFmtId="184" fontId="1" fillId="2" borderId="0" xfId="0" applyNumberFormat="1" applyFont="1" applyFill="1"/>
    <xf numFmtId="184" fontId="102" fillId="4" borderId="0" xfId="0" applyNumberFormat="1" applyFont="1" applyFill="1" applyAlignment="1">
      <alignment horizontal="center"/>
    </xf>
    <xf numFmtId="184" fontId="2" fillId="9" borderId="20" xfId="0" applyNumberFormat="1" applyFont="1" applyFill="1" applyBorder="1" applyAlignment="1">
      <alignment horizontal="center" vertical="center"/>
    </xf>
    <xf numFmtId="3" fontId="92" fillId="9" borderId="0" xfId="0" applyNumberFormat="1" applyFont="1" applyFill="1" applyAlignment="1">
      <alignment horizontal="center" vertical="top"/>
    </xf>
    <xf numFmtId="3" fontId="105" fillId="2" borderId="0" xfId="0" applyNumberFormat="1" applyFont="1" applyFill="1"/>
    <xf numFmtId="3" fontId="105" fillId="2" borderId="0" xfId="0" applyNumberFormat="1" applyFont="1" applyFill="1" applyAlignment="1">
      <alignment vertical="top"/>
    </xf>
    <xf numFmtId="3" fontId="92" fillId="13" borderId="0" xfId="0" applyNumberFormat="1" applyFont="1" applyFill="1" applyAlignment="1">
      <alignment vertical="top"/>
    </xf>
    <xf numFmtId="178" fontId="92" fillId="9" borderId="0" xfId="0" applyNumberFormat="1" applyFont="1" applyFill="1" applyAlignment="1">
      <alignment horizontal="right" vertical="center"/>
    </xf>
    <xf numFmtId="174" fontId="2" fillId="2" borderId="0" xfId="0" applyNumberFormat="1" applyFont="1" applyFill="1" applyAlignment="1">
      <alignment vertical="top"/>
    </xf>
    <xf numFmtId="174" fontId="2" fillId="2" borderId="0" xfId="0" applyNumberFormat="1" applyFont="1" applyFill="1" applyAlignment="1">
      <alignment horizontal="center" vertical="center"/>
    </xf>
    <xf numFmtId="0" fontId="0" fillId="0" borderId="0" xfId="0" applyAlignment="1">
      <alignment horizontal="right" vertical="center"/>
    </xf>
    <xf numFmtId="0" fontId="0" fillId="0" borderId="0" xfId="0" applyAlignment="1">
      <alignment horizontal="center"/>
    </xf>
    <xf numFmtId="174" fontId="102" fillId="2" borderId="0" xfId="0" applyNumberFormat="1" applyFont="1" applyFill="1" applyAlignment="1">
      <alignment horizontal="right"/>
    </xf>
    <xf numFmtId="174" fontId="2" fillId="2" borderId="0" xfId="0" applyNumberFormat="1" applyFont="1" applyFill="1" applyAlignment="1">
      <alignment horizontal="right"/>
    </xf>
    <xf numFmtId="174" fontId="1" fillId="4" borderId="0" xfId="0" applyNumberFormat="1" applyFont="1" applyFill="1" applyAlignment="1">
      <alignment horizontal="center"/>
    </xf>
    <xf numFmtId="3" fontId="114" fillId="24" borderId="0" xfId="0" applyNumberFormat="1" applyFont="1" applyFill="1" applyAlignment="1">
      <alignment horizontal="center" vertical="top"/>
    </xf>
    <xf numFmtId="3" fontId="114" fillId="24" borderId="22" xfId="0" applyNumberFormat="1" applyFont="1" applyFill="1" applyBorder="1" applyAlignment="1">
      <alignment horizontal="center" vertical="top"/>
    </xf>
    <xf numFmtId="49" fontId="120" fillId="2" borderId="0" xfId="0" applyNumberFormat="1" applyFont="1" applyFill="1" applyAlignment="1">
      <alignment horizontal="left"/>
    </xf>
    <xf numFmtId="49" fontId="120" fillId="4" borderId="0" xfId="0" applyNumberFormat="1" applyFont="1" applyFill="1" applyAlignment="1">
      <alignment horizontal="left"/>
    </xf>
    <xf numFmtId="170" fontId="102" fillId="4" borderId="0" xfId="0" applyNumberFormat="1" applyFont="1" applyFill="1" applyAlignment="1">
      <alignment horizontal="center"/>
    </xf>
    <xf numFmtId="174" fontId="102" fillId="4" borderId="0" xfId="0" applyNumberFormat="1" applyFont="1" applyFill="1" applyAlignment="1">
      <alignment horizontal="center"/>
    </xf>
    <xf numFmtId="170" fontId="102" fillId="4" borderId="0" xfId="0" applyNumberFormat="1" applyFont="1" applyFill="1"/>
    <xf numFmtId="174" fontId="102" fillId="4" borderId="0" xfId="0" applyNumberFormat="1" applyFont="1" applyFill="1" applyAlignment="1">
      <alignment horizontal="right"/>
    </xf>
    <xf numFmtId="3" fontId="92" fillId="24" borderId="0" xfId="0" applyNumberFormat="1" applyFont="1" applyFill="1" applyAlignment="1">
      <alignment vertical="top"/>
    </xf>
    <xf numFmtId="3" fontId="92" fillId="24" borderId="22" xfId="0" applyNumberFormat="1" applyFont="1" applyFill="1" applyBorder="1" applyAlignment="1">
      <alignment vertical="top"/>
    </xf>
    <xf numFmtId="0" fontId="140" fillId="2" borderId="33" xfId="0" applyFont="1" applyFill="1" applyBorder="1" applyAlignment="1">
      <alignment vertical="top"/>
    </xf>
    <xf numFmtId="0" fontId="140" fillId="2" borderId="2" xfId="0" applyFont="1" applyFill="1" applyBorder="1"/>
    <xf numFmtId="49" fontId="24" fillId="4" borderId="0" xfId="0" applyNumberFormat="1" applyFont="1" applyFill="1" applyAlignment="1">
      <alignment horizontal="left"/>
    </xf>
    <xf numFmtId="3" fontId="1" fillId="4" borderId="0" xfId="0" applyNumberFormat="1" applyFont="1" applyFill="1" applyAlignment="1">
      <alignment horizontal="left"/>
    </xf>
    <xf numFmtId="170" fontId="1" fillId="4" borderId="0" xfId="0" applyNumberFormat="1" applyFont="1" applyFill="1" applyAlignment="1">
      <alignment horizontal="center"/>
    </xf>
    <xf numFmtId="49" fontId="24" fillId="4" borderId="1" xfId="0" applyNumberFormat="1" applyFont="1" applyFill="1" applyBorder="1" applyAlignment="1">
      <alignment horizontal="left"/>
    </xf>
    <xf numFmtId="3" fontId="1" fillId="4" borderId="1" xfId="0" applyNumberFormat="1" applyFont="1" applyFill="1" applyBorder="1" applyAlignment="1">
      <alignment horizontal="left"/>
    </xf>
    <xf numFmtId="170" fontId="1" fillId="4" borderId="1" xfId="0" applyNumberFormat="1" applyFont="1" applyFill="1" applyBorder="1" applyAlignment="1">
      <alignment horizontal="center"/>
    </xf>
    <xf numFmtId="174" fontId="1" fillId="4" borderId="1" xfId="0" applyNumberFormat="1" applyFont="1" applyFill="1" applyBorder="1" applyAlignment="1">
      <alignment horizontal="center"/>
    </xf>
    <xf numFmtId="49" fontId="24" fillId="2" borderId="20" xfId="0" applyNumberFormat="1" applyFont="1" applyFill="1" applyBorder="1" applyAlignment="1">
      <alignment horizontal="left"/>
    </xf>
    <xf numFmtId="3" fontId="1" fillId="2" borderId="20" xfId="0" applyNumberFormat="1" applyFont="1" applyFill="1" applyBorder="1" applyAlignment="1">
      <alignment horizontal="left"/>
    </xf>
    <xf numFmtId="174" fontId="1" fillId="2" borderId="20" xfId="0" applyNumberFormat="1" applyFont="1" applyFill="1" applyBorder="1" applyAlignment="1">
      <alignment horizontal="center"/>
    </xf>
    <xf numFmtId="1" fontId="1" fillId="2" borderId="0" xfId="0" applyNumberFormat="1" applyFont="1" applyFill="1"/>
    <xf numFmtId="172" fontId="26" fillId="9" borderId="0" xfId="0" applyNumberFormat="1" applyFont="1" applyFill="1"/>
    <xf numFmtId="1" fontId="30" fillId="2" borderId="0" xfId="0" applyNumberFormat="1" applyFont="1" applyFill="1"/>
    <xf numFmtId="184" fontId="2" fillId="2" borderId="0" xfId="0" applyNumberFormat="1" applyFont="1" applyFill="1"/>
    <xf numFmtId="184" fontId="2" fillId="2" borderId="0" xfId="0" applyNumberFormat="1" applyFont="1" applyFill="1" applyAlignment="1">
      <alignment vertical="top"/>
    </xf>
    <xf numFmtId="184" fontId="2" fillId="2" borderId="0" xfId="0" applyNumberFormat="1" applyFont="1" applyFill="1" applyAlignment="1">
      <alignment horizontal="center" vertical="center"/>
    </xf>
    <xf numFmtId="184" fontId="1" fillId="4" borderId="0" xfId="0" applyNumberFormat="1" applyFont="1" applyFill="1" applyAlignment="1">
      <alignment horizontal="center" vertical="center"/>
    </xf>
    <xf numFmtId="184" fontId="1" fillId="4" borderId="0" xfId="0" applyNumberFormat="1" applyFont="1" applyFill="1" applyAlignment="1">
      <alignment horizontal="right"/>
    </xf>
    <xf numFmtId="173" fontId="2" fillId="2" borderId="0" xfId="0" applyNumberFormat="1" applyFont="1" applyFill="1" applyAlignment="1">
      <alignment horizontal="center"/>
    </xf>
    <xf numFmtId="177" fontId="2" fillId="9" borderId="0" xfId="0" applyNumberFormat="1" applyFont="1" applyFill="1" applyAlignment="1">
      <alignment horizontal="center"/>
    </xf>
    <xf numFmtId="184" fontId="2" fillId="9" borderId="0" xfId="0" applyNumberFormat="1" applyFont="1" applyFill="1" applyAlignment="1">
      <alignment horizontal="center" vertical="center"/>
    </xf>
    <xf numFmtId="172" fontId="2" fillId="2" borderId="0" xfId="0" applyNumberFormat="1" applyFont="1" applyFill="1" applyAlignment="1">
      <alignment horizontal="right" vertical="top"/>
    </xf>
    <xf numFmtId="172" fontId="2" fillId="2" borderId="0" xfId="0" applyNumberFormat="1" applyFont="1" applyFill="1" applyAlignment="1">
      <alignment horizontal="right" vertical="center"/>
    </xf>
    <xf numFmtId="172" fontId="1" fillId="2" borderId="0" xfId="0" applyNumberFormat="1" applyFont="1" applyFill="1" applyAlignment="1">
      <alignment horizontal="right" vertical="center"/>
    </xf>
    <xf numFmtId="0" fontId="0" fillId="2" borderId="0" xfId="0" applyFill="1" applyAlignment="1">
      <alignment horizontal="right" vertical="center"/>
    </xf>
    <xf numFmtId="0" fontId="30" fillId="2" borderId="0" xfId="0" applyFont="1" applyFill="1" applyAlignment="1">
      <alignment horizontal="center"/>
    </xf>
    <xf numFmtId="0" fontId="79" fillId="2" borderId="0" xfId="0" applyFont="1" applyFill="1" applyAlignment="1">
      <alignment horizontal="center"/>
    </xf>
    <xf numFmtId="0" fontId="79" fillId="2" borderId="0" xfId="0" applyFont="1" applyFill="1" applyAlignment="1">
      <alignment horizontal="center" vertical="top"/>
    </xf>
    <xf numFmtId="186" fontId="79" fillId="2" borderId="0" xfId="0" applyNumberFormat="1" applyFont="1" applyFill="1" applyAlignment="1">
      <alignment horizontal="center" vertical="center"/>
    </xf>
    <xf numFmtId="175" fontId="2" fillId="2" borderId="0" xfId="0" applyNumberFormat="1" applyFont="1" applyFill="1"/>
    <xf numFmtId="175" fontId="79" fillId="2" borderId="0" xfId="0" applyNumberFormat="1" applyFont="1" applyFill="1" applyAlignment="1">
      <alignment horizontal="center" vertical="center"/>
    </xf>
    <xf numFmtId="184" fontId="14" fillId="2" borderId="0" xfId="0" applyNumberFormat="1" applyFont="1" applyFill="1"/>
    <xf numFmtId="175" fontId="26" fillId="3" borderId="1" xfId="0" applyNumberFormat="1" applyFont="1" applyFill="1" applyBorder="1"/>
    <xf numFmtId="175" fontId="26" fillId="3" borderId="0" xfId="0" applyNumberFormat="1" applyFont="1" applyFill="1"/>
    <xf numFmtId="175" fontId="26" fillId="3" borderId="104" xfId="0" applyNumberFormat="1" applyFont="1" applyFill="1" applyBorder="1"/>
    <xf numFmtId="175" fontId="26" fillId="9" borderId="102" xfId="0" applyNumberFormat="1" applyFont="1" applyFill="1" applyBorder="1"/>
    <xf numFmtId="175" fontId="26" fillId="9" borderId="103" xfId="0" applyNumberFormat="1" applyFont="1" applyFill="1" applyBorder="1"/>
    <xf numFmtId="175" fontId="7" fillId="2" borderId="1" xfId="0" applyNumberFormat="1" applyFont="1" applyFill="1" applyBorder="1"/>
    <xf numFmtId="16" fontId="30" fillId="2" borderId="0" xfId="0" quotePrefix="1" applyNumberFormat="1" applyFont="1" applyFill="1" applyAlignment="1">
      <alignment horizontal="right"/>
    </xf>
    <xf numFmtId="188" fontId="79" fillId="2" borderId="0" xfId="0" applyNumberFormat="1" applyFont="1" applyFill="1"/>
    <xf numFmtId="170" fontId="90" fillId="26" borderId="0" xfId="0" applyNumberFormat="1" applyFont="1" applyFill="1" applyAlignment="1">
      <alignment vertical="center"/>
    </xf>
    <xf numFmtId="170" fontId="90" fillId="26" borderId="53" xfId="0" applyNumberFormat="1" applyFont="1" applyFill="1" applyBorder="1" applyAlignment="1">
      <alignment vertical="center"/>
    </xf>
    <xf numFmtId="170" fontId="82" fillId="26" borderId="0" xfId="0" applyNumberFormat="1" applyFont="1" applyFill="1" applyAlignment="1">
      <alignment vertical="center"/>
    </xf>
    <xf numFmtId="170" fontId="82" fillId="26" borderId="53" xfId="0" applyNumberFormat="1" applyFont="1" applyFill="1" applyBorder="1" applyAlignment="1">
      <alignment vertical="center"/>
    </xf>
    <xf numFmtId="179" fontId="82" fillId="2" borderId="0" xfId="0" applyNumberFormat="1" applyFont="1" applyFill="1" applyAlignment="1">
      <alignment horizontal="right" vertical="top"/>
    </xf>
    <xf numFmtId="179" fontId="82" fillId="2" borderId="52" xfId="0" applyNumberFormat="1" applyFont="1" applyFill="1" applyBorder="1" applyAlignment="1">
      <alignment horizontal="right" vertical="center"/>
    </xf>
    <xf numFmtId="179" fontId="82" fillId="2" borderId="0" xfId="0" applyNumberFormat="1" applyFont="1" applyFill="1" applyAlignment="1">
      <alignment horizontal="right" vertical="center"/>
    </xf>
    <xf numFmtId="179" fontId="82" fillId="2" borderId="53" xfId="0" applyNumberFormat="1" applyFont="1" applyFill="1" applyBorder="1" applyAlignment="1">
      <alignment horizontal="right" vertical="center"/>
    </xf>
    <xf numFmtId="179" fontId="8" fillId="4" borderId="0" xfId="0" applyNumberFormat="1" applyFont="1" applyFill="1" applyAlignment="1">
      <alignment horizontal="right" vertical="top"/>
    </xf>
    <xf numFmtId="179" fontId="8" fillId="4" borderId="52" xfId="0" applyNumberFormat="1" applyFont="1" applyFill="1" applyBorder="1" applyAlignment="1">
      <alignment horizontal="right" vertical="center"/>
    </xf>
    <xf numFmtId="179" fontId="8" fillId="4" borderId="0" xfId="0" applyNumberFormat="1" applyFont="1" applyFill="1" applyAlignment="1">
      <alignment horizontal="right" vertical="center"/>
    </xf>
    <xf numFmtId="179" fontId="8" fillId="4" borderId="53" xfId="0" applyNumberFormat="1" applyFont="1" applyFill="1" applyBorder="1" applyAlignment="1">
      <alignment horizontal="right" vertical="center"/>
    </xf>
    <xf numFmtId="179" fontId="80" fillId="2" borderId="1" xfId="0" applyNumberFormat="1" applyFont="1" applyFill="1" applyBorder="1" applyAlignment="1">
      <alignment horizontal="right" vertical="top"/>
    </xf>
    <xf numFmtId="179" fontId="80" fillId="2" borderId="65" xfId="0" applyNumberFormat="1" applyFont="1" applyFill="1" applyBorder="1" applyAlignment="1">
      <alignment horizontal="right" vertical="center"/>
    </xf>
    <xf numFmtId="179" fontId="80" fillId="2" borderId="1" xfId="0" applyNumberFormat="1" applyFont="1" applyFill="1" applyBorder="1" applyAlignment="1">
      <alignment horizontal="right" vertical="center"/>
    </xf>
    <xf numFmtId="179" fontId="80" fillId="2" borderId="66" xfId="0" applyNumberFormat="1" applyFont="1" applyFill="1" applyBorder="1" applyAlignment="1">
      <alignment horizontal="right" vertical="center"/>
    </xf>
    <xf numFmtId="179" fontId="82" fillId="2" borderId="95" xfId="0" applyNumberFormat="1" applyFont="1" applyFill="1" applyBorder="1" applyAlignment="1">
      <alignment horizontal="right" vertical="top"/>
    </xf>
    <xf numFmtId="179" fontId="82" fillId="2" borderId="96" xfId="0" applyNumberFormat="1" applyFont="1" applyFill="1" applyBorder="1" applyAlignment="1">
      <alignment horizontal="right" vertical="center"/>
    </xf>
    <xf numFmtId="179" fontId="82" fillId="2" borderId="95" xfId="0" applyNumberFormat="1" applyFont="1" applyFill="1" applyBorder="1" applyAlignment="1">
      <alignment horizontal="right" vertical="center"/>
    </xf>
    <xf numFmtId="179" fontId="82" fillId="2" borderId="97" xfId="0" applyNumberFormat="1" applyFont="1" applyFill="1" applyBorder="1" applyAlignment="1">
      <alignment horizontal="right" vertical="center"/>
    </xf>
    <xf numFmtId="179" fontId="82" fillId="26" borderId="95" xfId="0" applyNumberFormat="1" applyFont="1" applyFill="1" applyBorder="1" applyAlignment="1">
      <alignment horizontal="right" vertical="center"/>
    </xf>
    <xf numFmtId="179" fontId="82" fillId="26" borderId="97" xfId="0" applyNumberFormat="1" applyFont="1" applyFill="1" applyBorder="1" applyAlignment="1">
      <alignment horizontal="right" vertical="center"/>
    </xf>
    <xf numFmtId="179" fontId="82" fillId="2" borderId="76" xfId="0" applyNumberFormat="1" applyFont="1" applyFill="1" applyBorder="1" applyAlignment="1">
      <alignment horizontal="right" vertical="top"/>
    </xf>
    <xf numFmtId="179" fontId="82" fillId="2" borderId="77" xfId="0" applyNumberFormat="1" applyFont="1" applyFill="1" applyBorder="1" applyAlignment="1">
      <alignment horizontal="right" vertical="center"/>
    </xf>
    <xf numFmtId="179" fontId="82" fillId="2" borderId="76" xfId="0" applyNumberFormat="1" applyFont="1" applyFill="1" applyBorder="1" applyAlignment="1">
      <alignment horizontal="right" vertical="center"/>
    </xf>
    <xf numFmtId="179" fontId="82" fillId="2" borderId="78" xfId="0" applyNumberFormat="1" applyFont="1" applyFill="1" applyBorder="1" applyAlignment="1">
      <alignment horizontal="right" vertical="center"/>
    </xf>
    <xf numFmtId="179" fontId="82" fillId="4" borderId="140" xfId="0" applyNumberFormat="1" applyFont="1" applyFill="1" applyBorder="1" applyAlignment="1">
      <alignment horizontal="right" vertical="center"/>
    </xf>
    <xf numFmtId="179" fontId="82" fillId="4" borderId="141" xfId="0" applyNumberFormat="1" applyFont="1" applyFill="1" applyBorder="1" applyAlignment="1">
      <alignment horizontal="right" vertical="center"/>
    </xf>
    <xf numFmtId="179" fontId="82" fillId="4" borderId="142" xfId="0" applyNumberFormat="1" applyFont="1" applyFill="1" applyBorder="1" applyAlignment="1">
      <alignment horizontal="right" vertical="center"/>
    </xf>
    <xf numFmtId="179" fontId="82" fillId="4" borderId="2" xfId="0" applyNumberFormat="1" applyFont="1" applyFill="1" applyBorder="1" applyAlignment="1">
      <alignment horizontal="right" vertical="top"/>
    </xf>
    <xf numFmtId="179" fontId="82" fillId="4" borderId="71" xfId="0" applyNumberFormat="1" applyFont="1" applyFill="1" applyBorder="1" applyAlignment="1">
      <alignment horizontal="right" vertical="center"/>
    </xf>
    <xf numFmtId="179" fontId="82" fillId="4" borderId="2" xfId="0" applyNumberFormat="1" applyFont="1" applyFill="1" applyBorder="1" applyAlignment="1">
      <alignment horizontal="right" vertical="center"/>
    </xf>
    <xf numFmtId="179" fontId="82" fillId="4" borderId="154" xfId="0" applyNumberFormat="1" applyFont="1" applyFill="1" applyBorder="1" applyAlignment="1">
      <alignment horizontal="right" vertical="center"/>
    </xf>
    <xf numFmtId="179" fontId="80" fillId="2" borderId="2" xfId="0" applyNumberFormat="1" applyFont="1" applyFill="1" applyBorder="1" applyAlignment="1">
      <alignment horizontal="center" vertical="center"/>
    </xf>
    <xf numFmtId="179" fontId="80" fillId="2" borderId="71" xfId="0" applyNumberFormat="1" applyFont="1" applyFill="1" applyBorder="1" applyAlignment="1">
      <alignment horizontal="center" vertical="center"/>
    </xf>
    <xf numFmtId="179" fontId="80" fillId="2" borderId="72" xfId="0" applyNumberFormat="1" applyFont="1" applyFill="1" applyBorder="1" applyAlignment="1">
      <alignment horizontal="center" vertical="center"/>
    </xf>
    <xf numFmtId="179" fontId="82" fillId="2" borderId="62" xfId="0" applyNumberFormat="1" applyFont="1" applyFill="1" applyBorder="1" applyAlignment="1">
      <alignment horizontal="right" vertical="center"/>
    </xf>
    <xf numFmtId="179" fontId="82" fillId="2" borderId="63" xfId="0" applyNumberFormat="1" applyFont="1" applyFill="1" applyBorder="1" applyAlignment="1">
      <alignment horizontal="right" vertical="center"/>
    </xf>
    <xf numFmtId="179" fontId="82" fillId="2" borderId="64" xfId="0" applyNumberFormat="1" applyFont="1" applyFill="1" applyBorder="1" applyAlignment="1">
      <alignment horizontal="right" vertical="center"/>
    </xf>
    <xf numFmtId="49" fontId="4" fillId="23" borderId="20" xfId="0" applyNumberFormat="1" applyFont="1" applyFill="1" applyBorder="1" applyAlignment="1">
      <alignment horizontal="right" vertical="center"/>
    </xf>
    <xf numFmtId="179" fontId="80" fillId="23" borderId="20" xfId="0" applyNumberFormat="1" applyFont="1" applyFill="1" applyBorder="1" applyAlignment="1">
      <alignment horizontal="right" vertical="center"/>
    </xf>
    <xf numFmtId="179" fontId="80" fillId="23" borderId="54" xfId="0" applyNumberFormat="1" applyFont="1" applyFill="1" applyBorder="1" applyAlignment="1">
      <alignment horizontal="right" vertical="center"/>
    </xf>
    <xf numFmtId="179" fontId="80" fillId="23" borderId="55" xfId="0" applyNumberFormat="1" applyFont="1" applyFill="1" applyBorder="1" applyAlignment="1">
      <alignment horizontal="right" vertical="center"/>
    </xf>
    <xf numFmtId="0" fontId="141" fillId="23" borderId="20" xfId="0" applyFont="1" applyFill="1" applyBorder="1" applyAlignment="1">
      <alignment horizontal="left" vertical="center" wrapText="1"/>
    </xf>
    <xf numFmtId="184" fontId="1" fillId="23" borderId="0" xfId="0" applyNumberFormat="1" applyFont="1" applyFill="1" applyAlignment="1">
      <alignment horizontal="right"/>
    </xf>
    <xf numFmtId="49" fontId="24" fillId="23" borderId="0" xfId="0" applyNumberFormat="1" applyFont="1" applyFill="1" applyAlignment="1">
      <alignment horizontal="left"/>
    </xf>
    <xf numFmtId="3" fontId="1" fillId="23" borderId="0" xfId="0" applyNumberFormat="1" applyFont="1" applyFill="1" applyAlignment="1">
      <alignment horizontal="left"/>
    </xf>
    <xf numFmtId="184" fontId="64" fillId="23" borderId="0" xfId="0" applyNumberFormat="1" applyFont="1" applyFill="1" applyAlignment="1">
      <alignment horizontal="right"/>
    </xf>
    <xf numFmtId="170" fontId="1" fillId="24" borderId="0" xfId="0" applyNumberFormat="1" applyFont="1" applyFill="1" applyAlignment="1">
      <alignment horizontal="center"/>
    </xf>
    <xf numFmtId="173" fontId="1" fillId="24" borderId="0" xfId="0" applyNumberFormat="1" applyFont="1" applyFill="1" applyAlignment="1">
      <alignment horizontal="center"/>
    </xf>
    <xf numFmtId="170" fontId="1" fillId="24" borderId="128" xfId="0" applyNumberFormat="1" applyFont="1" applyFill="1" applyBorder="1" applyAlignment="1">
      <alignment horizontal="center"/>
    </xf>
    <xf numFmtId="170" fontId="1" fillId="24" borderId="129" xfId="0" applyNumberFormat="1" applyFont="1" applyFill="1" applyBorder="1" applyAlignment="1">
      <alignment horizontal="center"/>
    </xf>
    <xf numFmtId="170" fontId="2" fillId="24" borderId="1" xfId="0" applyNumberFormat="1" applyFont="1" applyFill="1" applyBorder="1" applyAlignment="1">
      <alignment horizontal="center"/>
    </xf>
    <xf numFmtId="170" fontId="2" fillId="24" borderId="20" xfId="0" applyNumberFormat="1" applyFont="1" applyFill="1" applyBorder="1" applyAlignment="1">
      <alignment horizontal="center"/>
    </xf>
    <xf numFmtId="175" fontId="1" fillId="24" borderId="0" xfId="0" applyNumberFormat="1" applyFont="1" applyFill="1" applyAlignment="1">
      <alignment horizontal="center"/>
    </xf>
    <xf numFmtId="175" fontId="2" fillId="24" borderId="1" xfId="0" applyNumberFormat="1" applyFont="1" applyFill="1" applyBorder="1" applyAlignment="1">
      <alignment horizontal="center"/>
    </xf>
    <xf numFmtId="175" fontId="2" fillId="24" borderId="20" xfId="0" applyNumberFormat="1" applyFont="1" applyFill="1" applyBorder="1" applyAlignment="1">
      <alignment horizontal="center"/>
    </xf>
    <xf numFmtId="10" fontId="70" fillId="24" borderId="0" xfId="0" applyNumberFormat="1" applyFont="1" applyFill="1"/>
    <xf numFmtId="175" fontId="70" fillId="2" borderId="0" xfId="0" applyNumberFormat="1" applyFont="1" applyFill="1"/>
    <xf numFmtId="184" fontId="1" fillId="24" borderId="0" xfId="0" applyNumberFormat="1" applyFont="1" applyFill="1" applyAlignment="1">
      <alignment horizontal="right"/>
    </xf>
    <xf numFmtId="184" fontId="102" fillId="24" borderId="0" xfId="0" applyNumberFormat="1" applyFont="1" applyFill="1" applyAlignment="1">
      <alignment horizontal="center"/>
    </xf>
    <xf numFmtId="184" fontId="1" fillId="24" borderId="0" xfId="0" applyNumberFormat="1" applyFont="1" applyFill="1" applyAlignment="1">
      <alignment horizontal="center"/>
    </xf>
    <xf numFmtId="184" fontId="2" fillId="24" borderId="20" xfId="0" applyNumberFormat="1" applyFont="1" applyFill="1" applyBorder="1" applyAlignment="1">
      <alignment horizontal="center" vertical="center"/>
    </xf>
    <xf numFmtId="173" fontId="1" fillId="24" borderId="0" xfId="0" applyNumberFormat="1" applyFont="1" applyFill="1"/>
    <xf numFmtId="172" fontId="1" fillId="24" borderId="0" xfId="0" applyNumberFormat="1" applyFont="1" applyFill="1"/>
    <xf numFmtId="0" fontId="84" fillId="23" borderId="2" xfId="0" applyFont="1" applyFill="1" applyBorder="1" applyAlignment="1">
      <alignment horizontal="left" vertical="center"/>
    </xf>
    <xf numFmtId="170" fontId="142" fillId="8" borderId="0" xfId="2" applyNumberFormat="1" applyFont="1" applyFill="1" applyAlignment="1" applyProtection="1">
      <alignment horizontal="left" vertical="center"/>
    </xf>
    <xf numFmtId="1" fontId="8" fillId="8" borderId="50" xfId="0" applyNumberFormat="1" applyFont="1" applyFill="1" applyBorder="1" applyAlignment="1">
      <alignment horizontal="right"/>
    </xf>
    <xf numFmtId="1" fontId="8" fillId="8" borderId="51" xfId="0" applyNumberFormat="1" applyFont="1" applyFill="1" applyBorder="1" applyAlignment="1">
      <alignment horizontal="right"/>
    </xf>
    <xf numFmtId="170" fontId="8" fillId="8" borderId="0" xfId="0" applyNumberFormat="1" applyFont="1" applyFill="1"/>
    <xf numFmtId="170" fontId="69" fillId="8" borderId="0" xfId="0" applyNumberFormat="1" applyFont="1" applyFill="1"/>
    <xf numFmtId="184" fontId="82" fillId="2" borderId="1" xfId="0" applyNumberFormat="1" applyFont="1" applyFill="1" applyBorder="1" applyAlignment="1">
      <alignment horizontal="right" vertical="top"/>
    </xf>
    <xf numFmtId="184" fontId="80" fillId="2" borderId="20" xfId="0" applyNumberFormat="1" applyFont="1" applyFill="1" applyBorder="1" applyAlignment="1">
      <alignment horizontal="right" vertical="top"/>
    </xf>
    <xf numFmtId="1" fontId="8" fillId="8" borderId="61" xfId="0" applyNumberFormat="1" applyFont="1" applyFill="1" applyBorder="1" applyAlignment="1">
      <alignment horizontal="right"/>
    </xf>
    <xf numFmtId="1" fontId="8" fillId="8" borderId="51" xfId="0" applyNumberFormat="1" applyFont="1" applyFill="1" applyBorder="1" applyAlignment="1">
      <alignment horizontal="center" vertical="center"/>
    </xf>
    <xf numFmtId="49" fontId="3" fillId="0" borderId="0" xfId="0" applyNumberFormat="1" applyFont="1" applyAlignment="1">
      <alignment horizontal="left" vertical="center"/>
    </xf>
    <xf numFmtId="170" fontId="83" fillId="2" borderId="53" xfId="0" applyNumberFormat="1" applyFont="1" applyFill="1" applyBorder="1" applyAlignment="1">
      <alignment horizontal="center" vertical="center"/>
    </xf>
    <xf numFmtId="3" fontId="1" fillId="9" borderId="0" xfId="0" applyNumberFormat="1" applyFont="1" applyFill="1"/>
    <xf numFmtId="175" fontId="26" fillId="9" borderId="0" xfId="0" applyNumberFormat="1" applyFont="1" applyFill="1"/>
    <xf numFmtId="0" fontId="8" fillId="8" borderId="0" xfId="0" applyFont="1" applyFill="1" applyAlignment="1">
      <alignment horizontal="center" vertical="center"/>
    </xf>
    <xf numFmtId="184" fontId="49" fillId="2" borderId="2" xfId="0" applyNumberFormat="1" applyFont="1" applyFill="1" applyBorder="1" applyAlignment="1">
      <alignment vertical="top"/>
    </xf>
    <xf numFmtId="184" fontId="47" fillId="2" borderId="0" xfId="0" applyNumberFormat="1" applyFont="1" applyFill="1" applyAlignment="1">
      <alignment vertical="top"/>
    </xf>
    <xf numFmtId="184" fontId="47" fillId="2" borderId="75" xfId="0" applyNumberFormat="1" applyFont="1" applyFill="1" applyBorder="1" applyAlignment="1">
      <alignment vertical="top"/>
    </xf>
    <xf numFmtId="184" fontId="47" fillId="2" borderId="22" xfId="0" applyNumberFormat="1" applyFont="1" applyFill="1" applyBorder="1" applyAlignment="1">
      <alignment vertical="top"/>
    </xf>
    <xf numFmtId="0" fontId="65" fillId="13" borderId="0" xfId="0" applyFont="1" applyFill="1"/>
    <xf numFmtId="49" fontId="84" fillId="15" borderId="0" xfId="0" applyNumberFormat="1" applyFont="1" applyFill="1" applyAlignment="1">
      <alignment horizontal="left" vertical="top"/>
    </xf>
    <xf numFmtId="0" fontId="84" fillId="15" borderId="0" xfId="0" applyFont="1" applyFill="1" applyAlignment="1">
      <alignment horizontal="left" vertical="top"/>
    </xf>
    <xf numFmtId="0" fontId="84" fillId="15" borderId="0" xfId="0" applyFont="1" applyFill="1" applyAlignment="1">
      <alignment horizontal="left" vertical="top" wrapText="1"/>
    </xf>
    <xf numFmtId="170" fontId="84" fillId="15" borderId="0" xfId="0" applyNumberFormat="1" applyFont="1" applyFill="1" applyAlignment="1">
      <alignment horizontal="right" vertical="top"/>
    </xf>
    <xf numFmtId="170" fontId="69" fillId="8" borderId="0" xfId="0" applyNumberFormat="1" applyFont="1" applyFill="1" applyAlignment="1">
      <alignment horizontal="right" vertical="top"/>
    </xf>
    <xf numFmtId="0" fontId="88" fillId="2" borderId="0" xfId="0" applyFont="1" applyFill="1"/>
    <xf numFmtId="170" fontId="88" fillId="2" borderId="0" xfId="0" applyNumberFormat="1" applyFont="1" applyFill="1"/>
    <xf numFmtId="0" fontId="88" fillId="0" borderId="0" xfId="0" applyFont="1"/>
    <xf numFmtId="179" fontId="83" fillId="2" borderId="62" xfId="0" applyNumberFormat="1" applyFont="1" applyFill="1" applyBorder="1" applyAlignment="1">
      <alignment horizontal="center" vertical="center"/>
    </xf>
    <xf numFmtId="179" fontId="83" fillId="2" borderId="63" xfId="0" applyNumberFormat="1" applyFont="1" applyFill="1" applyBorder="1" applyAlignment="1">
      <alignment horizontal="center" vertical="center"/>
    </xf>
    <xf numFmtId="179" fontId="83" fillId="2" borderId="64" xfId="0" applyNumberFormat="1" applyFont="1" applyFill="1" applyBorder="1" applyAlignment="1">
      <alignment horizontal="center" vertical="center"/>
    </xf>
    <xf numFmtId="187" fontId="89" fillId="23" borderId="0" xfId="0" applyNumberFormat="1" applyFont="1" applyFill="1"/>
    <xf numFmtId="179" fontId="82" fillId="2" borderId="52" xfId="0" applyNumberFormat="1" applyFont="1" applyFill="1" applyBorder="1" applyAlignment="1">
      <alignment horizontal="right" vertical="top"/>
    </xf>
    <xf numFmtId="179" fontId="82" fillId="2" borderId="53" xfId="0" applyNumberFormat="1" applyFont="1" applyFill="1" applyBorder="1" applyAlignment="1">
      <alignment horizontal="right" vertical="top"/>
    </xf>
    <xf numFmtId="179" fontId="82" fillId="2" borderId="22" xfId="0" applyNumberFormat="1" applyFont="1" applyFill="1" applyBorder="1" applyAlignment="1">
      <alignment horizontal="right" vertical="top"/>
    </xf>
    <xf numFmtId="179" fontId="82" fillId="2" borderId="121" xfId="0" applyNumberFormat="1" applyFont="1" applyFill="1" applyBorder="1" applyAlignment="1">
      <alignment horizontal="right" vertical="top"/>
    </xf>
    <xf numFmtId="179" fontId="82" fillId="2" borderId="77" xfId="0" applyNumberFormat="1" applyFont="1" applyFill="1" applyBorder="1" applyAlignment="1">
      <alignment horizontal="right" vertical="top"/>
    </xf>
    <xf numFmtId="179" fontId="82" fillId="2" borderId="3" xfId="0" applyNumberFormat="1" applyFont="1" applyFill="1" applyBorder="1" applyAlignment="1">
      <alignment horizontal="right" vertical="top"/>
    </xf>
    <xf numFmtId="179" fontId="82" fillId="2" borderId="94" xfId="0" applyNumberFormat="1" applyFont="1" applyFill="1" applyBorder="1" applyAlignment="1">
      <alignment horizontal="right" vertical="top"/>
    </xf>
    <xf numFmtId="179" fontId="82" fillId="2" borderId="80" xfId="0" applyNumberFormat="1" applyFont="1" applyFill="1" applyBorder="1" applyAlignment="1">
      <alignment horizontal="right" vertical="top"/>
    </xf>
    <xf numFmtId="179" fontId="80" fillId="2" borderId="0" xfId="0" applyNumberFormat="1" applyFont="1" applyFill="1" applyAlignment="1">
      <alignment horizontal="right" vertical="top"/>
    </xf>
    <xf numFmtId="179" fontId="80" fillId="2" borderId="52" xfId="0" applyNumberFormat="1" applyFont="1" applyFill="1" applyBorder="1" applyAlignment="1">
      <alignment horizontal="right" vertical="top"/>
    </xf>
    <xf numFmtId="179" fontId="80" fillId="2" borderId="53" xfId="0" applyNumberFormat="1" applyFont="1" applyFill="1" applyBorder="1" applyAlignment="1">
      <alignment horizontal="right" vertical="top"/>
    </xf>
    <xf numFmtId="179" fontId="82" fillId="2" borderId="20" xfId="0" applyNumberFormat="1" applyFont="1" applyFill="1" applyBorder="1" applyAlignment="1">
      <alignment horizontal="right" vertical="top"/>
    </xf>
    <xf numFmtId="179" fontId="82" fillId="2" borderId="54" xfId="0" applyNumberFormat="1" applyFont="1" applyFill="1" applyBorder="1" applyAlignment="1">
      <alignment horizontal="right" vertical="top"/>
    </xf>
    <xf numFmtId="179" fontId="82" fillId="2" borderId="55" xfId="0" applyNumberFormat="1" applyFont="1" applyFill="1" applyBorder="1" applyAlignment="1">
      <alignment horizontal="right" vertical="top"/>
    </xf>
    <xf numFmtId="179" fontId="82" fillId="2" borderId="20" xfId="0" applyNumberFormat="1" applyFont="1" applyFill="1" applyBorder="1" applyAlignment="1">
      <alignment horizontal="right" vertical="center"/>
    </xf>
    <xf numFmtId="179" fontId="82" fillId="2" borderId="54" xfId="0" applyNumberFormat="1" applyFont="1" applyFill="1" applyBorder="1" applyAlignment="1">
      <alignment horizontal="right" vertical="center"/>
    </xf>
    <xf numFmtId="179" fontId="82" fillId="2" borderId="55" xfId="0" applyNumberFormat="1" applyFont="1" applyFill="1" applyBorder="1" applyAlignment="1">
      <alignment horizontal="right" vertical="center"/>
    </xf>
    <xf numFmtId="179" fontId="80" fillId="2" borderId="20" xfId="0" applyNumberFormat="1" applyFont="1" applyFill="1" applyBorder="1" applyAlignment="1">
      <alignment horizontal="center" vertical="center"/>
    </xf>
    <xf numFmtId="179" fontId="80" fillId="2" borderId="54" xfId="0" applyNumberFormat="1" applyFont="1" applyFill="1" applyBorder="1" applyAlignment="1">
      <alignment horizontal="center" vertical="center"/>
    </xf>
    <xf numFmtId="179" fontId="80" fillId="2" borderId="55" xfId="0" applyNumberFormat="1" applyFont="1" applyFill="1" applyBorder="1" applyAlignment="1">
      <alignment horizontal="center" vertical="center"/>
    </xf>
    <xf numFmtId="179" fontId="83" fillId="2" borderId="0" xfId="0" applyNumberFormat="1" applyFont="1" applyFill="1" applyAlignment="1">
      <alignment horizontal="center" vertical="center"/>
    </xf>
    <xf numFmtId="9" fontId="26" fillId="2" borderId="1" xfId="1" applyFont="1" applyFill="1" applyBorder="1"/>
    <xf numFmtId="170" fontId="2" fillId="9" borderId="0" xfId="0" applyNumberFormat="1" applyFont="1" applyFill="1" applyAlignment="1">
      <alignment horizontal="right"/>
    </xf>
    <xf numFmtId="9" fontId="92" fillId="8" borderId="111" xfId="1" applyFont="1" applyFill="1" applyBorder="1" applyAlignment="1">
      <alignment vertical="top"/>
    </xf>
    <xf numFmtId="0" fontId="30" fillId="2" borderId="0" xfId="0" applyFont="1" applyFill="1" applyAlignment="1">
      <alignment horizontal="left"/>
    </xf>
    <xf numFmtId="9" fontId="92" fillId="8" borderId="0" xfId="1" applyFont="1" applyFill="1" applyBorder="1" applyAlignment="1">
      <alignment vertical="top"/>
    </xf>
    <xf numFmtId="175" fontId="92" fillId="8" borderId="111" xfId="1" applyNumberFormat="1" applyFont="1" applyFill="1" applyBorder="1" applyAlignment="1">
      <alignment vertical="top"/>
    </xf>
    <xf numFmtId="175" fontId="92" fillId="8" borderId="0" xfId="1" applyNumberFormat="1" applyFont="1" applyFill="1" applyBorder="1" applyAlignment="1">
      <alignment vertical="top"/>
    </xf>
    <xf numFmtId="0" fontId="44" fillId="2" borderId="2" xfId="0" applyFont="1" applyFill="1" applyBorder="1"/>
    <xf numFmtId="166" fontId="2" fillId="2" borderId="0" xfId="1" applyNumberFormat="1" applyFont="1" applyFill="1"/>
    <xf numFmtId="175" fontId="26" fillId="23" borderId="0" xfId="0" applyNumberFormat="1" applyFont="1" applyFill="1"/>
    <xf numFmtId="175" fontId="26" fillId="23" borderId="103" xfId="0" applyNumberFormat="1" applyFont="1" applyFill="1" applyBorder="1"/>
    <xf numFmtId="3" fontId="26" fillId="4" borderId="0" xfId="0" applyNumberFormat="1" applyFont="1" applyFill="1"/>
    <xf numFmtId="3" fontId="26" fillId="2" borderId="0" xfId="0" applyNumberFormat="1" applyFont="1" applyFill="1"/>
    <xf numFmtId="175" fontId="118" fillId="2" borderId="0" xfId="0" applyNumberFormat="1" applyFont="1" applyFill="1" applyAlignment="1">
      <alignment horizontal="center"/>
    </xf>
    <xf numFmtId="175" fontId="1" fillId="2" borderId="22" xfId="0" applyNumberFormat="1" applyFont="1" applyFill="1" applyBorder="1" applyAlignment="1">
      <alignment horizontal="right"/>
    </xf>
    <xf numFmtId="172" fontId="7" fillId="24" borderId="0" xfId="0" applyNumberFormat="1" applyFont="1" applyFill="1"/>
    <xf numFmtId="172" fontId="26" fillId="23" borderId="0" xfId="0" applyNumberFormat="1" applyFont="1" applyFill="1"/>
    <xf numFmtId="184" fontId="102" fillId="2" borderId="0" xfId="0" applyNumberFormat="1" applyFont="1" applyFill="1" applyAlignment="1">
      <alignment horizontal="right"/>
    </xf>
    <xf numFmtId="170" fontId="144" fillId="2" borderId="0" xfId="0" applyNumberFormat="1" applyFont="1" applyFill="1"/>
    <xf numFmtId="175" fontId="102" fillId="2" borderId="0" xfId="0" applyNumberFormat="1" applyFont="1" applyFill="1" applyAlignment="1">
      <alignment horizontal="right"/>
    </xf>
    <xf numFmtId="166" fontId="144" fillId="2" borderId="0" xfId="0" applyNumberFormat="1" applyFont="1" applyFill="1"/>
    <xf numFmtId="3" fontId="144" fillId="2" borderId="0" xfId="0" applyNumberFormat="1" applyFont="1" applyFill="1"/>
    <xf numFmtId="172" fontId="102" fillId="2" borderId="0" xfId="0" applyNumberFormat="1" applyFont="1" applyFill="1" applyAlignment="1">
      <alignment horizontal="right"/>
    </xf>
    <xf numFmtId="184" fontId="102" fillId="23" borderId="0" xfId="0" applyNumberFormat="1" applyFont="1" applyFill="1" applyAlignment="1">
      <alignment horizontal="right"/>
    </xf>
    <xf numFmtId="184" fontId="102" fillId="23" borderId="2" xfId="0" applyNumberFormat="1" applyFont="1" applyFill="1" applyBorder="1" applyAlignment="1">
      <alignment horizontal="right"/>
    </xf>
    <xf numFmtId="49" fontId="145" fillId="2" borderId="0" xfId="0" applyNumberFormat="1" applyFont="1" applyFill="1" applyAlignment="1">
      <alignment horizontal="left"/>
    </xf>
    <xf numFmtId="0" fontId="145" fillId="2" borderId="0" xfId="0" applyFont="1" applyFill="1" applyAlignment="1">
      <alignment horizontal="left"/>
    </xf>
    <xf numFmtId="3" fontId="145" fillId="2" borderId="0" xfId="0" applyNumberFormat="1" applyFont="1" applyFill="1" applyAlignment="1">
      <alignment horizontal="left"/>
    </xf>
    <xf numFmtId="170" fontId="145" fillId="2" borderId="0" xfId="0" applyNumberFormat="1" applyFont="1" applyFill="1"/>
    <xf numFmtId="184" fontId="145" fillId="2" borderId="0" xfId="0" applyNumberFormat="1" applyFont="1" applyFill="1" applyAlignment="1">
      <alignment horizontal="right"/>
    </xf>
    <xf numFmtId="175" fontId="2" fillId="2" borderId="0" xfId="0" applyNumberFormat="1" applyFont="1" applyFill="1" applyAlignment="1">
      <alignment horizontal="right"/>
    </xf>
    <xf numFmtId="0" fontId="146" fillId="13" borderId="0" xfId="0" applyFont="1" applyFill="1" applyAlignment="1">
      <alignment horizontal="center" vertical="center" wrapText="1"/>
    </xf>
    <xf numFmtId="0" fontId="141" fillId="4" borderId="0" xfId="0" applyFont="1" applyFill="1"/>
    <xf numFmtId="0" fontId="147" fillId="4" borderId="0" xfId="0" applyFont="1" applyFill="1"/>
    <xf numFmtId="3" fontId="147" fillId="4" borderId="0" xfId="0" applyNumberFormat="1" applyFont="1" applyFill="1"/>
    <xf numFmtId="176" fontId="2" fillId="2" borderId="0" xfId="1" applyNumberFormat="1" applyFont="1" applyFill="1"/>
    <xf numFmtId="176" fontId="83" fillId="2" borderId="0" xfId="0" applyNumberFormat="1" applyFont="1" applyFill="1" applyAlignment="1">
      <alignment horizontal="right" vertical="top"/>
    </xf>
    <xf numFmtId="184" fontId="1" fillId="15" borderId="0" xfId="0" applyNumberFormat="1" applyFont="1" applyFill="1" applyAlignment="1">
      <alignment horizontal="right"/>
    </xf>
    <xf numFmtId="179" fontId="2" fillId="2" borderId="0" xfId="0" applyNumberFormat="1" applyFont="1" applyFill="1" applyAlignment="1">
      <alignment horizontal="center"/>
    </xf>
    <xf numFmtId="179" fontId="1" fillId="2" borderId="0" xfId="0" applyNumberFormat="1" applyFont="1" applyFill="1" applyAlignment="1">
      <alignment horizontal="center"/>
    </xf>
    <xf numFmtId="179" fontId="2" fillId="2" borderId="20" xfId="0" applyNumberFormat="1" applyFont="1" applyFill="1" applyBorder="1" applyAlignment="1">
      <alignment horizontal="center"/>
    </xf>
    <xf numFmtId="179" fontId="1" fillId="4" borderId="0" xfId="0" applyNumberFormat="1" applyFont="1" applyFill="1" applyAlignment="1">
      <alignment horizontal="right"/>
    </xf>
    <xf numFmtId="179" fontId="1" fillId="2" borderId="0" xfId="0" applyNumberFormat="1" applyFont="1" applyFill="1" applyAlignment="1">
      <alignment horizontal="right"/>
    </xf>
    <xf numFmtId="3" fontId="44" fillId="2" borderId="0" xfId="0" applyNumberFormat="1" applyFont="1" applyFill="1"/>
    <xf numFmtId="172" fontId="44" fillId="2" borderId="0" xfId="0" applyNumberFormat="1" applyFont="1" applyFill="1"/>
    <xf numFmtId="0" fontId="44" fillId="2" borderId="1" xfId="0" applyFont="1" applyFill="1" applyBorder="1"/>
    <xf numFmtId="3" fontId="44" fillId="2" borderId="1" xfId="0" applyNumberFormat="1" applyFont="1" applyFill="1" applyBorder="1"/>
    <xf numFmtId="172" fontId="44" fillId="2" borderId="1" xfId="0" applyNumberFormat="1" applyFont="1" applyFill="1" applyBorder="1"/>
    <xf numFmtId="175" fontId="44" fillId="2" borderId="1" xfId="0" applyNumberFormat="1" applyFont="1" applyFill="1" applyBorder="1"/>
    <xf numFmtId="175" fontId="2" fillId="9" borderId="0" xfId="0" applyNumberFormat="1" applyFont="1" applyFill="1" applyAlignment="1">
      <alignment horizontal="center"/>
    </xf>
    <xf numFmtId="184" fontId="1" fillId="2" borderId="2" xfId="0" applyNumberFormat="1" applyFont="1" applyFill="1" applyBorder="1"/>
    <xf numFmtId="0" fontId="1" fillId="7" borderId="0" xfId="0" applyFont="1" applyFill="1"/>
    <xf numFmtId="175" fontId="1" fillId="7" borderId="0" xfId="0" applyNumberFormat="1" applyFont="1" applyFill="1"/>
    <xf numFmtId="184" fontId="67" fillId="15" borderId="0" xfId="0" applyNumberFormat="1" applyFont="1" applyFill="1" applyAlignment="1">
      <alignment horizontal="center" vertical="top"/>
    </xf>
    <xf numFmtId="184" fontId="67" fillId="22" borderId="0" xfId="0" applyNumberFormat="1" applyFont="1" applyFill="1" applyAlignment="1">
      <alignment vertical="top"/>
    </xf>
    <xf numFmtId="184" fontId="47" fillId="2" borderId="0" xfId="0" applyNumberFormat="1" applyFont="1" applyFill="1" applyAlignment="1">
      <alignment horizontal="right" vertical="top"/>
    </xf>
    <xf numFmtId="0" fontId="79" fillId="2" borderId="1" xfId="0" applyFont="1" applyFill="1" applyBorder="1" applyAlignment="1">
      <alignment vertical="top"/>
    </xf>
    <xf numFmtId="170" fontId="79" fillId="2" borderId="1" xfId="0" applyNumberFormat="1" applyFont="1" applyFill="1" applyBorder="1" applyAlignment="1">
      <alignment horizontal="right"/>
    </xf>
    <xf numFmtId="170" fontId="79" fillId="2" borderId="1" xfId="0" applyNumberFormat="1" applyFont="1" applyFill="1" applyBorder="1" applyAlignment="1">
      <alignment horizontal="center"/>
    </xf>
    <xf numFmtId="175" fontId="47" fillId="2" borderId="0" xfId="0" applyNumberFormat="1" applyFont="1" applyFill="1"/>
    <xf numFmtId="175" fontId="47" fillId="2" borderId="0" xfId="1" applyNumberFormat="1" applyFont="1" applyFill="1"/>
    <xf numFmtId="186" fontId="47" fillId="2" borderId="0" xfId="0" applyNumberFormat="1" applyFont="1" applyFill="1"/>
    <xf numFmtId="186" fontId="49" fillId="2" borderId="20" xfId="0" applyNumberFormat="1" applyFont="1" applyFill="1" applyBorder="1" applyAlignment="1">
      <alignment vertical="center"/>
    </xf>
    <xf numFmtId="175" fontId="47" fillId="2" borderId="1" xfId="0" applyNumberFormat="1" applyFont="1" applyFill="1" applyBorder="1"/>
    <xf numFmtId="175" fontId="47" fillId="2" borderId="2" xfId="0" applyNumberFormat="1" applyFont="1" applyFill="1" applyBorder="1"/>
    <xf numFmtId="185" fontId="47" fillId="2" borderId="0" xfId="1" applyNumberFormat="1" applyFont="1" applyFill="1"/>
    <xf numFmtId="185" fontId="53" fillId="2" borderId="0" xfId="0" applyNumberFormat="1" applyFont="1" applyFill="1"/>
    <xf numFmtId="185" fontId="65" fillId="2" borderId="0" xfId="1" applyNumberFormat="1" applyFont="1" applyFill="1"/>
    <xf numFmtId="185" fontId="47" fillId="2" borderId="0" xfId="0" applyNumberFormat="1" applyFont="1" applyFill="1"/>
    <xf numFmtId="165" fontId="47" fillId="2" borderId="2" xfId="0" applyNumberFormat="1" applyFont="1" applyFill="1" applyBorder="1" applyAlignment="1">
      <alignment horizontal="right"/>
    </xf>
    <xf numFmtId="179" fontId="47" fillId="2" borderId="0" xfId="0" applyNumberFormat="1" applyFont="1" applyFill="1"/>
    <xf numFmtId="179" fontId="48" fillId="2" borderId="0" xfId="0" applyNumberFormat="1" applyFont="1" applyFill="1"/>
    <xf numFmtId="179" fontId="49" fillId="2" borderId="0" xfId="1" applyNumberFormat="1" applyFont="1" applyFill="1"/>
    <xf numFmtId="184" fontId="65" fillId="2" borderId="0" xfId="0" applyNumberFormat="1" applyFont="1" applyFill="1" applyAlignment="1">
      <alignment horizontal="center" vertical="top"/>
    </xf>
    <xf numFmtId="184" fontId="65" fillId="2" borderId="0" xfId="0" applyNumberFormat="1" applyFont="1" applyFill="1" applyAlignment="1">
      <alignment horizontal="center"/>
    </xf>
    <xf numFmtId="184" fontId="66" fillId="2" borderId="0" xfId="0" applyNumberFormat="1" applyFont="1" applyFill="1" applyAlignment="1">
      <alignment horizontal="center"/>
    </xf>
    <xf numFmtId="184" fontId="2" fillId="2" borderId="0" xfId="0" applyNumberFormat="1" applyFont="1" applyFill="1" applyAlignment="1">
      <alignment horizontal="center"/>
    </xf>
    <xf numFmtId="0" fontId="44" fillId="2" borderId="0" xfId="0" applyFont="1" applyFill="1" applyAlignment="1">
      <alignment vertical="top"/>
    </xf>
    <xf numFmtId="165" fontId="1" fillId="27" borderId="0" xfId="0" applyNumberFormat="1" applyFont="1" applyFill="1"/>
    <xf numFmtId="1" fontId="47" fillId="27" borderId="33" xfId="0" applyNumberFormat="1" applyFont="1" applyFill="1" applyBorder="1" applyAlignment="1">
      <alignment horizontal="right"/>
    </xf>
    <xf numFmtId="165" fontId="2" fillId="27" borderId="0" xfId="0" applyNumberFormat="1" applyFont="1" applyFill="1" applyAlignment="1">
      <alignment horizontal="right"/>
    </xf>
    <xf numFmtId="175" fontId="1" fillId="2" borderId="2" xfId="0" applyNumberFormat="1" applyFont="1" applyFill="1" applyBorder="1"/>
    <xf numFmtId="0" fontId="148" fillId="2" borderId="0" xfId="0" applyFont="1" applyFill="1"/>
    <xf numFmtId="166" fontId="148" fillId="2" borderId="0" xfId="1" applyNumberFormat="1" applyFont="1" applyFill="1"/>
    <xf numFmtId="0" fontId="92" fillId="5" borderId="111" xfId="0" applyFont="1" applyFill="1" applyBorder="1" applyAlignment="1">
      <alignment vertical="top"/>
    </xf>
    <xf numFmtId="3" fontId="92" fillId="5" borderId="0" xfId="0" applyNumberFormat="1" applyFont="1" applyFill="1" applyAlignment="1">
      <alignment vertical="top"/>
    </xf>
    <xf numFmtId="174" fontId="92" fillId="5" borderId="111" xfId="0" applyNumberFormat="1" applyFont="1" applyFill="1" applyBorder="1" applyAlignment="1">
      <alignment vertical="top"/>
    </xf>
    <xf numFmtId="0" fontId="1" fillId="0" borderId="2" xfId="0" applyFont="1" applyBorder="1"/>
    <xf numFmtId="0" fontId="144" fillId="2" borderId="0" xfId="0" applyFont="1" applyFill="1"/>
    <xf numFmtId="175" fontId="144" fillId="2" borderId="0" xfId="0" applyNumberFormat="1" applyFont="1" applyFill="1"/>
    <xf numFmtId="176" fontId="144" fillId="2" borderId="0" xfId="0" applyNumberFormat="1" applyFont="1" applyFill="1"/>
    <xf numFmtId="0" fontId="144" fillId="0" borderId="0" xfId="0" applyFont="1"/>
    <xf numFmtId="0" fontId="149" fillId="2" borderId="0" xfId="0" applyFont="1" applyFill="1"/>
    <xf numFmtId="175" fontId="149" fillId="2" borderId="0" xfId="0" applyNumberFormat="1" applyFont="1" applyFill="1"/>
    <xf numFmtId="176" fontId="149" fillId="2" borderId="0" xfId="0" applyNumberFormat="1" applyFont="1" applyFill="1"/>
    <xf numFmtId="166" fontId="149" fillId="2" borderId="0" xfId="1" applyNumberFormat="1" applyFont="1" applyFill="1"/>
    <xf numFmtId="0" fontId="149" fillId="0" borderId="0" xfId="0" applyFont="1"/>
    <xf numFmtId="0" fontId="148" fillId="4" borderId="21" xfId="0" applyFont="1" applyFill="1" applyBorder="1"/>
    <xf numFmtId="0" fontId="102" fillId="4" borderId="21" xfId="0" applyFont="1" applyFill="1" applyBorder="1"/>
    <xf numFmtId="175" fontId="102" fillId="4" borderId="21" xfId="0" applyNumberFormat="1" applyFont="1" applyFill="1" applyBorder="1"/>
    <xf numFmtId="0" fontId="148" fillId="4" borderId="37" xfId="0" applyFont="1" applyFill="1" applyBorder="1"/>
    <xf numFmtId="0" fontId="102" fillId="4" borderId="37" xfId="0" applyFont="1" applyFill="1" applyBorder="1"/>
    <xf numFmtId="175" fontId="102" fillId="4" borderId="37" xfId="0" applyNumberFormat="1" applyFont="1" applyFill="1" applyBorder="1"/>
    <xf numFmtId="0" fontId="28" fillId="9" borderId="48" xfId="0" applyFont="1" applyFill="1" applyBorder="1"/>
    <xf numFmtId="166" fontId="82" fillId="24" borderId="174" xfId="0" applyNumberFormat="1" applyFont="1" applyFill="1" applyBorder="1" applyAlignment="1">
      <alignment horizontal="right" vertical="top"/>
    </xf>
    <xf numFmtId="166" fontId="82" fillId="24" borderId="175" xfId="0" applyNumberFormat="1" applyFont="1" applyFill="1" applyBorder="1" applyAlignment="1">
      <alignment horizontal="right" vertical="top"/>
    </xf>
    <xf numFmtId="174" fontId="1" fillId="14" borderId="0" xfId="0" applyNumberFormat="1" applyFont="1" applyFill="1" applyAlignment="1">
      <alignment horizontal="right"/>
    </xf>
    <xf numFmtId="174" fontId="1" fillId="14" borderId="0" xfId="0" applyNumberFormat="1" applyFont="1" applyFill="1" applyAlignment="1">
      <alignment horizontal="center"/>
    </xf>
    <xf numFmtId="174" fontId="2" fillId="14" borderId="1" xfId="0" applyNumberFormat="1" applyFont="1" applyFill="1" applyBorder="1"/>
    <xf numFmtId="174" fontId="2" fillId="14" borderId="1" xfId="0" applyNumberFormat="1" applyFont="1" applyFill="1" applyBorder="1" applyAlignment="1">
      <alignment vertical="top"/>
    </xf>
    <xf numFmtId="174" fontId="2" fillId="14" borderId="20" xfId="0" applyNumberFormat="1" applyFont="1" applyFill="1" applyBorder="1" applyAlignment="1">
      <alignment horizontal="center" vertical="center"/>
    </xf>
    <xf numFmtId="174" fontId="1" fillId="14" borderId="22" xfId="0" applyNumberFormat="1" applyFont="1" applyFill="1" applyBorder="1" applyAlignment="1">
      <alignment horizontal="right"/>
    </xf>
    <xf numFmtId="174" fontId="2" fillId="14" borderId="46" xfId="0" applyNumberFormat="1" applyFont="1" applyFill="1" applyBorder="1" applyAlignment="1">
      <alignment horizontal="center" vertical="center"/>
    </xf>
    <xf numFmtId="0" fontId="105" fillId="16" borderId="0" xfId="0" applyFont="1" applyFill="1" applyAlignment="1">
      <alignment horizontal="center" vertical="center" wrapText="1"/>
    </xf>
    <xf numFmtId="1" fontId="8" fillId="16" borderId="50" xfId="0" applyNumberFormat="1" applyFont="1" applyFill="1" applyBorder="1" applyAlignment="1">
      <alignment horizontal="center" vertical="center"/>
    </xf>
    <xf numFmtId="1" fontId="8" fillId="16" borderId="51" xfId="0" applyNumberFormat="1" applyFont="1" applyFill="1" applyBorder="1" applyAlignment="1">
      <alignment horizontal="center" vertical="center"/>
    </xf>
    <xf numFmtId="0" fontId="150" fillId="0" borderId="0" xfId="0" applyFont="1"/>
    <xf numFmtId="49" fontId="82" fillId="2" borderId="0" xfId="0" applyNumberFormat="1" applyFont="1" applyFill="1" applyAlignment="1">
      <alignment horizontal="center" vertical="top"/>
    </xf>
    <xf numFmtId="179" fontId="84" fillId="23" borderId="148" xfId="0" applyNumberFormat="1" applyFont="1" applyFill="1" applyBorder="1" applyAlignment="1">
      <alignment vertical="center"/>
    </xf>
    <xf numFmtId="0" fontId="150" fillId="0" borderId="178" xfId="0" applyFont="1" applyBorder="1"/>
    <xf numFmtId="3" fontId="150" fillId="0" borderId="178" xfId="0" applyNumberFormat="1" applyFont="1" applyBorder="1"/>
    <xf numFmtId="183" fontId="8" fillId="2" borderId="137" xfId="0" applyNumberFormat="1" applyFont="1" applyFill="1" applyBorder="1" applyAlignment="1">
      <alignment vertical="center"/>
    </xf>
    <xf numFmtId="183" fontId="8" fillId="2" borderId="131" xfId="0" applyNumberFormat="1" applyFont="1" applyFill="1" applyBorder="1" applyAlignment="1">
      <alignment vertical="center"/>
    </xf>
    <xf numFmtId="0" fontId="8" fillId="26" borderId="95" xfId="0" applyFont="1" applyFill="1" applyBorder="1" applyAlignment="1">
      <alignment vertical="top" wrapText="1"/>
    </xf>
    <xf numFmtId="170" fontId="8" fillId="8" borderId="63" xfId="0" applyNumberFormat="1" applyFont="1" applyFill="1" applyBorder="1"/>
    <xf numFmtId="184" fontId="8" fillId="8" borderId="0" xfId="0" applyNumberFormat="1" applyFont="1" applyFill="1"/>
    <xf numFmtId="184" fontId="8" fillId="8" borderId="53" xfId="0" applyNumberFormat="1" applyFont="1" applyFill="1" applyBorder="1"/>
    <xf numFmtId="184" fontId="82" fillId="8" borderId="0" xfId="0" applyNumberFormat="1" applyFont="1" applyFill="1" applyAlignment="1">
      <alignment horizontal="right" vertical="top"/>
    </xf>
    <xf numFmtId="184" fontId="82" fillId="8" borderId="53" xfId="0" applyNumberFormat="1" applyFont="1" applyFill="1" applyBorder="1" applyAlignment="1">
      <alignment horizontal="right" vertical="top"/>
    </xf>
    <xf numFmtId="184" fontId="82" fillId="8" borderId="1" xfId="0" applyNumberFormat="1" applyFont="1" applyFill="1" applyBorder="1" applyAlignment="1">
      <alignment horizontal="right" vertical="top"/>
    </xf>
    <xf numFmtId="184" fontId="82" fillId="8" borderId="66" xfId="0" applyNumberFormat="1" applyFont="1" applyFill="1" applyBorder="1" applyAlignment="1">
      <alignment horizontal="right" vertical="top"/>
    </xf>
    <xf numFmtId="184" fontId="82" fillId="8" borderId="20" xfId="0" applyNumberFormat="1" applyFont="1" applyFill="1" applyBorder="1" applyAlignment="1">
      <alignment horizontal="right" vertical="center"/>
    </xf>
    <xf numFmtId="184" fontId="82" fillId="8" borderId="55" xfId="0" applyNumberFormat="1" applyFont="1" applyFill="1" applyBorder="1" applyAlignment="1">
      <alignment horizontal="right" vertical="center"/>
    </xf>
    <xf numFmtId="184" fontId="80" fillId="8" borderId="20" xfId="0" applyNumberFormat="1" applyFont="1" applyFill="1" applyBorder="1" applyAlignment="1">
      <alignment horizontal="center" vertical="center"/>
    </xf>
    <xf numFmtId="184" fontId="80" fillId="8" borderId="55" xfId="0" applyNumberFormat="1" applyFont="1" applyFill="1" applyBorder="1" applyAlignment="1">
      <alignment horizontal="center" vertical="center"/>
    </xf>
    <xf numFmtId="184" fontId="82" fillId="8" borderId="20" xfId="0" applyNumberFormat="1" applyFont="1" applyFill="1" applyBorder="1" applyAlignment="1">
      <alignment horizontal="right" vertical="top"/>
    </xf>
    <xf numFmtId="184" fontId="82" fillId="8" borderId="55" xfId="0" applyNumberFormat="1" applyFont="1" applyFill="1" applyBorder="1" applyAlignment="1">
      <alignment horizontal="right" vertical="top"/>
    </xf>
    <xf numFmtId="184" fontId="80" fillId="8" borderId="20" xfId="0" applyNumberFormat="1" applyFont="1" applyFill="1" applyBorder="1" applyAlignment="1">
      <alignment horizontal="right" vertical="top"/>
    </xf>
    <xf numFmtId="184" fontId="80" fillId="8" borderId="55" xfId="0" applyNumberFormat="1" applyFont="1" applyFill="1" applyBorder="1" applyAlignment="1">
      <alignment horizontal="right" vertical="top"/>
    </xf>
    <xf numFmtId="184" fontId="83" fillId="8" borderId="63" xfId="0" applyNumberFormat="1" applyFont="1" applyFill="1" applyBorder="1" applyAlignment="1">
      <alignment horizontal="center" vertical="center"/>
    </xf>
    <xf numFmtId="184" fontId="83" fillId="8" borderId="58" xfId="0" applyNumberFormat="1" applyFont="1" applyFill="1" applyBorder="1" applyAlignment="1">
      <alignment horizontal="center" vertical="center"/>
    </xf>
    <xf numFmtId="170" fontId="89" fillId="2" borderId="0" xfId="0" applyNumberFormat="1" applyFont="1" applyFill="1"/>
    <xf numFmtId="170" fontId="89" fillId="2" borderId="20" xfId="0" applyNumberFormat="1" applyFont="1" applyFill="1" applyBorder="1" applyAlignment="1">
      <alignment horizontal="right" vertical="top"/>
    </xf>
    <xf numFmtId="170" fontId="89" fillId="2" borderId="2" xfId="0" applyNumberFormat="1" applyFont="1" applyFill="1" applyBorder="1" applyAlignment="1">
      <alignment horizontal="right" vertical="center"/>
    </xf>
    <xf numFmtId="170" fontId="89" fillId="2" borderId="20" xfId="0" applyNumberFormat="1" applyFont="1" applyFill="1" applyBorder="1" applyAlignment="1">
      <alignment horizontal="right" vertical="center"/>
    </xf>
    <xf numFmtId="0" fontId="4" fillId="9" borderId="2" xfId="0" applyFont="1" applyFill="1" applyBorder="1"/>
    <xf numFmtId="0" fontId="8" fillId="9" borderId="2" xfId="0" applyFont="1" applyFill="1" applyBorder="1"/>
    <xf numFmtId="187" fontId="8" fillId="9" borderId="0" xfId="0" applyNumberFormat="1" applyFont="1" applyFill="1"/>
    <xf numFmtId="187" fontId="8" fillId="9" borderId="0" xfId="0" applyNumberFormat="1" applyFont="1" applyFill="1" applyAlignment="1">
      <alignment vertical="top"/>
    </xf>
    <xf numFmtId="187" fontId="8" fillId="9" borderId="0" xfId="0" applyNumberFormat="1" applyFont="1" applyFill="1" applyAlignment="1">
      <alignment vertical="center"/>
    </xf>
    <xf numFmtId="187" fontId="4" fillId="9" borderId="0" xfId="0" applyNumberFormat="1" applyFont="1" applyFill="1" applyAlignment="1">
      <alignment horizontal="center" vertical="center"/>
    </xf>
    <xf numFmtId="170" fontId="141" fillId="8" borderId="0" xfId="0" applyNumberFormat="1" applyFont="1" applyFill="1"/>
    <xf numFmtId="170" fontId="141" fillId="2" borderId="0" xfId="0" applyNumberFormat="1" applyFont="1" applyFill="1" applyAlignment="1">
      <alignment horizontal="left" vertical="top"/>
    </xf>
    <xf numFmtId="170" fontId="8" fillId="8" borderId="53" xfId="0" applyNumberFormat="1" applyFont="1" applyFill="1" applyBorder="1"/>
    <xf numFmtId="170" fontId="82" fillId="8" borderId="0" xfId="0" applyNumberFormat="1" applyFont="1" applyFill="1" applyAlignment="1">
      <alignment horizontal="right" vertical="top"/>
    </xf>
    <xf numFmtId="170" fontId="82" fillId="8" borderId="53" xfId="0" applyNumberFormat="1" applyFont="1" applyFill="1" applyBorder="1" applyAlignment="1">
      <alignment horizontal="right" vertical="top"/>
    </xf>
    <xf numFmtId="170" fontId="82" fillId="8" borderId="20" xfId="0" applyNumberFormat="1" applyFont="1" applyFill="1" applyBorder="1" applyAlignment="1">
      <alignment horizontal="center" vertical="center"/>
    </xf>
    <xf numFmtId="170" fontId="82" fillId="8" borderId="55" xfId="0" applyNumberFormat="1" applyFont="1" applyFill="1" applyBorder="1" applyAlignment="1">
      <alignment horizontal="center" vertical="center"/>
    </xf>
    <xf numFmtId="170" fontId="80" fillId="8" borderId="20" xfId="0" applyNumberFormat="1" applyFont="1" applyFill="1" applyBorder="1" applyAlignment="1">
      <alignment horizontal="right" vertical="center"/>
    </xf>
    <xf numFmtId="170" fontId="80" fillId="8" borderId="55" xfId="0" applyNumberFormat="1" applyFont="1" applyFill="1" applyBorder="1" applyAlignment="1">
      <alignment horizontal="right" vertical="center"/>
    </xf>
    <xf numFmtId="2" fontId="8" fillId="2" borderId="0" xfId="1" applyNumberFormat="1" applyFont="1" applyFill="1"/>
    <xf numFmtId="2" fontId="8" fillId="2" borderId="0" xfId="0" applyNumberFormat="1" applyFont="1" applyFill="1"/>
    <xf numFmtId="170" fontId="151" fillId="2" borderId="0" xfId="0" applyNumberFormat="1" applyFont="1" applyFill="1"/>
    <xf numFmtId="170" fontId="151" fillId="2" borderId="53" xfId="0" applyNumberFormat="1" applyFont="1" applyFill="1" applyBorder="1" applyAlignment="1">
      <alignment horizontal="right" vertical="top"/>
    </xf>
    <xf numFmtId="170" fontId="151" fillId="2" borderId="0" xfId="0" applyNumberFormat="1" applyFont="1" applyFill="1" applyAlignment="1">
      <alignment horizontal="right" vertical="top"/>
    </xf>
    <xf numFmtId="170" fontId="151" fillId="2" borderId="20" xfId="0" applyNumberFormat="1" applyFont="1" applyFill="1" applyBorder="1" applyAlignment="1">
      <alignment horizontal="center" vertical="center"/>
    </xf>
    <xf numFmtId="170" fontId="152" fillId="2" borderId="20" xfId="0" applyNumberFormat="1" applyFont="1" applyFill="1" applyBorder="1" applyAlignment="1">
      <alignment horizontal="center" vertical="center"/>
    </xf>
    <xf numFmtId="184" fontId="151" fillId="2" borderId="0" xfId="0" applyNumberFormat="1" applyFont="1" applyFill="1"/>
    <xf numFmtId="184" fontId="151" fillId="2" borderId="0" xfId="0" applyNumberFormat="1" applyFont="1" applyFill="1" applyAlignment="1">
      <alignment horizontal="right" vertical="top"/>
    </xf>
    <xf numFmtId="184" fontId="152" fillId="2" borderId="20" xfId="0" applyNumberFormat="1" applyFont="1" applyFill="1" applyBorder="1" applyAlignment="1">
      <alignment horizontal="right" vertical="center"/>
    </xf>
    <xf numFmtId="170" fontId="151" fillId="2" borderId="66" xfId="0" applyNumberFormat="1" applyFont="1" applyFill="1" applyBorder="1" applyAlignment="1">
      <alignment horizontal="right" vertical="top"/>
    </xf>
    <xf numFmtId="170" fontId="152" fillId="2" borderId="55" xfId="0" applyNumberFormat="1" applyFont="1" applyFill="1" applyBorder="1" applyAlignment="1">
      <alignment horizontal="center" vertical="center"/>
    </xf>
    <xf numFmtId="181" fontId="8" fillId="8" borderId="0" xfId="0" applyNumberFormat="1" applyFont="1" applyFill="1" applyAlignment="1">
      <alignment horizontal="center" vertical="center"/>
    </xf>
    <xf numFmtId="181" fontId="8" fillId="8" borderId="53" xfId="0" applyNumberFormat="1" applyFont="1" applyFill="1" applyBorder="1" applyAlignment="1">
      <alignment horizontal="center" vertical="center"/>
    </xf>
    <xf numFmtId="170" fontId="80" fillId="8" borderId="20" xfId="0" applyNumberFormat="1" applyFont="1" applyFill="1" applyBorder="1" applyAlignment="1">
      <alignment horizontal="center" vertical="center"/>
    </xf>
    <xf numFmtId="170" fontId="80" fillId="8" borderId="55" xfId="0" applyNumberFormat="1" applyFont="1" applyFill="1" applyBorder="1" applyAlignment="1">
      <alignment horizontal="center" vertical="center"/>
    </xf>
    <xf numFmtId="179" fontId="151" fillId="2" borderId="0" xfId="0" applyNumberFormat="1" applyFont="1" applyFill="1" applyAlignment="1">
      <alignment horizontal="right" vertical="top"/>
    </xf>
    <xf numFmtId="179" fontId="151" fillId="2" borderId="76" xfId="0" applyNumberFormat="1" applyFont="1" applyFill="1" applyBorder="1" applyAlignment="1">
      <alignment horizontal="right" vertical="top"/>
    </xf>
    <xf numFmtId="179" fontId="151" fillId="2" borderId="79" xfId="0" applyNumberFormat="1" applyFont="1" applyFill="1" applyBorder="1" applyAlignment="1">
      <alignment horizontal="right" vertical="top"/>
    </xf>
    <xf numFmtId="179" fontId="152" fillId="2" borderId="0" xfId="0" applyNumberFormat="1" applyFont="1" applyFill="1" applyAlignment="1">
      <alignment horizontal="right" vertical="top"/>
    </xf>
    <xf numFmtId="179" fontId="151" fillId="2" borderId="20" xfId="0" applyNumberFormat="1" applyFont="1" applyFill="1" applyBorder="1" applyAlignment="1">
      <alignment horizontal="right" vertical="top"/>
    </xf>
    <xf numFmtId="179" fontId="151" fillId="2" borderId="20" xfId="0" applyNumberFormat="1" applyFont="1" applyFill="1" applyBorder="1" applyAlignment="1">
      <alignment horizontal="right" vertical="center"/>
    </xf>
    <xf numFmtId="179" fontId="152" fillId="2" borderId="20" xfId="0" applyNumberFormat="1" applyFont="1" applyFill="1" applyBorder="1" applyAlignment="1">
      <alignment horizontal="center" vertical="center"/>
    </xf>
    <xf numFmtId="184" fontId="151" fillId="2" borderId="76" xfId="0" applyNumberFormat="1" applyFont="1" applyFill="1" applyBorder="1" applyAlignment="1">
      <alignment horizontal="right" vertical="top"/>
    </xf>
    <xf numFmtId="184" fontId="151" fillId="2" borderId="79" xfId="0" applyNumberFormat="1" applyFont="1" applyFill="1" applyBorder="1" applyAlignment="1">
      <alignment horizontal="right" vertical="top"/>
    </xf>
    <xf numFmtId="184" fontId="152" fillId="2" borderId="0" xfId="0" applyNumberFormat="1" applyFont="1" applyFill="1" applyAlignment="1">
      <alignment horizontal="right" vertical="top"/>
    </xf>
    <xf numFmtId="184" fontId="151" fillId="2" borderId="20" xfId="0" applyNumberFormat="1" applyFont="1" applyFill="1" applyBorder="1" applyAlignment="1">
      <alignment horizontal="right" vertical="top"/>
    </xf>
    <xf numFmtId="184" fontId="151" fillId="2" borderId="20" xfId="0" applyNumberFormat="1" applyFont="1" applyFill="1" applyBorder="1" applyAlignment="1">
      <alignment horizontal="right" vertical="center"/>
    </xf>
    <xf numFmtId="184" fontId="8" fillId="8" borderId="170" xfId="0" applyNumberFormat="1" applyFont="1" applyFill="1" applyBorder="1"/>
    <xf numFmtId="170" fontId="83" fillId="2" borderId="65" xfId="0" applyNumberFormat="1" applyFont="1" applyFill="1" applyBorder="1" applyAlignment="1">
      <alignment horizontal="center" vertical="center"/>
    </xf>
    <xf numFmtId="184" fontId="80" fillId="8" borderId="169" xfId="0" applyNumberFormat="1" applyFont="1" applyFill="1" applyBorder="1" applyAlignment="1">
      <alignment horizontal="center" vertical="center"/>
    </xf>
    <xf numFmtId="170" fontId="80" fillId="8" borderId="0" xfId="0" applyNumberFormat="1" applyFont="1" applyFill="1" applyAlignment="1">
      <alignment horizontal="right" vertical="top"/>
    </xf>
    <xf numFmtId="170" fontId="80" fillId="8" borderId="53" xfId="0" applyNumberFormat="1" applyFont="1" applyFill="1" applyBorder="1" applyAlignment="1">
      <alignment horizontal="right" vertical="top"/>
    </xf>
    <xf numFmtId="184" fontId="82" fillId="15" borderId="94" xfId="0" applyNumberFormat="1" applyFont="1" applyFill="1" applyBorder="1" applyAlignment="1">
      <alignment horizontal="right" vertical="center"/>
    </xf>
    <xf numFmtId="184" fontId="82" fillId="15" borderId="93" xfId="0" applyNumberFormat="1" applyFont="1" applyFill="1" applyBorder="1" applyAlignment="1">
      <alignment horizontal="right" vertical="center"/>
    </xf>
    <xf numFmtId="184" fontId="82" fillId="15" borderId="3" xfId="0" applyNumberFormat="1" applyFont="1" applyFill="1" applyBorder="1" applyAlignment="1">
      <alignment horizontal="right" vertical="center"/>
    </xf>
    <xf numFmtId="184" fontId="82" fillId="2" borderId="124" xfId="0" applyNumberFormat="1" applyFont="1" applyFill="1" applyBorder="1" applyAlignment="1">
      <alignment horizontal="right" vertical="center"/>
    </xf>
    <xf numFmtId="184" fontId="82" fillId="2" borderId="123" xfId="0" applyNumberFormat="1" applyFont="1" applyFill="1" applyBorder="1" applyAlignment="1">
      <alignment horizontal="right" vertical="center"/>
    </xf>
    <xf numFmtId="184" fontId="82" fillId="2" borderId="122" xfId="0" applyNumberFormat="1" applyFont="1" applyFill="1" applyBorder="1" applyAlignment="1">
      <alignment horizontal="right" vertical="center"/>
    </xf>
    <xf numFmtId="184" fontId="82" fillId="2" borderId="92" xfId="0" applyNumberFormat="1" applyFont="1" applyFill="1" applyBorder="1" applyAlignment="1">
      <alignment horizontal="right" vertical="center"/>
    </xf>
    <xf numFmtId="184" fontId="82" fillId="2" borderId="91" xfId="0" applyNumberFormat="1" applyFont="1" applyFill="1" applyBorder="1" applyAlignment="1">
      <alignment horizontal="right" vertical="center"/>
    </xf>
    <xf numFmtId="184" fontId="82" fillId="2" borderId="90" xfId="0" applyNumberFormat="1" applyFont="1" applyFill="1" applyBorder="1" applyAlignment="1">
      <alignment horizontal="right" vertical="center"/>
    </xf>
    <xf numFmtId="184" fontId="82" fillId="15" borderId="127" xfId="0" applyNumberFormat="1" applyFont="1" applyFill="1" applyBorder="1" applyAlignment="1">
      <alignment horizontal="right" vertical="center"/>
    </xf>
    <xf numFmtId="184" fontId="82" fillId="15" borderId="126" xfId="0" applyNumberFormat="1" applyFont="1" applyFill="1" applyBorder="1" applyAlignment="1">
      <alignment horizontal="right" vertical="center"/>
    </xf>
    <xf numFmtId="184" fontId="82" fillId="15" borderId="125" xfId="0" applyNumberFormat="1" applyFont="1" applyFill="1" applyBorder="1" applyAlignment="1">
      <alignment horizontal="right" vertical="center"/>
    </xf>
    <xf numFmtId="184" fontId="82" fillId="15" borderId="121" xfId="0" applyNumberFormat="1" applyFont="1" applyFill="1" applyBorder="1" applyAlignment="1">
      <alignment horizontal="right" vertical="center"/>
    </xf>
    <xf numFmtId="184" fontId="82" fillId="15" borderId="120" xfId="0" applyNumberFormat="1" applyFont="1" applyFill="1" applyBorder="1" applyAlignment="1">
      <alignment horizontal="right" vertical="center"/>
    </xf>
    <xf numFmtId="184" fontId="82" fillId="15" borderId="22" xfId="0" applyNumberFormat="1" applyFont="1" applyFill="1" applyBorder="1" applyAlignment="1">
      <alignment horizontal="right" vertical="center"/>
    </xf>
    <xf numFmtId="184" fontId="82" fillId="15" borderId="92" xfId="0" applyNumberFormat="1" applyFont="1" applyFill="1" applyBorder="1" applyAlignment="1">
      <alignment horizontal="right" vertical="center"/>
    </xf>
    <xf numFmtId="184" fontId="82" fillId="15" borderId="91" xfId="0" applyNumberFormat="1" applyFont="1" applyFill="1" applyBorder="1" applyAlignment="1">
      <alignment horizontal="right" vertical="center"/>
    </xf>
    <xf numFmtId="184" fontId="82" fillId="15" borderId="90" xfId="0" applyNumberFormat="1" applyFont="1" applyFill="1" applyBorder="1" applyAlignment="1">
      <alignment horizontal="right" vertical="center"/>
    </xf>
    <xf numFmtId="184" fontId="82" fillId="2" borderId="53" xfId="0" applyNumberFormat="1" applyFont="1" applyFill="1" applyBorder="1" applyAlignment="1">
      <alignment horizontal="right" vertical="center"/>
    </xf>
    <xf numFmtId="189" fontId="1" fillId="2" borderId="0" xfId="0" applyNumberFormat="1" applyFont="1" applyFill="1"/>
    <xf numFmtId="174" fontId="5" fillId="2" borderId="0" xfId="0" applyNumberFormat="1" applyFont="1" applyFill="1" applyAlignment="1">
      <alignment horizontal="center"/>
    </xf>
    <xf numFmtId="0" fontId="20" fillId="2" borderId="0" xfId="2" applyFill="1" applyAlignment="1" applyProtection="1">
      <alignment vertical="top"/>
    </xf>
    <xf numFmtId="175" fontId="26" fillId="24" borderId="0" xfId="0" applyNumberFormat="1" applyFont="1" applyFill="1"/>
    <xf numFmtId="175" fontId="26" fillId="24" borderId="103" xfId="0" applyNumberFormat="1" applyFont="1" applyFill="1" applyBorder="1"/>
    <xf numFmtId="170" fontId="104" fillId="23" borderId="0" xfId="0" applyNumberFormat="1" applyFont="1" applyFill="1"/>
    <xf numFmtId="184" fontId="104" fillId="23" borderId="0" xfId="0" applyNumberFormat="1" applyFont="1" applyFill="1" applyAlignment="1">
      <alignment horizontal="right"/>
    </xf>
    <xf numFmtId="0" fontId="132" fillId="0" borderId="0" xfId="0" applyFont="1" applyAlignment="1">
      <alignment horizontal="justify" vertical="center" wrapText="1"/>
    </xf>
    <xf numFmtId="167" fontId="132" fillId="0" borderId="0" xfId="0" applyNumberFormat="1" applyFont="1" applyAlignment="1">
      <alignment horizontal="center" vertical="center" wrapText="1"/>
    </xf>
    <xf numFmtId="187" fontId="132" fillId="0" borderId="0" xfId="0" applyNumberFormat="1" applyFont="1" applyAlignment="1">
      <alignment horizontal="center" vertical="center" wrapText="1"/>
    </xf>
    <xf numFmtId="187" fontId="0" fillId="0" borderId="0" xfId="0" applyNumberFormat="1" applyAlignment="1">
      <alignment horizontal="center" vertical="center"/>
    </xf>
    <xf numFmtId="0" fontId="0" fillId="10" borderId="0" xfId="0" applyFill="1"/>
    <xf numFmtId="170" fontId="84" fillId="2" borderId="0" xfId="0" applyNumberFormat="1" applyFont="1" applyFill="1" applyAlignment="1">
      <alignment horizontal="center" vertical="center"/>
    </xf>
    <xf numFmtId="170" fontId="87" fillId="2" borderId="0" xfId="0" applyNumberFormat="1" applyFont="1" applyFill="1" applyAlignment="1">
      <alignment horizontal="right" vertical="top"/>
    </xf>
    <xf numFmtId="184" fontId="87" fillId="8" borderId="0" xfId="0" applyNumberFormat="1" applyFont="1" applyFill="1"/>
    <xf numFmtId="181" fontId="87" fillId="8" borderId="0" xfId="0" applyNumberFormat="1" applyFont="1" applyFill="1" applyAlignment="1">
      <alignment horizontal="center" vertical="center"/>
    </xf>
    <xf numFmtId="1" fontId="135" fillId="0" borderId="0" xfId="0" applyNumberFormat="1" applyFont="1"/>
    <xf numFmtId="9" fontId="84" fillId="0" borderId="0" xfId="1" applyFont="1"/>
    <xf numFmtId="9" fontId="135" fillId="0" borderId="0" xfId="1" applyFont="1"/>
    <xf numFmtId="0" fontId="87" fillId="2" borderId="52" xfId="0" applyFont="1" applyFill="1" applyBorder="1" applyAlignment="1">
      <alignment wrapText="1"/>
    </xf>
    <xf numFmtId="0" fontId="87" fillId="2" borderId="71" xfId="0" applyFont="1" applyFill="1" applyBorder="1" applyAlignment="1">
      <alignment wrapText="1"/>
    </xf>
    <xf numFmtId="0" fontId="87" fillId="2" borderId="85" xfId="0" applyFont="1" applyFill="1" applyBorder="1" applyAlignment="1">
      <alignment wrapText="1"/>
    </xf>
    <xf numFmtId="10" fontId="8" fillId="2" borderId="0" xfId="1" applyNumberFormat="1" applyFont="1" applyFill="1"/>
    <xf numFmtId="187" fontId="4" fillId="9" borderId="0" xfId="0" applyNumberFormat="1" applyFont="1" applyFill="1" applyAlignment="1">
      <alignment vertical="top"/>
    </xf>
    <xf numFmtId="187" fontId="87" fillId="9" borderId="0" xfId="0" applyNumberFormat="1" applyFont="1" applyFill="1" applyAlignment="1">
      <alignment vertical="top"/>
    </xf>
    <xf numFmtId="187" fontId="87" fillId="9" borderId="0" xfId="0" applyNumberFormat="1" applyFont="1" applyFill="1" applyAlignment="1">
      <alignment vertical="center"/>
    </xf>
    <xf numFmtId="187" fontId="42" fillId="9" borderId="0" xfId="0" applyNumberFormat="1" applyFont="1" applyFill="1" applyAlignment="1">
      <alignment horizontal="center" vertical="center"/>
    </xf>
    <xf numFmtId="187" fontId="87" fillId="9" borderId="0" xfId="0" applyNumberFormat="1" applyFont="1" applyFill="1"/>
    <xf numFmtId="166" fontId="8" fillId="10" borderId="0" xfId="1" applyNumberFormat="1" applyFont="1" applyFill="1"/>
    <xf numFmtId="166" fontId="84" fillId="10" borderId="0" xfId="1" applyNumberFormat="1" applyFont="1" applyFill="1"/>
    <xf numFmtId="166" fontId="84" fillId="2" borderId="0" xfId="1" applyNumberFormat="1" applyFont="1" applyFill="1"/>
    <xf numFmtId="187" fontId="8" fillId="2" borderId="53" xfId="0" applyNumberFormat="1" applyFont="1" applyFill="1" applyBorder="1" applyAlignment="1">
      <alignment vertical="center"/>
    </xf>
    <xf numFmtId="187" fontId="8" fillId="8" borderId="52" xfId="0" applyNumberFormat="1" applyFont="1" applyFill="1" applyBorder="1" applyAlignment="1">
      <alignment vertical="center"/>
    </xf>
    <xf numFmtId="187" fontId="8" fillId="8" borderId="0" xfId="0" applyNumberFormat="1" applyFont="1" applyFill="1" applyAlignment="1">
      <alignment vertical="center"/>
    </xf>
    <xf numFmtId="187" fontId="82" fillId="2" borderId="53" xfId="0" applyNumberFormat="1" applyFont="1" applyFill="1" applyBorder="1" applyAlignment="1">
      <alignment horizontal="right" vertical="top"/>
    </xf>
    <xf numFmtId="187" fontId="82" fillId="8" borderId="52" xfId="0" applyNumberFormat="1" applyFont="1" applyFill="1" applyBorder="1" applyAlignment="1">
      <alignment horizontal="right" vertical="top"/>
    </xf>
    <xf numFmtId="187" fontId="82" fillId="8" borderId="0" xfId="0" applyNumberFormat="1" applyFont="1" applyFill="1" applyAlignment="1">
      <alignment horizontal="right" vertical="top"/>
    </xf>
    <xf numFmtId="187" fontId="80" fillId="2" borderId="55" xfId="0" applyNumberFormat="1" applyFont="1" applyFill="1" applyBorder="1" applyAlignment="1">
      <alignment horizontal="right" vertical="center"/>
    </xf>
    <xf numFmtId="187" fontId="80" fillId="8" borderId="54" xfId="0" applyNumberFormat="1" applyFont="1" applyFill="1" applyBorder="1" applyAlignment="1">
      <alignment horizontal="right" vertical="center"/>
    </xf>
    <xf numFmtId="187" fontId="80" fillId="8" borderId="20" xfId="0" applyNumberFormat="1" applyFont="1" applyFill="1" applyBorder="1" applyAlignment="1">
      <alignment horizontal="right" vertical="center"/>
    </xf>
    <xf numFmtId="0" fontId="140" fillId="9" borderId="0" xfId="0" applyFont="1" applyFill="1" applyAlignment="1">
      <alignment vertical="top"/>
    </xf>
    <xf numFmtId="0" fontId="156" fillId="9" borderId="0" xfId="0" applyFont="1" applyFill="1" applyAlignment="1">
      <alignment vertical="top"/>
    </xf>
    <xf numFmtId="184" fontId="65" fillId="24" borderId="0" xfId="0" applyNumberFormat="1" applyFont="1" applyFill="1" applyAlignment="1">
      <alignment horizontal="center" vertical="top"/>
    </xf>
    <xf numFmtId="184" fontId="65" fillId="24" borderId="0" xfId="0" applyNumberFormat="1" applyFont="1" applyFill="1" applyAlignment="1">
      <alignment horizontal="center"/>
    </xf>
    <xf numFmtId="184" fontId="66" fillId="24" borderId="0" xfId="0" applyNumberFormat="1" applyFont="1" applyFill="1" applyAlignment="1">
      <alignment horizontal="center"/>
    </xf>
    <xf numFmtId="3" fontId="1" fillId="24" borderId="0" xfId="0" applyNumberFormat="1" applyFont="1" applyFill="1" applyAlignment="1">
      <alignment horizontal="right"/>
    </xf>
    <xf numFmtId="184" fontId="2" fillId="24" borderId="0" xfId="0" applyNumberFormat="1" applyFont="1" applyFill="1" applyAlignment="1">
      <alignment horizontal="center"/>
    </xf>
    <xf numFmtId="3" fontId="2" fillId="24" borderId="0" xfId="0" applyNumberFormat="1" applyFont="1" applyFill="1" applyAlignment="1">
      <alignment horizontal="center"/>
    </xf>
    <xf numFmtId="166" fontId="47" fillId="24" borderId="0" xfId="0" applyNumberFormat="1" applyFont="1" applyFill="1"/>
    <xf numFmtId="168" fontId="1" fillId="9" borderId="0" xfId="0" applyNumberFormat="1" applyFont="1" applyFill="1"/>
    <xf numFmtId="165" fontId="1" fillId="9" borderId="0" xfId="0" applyNumberFormat="1" applyFont="1" applyFill="1"/>
    <xf numFmtId="168" fontId="64" fillId="9" borderId="0" xfId="0" applyNumberFormat="1" applyFont="1" applyFill="1" applyAlignment="1">
      <alignment horizontal="right"/>
    </xf>
    <xf numFmtId="1" fontId="47" fillId="9" borderId="33" xfId="0" applyNumberFormat="1" applyFont="1" applyFill="1" applyBorder="1" applyAlignment="1">
      <alignment horizontal="right"/>
    </xf>
    <xf numFmtId="176" fontId="1" fillId="2" borderId="0" xfId="1" applyNumberFormat="1" applyFont="1" applyFill="1" applyBorder="1"/>
    <xf numFmtId="170" fontId="26" fillId="2" borderId="0" xfId="0" applyNumberFormat="1" applyFont="1" applyFill="1" applyAlignment="1">
      <alignment horizontal="right"/>
    </xf>
    <xf numFmtId="176" fontId="1" fillId="2" borderId="0" xfId="1" applyNumberFormat="1" applyFont="1" applyFill="1" applyBorder="1" applyAlignment="1">
      <alignment horizontal="right"/>
    </xf>
    <xf numFmtId="181" fontId="87" fillId="2" borderId="0" xfId="0" applyNumberFormat="1" applyFont="1" applyFill="1"/>
    <xf numFmtId="190" fontId="87" fillId="2" borderId="0" xfId="0" applyNumberFormat="1" applyFont="1" applyFill="1"/>
    <xf numFmtId="170" fontId="84" fillId="9" borderId="0" xfId="0" applyNumberFormat="1" applyFont="1" applyFill="1" applyAlignment="1">
      <alignment horizontal="center"/>
    </xf>
    <xf numFmtId="181" fontId="8" fillId="9" borderId="0" xfId="0" applyNumberFormat="1" applyFont="1" applyFill="1"/>
    <xf numFmtId="170" fontId="8" fillId="2" borderId="0" xfId="0" applyNumberFormat="1" applyFont="1" applyFill="1" applyAlignment="1">
      <alignment horizontal="right"/>
    </xf>
    <xf numFmtId="9" fontId="8" fillId="2" borderId="0" xfId="1" applyFont="1" applyFill="1" applyAlignment="1">
      <alignment horizontal="center"/>
    </xf>
    <xf numFmtId="0" fontId="26" fillId="2" borderId="118" xfId="0" applyFont="1" applyFill="1" applyBorder="1"/>
    <xf numFmtId="170" fontId="26" fillId="2" borderId="118" xfId="0" applyNumberFormat="1" applyFont="1" applyFill="1" applyBorder="1"/>
    <xf numFmtId="0" fontId="157" fillId="2" borderId="0" xfId="0" applyFont="1" applyFill="1"/>
    <xf numFmtId="170" fontId="157" fillId="2" borderId="0" xfId="0" applyNumberFormat="1" applyFont="1" applyFill="1"/>
    <xf numFmtId="173" fontId="157" fillId="2" borderId="0" xfId="0" applyNumberFormat="1" applyFont="1" applyFill="1" applyAlignment="1">
      <alignment horizontal="right" vertical="top"/>
    </xf>
    <xf numFmtId="0" fontId="157" fillId="0" borderId="0" xfId="0" applyFont="1"/>
    <xf numFmtId="0" fontId="141" fillId="2" borderId="0" xfId="0" applyFont="1" applyFill="1"/>
    <xf numFmtId="0" fontId="158" fillId="2" borderId="0" xfId="0" applyFont="1" applyFill="1"/>
    <xf numFmtId="9" fontId="87" fillId="2" borderId="0" xfId="1" applyFont="1" applyFill="1"/>
    <xf numFmtId="170" fontId="87" fillId="2" borderId="0" xfId="0" applyNumberFormat="1" applyFont="1" applyFill="1"/>
    <xf numFmtId="170" fontId="82" fillId="2" borderId="0" xfId="0" applyNumberFormat="1" applyFont="1" applyFill="1"/>
    <xf numFmtId="170" fontId="89" fillId="2" borderId="53" xfId="0" applyNumberFormat="1" applyFont="1" applyFill="1" applyBorder="1" applyAlignment="1">
      <alignment horizontal="right" vertical="top"/>
    </xf>
    <xf numFmtId="177" fontId="84" fillId="9" borderId="0" xfId="0" applyNumberFormat="1" applyFont="1" applyFill="1" applyAlignment="1">
      <alignment horizontal="center"/>
    </xf>
    <xf numFmtId="170" fontId="8" fillId="9" borderId="0" xfId="0" applyNumberFormat="1" applyFont="1" applyFill="1"/>
    <xf numFmtId="0" fontId="5" fillId="2" borderId="118" xfId="0" applyFont="1" applyFill="1" applyBorder="1"/>
    <xf numFmtId="170" fontId="26" fillId="12" borderId="0" xfId="0" applyNumberFormat="1" applyFont="1" applyFill="1"/>
    <xf numFmtId="170" fontId="26" fillId="12" borderId="118" xfId="0" applyNumberFormat="1" applyFont="1" applyFill="1" applyBorder="1"/>
    <xf numFmtId="170" fontId="157" fillId="12" borderId="0" xfId="0" applyNumberFormat="1" applyFont="1" applyFill="1"/>
    <xf numFmtId="170" fontId="26" fillId="12" borderId="1" xfId="0" applyNumberFormat="1" applyFont="1" applyFill="1" applyBorder="1"/>
    <xf numFmtId="0" fontId="121" fillId="0" borderId="114" xfId="0" applyFont="1" applyBorder="1" applyAlignment="1">
      <alignment horizontal="center" vertical="center" wrapText="1"/>
    </xf>
    <xf numFmtId="0" fontId="121" fillId="0" borderId="117" xfId="0" applyFont="1" applyBorder="1" applyAlignment="1">
      <alignment horizontal="center" vertical="center" wrapText="1"/>
    </xf>
    <xf numFmtId="0" fontId="0" fillId="0" borderId="0" xfId="0"/>
    <xf numFmtId="49" fontId="0" fillId="0" borderId="0" xfId="0" applyNumberFormat="1" applyAlignment="1">
      <alignment horizontal="center" vertical="center"/>
    </xf>
    <xf numFmtId="0" fontId="121" fillId="0" borderId="114" xfId="0" applyFont="1" applyBorder="1" applyAlignment="1">
      <alignment horizontal="justify" vertical="center" wrapText="1"/>
    </xf>
    <xf numFmtId="0" fontId="121" fillId="0" borderId="117" xfId="0" applyFont="1" applyBorder="1" applyAlignment="1">
      <alignment horizontal="justify" vertical="center" wrapText="1"/>
    </xf>
    <xf numFmtId="170" fontId="82" fillId="2" borderId="0" xfId="0" applyNumberFormat="1" applyFont="1" applyFill="1" applyAlignment="1">
      <alignment horizontal="center" vertical="center" wrapText="1"/>
    </xf>
    <xf numFmtId="170" fontId="55" fillId="2" borderId="0" xfId="0" applyNumberFormat="1" applyFont="1" applyFill="1" applyAlignment="1">
      <alignment horizontal="center" vertical="center" wrapText="1"/>
    </xf>
    <xf numFmtId="170" fontId="82" fillId="2" borderId="0" xfId="0" applyNumberFormat="1" applyFont="1" applyFill="1" applyAlignment="1">
      <alignment horizontal="right" vertical="center"/>
    </xf>
    <xf numFmtId="170" fontId="0" fillId="0" borderId="0" xfId="0" applyNumberFormat="1" applyAlignment="1">
      <alignment horizontal="right" vertical="center"/>
    </xf>
    <xf numFmtId="170" fontId="82" fillId="2" borderId="3" xfId="0" applyNumberFormat="1" applyFont="1" applyFill="1" applyBorder="1" applyAlignment="1">
      <alignment horizontal="right" vertical="center"/>
    </xf>
    <xf numFmtId="170" fontId="0" fillId="2" borderId="22" xfId="0" applyNumberFormat="1" applyFill="1" applyBorder="1" applyAlignment="1">
      <alignment horizontal="right" vertical="center"/>
    </xf>
    <xf numFmtId="170" fontId="0" fillId="0" borderId="2" xfId="0" applyNumberFormat="1" applyBorder="1" applyAlignment="1">
      <alignment horizontal="right" vertical="center"/>
    </xf>
    <xf numFmtId="170" fontId="0" fillId="0" borderId="22" xfId="0" applyNumberFormat="1" applyBorder="1" applyAlignment="1">
      <alignment horizontal="right" vertical="center"/>
    </xf>
    <xf numFmtId="174" fontId="1" fillId="2" borderId="105" xfId="0" applyNumberFormat="1" applyFont="1" applyFill="1" applyBorder="1" applyAlignment="1">
      <alignment horizontal="right" vertical="center"/>
    </xf>
    <xf numFmtId="0" fontId="0" fillId="0" borderId="106" xfId="0" applyBorder="1" applyAlignment="1">
      <alignment horizontal="right" vertical="center"/>
    </xf>
    <xf numFmtId="0" fontId="0" fillId="0" borderId="107" xfId="0" applyBorder="1" applyAlignment="1">
      <alignment horizontal="right" vertical="center"/>
    </xf>
    <xf numFmtId="174" fontId="1" fillId="2" borderId="105" xfId="0" applyNumberFormat="1" applyFont="1" applyFill="1" applyBorder="1" applyAlignment="1">
      <alignment horizontal="center" vertical="center"/>
    </xf>
    <xf numFmtId="0" fontId="0" fillId="0" borderId="106" xfId="0" applyBorder="1" applyAlignment="1">
      <alignment horizontal="center" vertical="center"/>
    </xf>
    <xf numFmtId="0" fontId="0" fillId="0" borderId="108" xfId="0" applyBorder="1" applyAlignment="1">
      <alignment horizontal="center" vertical="center"/>
    </xf>
    <xf numFmtId="0" fontId="8" fillId="2" borderId="0" xfId="0" applyFont="1" applyFill="1" applyAlignment="1">
      <alignment horizontal="left" vertical="top" wrapText="1"/>
    </xf>
    <xf numFmtId="0" fontId="8" fillId="2" borderId="0" xfId="0" applyFont="1" applyFill="1" applyAlignment="1">
      <alignment horizontal="left" vertical="top"/>
    </xf>
    <xf numFmtId="0" fontId="30" fillId="2" borderId="110" xfId="0" applyFont="1" applyFill="1" applyBorder="1" applyAlignment="1">
      <alignment horizontal="center" vertical="center" wrapText="1"/>
    </xf>
    <xf numFmtId="0" fontId="0" fillId="0" borderId="110" xfId="0" applyBorder="1" applyAlignment="1">
      <alignment horizontal="center" vertical="center" wrapText="1"/>
    </xf>
    <xf numFmtId="175" fontId="1" fillId="2" borderId="105" xfId="0" applyNumberFormat="1" applyFont="1" applyFill="1" applyBorder="1" applyAlignment="1">
      <alignment horizontal="right" vertical="center"/>
    </xf>
    <xf numFmtId="175" fontId="0" fillId="0" borderId="106" xfId="0" applyNumberFormat="1" applyBorder="1" applyAlignment="1">
      <alignment horizontal="right" vertical="center"/>
    </xf>
    <xf numFmtId="175" fontId="0" fillId="0" borderId="107" xfId="0" applyNumberFormat="1" applyBorder="1" applyAlignment="1">
      <alignment horizontal="right" vertical="center"/>
    </xf>
    <xf numFmtId="175" fontId="0" fillId="0" borderId="108" xfId="0" applyNumberFormat="1" applyBorder="1" applyAlignment="1">
      <alignment horizontal="right" vertical="center"/>
    </xf>
    <xf numFmtId="170" fontId="26" fillId="2" borderId="0" xfId="0" applyNumberFormat="1" applyFont="1" applyFill="1" applyAlignment="1">
      <alignment horizontal="right" vertical="center"/>
    </xf>
    <xf numFmtId="0" fontId="48" fillId="11" borderId="0" xfId="0" applyFont="1" applyFill="1" applyAlignment="1">
      <alignment horizontal="left" vertical="top" wrapText="1"/>
    </xf>
    <xf numFmtId="0" fontId="55" fillId="0" borderId="0" xfId="0" applyFont="1" applyAlignment="1">
      <alignment vertical="top" wrapText="1"/>
    </xf>
    <xf numFmtId="0" fontId="48" fillId="4" borderId="0" xfId="0" applyFont="1" applyFill="1" applyAlignment="1">
      <alignment horizontal="left" vertical="top" wrapText="1"/>
    </xf>
    <xf numFmtId="167" fontId="132" fillId="0" borderId="74" xfId="0" applyNumberFormat="1" applyFont="1" applyBorder="1" applyAlignment="1">
      <alignment horizontal="center" vertical="center" wrapText="1"/>
    </xf>
    <xf numFmtId="167" fontId="132" fillId="0" borderId="176" xfId="0" applyNumberFormat="1" applyFont="1" applyBorder="1" applyAlignment="1">
      <alignment horizontal="center" vertical="center" wrapText="1"/>
    </xf>
    <xf numFmtId="0" fontId="0" fillId="0" borderId="177" xfId="0" applyBorder="1" applyAlignment="1">
      <alignment horizontal="center" vertical="center" wrapText="1"/>
    </xf>
    <xf numFmtId="174" fontId="1" fillId="2" borderId="3" xfId="0" applyNumberFormat="1" applyFont="1" applyFill="1" applyBorder="1" applyAlignment="1">
      <alignment horizontal="right" vertical="center"/>
    </xf>
    <xf numFmtId="0" fontId="0" fillId="0" borderId="2" xfId="0" applyBorder="1" applyAlignment="1">
      <alignment horizontal="right" vertical="center"/>
    </xf>
    <xf numFmtId="174" fontId="1" fillId="2" borderId="2" xfId="0" applyNumberFormat="1" applyFont="1" applyFill="1" applyBorder="1" applyAlignment="1">
      <alignment horizontal="right" vertical="center"/>
    </xf>
    <xf numFmtId="173" fontId="26" fillId="2" borderId="3" xfId="0" applyNumberFormat="1" applyFont="1" applyFill="1" applyBorder="1" applyAlignment="1">
      <alignment horizontal="right" vertical="center"/>
    </xf>
    <xf numFmtId="173" fontId="0" fillId="0" borderId="22" xfId="0" applyNumberFormat="1" applyBorder="1" applyAlignment="1">
      <alignment horizontal="right" vertical="center"/>
    </xf>
    <xf numFmtId="173" fontId="0" fillId="2" borderId="22" xfId="0" applyNumberFormat="1" applyFill="1" applyBorder="1" applyAlignment="1">
      <alignment horizontal="right" vertical="center"/>
    </xf>
    <xf numFmtId="173" fontId="26" fillId="2" borderId="0" xfId="0" applyNumberFormat="1" applyFont="1" applyFill="1" applyAlignment="1">
      <alignment horizontal="right" vertical="center"/>
    </xf>
    <xf numFmtId="173" fontId="0" fillId="0" borderId="2" xfId="0" applyNumberFormat="1" applyBorder="1" applyAlignment="1">
      <alignment horizontal="right" vertical="center"/>
    </xf>
    <xf numFmtId="170" fontId="26" fillId="2" borderId="3" xfId="0" applyNumberFormat="1" applyFont="1" applyFill="1" applyBorder="1" applyAlignment="1">
      <alignment horizontal="right" vertical="center"/>
    </xf>
    <xf numFmtId="0" fontId="31" fillId="2" borderId="0" xfId="0" applyFont="1" applyFill="1" applyAlignment="1">
      <alignment horizontal="left" vertical="center" wrapText="1" indent="1"/>
    </xf>
    <xf numFmtId="0" fontId="32" fillId="2" borderId="0" xfId="0" applyFont="1" applyFill="1" applyAlignment="1">
      <alignment horizontal="left" vertical="center" wrapText="1" indent="1"/>
    </xf>
    <xf numFmtId="0" fontId="38" fillId="2" borderId="32"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8" fillId="6" borderId="20" xfId="0" applyFont="1" applyFill="1" applyBorder="1" applyAlignment="1">
      <alignment horizontal="center" vertical="center" wrapText="1"/>
    </xf>
    <xf numFmtId="0" fontId="33" fillId="8" borderId="24" xfId="0" applyFont="1" applyFill="1" applyBorder="1" applyAlignment="1">
      <alignment horizontal="left" vertical="center" wrapText="1"/>
    </xf>
    <xf numFmtId="0" fontId="33" fillId="8" borderId="25" xfId="0" applyFont="1" applyFill="1" applyBorder="1" applyAlignment="1">
      <alignment horizontal="left" vertical="center" wrapText="1"/>
    </xf>
    <xf numFmtId="0" fontId="33" fillId="8" borderId="27" xfId="0" applyFont="1" applyFill="1" applyBorder="1" applyAlignment="1">
      <alignment horizontal="left" vertical="center" wrapText="1"/>
    </xf>
    <xf numFmtId="0" fontId="33" fillId="8" borderId="28" xfId="0" applyFont="1" applyFill="1" applyBorder="1" applyAlignment="1">
      <alignment horizontal="left" vertical="center" wrapText="1"/>
    </xf>
    <xf numFmtId="0" fontId="33" fillId="7" borderId="30" xfId="0" applyFont="1" applyFill="1" applyBorder="1" applyAlignment="1">
      <alignment horizontal="left" vertical="center" wrapText="1" indent="1"/>
    </xf>
    <xf numFmtId="0" fontId="33" fillId="7" borderId="31" xfId="0" applyFont="1" applyFill="1" applyBorder="1" applyAlignment="1">
      <alignment horizontal="left" vertical="center" wrapText="1" indent="1"/>
    </xf>
    <xf numFmtId="0" fontId="1" fillId="2" borderId="0" xfId="0" applyFont="1" applyFill="1" applyAlignment="1">
      <alignment wrapText="1"/>
    </xf>
    <xf numFmtId="0" fontId="0" fillId="0" borderId="0" xfId="0" applyAlignment="1">
      <alignment wrapText="1"/>
    </xf>
    <xf numFmtId="0" fontId="2" fillId="2" borderId="0" xfId="0" applyFont="1" applyFill="1" applyAlignment="1">
      <alignment horizontal="center" wrapText="1"/>
    </xf>
    <xf numFmtId="0" fontId="8" fillId="2" borderId="0" xfId="0" applyFont="1" applyFill="1" applyAlignment="1">
      <alignment horizontal="justify" wrapText="1"/>
    </xf>
    <xf numFmtId="0" fontId="8" fillId="2" borderId="0" xfId="0" applyFont="1" applyFill="1" applyAlignment="1">
      <alignment wrapText="1"/>
    </xf>
    <xf numFmtId="0" fontId="1" fillId="2" borderId="0" xfId="0" applyFont="1" applyFill="1" applyAlignment="1">
      <alignment horizontal="center" wrapText="1"/>
    </xf>
  </cellXfs>
  <cellStyles count="4">
    <cellStyle name="Гиперссылка" xfId="2" builtinId="8"/>
    <cellStyle name="Обычный" xfId="0" builtinId="0"/>
    <cellStyle name="Обычный 2" xfId="3" xr:uid="{00000000-0005-0000-0000-000002000000}"/>
    <cellStyle name="Процентный" xfId="1" builtinId="5"/>
  </cellStyles>
  <dxfs count="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0000FF"/>
      <color rgb="FF003300"/>
      <color rgb="FFFFFF99"/>
      <color rgb="FF000099"/>
      <color rgb="FF660066"/>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eetMetadata" Target="metadata.xml"/><Relationship Id="rId50" Type="http://schemas.microsoft.com/office/2017/06/relationships/rdRichValueTypes" Target="richData/rdRichValueTyp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onnections" Target="connections.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microsoft.com/office/2017/06/relationships/rdRichValue" Target="richData/rdrichvalue.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Баланс!$B$253</c:f>
          <c:strCache>
            <c:ptCount val="1"/>
            <c:pt idx="0">
              <c:v>Отраслевая структура  депозитов ЮЛ</c:v>
            </c:pt>
          </c:strCache>
        </c:strRef>
      </c:tx>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Arial Narrow" panose="020B0606020202030204" pitchFamily="34" charset="0"/>
              <a:ea typeface="+mn-ea"/>
              <a:cs typeface="+mn-cs"/>
            </a:defRPr>
          </a:pPr>
          <a:endParaRPr lang="ru-RU"/>
        </a:p>
      </c:txPr>
    </c:title>
    <c:autoTitleDeleted val="0"/>
    <c:plotArea>
      <c:layout>
        <c:manualLayout>
          <c:layoutTarget val="inner"/>
          <c:xMode val="edge"/>
          <c:yMode val="edge"/>
          <c:x val="3.3913181205417718E-2"/>
          <c:y val="9.0048142178739757E-2"/>
          <c:w val="0.95516551751958156"/>
          <c:h val="0.57138365380027678"/>
        </c:manualLayout>
      </c:layout>
      <c:barChart>
        <c:barDir val="col"/>
        <c:grouping val="clustered"/>
        <c:varyColors val="0"/>
        <c:ser>
          <c:idx val="3"/>
          <c:order val="4"/>
          <c:tx>
            <c:strRef>
              <c:f>Баланс!$W$242</c:f>
              <c:strCache>
                <c:ptCount val="1"/>
                <c:pt idx="0">
                  <c:v>2021</c:v>
                </c:pt>
              </c:strCache>
              <c:extLst xmlns:c15="http://schemas.microsoft.com/office/drawing/2012/chart"/>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Баланс!$B$243:$B$249</c:f>
              <c:strCache>
                <c:ptCount val="7"/>
                <c:pt idx="0">
                  <c:v>Органы государственной власти </c:v>
                </c:pt>
                <c:pt idx="1">
                  <c:v>Финансовые услуги</c:v>
                </c:pt>
                <c:pt idx="2">
                  <c:v>Строительство</c:v>
                </c:pt>
                <c:pt idx="3">
                  <c:v>Торговля и мелкий ремонт</c:v>
                </c:pt>
                <c:pt idx="4">
                  <c:v>Прочее</c:v>
                </c:pt>
                <c:pt idx="5">
                  <c:v>Прооизводство</c:v>
                </c:pt>
                <c:pt idx="6">
                  <c:v>Прочие</c:v>
                </c:pt>
              </c:strCache>
            </c:strRef>
          </c:cat>
          <c:val>
            <c:numRef>
              <c:f>Баланс!$W$243:$W$249</c:f>
              <c:numCache>
                <c:formatCode>0%;\(0%\)</c:formatCode>
                <c:ptCount val="7"/>
                <c:pt idx="0">
                  <c:v>0.76530368700702733</c:v>
                </c:pt>
                <c:pt idx="1">
                  <c:v>0.11995091915027983</c:v>
                </c:pt>
                <c:pt idx="2">
                  <c:v>5.0053365862464519E-2</c:v>
                </c:pt>
                <c:pt idx="3">
                  <c:v>1.6275047877956545E-2</c:v>
                </c:pt>
                <c:pt idx="4">
                  <c:v>4.6698699315222167E-4</c:v>
                </c:pt>
                <c:pt idx="5">
                  <c:v>2.1381347394809753E-2</c:v>
                </c:pt>
                <c:pt idx="6">
                  <c:v>2.6568645714309752E-2</c:v>
                </c:pt>
              </c:numCache>
              <c:extLst xmlns:c15="http://schemas.microsoft.com/office/drawing/2012/chart"/>
            </c:numRef>
          </c:val>
          <c:extLst xmlns:c15="http://schemas.microsoft.com/office/drawing/2012/chart">
            <c:ext xmlns:c16="http://schemas.microsoft.com/office/drawing/2014/chart" uri="{C3380CC4-5D6E-409C-BE32-E72D297353CC}">
              <c16:uniqueId val="{00000004-6C97-46D4-BCCC-C6F42063C8A2}"/>
            </c:ext>
          </c:extLst>
        </c:ser>
        <c:ser>
          <c:idx val="5"/>
          <c:order val="5"/>
          <c:tx>
            <c:strRef>
              <c:f>Баланс!$X$242</c:f>
              <c:strCache>
                <c:ptCount val="1"/>
                <c:pt idx="0">
                  <c:v>2022</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Arial Narrow" panose="020B0606020202030204" pitchFamily="34" charset="0"/>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Баланс!$B$243:$B$249</c:f>
              <c:strCache>
                <c:ptCount val="7"/>
                <c:pt idx="0">
                  <c:v>Органы государственной власти </c:v>
                </c:pt>
                <c:pt idx="1">
                  <c:v>Финансовые услуги</c:v>
                </c:pt>
                <c:pt idx="2">
                  <c:v>Строительство</c:v>
                </c:pt>
                <c:pt idx="3">
                  <c:v>Торговля и мелкий ремонт</c:v>
                </c:pt>
                <c:pt idx="4">
                  <c:v>Прочее</c:v>
                </c:pt>
                <c:pt idx="5">
                  <c:v>Прооизводство</c:v>
                </c:pt>
                <c:pt idx="6">
                  <c:v>Прочие</c:v>
                </c:pt>
              </c:strCache>
            </c:strRef>
          </c:cat>
          <c:val>
            <c:numRef>
              <c:f>Баланс!$X$243:$X$249</c:f>
              <c:numCache>
                <c:formatCode>0%;\(0%\)</c:formatCode>
                <c:ptCount val="7"/>
                <c:pt idx="0">
                  <c:v>0.76482787496943971</c:v>
                </c:pt>
                <c:pt idx="1">
                  <c:v>0.11987634210038396</c:v>
                </c:pt>
                <c:pt idx="2">
                  <c:v>5.0022246197939858E-2</c:v>
                </c:pt>
                <c:pt idx="3">
                  <c:v>1.6264929197197367E-2</c:v>
                </c:pt>
                <c:pt idx="4">
                  <c:v>1.0884263611173528E-3</c:v>
                </c:pt>
                <c:pt idx="5">
                  <c:v>2.1368053975944778E-2</c:v>
                </c:pt>
                <c:pt idx="6">
                  <c:v>2.6552127197976963E-2</c:v>
                </c:pt>
              </c:numCache>
            </c:numRef>
          </c:val>
          <c:extLst>
            <c:ext xmlns:c16="http://schemas.microsoft.com/office/drawing/2014/chart" uri="{C3380CC4-5D6E-409C-BE32-E72D297353CC}">
              <c16:uniqueId val="{00000001-8535-466E-A92F-08D7A760DA58}"/>
            </c:ext>
          </c:extLst>
        </c:ser>
        <c:ser>
          <c:idx val="6"/>
          <c:order val="6"/>
          <c:tx>
            <c:strRef>
              <c:f>Баланс!$Y$242</c:f>
              <c:strCache>
                <c:ptCount val="1"/>
                <c:pt idx="0">
                  <c:v>2023</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Arial Narrow" panose="020B0606020202030204" pitchFamily="34" charset="0"/>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Баланс!$B$243:$B$249</c:f>
              <c:strCache>
                <c:ptCount val="7"/>
                <c:pt idx="0">
                  <c:v>Органы государственной власти </c:v>
                </c:pt>
                <c:pt idx="1">
                  <c:v>Финансовые услуги</c:v>
                </c:pt>
                <c:pt idx="2">
                  <c:v>Строительство</c:v>
                </c:pt>
                <c:pt idx="3">
                  <c:v>Торговля и мелкий ремонт</c:v>
                </c:pt>
                <c:pt idx="4">
                  <c:v>Прочее</c:v>
                </c:pt>
                <c:pt idx="5">
                  <c:v>Прооизводство</c:v>
                </c:pt>
                <c:pt idx="6">
                  <c:v>Прочие</c:v>
                </c:pt>
              </c:strCache>
            </c:strRef>
          </c:cat>
          <c:val>
            <c:numRef>
              <c:f>Баланс!$Y$243:$Y$249</c:f>
              <c:numCache>
                <c:formatCode>0%;\(0%\)</c:formatCode>
                <c:ptCount val="7"/>
                <c:pt idx="0">
                  <c:v>0.63524583979735805</c:v>
                </c:pt>
                <c:pt idx="1">
                  <c:v>0.20034873937972694</c:v>
                </c:pt>
                <c:pt idx="2">
                  <c:v>5.8156402484674539E-2</c:v>
                </c:pt>
                <c:pt idx="3">
                  <c:v>2.73131726858435E-2</c:v>
                </c:pt>
                <c:pt idx="4">
                  <c:v>1.0192279887425547E-2</c:v>
                </c:pt>
                <c:pt idx="5">
                  <c:v>2.4924172493431943E-2</c:v>
                </c:pt>
                <c:pt idx="6">
                  <c:v>4.3819393271539296E-2</c:v>
                </c:pt>
              </c:numCache>
            </c:numRef>
          </c:val>
          <c:extLst>
            <c:ext xmlns:c16="http://schemas.microsoft.com/office/drawing/2014/chart" uri="{C3380CC4-5D6E-409C-BE32-E72D297353CC}">
              <c16:uniqueId val="{00000002-8535-466E-A92F-08D7A760DA58}"/>
            </c:ext>
          </c:extLst>
        </c:ser>
        <c:ser>
          <c:idx val="7"/>
          <c:order val="7"/>
          <c:tx>
            <c:strRef>
              <c:f>Баланс!$Z$242</c:f>
              <c:strCache>
                <c:ptCount val="1"/>
                <c:pt idx="0">
                  <c:v>2024</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Arial Narrow" panose="020B0606020202030204" pitchFamily="34" charset="0"/>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Баланс!$B$243:$B$249</c:f>
              <c:strCache>
                <c:ptCount val="7"/>
                <c:pt idx="0">
                  <c:v>Органы государственной власти </c:v>
                </c:pt>
                <c:pt idx="1">
                  <c:v>Финансовые услуги</c:v>
                </c:pt>
                <c:pt idx="2">
                  <c:v>Строительство</c:v>
                </c:pt>
                <c:pt idx="3">
                  <c:v>Торговля и мелкий ремонт</c:v>
                </c:pt>
                <c:pt idx="4">
                  <c:v>Прочее</c:v>
                </c:pt>
                <c:pt idx="5">
                  <c:v>Прооизводство</c:v>
                </c:pt>
                <c:pt idx="6">
                  <c:v>Прочие</c:v>
                </c:pt>
              </c:strCache>
            </c:strRef>
          </c:cat>
          <c:val>
            <c:numRef>
              <c:f>Баланс!$Z$243:$Z$249</c:f>
              <c:numCache>
                <c:formatCode>0%;\(0%\)</c:formatCode>
                <c:ptCount val="7"/>
                <c:pt idx="0">
                  <c:v>0.65372448307898645</c:v>
                </c:pt>
                <c:pt idx="1">
                  <c:v>0.12840529932924158</c:v>
                </c:pt>
                <c:pt idx="2">
                  <c:v>8.6088727100858436E-2</c:v>
                </c:pt>
                <c:pt idx="3">
                  <c:v>3.3590976405317864E-2</c:v>
                </c:pt>
                <c:pt idx="4">
                  <c:v>1.9666076709124024E-2</c:v>
                </c:pt>
                <c:pt idx="5">
                  <c:v>3.6895168757510761E-2</c:v>
                </c:pt>
                <c:pt idx="6">
                  <c:v>4.1629268618960907E-2</c:v>
                </c:pt>
              </c:numCache>
            </c:numRef>
          </c:val>
          <c:extLst>
            <c:ext xmlns:c16="http://schemas.microsoft.com/office/drawing/2014/chart" uri="{C3380CC4-5D6E-409C-BE32-E72D297353CC}">
              <c16:uniqueId val="{00000003-8535-466E-A92F-08D7A760DA58}"/>
            </c:ext>
          </c:extLst>
        </c:ser>
        <c:dLbls>
          <c:showLegendKey val="0"/>
          <c:showVal val="1"/>
          <c:showCatName val="0"/>
          <c:showSerName val="0"/>
          <c:showPercent val="0"/>
          <c:showBubbleSize val="0"/>
        </c:dLbls>
        <c:gapWidth val="219"/>
        <c:overlap val="-27"/>
        <c:axId val="-246214288"/>
        <c:axId val="-246213200"/>
        <c:extLst>
          <c:ext xmlns:c15="http://schemas.microsoft.com/office/drawing/2012/chart" uri="{02D57815-91ED-43cb-92C2-25804820EDAC}">
            <c15:filteredBarSeries>
              <c15:ser>
                <c:idx val="4"/>
                <c:order val="0"/>
                <c:tx>
                  <c:strRef>
                    <c:extLst>
                      <c:ext uri="{02D57815-91ED-43cb-92C2-25804820EDAC}">
                        <c15:formulaRef>
                          <c15:sqref>Баланс!$S$242</c15:sqref>
                        </c15:formulaRef>
                      </c:ext>
                    </c:extLst>
                    <c:strCache>
                      <c:ptCount val="1"/>
                      <c:pt idx="0">
                        <c:v>2017</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Arial Narrow" panose="020B0606020202030204" pitchFamily="34" charset="0"/>
                          <a:ea typeface="+mn-ea"/>
                          <a:cs typeface="+mn-cs"/>
                        </a:defRPr>
                      </a:pPr>
                      <a:endParaRPr lang="ru-RU"/>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Баланс!$B$243:$B$249</c15:sqref>
                        </c15:formulaRef>
                      </c:ext>
                    </c:extLst>
                    <c:strCache>
                      <c:ptCount val="7"/>
                      <c:pt idx="0">
                        <c:v>Органы государственной власти </c:v>
                      </c:pt>
                      <c:pt idx="1">
                        <c:v>Финансовые услуги</c:v>
                      </c:pt>
                      <c:pt idx="2">
                        <c:v>Строительство</c:v>
                      </c:pt>
                      <c:pt idx="3">
                        <c:v>Торговля и мелкий ремонт</c:v>
                      </c:pt>
                      <c:pt idx="4">
                        <c:v>Прочее</c:v>
                      </c:pt>
                      <c:pt idx="5">
                        <c:v>Прооизводство</c:v>
                      </c:pt>
                      <c:pt idx="6">
                        <c:v>Прочие</c:v>
                      </c:pt>
                    </c:strCache>
                  </c:strRef>
                </c:cat>
                <c:val>
                  <c:numRef>
                    <c:extLst>
                      <c:ext uri="{02D57815-91ED-43cb-92C2-25804820EDAC}">
                        <c15:formulaRef>
                          <c15:sqref>Баланс!$S$243:$S$249</c15:sqref>
                        </c15:formulaRef>
                      </c:ext>
                    </c:extLst>
                    <c:numCache>
                      <c:formatCode>0%;\(0%\)</c:formatCode>
                      <c:ptCount val="7"/>
                      <c:pt idx="0">
                        <c:v>0.49838978704325354</c:v>
                      </c:pt>
                      <c:pt idx="1">
                        <c:v>0.34327537915856238</c:v>
                      </c:pt>
                      <c:pt idx="2">
                        <c:v>5.5176909064108499E-2</c:v>
                      </c:pt>
                      <c:pt idx="3">
                        <c:v>3.5107752722198196E-2</c:v>
                      </c:pt>
                      <c:pt idx="4">
                        <c:v>2.4876081748311071E-2</c:v>
                      </c:pt>
                      <c:pt idx="5">
                        <c:v>1.6800542281097616E-2</c:v>
                      </c:pt>
                      <c:pt idx="6">
                        <c:v>2.6373547982468607E-2</c:v>
                      </c:pt>
                    </c:numCache>
                  </c:numRef>
                </c:val>
                <c:extLst>
                  <c:ext xmlns:c16="http://schemas.microsoft.com/office/drawing/2014/chart" uri="{C3380CC4-5D6E-409C-BE32-E72D297353CC}">
                    <c16:uniqueId val="{00000000-6C97-46D4-BCCC-C6F42063C8A2}"/>
                  </c:ext>
                </c:extLst>
              </c15:ser>
            </c15:filteredBarSeries>
            <c15:filteredBarSeries>
              <c15:ser>
                <c:idx val="0"/>
                <c:order val="1"/>
                <c:tx>
                  <c:strRef>
                    <c:extLst xmlns:c15="http://schemas.microsoft.com/office/drawing/2012/chart">
                      <c:ext xmlns:c15="http://schemas.microsoft.com/office/drawing/2012/chart" uri="{02D57815-91ED-43cb-92C2-25804820EDAC}">
                        <c15:formulaRef>
                          <c15:sqref>Баланс!$T$242</c15:sqref>
                        </c15:formulaRef>
                      </c:ext>
                    </c:extLst>
                    <c:strCache>
                      <c:ptCount val="1"/>
                      <c:pt idx="0">
                        <c:v>2018</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Баланс!$B$243:$B$249</c15:sqref>
                        </c15:formulaRef>
                      </c:ext>
                    </c:extLst>
                    <c:strCache>
                      <c:ptCount val="7"/>
                      <c:pt idx="0">
                        <c:v>Органы государственной власти </c:v>
                      </c:pt>
                      <c:pt idx="1">
                        <c:v>Финансовые услуги</c:v>
                      </c:pt>
                      <c:pt idx="2">
                        <c:v>Строительство</c:v>
                      </c:pt>
                      <c:pt idx="3">
                        <c:v>Торговля и мелкий ремонт</c:v>
                      </c:pt>
                      <c:pt idx="4">
                        <c:v>Прочее</c:v>
                      </c:pt>
                      <c:pt idx="5">
                        <c:v>Прооизводство</c:v>
                      </c:pt>
                      <c:pt idx="6">
                        <c:v>Прочие</c:v>
                      </c:pt>
                    </c:strCache>
                  </c:strRef>
                </c:cat>
                <c:val>
                  <c:numRef>
                    <c:extLst xmlns:c15="http://schemas.microsoft.com/office/drawing/2012/chart">
                      <c:ext xmlns:c15="http://schemas.microsoft.com/office/drawing/2012/chart" uri="{02D57815-91ED-43cb-92C2-25804820EDAC}">
                        <c15:formulaRef>
                          <c15:sqref>Баланс!$T$243:$T$249</c15:sqref>
                        </c15:formulaRef>
                      </c:ext>
                    </c:extLst>
                    <c:numCache>
                      <c:formatCode>0%;\(0%\)</c:formatCode>
                      <c:ptCount val="7"/>
                      <c:pt idx="0">
                        <c:v>0.62570819123883625</c:v>
                      </c:pt>
                      <c:pt idx="1">
                        <c:v>0.24946357753134787</c:v>
                      </c:pt>
                      <c:pt idx="2">
                        <c:v>3.9146370835950343E-2</c:v>
                      </c:pt>
                      <c:pt idx="3">
                        <c:v>2.3575909235795976E-2</c:v>
                      </c:pt>
                      <c:pt idx="4">
                        <c:v>2.5353442193143498E-2</c:v>
                      </c:pt>
                      <c:pt idx="5">
                        <c:v>1.1083156409378051E-2</c:v>
                      </c:pt>
                      <c:pt idx="6">
                        <c:v>2.5669352555547819E-2</c:v>
                      </c:pt>
                    </c:numCache>
                  </c:numRef>
                </c:val>
                <c:extLst xmlns:c15="http://schemas.microsoft.com/office/drawing/2012/chart">
                  <c:ext xmlns:c16="http://schemas.microsoft.com/office/drawing/2014/chart" uri="{C3380CC4-5D6E-409C-BE32-E72D297353CC}">
                    <c16:uniqueId val="{00000001-6C97-46D4-BCCC-C6F42063C8A2}"/>
                  </c:ext>
                </c:extLst>
              </c15:ser>
            </c15:filteredBarSeries>
            <c15:filteredBarSeries>
              <c15:ser>
                <c:idx val="1"/>
                <c:order val="2"/>
                <c:tx>
                  <c:strRef>
                    <c:extLst xmlns:c15="http://schemas.microsoft.com/office/drawing/2012/chart">
                      <c:ext xmlns:c15="http://schemas.microsoft.com/office/drawing/2012/chart" uri="{02D57815-91ED-43cb-92C2-25804820EDAC}">
                        <c15:formulaRef>
                          <c15:sqref>Баланс!$U$242</c15:sqref>
                        </c15:formulaRef>
                      </c:ext>
                    </c:extLst>
                    <c:strCache>
                      <c:ptCount val="1"/>
                      <c:pt idx="0">
                        <c:v>2019</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Баланс!$B$243:$B$249</c15:sqref>
                        </c15:formulaRef>
                      </c:ext>
                    </c:extLst>
                    <c:strCache>
                      <c:ptCount val="7"/>
                      <c:pt idx="0">
                        <c:v>Органы государственной власти </c:v>
                      </c:pt>
                      <c:pt idx="1">
                        <c:v>Финансовые услуги</c:v>
                      </c:pt>
                      <c:pt idx="2">
                        <c:v>Строительство</c:v>
                      </c:pt>
                      <c:pt idx="3">
                        <c:v>Торговля и мелкий ремонт</c:v>
                      </c:pt>
                      <c:pt idx="4">
                        <c:v>Прочее</c:v>
                      </c:pt>
                      <c:pt idx="5">
                        <c:v>Прооизводство</c:v>
                      </c:pt>
                      <c:pt idx="6">
                        <c:v>Прочие</c:v>
                      </c:pt>
                    </c:strCache>
                  </c:strRef>
                </c:cat>
                <c:val>
                  <c:numRef>
                    <c:extLst xmlns:c15="http://schemas.microsoft.com/office/drawing/2012/chart">
                      <c:ext xmlns:c15="http://schemas.microsoft.com/office/drawing/2012/chart" uri="{02D57815-91ED-43cb-92C2-25804820EDAC}">
                        <c15:formulaRef>
                          <c15:sqref>Баланс!$U$243:$U$249</c15:sqref>
                        </c15:formulaRef>
                      </c:ext>
                    </c:extLst>
                    <c:numCache>
                      <c:formatCode>0%;\(0%\)</c:formatCode>
                      <c:ptCount val="7"/>
                      <c:pt idx="0">
                        <c:v>0.64322049375508716</c:v>
                      </c:pt>
                      <c:pt idx="1">
                        <c:v>0.2285483817925367</c:v>
                      </c:pt>
                      <c:pt idx="2">
                        <c:v>3.5827024483818672E-2</c:v>
                      </c:pt>
                      <c:pt idx="3">
                        <c:v>1.5075874251868461E-2</c:v>
                      </c:pt>
                      <c:pt idx="4">
                        <c:v>3.9060353064394336E-2</c:v>
                      </c:pt>
                      <c:pt idx="5">
                        <c:v>1.7421055323889784E-2</c:v>
                      </c:pt>
                      <c:pt idx="6">
                        <c:v>2.0846817328404876E-2</c:v>
                      </c:pt>
                    </c:numCache>
                  </c:numRef>
                </c:val>
                <c:extLst xmlns:c15="http://schemas.microsoft.com/office/drawing/2012/chart">
                  <c:ext xmlns:c16="http://schemas.microsoft.com/office/drawing/2014/chart" uri="{C3380CC4-5D6E-409C-BE32-E72D297353CC}">
                    <c16:uniqueId val="{00000002-6C97-46D4-BCCC-C6F42063C8A2}"/>
                  </c:ext>
                </c:extLst>
              </c15:ser>
            </c15:filteredBarSeries>
            <c15:filteredBarSeries>
              <c15:ser>
                <c:idx val="2"/>
                <c:order val="3"/>
                <c:tx>
                  <c:strRef>
                    <c:extLst xmlns:c15="http://schemas.microsoft.com/office/drawing/2012/chart">
                      <c:ext xmlns:c15="http://schemas.microsoft.com/office/drawing/2012/chart" uri="{02D57815-91ED-43cb-92C2-25804820EDAC}">
                        <c15:formulaRef>
                          <c15:sqref>Баланс!$V$242</c15:sqref>
                        </c15:formulaRef>
                      </c:ext>
                    </c:extLst>
                    <c:strCache>
                      <c:ptCount val="1"/>
                      <c:pt idx="0">
                        <c:v>2020</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Баланс!$B$243:$B$249</c15:sqref>
                        </c15:formulaRef>
                      </c:ext>
                    </c:extLst>
                    <c:strCache>
                      <c:ptCount val="7"/>
                      <c:pt idx="0">
                        <c:v>Органы государственной власти </c:v>
                      </c:pt>
                      <c:pt idx="1">
                        <c:v>Финансовые услуги</c:v>
                      </c:pt>
                      <c:pt idx="2">
                        <c:v>Строительство</c:v>
                      </c:pt>
                      <c:pt idx="3">
                        <c:v>Торговля и мелкий ремонт</c:v>
                      </c:pt>
                      <c:pt idx="4">
                        <c:v>Прочее</c:v>
                      </c:pt>
                      <c:pt idx="5">
                        <c:v>Прооизводство</c:v>
                      </c:pt>
                      <c:pt idx="6">
                        <c:v>Прочие</c:v>
                      </c:pt>
                    </c:strCache>
                  </c:strRef>
                </c:cat>
                <c:val>
                  <c:numRef>
                    <c:extLst xmlns:c15="http://schemas.microsoft.com/office/drawing/2012/chart">
                      <c:ext xmlns:c15="http://schemas.microsoft.com/office/drawing/2012/chart" uri="{02D57815-91ED-43cb-92C2-25804820EDAC}">
                        <c15:formulaRef>
                          <c15:sqref>Баланс!$V$243:$V$249</c15:sqref>
                        </c15:formulaRef>
                      </c:ext>
                    </c:extLst>
                    <c:numCache>
                      <c:formatCode>0%;\(0%\)</c:formatCode>
                      <c:ptCount val="7"/>
                      <c:pt idx="0">
                        <c:v>0.71013422377174695</c:v>
                      </c:pt>
                      <c:pt idx="1">
                        <c:v>0.11909596376196972</c:v>
                      </c:pt>
                      <c:pt idx="2">
                        <c:v>4.9316544818061255E-2</c:v>
                      </c:pt>
                      <c:pt idx="3">
                        <c:v>2.5704340289774974E-2</c:v>
                      </c:pt>
                      <c:pt idx="4">
                        <c:v>4.4189959305428579E-2</c:v>
                      </c:pt>
                      <c:pt idx="5">
                        <c:v>2.11356620648834E-2</c:v>
                      </c:pt>
                      <c:pt idx="6">
                        <c:v>3.0423305988135078E-2</c:v>
                      </c:pt>
                    </c:numCache>
                  </c:numRef>
                </c:val>
                <c:extLst xmlns:c15="http://schemas.microsoft.com/office/drawing/2012/chart">
                  <c:ext xmlns:c16="http://schemas.microsoft.com/office/drawing/2014/chart" uri="{C3380CC4-5D6E-409C-BE32-E72D297353CC}">
                    <c16:uniqueId val="{00000003-6C97-46D4-BCCC-C6F42063C8A2}"/>
                  </c:ext>
                </c:extLst>
              </c15:ser>
            </c15:filteredBarSeries>
          </c:ext>
        </c:extLst>
      </c:barChart>
      <c:catAx>
        <c:axId val="-24621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Arial Narrow" panose="020B0606020202030204" pitchFamily="34" charset="0"/>
                <a:ea typeface="+mn-ea"/>
                <a:cs typeface="+mn-cs"/>
              </a:defRPr>
            </a:pPr>
            <a:endParaRPr lang="ru-RU"/>
          </a:p>
        </c:txPr>
        <c:crossAx val="-246213200"/>
        <c:crosses val="autoZero"/>
        <c:auto val="1"/>
        <c:lblAlgn val="ctr"/>
        <c:lblOffset val="100"/>
        <c:noMultiLvlLbl val="0"/>
      </c:catAx>
      <c:valAx>
        <c:axId val="-24621320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Arial Narrow" panose="020B0606020202030204" pitchFamily="34" charset="0"/>
                <a:ea typeface="+mn-ea"/>
                <a:cs typeface="+mn-cs"/>
              </a:defRPr>
            </a:pPr>
            <a:endParaRPr lang="ru-RU"/>
          </a:p>
        </c:txPr>
        <c:crossAx val="-246214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400" b="0" i="0" u="none" strike="noStrike" kern="1200" baseline="0">
              <a:solidFill>
                <a:sysClr val="windowText" lastClr="000000"/>
              </a:solidFill>
              <a:latin typeface="Arial Narrow" panose="020B0606020202030204" pitchFamily="34" charset="0"/>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latin typeface="Arial Narrow" panose="020B0606020202030204" pitchFamily="34" charset="0"/>
        </a:defRPr>
      </a:pPr>
      <a:endParaRPr lang="ru-RU"/>
    </a:p>
  </c:txPr>
  <c:printSettings>
    <c:headerFooter/>
    <c:pageMargins b="0.75000000000000033" l="0.70000000000000029" r="0.70000000000000029" t="0.75000000000000033" header="0.30000000000000016" footer="0.3000000000000001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Кредиты!$B$212</c:f>
          <c:strCache>
            <c:ptCount val="1"/>
            <c:pt idx="0">
              <c:v>Отраслевая структура  кредитов ЮЛ в 2021-2024 </c:v>
            </c:pt>
          </c:strCache>
        </c:strRef>
      </c:tx>
      <c:layout>
        <c:manualLayout>
          <c:xMode val="edge"/>
          <c:yMode val="edge"/>
          <c:x val="0.30167884731468497"/>
          <c:y val="2.0611400446124372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Arial Narrow" panose="020B0606020202030204" pitchFamily="34" charset="0"/>
              <a:ea typeface="+mn-ea"/>
              <a:cs typeface="+mn-cs"/>
            </a:defRPr>
          </a:pPr>
          <a:endParaRPr lang="ru-RU"/>
        </a:p>
      </c:txPr>
    </c:title>
    <c:autoTitleDeleted val="0"/>
    <c:plotArea>
      <c:layout>
        <c:manualLayout>
          <c:layoutTarget val="inner"/>
          <c:xMode val="edge"/>
          <c:yMode val="edge"/>
          <c:x val="3.3913181205417718E-2"/>
          <c:y val="0.11241775124400907"/>
          <c:w val="0.95516551751958156"/>
          <c:h val="0.57698149402280985"/>
        </c:manualLayout>
      </c:layout>
      <c:barChart>
        <c:barDir val="col"/>
        <c:grouping val="clustered"/>
        <c:varyColors val="0"/>
        <c:ser>
          <c:idx val="4"/>
          <c:order val="4"/>
          <c:tx>
            <c:strRef>
              <c:f>Кредиты!$W$215</c:f>
              <c:strCache>
                <c:ptCount val="1"/>
                <c:pt idx="0">
                  <c:v>2021</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Кредиты!$B$216:$B$223</c:f>
              <c:strCache>
                <c:ptCount val="8"/>
                <c:pt idx="0">
                  <c:v>Строительство и девелопмент</c:v>
                </c:pt>
                <c:pt idx="1">
                  <c:v>Финансовые услуги </c:v>
                </c:pt>
                <c:pt idx="2">
                  <c:v>Торговля</c:v>
                </c:pt>
                <c:pt idx="3">
                  <c:v>Сельское хозяйство и пищевая отрасль</c:v>
                </c:pt>
                <c:pt idx="4">
                  <c:v>Нефтегазовая отрасль</c:v>
                </c:pt>
                <c:pt idx="5">
                  <c:v>Производство</c:v>
                </c:pt>
                <c:pt idx="6">
                  <c:v>Химическая производство </c:v>
                </c:pt>
                <c:pt idx="7">
                  <c:v>Прочие</c:v>
                </c:pt>
              </c:strCache>
            </c:strRef>
          </c:cat>
          <c:val>
            <c:numRef>
              <c:f>Кредиты!$W$216:$W$223</c:f>
              <c:numCache>
                <c:formatCode>0%;\(0%\)</c:formatCode>
                <c:ptCount val="8"/>
                <c:pt idx="0">
                  <c:v>0.22996003590273228</c:v>
                </c:pt>
                <c:pt idx="1">
                  <c:v>0.241968157133617</c:v>
                </c:pt>
                <c:pt idx="2">
                  <c:v>6.1051816363340235E-2</c:v>
                </c:pt>
                <c:pt idx="3">
                  <c:v>7.3138186003248271E-2</c:v>
                </c:pt>
                <c:pt idx="4">
                  <c:v>9.4084683187949436E-2</c:v>
                </c:pt>
                <c:pt idx="5">
                  <c:v>0.10969223123390638</c:v>
                </c:pt>
                <c:pt idx="6">
                  <c:v>4.9669682404641979E-2</c:v>
                </c:pt>
                <c:pt idx="7">
                  <c:v>0.14043520777056448</c:v>
                </c:pt>
              </c:numCache>
            </c:numRef>
          </c:val>
          <c:extLst>
            <c:ext xmlns:c16="http://schemas.microsoft.com/office/drawing/2014/chart" uri="{C3380CC4-5D6E-409C-BE32-E72D297353CC}">
              <c16:uniqueId val="{00000004-CFF3-4680-930C-E9CCE5858639}"/>
            </c:ext>
          </c:extLst>
        </c:ser>
        <c:ser>
          <c:idx val="5"/>
          <c:order val="5"/>
          <c:tx>
            <c:strRef>
              <c:f>Кредиты!$X$215</c:f>
              <c:strCache>
                <c:ptCount val="1"/>
                <c:pt idx="0">
                  <c:v>2022</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Arial Narrow" panose="020B0606020202030204" pitchFamily="34" charset="0"/>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Кредиты!$B$216:$B$223</c:f>
              <c:strCache>
                <c:ptCount val="8"/>
                <c:pt idx="0">
                  <c:v>Строительство и девелопмент</c:v>
                </c:pt>
                <c:pt idx="1">
                  <c:v>Финансовые услуги </c:v>
                </c:pt>
                <c:pt idx="2">
                  <c:v>Торговля</c:v>
                </c:pt>
                <c:pt idx="3">
                  <c:v>Сельское хозяйство и пищевая отрасль</c:v>
                </c:pt>
                <c:pt idx="4">
                  <c:v>Нефтегазовая отрасль</c:v>
                </c:pt>
                <c:pt idx="5">
                  <c:v>Производство</c:v>
                </c:pt>
                <c:pt idx="6">
                  <c:v>Химическая производство </c:v>
                </c:pt>
                <c:pt idx="7">
                  <c:v>Прочие</c:v>
                </c:pt>
              </c:strCache>
            </c:strRef>
          </c:cat>
          <c:val>
            <c:numRef>
              <c:f>Кредиты!$X$216:$X$223</c:f>
              <c:numCache>
                <c:formatCode>0%;\(0%\)</c:formatCode>
                <c:ptCount val="8"/>
                <c:pt idx="0">
                  <c:v>0.22848354934102963</c:v>
                </c:pt>
                <c:pt idx="1">
                  <c:v>0.24041457095954433</c:v>
                </c:pt>
                <c:pt idx="2">
                  <c:v>6.0659825702553682E-2</c:v>
                </c:pt>
                <c:pt idx="3">
                  <c:v>7.2668593326602568E-2</c:v>
                </c:pt>
                <c:pt idx="4">
                  <c:v>9.3480600961906385E-2</c:v>
                </c:pt>
                <c:pt idx="5">
                  <c:v>0.10898793883499343</c:v>
                </c:pt>
                <c:pt idx="6">
                  <c:v>4.9350772128312431E-2</c:v>
                </c:pt>
                <c:pt idx="7">
                  <c:v>0.14595414874505741</c:v>
                </c:pt>
              </c:numCache>
            </c:numRef>
          </c:val>
          <c:extLst>
            <c:ext xmlns:c16="http://schemas.microsoft.com/office/drawing/2014/chart" uri="{C3380CC4-5D6E-409C-BE32-E72D297353CC}">
              <c16:uniqueId val="{00000000-C611-4A07-9265-74683A4AAE94}"/>
            </c:ext>
          </c:extLst>
        </c:ser>
        <c:ser>
          <c:idx val="6"/>
          <c:order val="6"/>
          <c:tx>
            <c:strRef>
              <c:f>Кредиты!$Y$215</c:f>
              <c:strCache>
                <c:ptCount val="1"/>
                <c:pt idx="0">
                  <c:v>2023</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Arial Narrow" panose="020B0606020202030204" pitchFamily="34" charset="0"/>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Кредиты!$B$216:$B$223</c:f>
              <c:strCache>
                <c:ptCount val="8"/>
                <c:pt idx="0">
                  <c:v>Строительство и девелопмент</c:v>
                </c:pt>
                <c:pt idx="1">
                  <c:v>Финансовые услуги </c:v>
                </c:pt>
                <c:pt idx="2">
                  <c:v>Торговля</c:v>
                </c:pt>
                <c:pt idx="3">
                  <c:v>Сельское хозяйство и пищевая отрасль</c:v>
                </c:pt>
                <c:pt idx="4">
                  <c:v>Нефтегазовая отрасль</c:v>
                </c:pt>
                <c:pt idx="5">
                  <c:v>Производство</c:v>
                </c:pt>
                <c:pt idx="6">
                  <c:v>Химическая производство </c:v>
                </c:pt>
                <c:pt idx="7">
                  <c:v>Прочие</c:v>
                </c:pt>
              </c:strCache>
            </c:strRef>
          </c:cat>
          <c:val>
            <c:numRef>
              <c:f>Кредиты!$Y$216:$Y$223</c:f>
              <c:numCache>
                <c:formatCode>0%;\(0%\)</c:formatCode>
                <c:ptCount val="8"/>
                <c:pt idx="0">
                  <c:v>0.20003728519301764</c:v>
                </c:pt>
                <c:pt idx="1">
                  <c:v>0.10166958975545783</c:v>
                </c:pt>
                <c:pt idx="2">
                  <c:v>0.17511442823194645</c:v>
                </c:pt>
                <c:pt idx="3">
                  <c:v>7.531392880358706E-2</c:v>
                </c:pt>
                <c:pt idx="4">
                  <c:v>7.6543463024065617E-2</c:v>
                </c:pt>
                <c:pt idx="5">
                  <c:v>0.19087527213074204</c:v>
                </c:pt>
                <c:pt idx="6">
                  <c:v>3.1303544629441696E-2</c:v>
                </c:pt>
                <c:pt idx="7">
                  <c:v>0.14914248823174178</c:v>
                </c:pt>
              </c:numCache>
            </c:numRef>
          </c:val>
          <c:extLst>
            <c:ext xmlns:c16="http://schemas.microsoft.com/office/drawing/2014/chart" uri="{C3380CC4-5D6E-409C-BE32-E72D297353CC}">
              <c16:uniqueId val="{00000001-C611-4A07-9265-74683A4AAE94}"/>
            </c:ext>
          </c:extLst>
        </c:ser>
        <c:ser>
          <c:idx val="7"/>
          <c:order val="7"/>
          <c:tx>
            <c:strRef>
              <c:f>Кредиты!$Z$215</c:f>
              <c:strCache>
                <c:ptCount val="1"/>
                <c:pt idx="0">
                  <c:v>2024</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Arial Narrow" panose="020B0606020202030204" pitchFamily="34" charset="0"/>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Кредиты!$B$216:$B$223</c:f>
              <c:strCache>
                <c:ptCount val="8"/>
                <c:pt idx="0">
                  <c:v>Строительство и девелопмент</c:v>
                </c:pt>
                <c:pt idx="1">
                  <c:v>Финансовые услуги </c:v>
                </c:pt>
                <c:pt idx="2">
                  <c:v>Торговля</c:v>
                </c:pt>
                <c:pt idx="3">
                  <c:v>Сельское хозяйство и пищевая отрасль</c:v>
                </c:pt>
                <c:pt idx="4">
                  <c:v>Нефтегазовая отрасль</c:v>
                </c:pt>
                <c:pt idx="5">
                  <c:v>Производство</c:v>
                </c:pt>
                <c:pt idx="6">
                  <c:v>Химическая производство </c:v>
                </c:pt>
                <c:pt idx="7">
                  <c:v>Прочие</c:v>
                </c:pt>
              </c:strCache>
            </c:strRef>
          </c:cat>
          <c:val>
            <c:numRef>
              <c:f>Кредиты!$Z$216:$Z$223</c:f>
              <c:numCache>
                <c:formatCode>0%;\(0%\)</c:formatCode>
                <c:ptCount val="8"/>
                <c:pt idx="0">
                  <c:v>0.20318665329732</c:v>
                </c:pt>
                <c:pt idx="1">
                  <c:v>9.0699949024366414E-2</c:v>
                </c:pt>
                <c:pt idx="2">
                  <c:v>0.18026453697462433</c:v>
                </c:pt>
                <c:pt idx="3">
                  <c:v>4.7176580656648016E-2</c:v>
                </c:pt>
                <c:pt idx="4">
                  <c:v>7.0890226308611762E-2</c:v>
                </c:pt>
                <c:pt idx="5">
                  <c:v>0.17500319496243055</c:v>
                </c:pt>
                <c:pt idx="6">
                  <c:v>3.0343151482168387E-2</c:v>
                </c:pt>
                <c:pt idx="7">
                  <c:v>0.20243570729383054</c:v>
                </c:pt>
              </c:numCache>
            </c:numRef>
          </c:val>
          <c:extLst>
            <c:ext xmlns:c16="http://schemas.microsoft.com/office/drawing/2014/chart" uri="{C3380CC4-5D6E-409C-BE32-E72D297353CC}">
              <c16:uniqueId val="{00000002-C611-4A07-9265-74683A4AAE94}"/>
            </c:ext>
          </c:extLst>
        </c:ser>
        <c:dLbls>
          <c:showLegendKey val="0"/>
          <c:showVal val="1"/>
          <c:showCatName val="0"/>
          <c:showSerName val="0"/>
          <c:showPercent val="0"/>
          <c:showBubbleSize val="0"/>
        </c:dLbls>
        <c:gapWidth val="219"/>
        <c:overlap val="-27"/>
        <c:axId val="-246210480"/>
        <c:axId val="-246207760"/>
        <c:extLst>
          <c:ext xmlns:c15="http://schemas.microsoft.com/office/drawing/2012/chart" uri="{02D57815-91ED-43cb-92C2-25804820EDAC}">
            <c15:filteredBarSeries>
              <c15:ser>
                <c:idx val="0"/>
                <c:order val="0"/>
                <c:tx>
                  <c:strRef>
                    <c:extLst>
                      <c:ext uri="{02D57815-91ED-43cb-92C2-25804820EDAC}">
                        <c15:formulaRef>
                          <c15:sqref>Кредиты!$S$215</c15:sqref>
                        </c15:formulaRef>
                      </c:ext>
                    </c:extLst>
                    <c:strCache>
                      <c:ptCount val="1"/>
                      <c:pt idx="0">
                        <c:v>2017</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Кредиты!$B$216:$B$223</c15:sqref>
                        </c15:formulaRef>
                      </c:ext>
                    </c:extLst>
                    <c:strCache>
                      <c:ptCount val="8"/>
                      <c:pt idx="0">
                        <c:v>Строительство и девелопмент</c:v>
                      </c:pt>
                      <c:pt idx="1">
                        <c:v>Финансовые услуги </c:v>
                      </c:pt>
                      <c:pt idx="2">
                        <c:v>Торговля</c:v>
                      </c:pt>
                      <c:pt idx="3">
                        <c:v>Сельское хозяйство и пищевая отрасль</c:v>
                      </c:pt>
                      <c:pt idx="4">
                        <c:v>Нефтегазовая отрасль</c:v>
                      </c:pt>
                      <c:pt idx="5">
                        <c:v>Производство</c:v>
                      </c:pt>
                      <c:pt idx="6">
                        <c:v>Химическая производство </c:v>
                      </c:pt>
                      <c:pt idx="7">
                        <c:v>Прочие</c:v>
                      </c:pt>
                    </c:strCache>
                  </c:strRef>
                </c:cat>
                <c:val>
                  <c:numRef>
                    <c:extLst>
                      <c:ext uri="{02D57815-91ED-43cb-92C2-25804820EDAC}">
                        <c15:formulaRef>
                          <c15:sqref>Кредиты!$S$216:$S$223</c15:sqref>
                        </c15:formulaRef>
                      </c:ext>
                    </c:extLst>
                    <c:numCache>
                      <c:formatCode>0%;\(0%\)</c:formatCode>
                      <c:ptCount val="8"/>
                      <c:pt idx="0">
                        <c:v>0.33043783927969139</c:v>
                      </c:pt>
                      <c:pt idx="1">
                        <c:v>0.18214600067920658</c:v>
                      </c:pt>
                      <c:pt idx="2">
                        <c:v>0.1417222962694745</c:v>
                      </c:pt>
                      <c:pt idx="3">
                        <c:v>0.14000552143041378</c:v>
                      </c:pt>
                      <c:pt idx="4">
                        <c:v>6.8386126687539392E-2</c:v>
                      </c:pt>
                      <c:pt idx="5">
                        <c:v>5.57418228873112E-2</c:v>
                      </c:pt>
                      <c:pt idx="6">
                        <c:v>3.874288049659097E-2</c:v>
                      </c:pt>
                      <c:pt idx="7">
                        <c:v>4.2817512269772151E-2</c:v>
                      </c:pt>
                    </c:numCache>
                  </c:numRef>
                </c:val>
                <c:extLst>
                  <c:ext xmlns:c16="http://schemas.microsoft.com/office/drawing/2014/chart" uri="{C3380CC4-5D6E-409C-BE32-E72D297353CC}">
                    <c16:uniqueId val="{00000000-CFF3-4680-930C-E9CCE585863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Кредиты!$T$215</c15:sqref>
                        </c15:formulaRef>
                      </c:ext>
                    </c:extLst>
                    <c:strCache>
                      <c:ptCount val="1"/>
                      <c:pt idx="0">
                        <c:v>2018</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Кредиты!$B$216:$B$223</c15:sqref>
                        </c15:formulaRef>
                      </c:ext>
                    </c:extLst>
                    <c:strCache>
                      <c:ptCount val="8"/>
                      <c:pt idx="0">
                        <c:v>Строительство и девелопмент</c:v>
                      </c:pt>
                      <c:pt idx="1">
                        <c:v>Финансовые услуги </c:v>
                      </c:pt>
                      <c:pt idx="2">
                        <c:v>Торговля</c:v>
                      </c:pt>
                      <c:pt idx="3">
                        <c:v>Сельское хозяйство и пищевая отрасль</c:v>
                      </c:pt>
                      <c:pt idx="4">
                        <c:v>Нефтегазовая отрасль</c:v>
                      </c:pt>
                      <c:pt idx="5">
                        <c:v>Производство</c:v>
                      </c:pt>
                      <c:pt idx="6">
                        <c:v>Химическая производство </c:v>
                      </c:pt>
                      <c:pt idx="7">
                        <c:v>Прочие</c:v>
                      </c:pt>
                    </c:strCache>
                  </c:strRef>
                </c:cat>
                <c:val>
                  <c:numRef>
                    <c:extLst xmlns:c15="http://schemas.microsoft.com/office/drawing/2012/chart">
                      <c:ext xmlns:c15="http://schemas.microsoft.com/office/drawing/2012/chart" uri="{02D57815-91ED-43cb-92C2-25804820EDAC}">
                        <c15:formulaRef>
                          <c15:sqref>Кредиты!$T$216:$T$223</c15:sqref>
                        </c15:formulaRef>
                      </c:ext>
                    </c:extLst>
                    <c:numCache>
                      <c:formatCode>0%;\(0%\)</c:formatCode>
                      <c:ptCount val="8"/>
                      <c:pt idx="0">
                        <c:v>0.30411493575729842</c:v>
                      </c:pt>
                      <c:pt idx="1">
                        <c:v>0.1928373651771976</c:v>
                      </c:pt>
                      <c:pt idx="2">
                        <c:v>0.16444361895700113</c:v>
                      </c:pt>
                      <c:pt idx="3">
                        <c:v>0.12133857472665917</c:v>
                      </c:pt>
                      <c:pt idx="4">
                        <c:v>2.9909334510281547E-4</c:v>
                      </c:pt>
                      <c:pt idx="5">
                        <c:v>8.138662588564774E-2</c:v>
                      </c:pt>
                      <c:pt idx="6">
                        <c:v>7.372154234547211E-2</c:v>
                      </c:pt>
                      <c:pt idx="7">
                        <c:v>6.1858243805621063E-2</c:v>
                      </c:pt>
                    </c:numCache>
                  </c:numRef>
                </c:val>
                <c:extLst xmlns:c15="http://schemas.microsoft.com/office/drawing/2012/chart">
                  <c:ext xmlns:c16="http://schemas.microsoft.com/office/drawing/2014/chart" uri="{C3380CC4-5D6E-409C-BE32-E72D297353CC}">
                    <c16:uniqueId val="{00000001-CFF3-4680-930C-E9CCE5858639}"/>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Кредиты!$U$215</c15:sqref>
                        </c15:formulaRef>
                      </c:ext>
                    </c:extLst>
                    <c:strCache>
                      <c:ptCount val="1"/>
                      <c:pt idx="0">
                        <c:v>2019</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Кредиты!$B$216:$B$223</c15:sqref>
                        </c15:formulaRef>
                      </c:ext>
                    </c:extLst>
                    <c:strCache>
                      <c:ptCount val="8"/>
                      <c:pt idx="0">
                        <c:v>Строительство и девелопмент</c:v>
                      </c:pt>
                      <c:pt idx="1">
                        <c:v>Финансовые услуги </c:v>
                      </c:pt>
                      <c:pt idx="2">
                        <c:v>Торговля</c:v>
                      </c:pt>
                      <c:pt idx="3">
                        <c:v>Сельское хозяйство и пищевая отрасль</c:v>
                      </c:pt>
                      <c:pt idx="4">
                        <c:v>Нефтегазовая отрасль</c:v>
                      </c:pt>
                      <c:pt idx="5">
                        <c:v>Производство</c:v>
                      </c:pt>
                      <c:pt idx="6">
                        <c:v>Химическая производство </c:v>
                      </c:pt>
                      <c:pt idx="7">
                        <c:v>Прочие</c:v>
                      </c:pt>
                    </c:strCache>
                  </c:strRef>
                </c:cat>
                <c:val>
                  <c:numRef>
                    <c:extLst xmlns:c15="http://schemas.microsoft.com/office/drawing/2012/chart">
                      <c:ext xmlns:c15="http://schemas.microsoft.com/office/drawing/2012/chart" uri="{02D57815-91ED-43cb-92C2-25804820EDAC}">
                        <c15:formulaRef>
                          <c15:sqref>Кредиты!$U$216:$U$223</c15:sqref>
                        </c15:formulaRef>
                      </c:ext>
                    </c:extLst>
                    <c:numCache>
                      <c:formatCode>0%;\(0%\)</c:formatCode>
                      <c:ptCount val="8"/>
                      <c:pt idx="0">
                        <c:v>0.20159010225691051</c:v>
                      </c:pt>
                      <c:pt idx="1">
                        <c:v>0.26236857794634683</c:v>
                      </c:pt>
                      <c:pt idx="2">
                        <c:v>0.14812345253530915</c:v>
                      </c:pt>
                      <c:pt idx="3">
                        <c:v>0.11486418346608245</c:v>
                      </c:pt>
                      <c:pt idx="4">
                        <c:v>2.4035562823089933E-3</c:v>
                      </c:pt>
                      <c:pt idx="5">
                        <c:v>0.11129693534022929</c:v>
                      </c:pt>
                      <c:pt idx="6">
                        <c:v>4.5096657179533088E-2</c:v>
                      </c:pt>
                      <c:pt idx="7">
                        <c:v>0.1142565349932796</c:v>
                      </c:pt>
                    </c:numCache>
                  </c:numRef>
                </c:val>
                <c:extLst xmlns:c15="http://schemas.microsoft.com/office/drawing/2012/chart">
                  <c:ext xmlns:c16="http://schemas.microsoft.com/office/drawing/2014/chart" uri="{C3380CC4-5D6E-409C-BE32-E72D297353CC}">
                    <c16:uniqueId val="{00000002-CFF3-4680-930C-E9CCE5858639}"/>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Кредиты!$V$215</c15:sqref>
                        </c15:formulaRef>
                      </c:ext>
                    </c:extLst>
                    <c:strCache>
                      <c:ptCount val="1"/>
                      <c:pt idx="0">
                        <c:v>2020</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Кредиты!$B$216:$B$223</c15:sqref>
                        </c15:formulaRef>
                      </c:ext>
                    </c:extLst>
                    <c:strCache>
                      <c:ptCount val="8"/>
                      <c:pt idx="0">
                        <c:v>Строительство и девелопмент</c:v>
                      </c:pt>
                      <c:pt idx="1">
                        <c:v>Финансовые услуги </c:v>
                      </c:pt>
                      <c:pt idx="2">
                        <c:v>Торговля</c:v>
                      </c:pt>
                      <c:pt idx="3">
                        <c:v>Сельское хозяйство и пищевая отрасль</c:v>
                      </c:pt>
                      <c:pt idx="4">
                        <c:v>Нефтегазовая отрасль</c:v>
                      </c:pt>
                      <c:pt idx="5">
                        <c:v>Производство</c:v>
                      </c:pt>
                      <c:pt idx="6">
                        <c:v>Химическая производство </c:v>
                      </c:pt>
                      <c:pt idx="7">
                        <c:v>Прочие</c:v>
                      </c:pt>
                    </c:strCache>
                  </c:strRef>
                </c:cat>
                <c:val>
                  <c:numRef>
                    <c:extLst xmlns:c15="http://schemas.microsoft.com/office/drawing/2012/chart">
                      <c:ext xmlns:c15="http://schemas.microsoft.com/office/drawing/2012/chart" uri="{02D57815-91ED-43cb-92C2-25804820EDAC}">
                        <c15:formulaRef>
                          <c15:sqref>Кредиты!$V$216:$V$223</c15:sqref>
                        </c15:formulaRef>
                      </c:ext>
                    </c:extLst>
                    <c:numCache>
                      <c:formatCode>0%;\(0%\)</c:formatCode>
                      <c:ptCount val="8"/>
                      <c:pt idx="0">
                        <c:v>0.23834126115342233</c:v>
                      </c:pt>
                      <c:pt idx="1">
                        <c:v>0.32849857731814847</c:v>
                      </c:pt>
                      <c:pt idx="2">
                        <c:v>7.886920711492218E-2</c:v>
                      </c:pt>
                      <c:pt idx="3">
                        <c:v>0.10932052529898836</c:v>
                      </c:pt>
                      <c:pt idx="4">
                        <c:v>2.0814456007004701E-2</c:v>
                      </c:pt>
                      <c:pt idx="5">
                        <c:v>9.635850545148035E-2</c:v>
                      </c:pt>
                      <c:pt idx="6">
                        <c:v>2.0353588763912057E-2</c:v>
                      </c:pt>
                      <c:pt idx="7">
                        <c:v>0.10744387889212138</c:v>
                      </c:pt>
                    </c:numCache>
                  </c:numRef>
                </c:val>
                <c:extLst xmlns:c15="http://schemas.microsoft.com/office/drawing/2012/chart">
                  <c:ext xmlns:c16="http://schemas.microsoft.com/office/drawing/2014/chart" uri="{C3380CC4-5D6E-409C-BE32-E72D297353CC}">
                    <c16:uniqueId val="{00000003-CFF3-4680-930C-E9CCE5858639}"/>
                  </c:ext>
                </c:extLst>
              </c15:ser>
            </c15:filteredBarSeries>
          </c:ext>
        </c:extLst>
      </c:barChart>
      <c:catAx>
        <c:axId val="-24621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Narrow" panose="020B0606020202030204" pitchFamily="34" charset="0"/>
                <a:ea typeface="+mn-ea"/>
                <a:cs typeface="+mn-cs"/>
              </a:defRPr>
            </a:pPr>
            <a:endParaRPr lang="ru-RU"/>
          </a:p>
        </c:txPr>
        <c:crossAx val="-246207760"/>
        <c:crosses val="autoZero"/>
        <c:auto val="1"/>
        <c:lblAlgn val="ctr"/>
        <c:lblOffset val="100"/>
        <c:noMultiLvlLbl val="0"/>
      </c:catAx>
      <c:valAx>
        <c:axId val="-24620776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Arial Narrow" panose="020B0606020202030204" pitchFamily="34" charset="0"/>
                <a:ea typeface="+mn-ea"/>
                <a:cs typeface="+mn-cs"/>
              </a:defRPr>
            </a:pPr>
            <a:endParaRPr lang="ru-RU"/>
          </a:p>
        </c:txPr>
        <c:crossAx val="-246210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400" b="0" i="0" u="none" strike="noStrike" kern="1200" baseline="0">
              <a:solidFill>
                <a:sysClr val="windowText" lastClr="000000"/>
              </a:solidFill>
              <a:latin typeface="Arial Narrow" panose="020B0606020202030204" pitchFamily="34" charset="0"/>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latin typeface="Arial Narrow" panose="020B0606020202030204" pitchFamily="34" charset="0"/>
        </a:defRPr>
      </a:pPr>
      <a:endParaRPr lang="ru-RU"/>
    </a:p>
  </c:txPr>
  <c:printSettings>
    <c:headerFooter/>
    <c:pageMargins b="0.75000000000000033" l="0.70000000000000029" r="0.70000000000000029" t="0.75000000000000033" header="0.30000000000000016" footer="0.30000000000000016"/>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Narrow" panose="020B0606020202030204" pitchFamily="34" charset="0"/>
                <a:ea typeface="+mn-ea"/>
                <a:cs typeface="+mn-cs"/>
              </a:defRPr>
            </a:pPr>
            <a:r>
              <a:rPr lang="ru-RU" sz="1400" b="1"/>
              <a:t>Отраслевая</a:t>
            </a:r>
            <a:r>
              <a:rPr lang="ru-RU" sz="1400" b="1" baseline="0"/>
              <a:t> структура кредитов юридическим лицам на 31.12.20</a:t>
            </a:r>
            <a:endParaRPr lang="ru-RU" sz="1400" b="1"/>
          </a:p>
        </c:rich>
      </c:tx>
      <c:layout>
        <c:manualLayout>
          <c:xMode val="edge"/>
          <c:yMode val="edge"/>
          <c:x val="0.23984895996242703"/>
          <c:y val="1.836168994235751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Arial Narrow" panose="020B0606020202030204" pitchFamily="34" charset="0"/>
              <a:ea typeface="+mn-ea"/>
              <a:cs typeface="+mn-cs"/>
            </a:defRPr>
          </a:pPr>
          <a:endParaRPr lang="ru-RU"/>
        </a:p>
      </c:txPr>
    </c:title>
    <c:autoTitleDeleted val="0"/>
    <c:plotArea>
      <c:layout>
        <c:manualLayout>
          <c:layoutTarget val="inner"/>
          <c:xMode val="edge"/>
          <c:yMode val="edge"/>
          <c:x val="0.25621490763675475"/>
          <c:y val="0.18943855821196778"/>
          <c:w val="0.50691320680940177"/>
          <c:h val="0.71977415636474995"/>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4A-40FC-BBD5-A5FD4897C7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4A-40FC-BBD5-A5FD4897C7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4A-40FC-BBD5-A5FD4897C7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4A-40FC-BBD5-A5FD4897C7E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34A-40FC-BBD5-A5FD4897C7E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34A-40FC-BBD5-A5FD4897C7E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34A-40FC-BBD5-A5FD4897C7E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34A-40FC-BBD5-A5FD4897C7E4}"/>
              </c:ext>
            </c:extLst>
          </c:dPt>
          <c:dLbls>
            <c:dLbl>
              <c:idx val="4"/>
              <c:layout>
                <c:manualLayout>
                  <c:x val="1.7300333906017692E-2"/>
                  <c:y val="-4.39317362058637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600" b="0" i="0" u="none" strike="noStrike" kern="1200" baseline="0">
                      <a:solidFill>
                        <a:sysClr val="windowText" lastClr="000000"/>
                      </a:solidFill>
                      <a:latin typeface="Arial Narrow" panose="020B0606020202030204" pitchFamily="34" charset="0"/>
                      <a:ea typeface="+mn-ea"/>
                      <a:cs typeface="+mn-cs"/>
                    </a:defRPr>
                  </a:pPr>
                  <a:endParaRPr lang="ru-RU"/>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843666264232603"/>
                      <c:h val="0.10456749330810061"/>
                    </c:manualLayout>
                  </c15:layout>
                </c:ext>
                <c:ext xmlns:c16="http://schemas.microsoft.com/office/drawing/2014/chart" uri="{C3380CC4-5D6E-409C-BE32-E72D297353CC}">
                  <c16:uniqueId val="{00000009-034A-40FC-BBD5-A5FD4897C7E4}"/>
                </c:ext>
              </c:extLst>
            </c:dLbl>
            <c:dLbl>
              <c:idx val="5"/>
              <c:layout>
                <c:manualLayout>
                  <c:x val="-2.2162958826394401E-2"/>
                  <c:y val="-2.056399176225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600" b="0" i="0" u="none" strike="noStrike" kern="1200" baseline="0">
                      <a:solidFill>
                        <a:sysClr val="windowText" lastClr="000000"/>
                      </a:solidFill>
                      <a:latin typeface="Arial Narrow" panose="020B0606020202030204" pitchFamily="34" charset="0"/>
                      <a:ea typeface="+mn-ea"/>
                      <a:cs typeface="+mn-cs"/>
                    </a:defRPr>
                  </a:pPr>
                  <a:endParaRPr lang="ru-RU"/>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538110929019833"/>
                      <c:h val="9.900469065461702E-2"/>
                    </c:manualLayout>
                  </c15:layout>
                </c:ext>
                <c:ext xmlns:c16="http://schemas.microsoft.com/office/drawing/2014/chart" uri="{C3380CC4-5D6E-409C-BE32-E72D297353CC}">
                  <c16:uniqueId val="{0000000B-034A-40FC-BBD5-A5FD4897C7E4}"/>
                </c:ext>
              </c:extLst>
            </c:dLbl>
            <c:dLbl>
              <c:idx val="6"/>
              <c:layout>
                <c:manualLayout>
                  <c:x val="9.973331471877471E-2"/>
                  <c:y val="-5.39804783759304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600" b="0" i="0" u="none" strike="noStrike" kern="1200" baseline="0">
                      <a:solidFill>
                        <a:sysClr val="windowText" lastClr="000000"/>
                      </a:solidFill>
                      <a:latin typeface="Arial Narrow" panose="020B0606020202030204" pitchFamily="34" charset="0"/>
                      <a:ea typeface="+mn-ea"/>
                      <a:cs typeface="+mn-cs"/>
                    </a:defRPr>
                  </a:pPr>
                  <a:endParaRPr lang="ru-RU"/>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408037999083016"/>
                      <c:h val="0.10713799227838301"/>
                    </c:manualLayout>
                  </c15:layout>
                </c:ext>
                <c:ext xmlns:c16="http://schemas.microsoft.com/office/drawing/2014/chart" uri="{C3380CC4-5D6E-409C-BE32-E72D297353CC}">
                  <c16:uniqueId val="{0000000D-034A-40FC-BBD5-A5FD4897C7E4}"/>
                </c:ext>
              </c:extLst>
            </c:dLbl>
            <c:dLbl>
              <c:idx val="7"/>
              <c:layout>
                <c:manualLayout>
                  <c:x val="8.0592577550525041E-2"/>
                  <c:y val="1.542299382169439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034A-40FC-BBD5-A5FD4897C7E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Кредиты!$B$216:$B$223</c:f>
              <c:strCache>
                <c:ptCount val="8"/>
                <c:pt idx="0">
                  <c:v>Строительство и девелопмент</c:v>
                </c:pt>
                <c:pt idx="1">
                  <c:v>Финансовые услуги </c:v>
                </c:pt>
                <c:pt idx="2">
                  <c:v>Торговля</c:v>
                </c:pt>
                <c:pt idx="3">
                  <c:v>Сельское хозяйство и пищевая отрасль</c:v>
                </c:pt>
                <c:pt idx="4">
                  <c:v>Нефтегазовая отрасль</c:v>
                </c:pt>
                <c:pt idx="5">
                  <c:v>Производство</c:v>
                </c:pt>
                <c:pt idx="6">
                  <c:v>Химическая производство </c:v>
                </c:pt>
                <c:pt idx="7">
                  <c:v>Прочие</c:v>
                </c:pt>
              </c:strCache>
            </c:strRef>
          </c:cat>
          <c:val>
            <c:numRef>
              <c:f>Кредиты!$W$216:$W$223</c:f>
              <c:numCache>
                <c:formatCode>0%;\(0%\)</c:formatCode>
                <c:ptCount val="8"/>
                <c:pt idx="0">
                  <c:v>0.22996003590273228</c:v>
                </c:pt>
                <c:pt idx="1">
                  <c:v>0.241968157133617</c:v>
                </c:pt>
                <c:pt idx="2">
                  <c:v>6.1051816363340235E-2</c:v>
                </c:pt>
                <c:pt idx="3">
                  <c:v>7.3138186003248271E-2</c:v>
                </c:pt>
                <c:pt idx="4">
                  <c:v>9.4084683187949436E-2</c:v>
                </c:pt>
                <c:pt idx="5">
                  <c:v>0.10969223123390638</c:v>
                </c:pt>
                <c:pt idx="6">
                  <c:v>4.9669682404641979E-2</c:v>
                </c:pt>
                <c:pt idx="7">
                  <c:v>0.14043520777056448</c:v>
                </c:pt>
              </c:numCache>
            </c:numRef>
          </c:val>
          <c:extLst>
            <c:ext xmlns:c16="http://schemas.microsoft.com/office/drawing/2014/chart" uri="{C3380CC4-5D6E-409C-BE32-E72D297353CC}">
              <c16:uniqueId val="{00000010-034A-40FC-BBD5-A5FD4897C7E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latin typeface="Arial Narrow" panose="020B0606020202030204" pitchFamily="34" charset="0"/>
        </a:defRPr>
      </a:pPr>
      <a:endParaRPr lang="ru-RU"/>
    </a:p>
  </c:txPr>
  <c:printSettings>
    <c:headerFooter/>
    <c:pageMargins b="0.75000000000000033" l="0.70000000000000029" r="0.70000000000000029" t="0.75000000000000033" header="0.30000000000000016" footer="0.30000000000000016"/>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Кредиты!$B$284</c:f>
          <c:strCache>
            <c:ptCount val="1"/>
            <c:pt idx="0">
              <c:v>Структура кредитов клиентам и NPL90+</c:v>
            </c:pt>
          </c:strCache>
        </c:strRef>
      </c:tx>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Arial Narrow" panose="020B0606020202030204" pitchFamily="34" charset="0"/>
              <a:ea typeface="+mn-ea"/>
              <a:cs typeface="+mn-cs"/>
            </a:defRPr>
          </a:pPr>
          <a:endParaRPr lang="ru-RU"/>
        </a:p>
      </c:txPr>
    </c:title>
    <c:autoTitleDeleted val="0"/>
    <c:plotArea>
      <c:layout/>
      <c:barChart>
        <c:barDir val="col"/>
        <c:grouping val="clustered"/>
        <c:varyColors val="0"/>
        <c:ser>
          <c:idx val="0"/>
          <c:order val="0"/>
          <c:tx>
            <c:v>Кредиты юр. лицам</c:v>
          </c:tx>
          <c:spPr>
            <a:solidFill>
              <a:schemeClr val="accent5">
                <a:lumMod val="40000"/>
                <a:lumOff val="60000"/>
              </a:schemeClr>
            </a:solidFill>
            <a:ln>
              <a:noFill/>
            </a:ln>
            <a:effectLst/>
          </c:spPr>
          <c:invertIfNegative val="0"/>
          <c:dLbls>
            <c:dLbl>
              <c:idx val="3"/>
              <c:layout>
                <c:manualLayout>
                  <c:x val="8.6349202463977884E-3"/>
                  <c:y val="-5.725350001465200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54E-4152-8B8A-323C3C34E0C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0000FF"/>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Кредиты!$G$8:$K$8</c:f>
              <c:numCache>
                <c:formatCode>0</c:formatCode>
                <c:ptCount val="5"/>
                <c:pt idx="0">
                  <c:v>2017</c:v>
                </c:pt>
                <c:pt idx="1">
                  <c:v>2018</c:v>
                </c:pt>
                <c:pt idx="2">
                  <c:v>2019</c:v>
                </c:pt>
                <c:pt idx="3">
                  <c:v>2020</c:v>
                </c:pt>
                <c:pt idx="4">
                  <c:v>2021</c:v>
                </c:pt>
              </c:numCache>
            </c:numRef>
          </c:cat>
          <c:val>
            <c:numRef>
              <c:f>Кредиты!$G$17:$N$17</c:f>
              <c:numCache>
                <c:formatCode>#\ ##0.0\ _р_.;\(###0.0\)\ _р_.;"-"</c:formatCode>
                <c:ptCount val="8"/>
                <c:pt idx="0">
                  <c:v>148.14639299999999</c:v>
                </c:pt>
                <c:pt idx="1">
                  <c:v>162.263724</c:v>
                </c:pt>
                <c:pt idx="2">
                  <c:v>187.03577000000001</c:v>
                </c:pt>
                <c:pt idx="3">
                  <c:v>166.167158</c:v>
                </c:pt>
                <c:pt idx="4">
                  <c:v>176.105817</c:v>
                </c:pt>
                <c:pt idx="5">
                  <c:v>219.78235256605029</c:v>
                </c:pt>
                <c:pt idx="6">
                  <c:v>235.991805</c:v>
                </c:pt>
                <c:pt idx="7">
                  <c:v>298.75077429303963</c:v>
                </c:pt>
              </c:numCache>
            </c:numRef>
          </c:val>
          <c:extLst>
            <c:ext xmlns:c16="http://schemas.microsoft.com/office/drawing/2014/chart" uri="{C3380CC4-5D6E-409C-BE32-E72D297353CC}">
              <c16:uniqueId val="{00000001-654E-4152-8B8A-323C3C34E0CE}"/>
            </c:ext>
          </c:extLst>
        </c:ser>
        <c:ser>
          <c:idx val="1"/>
          <c:order val="1"/>
          <c:tx>
            <c:v>Кредиты физ. лицам</c:v>
          </c:tx>
          <c:spPr>
            <a:solidFill>
              <a:schemeClr val="accent2">
                <a:lumMod val="60000"/>
                <a:lumOff val="40000"/>
              </a:schemeClr>
            </a:solidFill>
            <a:ln>
              <a:noFill/>
            </a:ln>
            <a:effectLst/>
          </c:spPr>
          <c:invertIfNegative val="0"/>
          <c:dLbls>
            <c:dLbl>
              <c:idx val="4"/>
              <c:layout>
                <c:manualLayout>
                  <c:x val="1.4031745400396402E-2"/>
                  <c:y val="2.00387250051280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54E-4152-8B8A-323C3C34E0CE}"/>
                </c:ext>
              </c:extLst>
            </c:dLbl>
            <c:dLbl>
              <c:idx val="5"/>
              <c:layout>
                <c:manualLayout>
                  <c:x val="1.0793650307997241E-2"/>
                  <c:y val="5.725350001465150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4E-4152-8B8A-323C3C34E0C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C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Кредиты!$G$8:$K$8</c:f>
              <c:numCache>
                <c:formatCode>0</c:formatCode>
                <c:ptCount val="5"/>
                <c:pt idx="0">
                  <c:v>2017</c:v>
                </c:pt>
                <c:pt idx="1">
                  <c:v>2018</c:v>
                </c:pt>
                <c:pt idx="2">
                  <c:v>2019</c:v>
                </c:pt>
                <c:pt idx="3">
                  <c:v>2020</c:v>
                </c:pt>
                <c:pt idx="4">
                  <c:v>2021</c:v>
                </c:pt>
              </c:numCache>
            </c:numRef>
          </c:cat>
          <c:val>
            <c:numRef>
              <c:f>Кредиты!$G$24:$N$24</c:f>
              <c:numCache>
                <c:formatCode>#\ ##0.0\ _р_.;\(###0.0\)\ _р_.;"-"</c:formatCode>
                <c:ptCount val="8"/>
                <c:pt idx="0">
                  <c:v>65.498507000000004</c:v>
                </c:pt>
                <c:pt idx="1">
                  <c:v>80.884536999999995</c:v>
                </c:pt>
                <c:pt idx="2">
                  <c:v>92.314117999999993</c:v>
                </c:pt>
                <c:pt idx="3">
                  <c:v>124.56491699999999</c:v>
                </c:pt>
                <c:pt idx="4">
                  <c:v>154.972283</c:v>
                </c:pt>
                <c:pt idx="5">
                  <c:v>193.40742696915981</c:v>
                </c:pt>
                <c:pt idx="6">
                  <c:v>179.23726199999999</c:v>
                </c:pt>
                <c:pt idx="7">
                  <c:v>205.18873892696041</c:v>
                </c:pt>
              </c:numCache>
            </c:numRef>
          </c:val>
          <c:extLst>
            <c:ext xmlns:c16="http://schemas.microsoft.com/office/drawing/2014/chart" uri="{C3380CC4-5D6E-409C-BE32-E72D297353CC}">
              <c16:uniqueId val="{00000004-654E-4152-8B8A-323C3C34E0CE}"/>
            </c:ext>
          </c:extLst>
        </c:ser>
        <c:dLbls>
          <c:showLegendKey val="0"/>
          <c:showVal val="0"/>
          <c:showCatName val="0"/>
          <c:showSerName val="0"/>
          <c:showPercent val="0"/>
          <c:showBubbleSize val="0"/>
        </c:dLbls>
        <c:gapWidth val="40"/>
        <c:axId val="-246209936"/>
        <c:axId val="-246207216"/>
      </c:barChart>
      <c:lineChart>
        <c:grouping val="standard"/>
        <c:varyColors val="0"/>
        <c:ser>
          <c:idx val="2"/>
          <c:order val="2"/>
          <c:tx>
            <c:strRef>
              <c:f>Кредиты!$B$91</c:f>
              <c:strCache>
                <c:ptCount val="1"/>
                <c:pt idx="0">
                  <c:v>NPL 90+ (ЮЛ)</c:v>
                </c:pt>
              </c:strCache>
            </c:strRef>
          </c:tx>
          <c:spPr>
            <a:ln w="38100" cap="rnd">
              <a:solidFill>
                <a:srgbClr val="000099"/>
              </a:solidFill>
              <a:round/>
            </a:ln>
            <a:effectLst/>
          </c:spPr>
          <c:marker>
            <c:symbol val="diamond"/>
            <c:size val="10"/>
            <c:spPr>
              <a:solidFill>
                <a:srgbClr val="000099"/>
              </a:solidFill>
              <a:ln w="38100">
                <a:solidFill>
                  <a:srgbClr val="000099"/>
                </a:solidFill>
              </a:ln>
              <a:effectLst/>
            </c:spPr>
          </c:marker>
          <c:dLbls>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0000FF"/>
                    </a:solidFill>
                    <a:latin typeface="Arial Narrow" panose="020B0606020202030204" pitchFamily="34" charset="0"/>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Кредиты!$G$8:$N$8</c:f>
              <c:numCache>
                <c:formatCode>0</c:formatCode>
                <c:ptCount val="8"/>
                <c:pt idx="0">
                  <c:v>2017</c:v>
                </c:pt>
                <c:pt idx="1">
                  <c:v>2018</c:v>
                </c:pt>
                <c:pt idx="2">
                  <c:v>2019</c:v>
                </c:pt>
                <c:pt idx="3">
                  <c:v>2020</c:v>
                </c:pt>
                <c:pt idx="4">
                  <c:v>2021</c:v>
                </c:pt>
                <c:pt idx="5">
                  <c:v>2022</c:v>
                </c:pt>
                <c:pt idx="6">
                  <c:v>2023</c:v>
                </c:pt>
                <c:pt idx="7">
                  <c:v>2024</c:v>
                </c:pt>
              </c:numCache>
            </c:numRef>
          </c:cat>
          <c:val>
            <c:numRef>
              <c:f>Кредиты!$G$91:$N$91</c:f>
              <c:numCache>
                <c:formatCode>0.0%;\(0.0%\);"-"</c:formatCode>
                <c:ptCount val="8"/>
                <c:pt idx="0">
                  <c:v>2.9792200205643889E-2</c:v>
                </c:pt>
                <c:pt idx="1">
                  <c:v>6.4769720187119587E-2</c:v>
                </c:pt>
                <c:pt idx="2">
                  <c:v>8.1305046622899987E-2</c:v>
                </c:pt>
                <c:pt idx="3">
                  <c:v>6.6586816150517536E-2</c:v>
                </c:pt>
                <c:pt idx="4">
                  <c:v>7.4142447360990793E-2</c:v>
                </c:pt>
                <c:pt idx="5">
                  <c:v>6.8754616073749608E-2</c:v>
                </c:pt>
                <c:pt idx="6">
                  <c:v>7.5506741836456281E-2</c:v>
                </c:pt>
                <c:pt idx="7">
                  <c:v>4.4879927508521274E-2</c:v>
                </c:pt>
              </c:numCache>
            </c:numRef>
          </c:val>
          <c:smooth val="0"/>
          <c:extLst>
            <c:ext xmlns:c16="http://schemas.microsoft.com/office/drawing/2014/chart" uri="{C3380CC4-5D6E-409C-BE32-E72D297353CC}">
              <c16:uniqueId val="{00000006-654E-4152-8B8A-323C3C34E0CE}"/>
            </c:ext>
          </c:extLst>
        </c:ser>
        <c:ser>
          <c:idx val="3"/>
          <c:order val="3"/>
          <c:tx>
            <c:strRef>
              <c:f>Кредиты!$B$98</c:f>
              <c:strCache>
                <c:ptCount val="1"/>
                <c:pt idx="0">
                  <c:v>NPL 90+ (ФЛ)</c:v>
                </c:pt>
              </c:strCache>
            </c:strRef>
          </c:tx>
          <c:spPr>
            <a:ln w="38100" cap="rnd">
              <a:solidFill>
                <a:srgbClr val="C00000"/>
              </a:solidFill>
              <a:prstDash val="lgDash"/>
              <a:round/>
            </a:ln>
            <a:effectLst/>
          </c:spPr>
          <c:marker>
            <c:symbol val="square"/>
            <c:size val="10"/>
            <c:spPr>
              <a:solidFill>
                <a:schemeClr val="accent2">
                  <a:lumMod val="40000"/>
                  <a:lumOff val="60000"/>
                </a:schemeClr>
              </a:solidFill>
              <a:ln w="38100">
                <a:solidFill>
                  <a:srgbClr val="C00000"/>
                </a:solidFill>
                <a:prstDash val="lgDash"/>
              </a:ln>
              <a:effectLst/>
            </c:spPr>
          </c:marker>
          <c:dLbls>
            <c:dLbl>
              <c:idx val="2"/>
              <c:layout>
                <c:manualLayout>
                  <c:x val="-5.5072007140497495E-2"/>
                  <c:y val="-2.86267500073257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54E-4152-8B8A-323C3C34E0CE}"/>
                </c:ext>
              </c:extLst>
            </c:dLbl>
            <c:dLbl>
              <c:idx val="3"/>
              <c:layout>
                <c:manualLayout>
                  <c:x val="-5.7279082607358978E-2"/>
                  <c:y val="-4.00774500102560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54E-4152-8B8A-323C3C34E0CE}"/>
                </c:ext>
              </c:extLst>
            </c:dLbl>
            <c:dLbl>
              <c:idx val="4"/>
              <c:layout>
                <c:manualLayout>
                  <c:x val="-5.3968469407066573E-2"/>
                  <c:y val="-4.29401250109887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54E-4152-8B8A-323C3C34E0CE}"/>
                </c:ext>
              </c:extLst>
            </c:dLbl>
            <c:dLbl>
              <c:idx val="5"/>
              <c:layout>
                <c:manualLayout>
                  <c:x val="-5.5072007140497495E-2"/>
                  <c:y val="-3.72147750095236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54E-4152-8B8A-323C3C34E0CE}"/>
                </c:ext>
              </c:extLst>
            </c:dLbl>
            <c:dLbl>
              <c:idx val="6"/>
              <c:layout>
                <c:manualLayout>
                  <c:x val="-5.2864931673635818E-2"/>
                  <c:y val="-3.72147750095236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54E-4152-8B8A-323C3C34E0CE}"/>
                </c:ext>
              </c:extLst>
            </c:dLbl>
            <c:numFmt formatCode="0.0%"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C00000"/>
                    </a:solidFill>
                    <a:latin typeface="Arial Narrow" panose="020B0606020202030204" pitchFamily="34" charset="0"/>
                    <a:ea typeface="+mn-ea"/>
                    <a:cs typeface="+mn-cs"/>
                  </a:defRPr>
                </a:pPr>
                <a:endParaRPr lang="ru-RU"/>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Кредиты!$G$8:$N$8</c:f>
              <c:numCache>
                <c:formatCode>0</c:formatCode>
                <c:ptCount val="8"/>
                <c:pt idx="0">
                  <c:v>2017</c:v>
                </c:pt>
                <c:pt idx="1">
                  <c:v>2018</c:v>
                </c:pt>
                <c:pt idx="2">
                  <c:v>2019</c:v>
                </c:pt>
                <c:pt idx="3">
                  <c:v>2020</c:v>
                </c:pt>
                <c:pt idx="4">
                  <c:v>2021</c:v>
                </c:pt>
                <c:pt idx="5">
                  <c:v>2022</c:v>
                </c:pt>
                <c:pt idx="6">
                  <c:v>2023</c:v>
                </c:pt>
                <c:pt idx="7">
                  <c:v>2024</c:v>
                </c:pt>
              </c:numCache>
            </c:numRef>
          </c:cat>
          <c:val>
            <c:numRef>
              <c:f>Кредиты!$G$98:$N$98</c:f>
              <c:numCache>
                <c:formatCode>0.0%;\(0.0%\);"-"</c:formatCode>
                <c:ptCount val="8"/>
                <c:pt idx="0">
                  <c:v>0.10290048290719053</c:v>
                </c:pt>
                <c:pt idx="1">
                  <c:v>7.3530234833389732E-2</c:v>
                </c:pt>
                <c:pt idx="2">
                  <c:v>6.8829981130296883E-2</c:v>
                </c:pt>
                <c:pt idx="3">
                  <c:v>5.1720662247139781E-2</c:v>
                </c:pt>
                <c:pt idx="4">
                  <c:v>1.2540894861446028E-2</c:v>
                </c:pt>
                <c:pt idx="5">
                  <c:v>1.1629565007772331E-2</c:v>
                </c:pt>
                <c:pt idx="6">
                  <c:v>1.4797770596722489E-2</c:v>
                </c:pt>
                <c:pt idx="7">
                  <c:v>9.726343489984187E-3</c:v>
                </c:pt>
              </c:numCache>
            </c:numRef>
          </c:val>
          <c:smooth val="0"/>
          <c:extLst>
            <c:ext xmlns:c16="http://schemas.microsoft.com/office/drawing/2014/chart" uri="{C3380CC4-5D6E-409C-BE32-E72D297353CC}">
              <c16:uniqueId val="{0000000C-654E-4152-8B8A-323C3C34E0CE}"/>
            </c:ext>
          </c:extLst>
        </c:ser>
        <c:dLbls>
          <c:showLegendKey val="0"/>
          <c:showVal val="0"/>
          <c:showCatName val="0"/>
          <c:showSerName val="0"/>
          <c:showPercent val="0"/>
          <c:showBubbleSize val="0"/>
        </c:dLbls>
        <c:marker val="1"/>
        <c:smooth val="0"/>
        <c:axId val="-246206128"/>
        <c:axId val="-246206672"/>
      </c:lineChart>
      <c:catAx>
        <c:axId val="-24620993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ysClr val="windowText" lastClr="000000"/>
                </a:solidFill>
                <a:latin typeface="Arial Narrow" panose="020B0606020202030204" pitchFamily="34" charset="0"/>
                <a:ea typeface="+mn-ea"/>
                <a:cs typeface="+mn-cs"/>
              </a:defRPr>
            </a:pPr>
            <a:endParaRPr lang="ru-RU"/>
          </a:p>
        </c:txPr>
        <c:crossAx val="-246207216"/>
        <c:crosses val="autoZero"/>
        <c:auto val="1"/>
        <c:lblAlgn val="ctr"/>
        <c:lblOffset val="100"/>
        <c:noMultiLvlLbl val="0"/>
      </c:catAx>
      <c:valAx>
        <c:axId val="-24620721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Arial Narrow" panose="020B0606020202030204" pitchFamily="34" charset="0"/>
                <a:ea typeface="+mn-ea"/>
                <a:cs typeface="+mn-cs"/>
              </a:defRPr>
            </a:pPr>
            <a:endParaRPr lang="ru-RU"/>
          </a:p>
        </c:txPr>
        <c:crossAx val="-246209936"/>
        <c:crosses val="autoZero"/>
        <c:crossBetween val="between"/>
      </c:valAx>
      <c:valAx>
        <c:axId val="-246206672"/>
        <c:scaling>
          <c:orientation val="minMax"/>
          <c:max val="0.45"/>
        </c:scaling>
        <c:delete val="0"/>
        <c:axPos val="r"/>
        <c:numFmt formatCode="0.0%;\(0.0%\);&quot;-&quot;"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Arial Narrow" panose="020B0606020202030204" pitchFamily="34" charset="0"/>
                <a:ea typeface="+mn-ea"/>
                <a:cs typeface="+mn-cs"/>
              </a:defRPr>
            </a:pPr>
            <a:endParaRPr lang="ru-RU"/>
          </a:p>
        </c:txPr>
        <c:crossAx val="-246206128"/>
        <c:crosses val="max"/>
        <c:crossBetween val="between"/>
      </c:valAx>
      <c:catAx>
        <c:axId val="-246206128"/>
        <c:scaling>
          <c:orientation val="minMax"/>
        </c:scaling>
        <c:delete val="1"/>
        <c:axPos val="b"/>
        <c:numFmt formatCode="0" sourceLinked="1"/>
        <c:majorTickMark val="out"/>
        <c:minorTickMark val="none"/>
        <c:tickLblPos val="none"/>
        <c:crossAx val="-2462066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ysClr val="windowText" lastClr="000000"/>
              </a:solidFill>
              <a:latin typeface="Arial Narrow" panose="020B0606020202030204" pitchFamily="34" charset="0"/>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solidFill>
            <a:sysClr val="windowText" lastClr="000000"/>
          </a:solidFill>
          <a:latin typeface="Arial Narrow" panose="020B0606020202030204" pitchFamily="34" charset="0"/>
        </a:defRPr>
      </a:pPr>
      <a:endParaRPr lang="ru-RU"/>
    </a:p>
  </c:txPr>
  <c:printSettings>
    <c:headerFooter/>
    <c:pageMargins b="0.75000000000000033" l="0.70000000000000029" r="0.70000000000000029" t="0.75000000000000033" header="0.30000000000000016" footer="0.30000000000000016"/>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Кредиты!$B$312</c:f>
          <c:strCache>
            <c:ptCount val="1"/>
            <c:pt idx="0">
              <c:v>NPL и ссуды IV-V кат.кач.</c:v>
            </c:pt>
          </c:strCache>
        </c:strRef>
      </c:tx>
      <c:overlay val="0"/>
      <c:spPr>
        <a:noFill/>
        <a:ln>
          <a:noFill/>
        </a:ln>
        <a:effectLst/>
      </c:spPr>
      <c:txPr>
        <a:bodyPr rot="0" spcFirstLastPara="1" vertOverflow="ellipsis" vert="horz" wrap="square" anchor="ctr" anchorCtr="1"/>
        <a:lstStyle/>
        <a:p>
          <a:pPr>
            <a:defRPr sz="2800" b="1" i="0" u="none" strike="noStrike" kern="1200" spc="0" baseline="0">
              <a:solidFill>
                <a:sysClr val="windowText" lastClr="000000"/>
              </a:solidFill>
              <a:latin typeface="Arial Narrow" panose="020B0606020202030204" pitchFamily="34" charset="0"/>
              <a:ea typeface="+mn-ea"/>
              <a:cs typeface="+mn-cs"/>
            </a:defRPr>
          </a:pPr>
          <a:endParaRPr lang="ru-RU"/>
        </a:p>
      </c:txPr>
    </c:title>
    <c:autoTitleDeleted val="0"/>
    <c:plotArea>
      <c:layout>
        <c:manualLayout>
          <c:layoutTarget val="inner"/>
          <c:xMode val="edge"/>
          <c:yMode val="edge"/>
          <c:x val="4.845652075436227E-2"/>
          <c:y val="0.15414084811818565"/>
          <c:w val="0.93967046390684072"/>
          <c:h val="0.54673470692750037"/>
        </c:manualLayout>
      </c:layout>
      <c:barChart>
        <c:barDir val="col"/>
        <c:grouping val="clustered"/>
        <c:varyColors val="0"/>
        <c:ser>
          <c:idx val="0"/>
          <c:order val="0"/>
          <c:tx>
            <c:strRef>
              <c:f>Кредиты!$B$55</c:f>
              <c:strCache>
                <c:ptCount val="1"/>
                <c:pt idx="0">
                  <c:v>Ссуды IV и V к.к. (ЮЛ)</c:v>
                </c:pt>
              </c:strCache>
            </c:strRef>
          </c:tx>
          <c:spPr>
            <a:solidFill>
              <a:schemeClr val="accent5">
                <a:lumMod val="40000"/>
                <a:lumOff val="60000"/>
              </a:schemeClr>
            </a:solidFill>
            <a:ln>
              <a:noFill/>
            </a:ln>
            <a:effectLst/>
          </c:spPr>
          <c:invertIfNegative val="0"/>
          <c:dLbls>
            <c:dLbl>
              <c:idx val="3"/>
              <c:layout>
                <c:manualLayout>
                  <c:x val="8.6349202463977884E-3"/>
                  <c:y val="-5.725350001465200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54E-4152-8B8A-323C3C34E0C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0000FF"/>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Кредиты!$G$8:$N$8</c:f>
              <c:numCache>
                <c:formatCode>0</c:formatCode>
                <c:ptCount val="8"/>
                <c:pt idx="0">
                  <c:v>2017</c:v>
                </c:pt>
                <c:pt idx="1">
                  <c:v>2018</c:v>
                </c:pt>
                <c:pt idx="2">
                  <c:v>2019</c:v>
                </c:pt>
                <c:pt idx="3">
                  <c:v>2020</c:v>
                </c:pt>
                <c:pt idx="4">
                  <c:v>2021</c:v>
                </c:pt>
                <c:pt idx="5">
                  <c:v>2022</c:v>
                </c:pt>
                <c:pt idx="6">
                  <c:v>2023</c:v>
                </c:pt>
                <c:pt idx="7">
                  <c:v>2024</c:v>
                </c:pt>
              </c:numCache>
            </c:numRef>
          </c:cat>
          <c:val>
            <c:numRef>
              <c:f>Кредиты!$G$55:$N$55</c:f>
              <c:numCache>
                <c:formatCode>0.0%;\(0.0%\);"-"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654E-4152-8B8A-323C3C34E0CE}"/>
            </c:ext>
          </c:extLst>
        </c:ser>
        <c:ser>
          <c:idx val="1"/>
          <c:order val="1"/>
          <c:tx>
            <c:strRef>
              <c:f>Кредиты!$B$59</c:f>
              <c:strCache>
                <c:ptCount val="1"/>
                <c:pt idx="0">
                  <c:v>Ссуды IV и V к.к. (ФЛ)</c:v>
                </c:pt>
              </c:strCache>
            </c:strRef>
          </c:tx>
          <c:spPr>
            <a:solidFill>
              <a:schemeClr val="accent2"/>
            </a:solidFill>
            <a:ln>
              <a:noFill/>
            </a:ln>
            <a:effectLst/>
          </c:spPr>
          <c:invertIfNegative val="0"/>
          <c:dLbls>
            <c:dLbl>
              <c:idx val="4"/>
              <c:layout>
                <c:manualLayout>
                  <c:x val="1.4031745400396402E-2"/>
                  <c:y val="2.00387250051280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54E-4152-8B8A-323C3C34E0CE}"/>
                </c:ext>
              </c:extLst>
            </c:dLbl>
            <c:dLbl>
              <c:idx val="5"/>
              <c:layout>
                <c:manualLayout>
                  <c:x val="1.0793650307997241E-2"/>
                  <c:y val="5.725350001465150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4E-4152-8B8A-323C3C34E0C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C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Кредиты!$G$8:$N$8</c:f>
              <c:numCache>
                <c:formatCode>0</c:formatCode>
                <c:ptCount val="8"/>
                <c:pt idx="0">
                  <c:v>2017</c:v>
                </c:pt>
                <c:pt idx="1">
                  <c:v>2018</c:v>
                </c:pt>
                <c:pt idx="2">
                  <c:v>2019</c:v>
                </c:pt>
                <c:pt idx="3">
                  <c:v>2020</c:v>
                </c:pt>
                <c:pt idx="4">
                  <c:v>2021</c:v>
                </c:pt>
                <c:pt idx="5">
                  <c:v>2022</c:v>
                </c:pt>
                <c:pt idx="6">
                  <c:v>2023</c:v>
                </c:pt>
                <c:pt idx="7">
                  <c:v>2024</c:v>
                </c:pt>
              </c:numCache>
            </c:numRef>
          </c:cat>
          <c:val>
            <c:numRef>
              <c:f>Кредиты!$G$59:$N$59</c:f>
              <c:numCache>
                <c:formatCode>0.0%;\(0.0%\);"-"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4-654E-4152-8B8A-323C3C34E0CE}"/>
            </c:ext>
          </c:extLst>
        </c:ser>
        <c:dLbls>
          <c:showLegendKey val="0"/>
          <c:showVal val="0"/>
          <c:showCatName val="0"/>
          <c:showSerName val="0"/>
          <c:showPercent val="0"/>
          <c:showBubbleSize val="0"/>
        </c:dLbls>
        <c:gapWidth val="150"/>
        <c:axId val="-246213744"/>
        <c:axId val="-391041088"/>
      </c:barChart>
      <c:lineChart>
        <c:grouping val="standard"/>
        <c:varyColors val="0"/>
        <c:ser>
          <c:idx val="2"/>
          <c:order val="2"/>
          <c:tx>
            <c:strRef>
              <c:f>Кредиты!$B$71</c:f>
              <c:strCache>
                <c:ptCount val="1"/>
                <c:pt idx="0">
                  <c:v>NPL ЮЛ</c:v>
                </c:pt>
              </c:strCache>
            </c:strRef>
          </c:tx>
          <c:spPr>
            <a:ln w="76200" cap="rnd">
              <a:solidFill>
                <a:srgbClr val="000099"/>
              </a:solidFill>
              <a:round/>
            </a:ln>
            <a:effectLst/>
          </c:spPr>
          <c:marker>
            <c:symbol val="diamond"/>
            <c:size val="10"/>
            <c:spPr>
              <a:solidFill>
                <a:srgbClr val="000099"/>
              </a:solidFill>
              <a:ln w="76200">
                <a:solidFill>
                  <a:srgbClr val="000099"/>
                </a:solidFill>
              </a:ln>
              <a:effectLst/>
            </c:spPr>
          </c:marker>
          <c:dLbls>
            <c:dLbl>
              <c:idx val="4"/>
              <c:layout>
                <c:manualLayout>
                  <c:x val="-8.0925165597174828E-17"/>
                  <c:y val="2.86267500073256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4E-4152-8B8A-323C3C34E0CE}"/>
                </c:ext>
              </c:extLst>
            </c:dLbl>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0000FF"/>
                    </a:solidFill>
                    <a:latin typeface="Arial Narrow" panose="020B0606020202030204" pitchFamily="34" charset="0"/>
                    <a:ea typeface="+mn-ea"/>
                    <a:cs typeface="+mn-cs"/>
                  </a:defRPr>
                </a:pPr>
                <a:endParaRPr lang="ru-RU"/>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Кредиты!$G$8:$N$8</c:f>
              <c:numCache>
                <c:formatCode>0</c:formatCode>
                <c:ptCount val="8"/>
                <c:pt idx="0">
                  <c:v>2017</c:v>
                </c:pt>
                <c:pt idx="1">
                  <c:v>2018</c:v>
                </c:pt>
                <c:pt idx="2">
                  <c:v>2019</c:v>
                </c:pt>
                <c:pt idx="3">
                  <c:v>2020</c:v>
                </c:pt>
                <c:pt idx="4">
                  <c:v>2021</c:v>
                </c:pt>
                <c:pt idx="5">
                  <c:v>2022</c:v>
                </c:pt>
                <c:pt idx="6">
                  <c:v>2023</c:v>
                </c:pt>
                <c:pt idx="7">
                  <c:v>2024</c:v>
                </c:pt>
              </c:numCache>
            </c:numRef>
          </c:cat>
          <c:val>
            <c:numRef>
              <c:f>Кредиты!$G$71:$N$71</c:f>
              <c:numCache>
                <c:formatCode>0.0%;\(0.0%\);"-"</c:formatCode>
                <c:ptCount val="8"/>
                <c:pt idx="0">
                  <c:v>3.937444497889328E-2</c:v>
                </c:pt>
                <c:pt idx="1">
                  <c:v>9.9078633250152703E-2</c:v>
                </c:pt>
                <c:pt idx="2">
                  <c:v>0.11693236539727132</c:v>
                </c:pt>
                <c:pt idx="3">
                  <c:v>7.2400191137649464E-2</c:v>
                </c:pt>
                <c:pt idx="4">
                  <c:v>9.803993627535143E-2</c:v>
                </c:pt>
                <c:pt idx="5">
                  <c:v>9.0915506817397115E-2</c:v>
                </c:pt>
                <c:pt idx="6">
                  <c:v>9.9843968219215026E-2</c:v>
                </c:pt>
                <c:pt idx="7">
                  <c:v>5.9345562354512188E-2</c:v>
                </c:pt>
              </c:numCache>
            </c:numRef>
          </c:val>
          <c:smooth val="0"/>
          <c:extLst>
            <c:ext xmlns:c16="http://schemas.microsoft.com/office/drawing/2014/chart" uri="{C3380CC4-5D6E-409C-BE32-E72D297353CC}">
              <c16:uniqueId val="{00000006-654E-4152-8B8A-323C3C34E0CE}"/>
            </c:ext>
          </c:extLst>
        </c:ser>
        <c:ser>
          <c:idx val="3"/>
          <c:order val="3"/>
          <c:tx>
            <c:strRef>
              <c:f>Кредиты!$B$78</c:f>
              <c:strCache>
                <c:ptCount val="1"/>
                <c:pt idx="0">
                  <c:v>NPL ФЛ</c:v>
                </c:pt>
              </c:strCache>
            </c:strRef>
          </c:tx>
          <c:spPr>
            <a:ln w="76200" cap="rnd">
              <a:solidFill>
                <a:srgbClr val="C00000"/>
              </a:solidFill>
              <a:prstDash val="solid"/>
              <a:round/>
            </a:ln>
            <a:effectLst/>
          </c:spPr>
          <c:marker>
            <c:symbol val="square"/>
            <c:size val="10"/>
            <c:spPr>
              <a:solidFill>
                <a:schemeClr val="accent2">
                  <a:lumMod val="40000"/>
                  <a:lumOff val="60000"/>
                </a:schemeClr>
              </a:solidFill>
              <a:ln w="76200">
                <a:solidFill>
                  <a:srgbClr val="C00000"/>
                </a:solidFill>
                <a:prstDash val="solid"/>
              </a:ln>
              <a:effectLst/>
            </c:spPr>
          </c:marker>
          <c:dLbls>
            <c:dLbl>
              <c:idx val="2"/>
              <c:layout>
                <c:manualLayout>
                  <c:x val="-5.5072007140497495E-2"/>
                  <c:y val="-2.86267500073257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54E-4152-8B8A-323C3C34E0CE}"/>
                </c:ext>
              </c:extLst>
            </c:dLbl>
            <c:dLbl>
              <c:idx val="3"/>
              <c:layout>
                <c:manualLayout>
                  <c:x val="-5.7279082607358978E-2"/>
                  <c:y val="-4.00774500102560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54E-4152-8B8A-323C3C34E0CE}"/>
                </c:ext>
              </c:extLst>
            </c:dLbl>
            <c:dLbl>
              <c:idx val="4"/>
              <c:layout>
                <c:manualLayout>
                  <c:x val="-5.3968469407066573E-2"/>
                  <c:y val="-4.29401250109887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54E-4152-8B8A-323C3C34E0CE}"/>
                </c:ext>
              </c:extLst>
            </c:dLbl>
            <c:dLbl>
              <c:idx val="5"/>
              <c:layout>
                <c:manualLayout>
                  <c:x val="-5.5072007140497495E-2"/>
                  <c:y val="-3.72147750095236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54E-4152-8B8A-323C3C34E0CE}"/>
                </c:ext>
              </c:extLst>
            </c:dLbl>
            <c:dLbl>
              <c:idx val="6"/>
              <c:layout>
                <c:manualLayout>
                  <c:x val="-5.2864931673635818E-2"/>
                  <c:y val="-3.72147750095236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54E-4152-8B8A-323C3C34E0CE}"/>
                </c:ext>
              </c:extLst>
            </c:dLbl>
            <c:numFmt formatCode="0.0%" sourceLinked="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C00000"/>
                    </a:solidFill>
                    <a:latin typeface="Arial Narrow" panose="020B0606020202030204" pitchFamily="34" charset="0"/>
                    <a:ea typeface="+mn-ea"/>
                    <a:cs typeface="+mn-cs"/>
                  </a:defRPr>
                </a:pPr>
                <a:endParaRPr lang="ru-RU"/>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Кредиты!$G$8:$N$8</c:f>
              <c:numCache>
                <c:formatCode>0</c:formatCode>
                <c:ptCount val="8"/>
                <c:pt idx="0">
                  <c:v>2017</c:v>
                </c:pt>
                <c:pt idx="1">
                  <c:v>2018</c:v>
                </c:pt>
                <c:pt idx="2">
                  <c:v>2019</c:v>
                </c:pt>
                <c:pt idx="3">
                  <c:v>2020</c:v>
                </c:pt>
                <c:pt idx="4">
                  <c:v>2021</c:v>
                </c:pt>
                <c:pt idx="5">
                  <c:v>2022</c:v>
                </c:pt>
                <c:pt idx="6">
                  <c:v>2023</c:v>
                </c:pt>
                <c:pt idx="7">
                  <c:v>2024</c:v>
                </c:pt>
              </c:numCache>
            </c:numRef>
          </c:cat>
          <c:val>
            <c:numRef>
              <c:f>Кредиты!$G$78:$N$78</c:f>
              <c:numCache>
                <c:formatCode>0.0%;\(0.0%\);"-"</c:formatCode>
                <c:ptCount val="8"/>
                <c:pt idx="0">
                  <c:v>0.11164393411287984</c:v>
                </c:pt>
                <c:pt idx="1">
                  <c:v>8.5220404982969733E-2</c:v>
                </c:pt>
                <c:pt idx="2">
                  <c:v>0.12116144574982562</c:v>
                </c:pt>
                <c:pt idx="3">
                  <c:v>8.6937094816191302E-2</c:v>
                </c:pt>
                <c:pt idx="4">
                  <c:v>1.8571494643344056E-2</c:v>
                </c:pt>
                <c:pt idx="5">
                  <c:v>1.722192926680528E-2</c:v>
                </c:pt>
                <c:pt idx="6">
                  <c:v>2.1913644951711057E-2</c:v>
                </c:pt>
                <c:pt idx="7">
                  <c:v>1.440349656218534E-2</c:v>
                </c:pt>
              </c:numCache>
            </c:numRef>
          </c:val>
          <c:smooth val="0"/>
          <c:extLst>
            <c:ext xmlns:c16="http://schemas.microsoft.com/office/drawing/2014/chart" uri="{C3380CC4-5D6E-409C-BE32-E72D297353CC}">
              <c16:uniqueId val="{0000000C-654E-4152-8B8A-323C3C34E0CE}"/>
            </c:ext>
          </c:extLst>
        </c:ser>
        <c:dLbls>
          <c:showLegendKey val="0"/>
          <c:showVal val="0"/>
          <c:showCatName val="0"/>
          <c:showSerName val="0"/>
          <c:showPercent val="0"/>
          <c:showBubbleSize val="0"/>
        </c:dLbls>
        <c:marker val="1"/>
        <c:smooth val="0"/>
        <c:axId val="-246213744"/>
        <c:axId val="-391041088"/>
      </c:lineChart>
      <c:catAx>
        <c:axId val="-24621374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ysClr val="windowText" lastClr="000000"/>
                </a:solidFill>
                <a:latin typeface="Arial Narrow" panose="020B0606020202030204" pitchFamily="34" charset="0"/>
                <a:ea typeface="+mn-ea"/>
                <a:cs typeface="+mn-cs"/>
              </a:defRPr>
            </a:pPr>
            <a:endParaRPr lang="ru-RU"/>
          </a:p>
        </c:txPr>
        <c:crossAx val="-391041088"/>
        <c:crosses val="autoZero"/>
        <c:auto val="1"/>
        <c:lblAlgn val="ctr"/>
        <c:lblOffset val="100"/>
        <c:noMultiLvlLbl val="0"/>
      </c:catAx>
      <c:valAx>
        <c:axId val="-391041088"/>
        <c:scaling>
          <c:orientation val="minMax"/>
          <c:max val="0.2"/>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Arial Narrow" panose="020B0606020202030204" pitchFamily="34" charset="0"/>
                <a:ea typeface="+mn-ea"/>
                <a:cs typeface="+mn-cs"/>
              </a:defRPr>
            </a:pPr>
            <a:endParaRPr lang="ru-RU"/>
          </a:p>
        </c:txPr>
        <c:crossAx val="-246213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400" b="0" i="0" u="none" strike="noStrike" kern="1200" baseline="0">
              <a:solidFill>
                <a:sysClr val="windowText" lastClr="000000"/>
              </a:solidFill>
              <a:latin typeface="Arial Narrow" panose="020B0606020202030204" pitchFamily="34" charset="0"/>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solidFill>
            <a:sysClr val="windowText" lastClr="000000"/>
          </a:solidFill>
          <a:latin typeface="Arial Narrow" panose="020B0606020202030204" pitchFamily="34" charset="0"/>
        </a:defRPr>
      </a:pPr>
      <a:endParaRPr lang="ru-RU"/>
    </a:p>
  </c:txPr>
  <c:printSettings>
    <c:headerFooter/>
    <c:pageMargins b="0.75000000000000033" l="0.70000000000000029" r="0.70000000000000029" t="0.75000000000000033" header="0.30000000000000016" footer="0.30000000000000016"/>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Narrow" panose="020B0606020202030204" pitchFamily="34" charset="0"/>
                <a:ea typeface="+mn-ea"/>
                <a:cs typeface="+mn-cs"/>
              </a:defRPr>
            </a:pPr>
            <a:r>
              <a:rPr lang="ru-RU" sz="1400" b="1"/>
              <a:t>Отраслевая</a:t>
            </a:r>
            <a:r>
              <a:rPr lang="ru-RU" sz="1400" b="1" baseline="0"/>
              <a:t> структура  депозитов юр. лиц в 2011-2015 гг</a:t>
            </a:r>
            <a:endParaRPr lang="ru-RU"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Arial Narrow" panose="020B0606020202030204" pitchFamily="34" charset="0"/>
              <a:ea typeface="+mn-ea"/>
              <a:cs typeface="+mn-cs"/>
            </a:defRPr>
          </a:pPr>
          <a:endParaRPr lang="ru-RU"/>
        </a:p>
      </c:txPr>
    </c:title>
    <c:autoTitleDeleted val="0"/>
    <c:plotArea>
      <c:layout>
        <c:manualLayout>
          <c:layoutTarget val="inner"/>
          <c:xMode val="edge"/>
          <c:yMode val="edge"/>
          <c:x val="3.3913181205417718E-2"/>
          <c:y val="9.0048142178739757E-2"/>
          <c:w val="0.95516551751958156"/>
          <c:h val="0.79861310106429673"/>
        </c:manualLayout>
      </c:layout>
      <c:barChart>
        <c:barDir val="col"/>
        <c:grouping val="clustered"/>
        <c:varyColors val="0"/>
        <c:ser>
          <c:idx val="0"/>
          <c:order val="0"/>
          <c:tx>
            <c:strRef>
              <c:f>Баланс_МСФО!$O$166</c:f>
              <c:strCache>
                <c:ptCount val="1"/>
                <c:pt idx="0">
                  <c:v>2011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Баланс_МСФО!$B$167:$B$173</c:f>
              <c:strCache>
                <c:ptCount val="7"/>
                <c:pt idx="0">
                  <c:v>Государственные органы</c:v>
                </c:pt>
                <c:pt idx="1">
                  <c:v>Строительство</c:v>
                </c:pt>
                <c:pt idx="2">
                  <c:v>Финансовые и прочие услуги</c:v>
                </c:pt>
                <c:pt idx="3">
                  <c:v>Торговля</c:v>
                </c:pt>
                <c:pt idx="4">
                  <c:v>Транспорт и связь</c:v>
                </c:pt>
                <c:pt idx="5">
                  <c:v>Производство</c:v>
                </c:pt>
                <c:pt idx="6">
                  <c:v>Прочие</c:v>
                </c:pt>
              </c:strCache>
            </c:strRef>
          </c:cat>
          <c:val>
            <c:numRef>
              <c:f>Баланс_МСФО!$O$167:$O$173</c:f>
              <c:numCache>
                <c:formatCode>0%;\(0%\)</c:formatCode>
                <c:ptCount val="7"/>
                <c:pt idx="0">
                  <c:v>0.24045583599915527</c:v>
                </c:pt>
                <c:pt idx="1">
                  <c:v>0.13124056533675393</c:v>
                </c:pt>
                <c:pt idx="2">
                  <c:v>0.11723229020828609</c:v>
                </c:pt>
                <c:pt idx="3">
                  <c:v>5.8230937091816384E-2</c:v>
                </c:pt>
                <c:pt idx="4">
                  <c:v>0.16890100349620268</c:v>
                </c:pt>
                <c:pt idx="5">
                  <c:v>0.10261393944608262</c:v>
                </c:pt>
                <c:pt idx="6">
                  <c:v>0.1813254284217031</c:v>
                </c:pt>
              </c:numCache>
            </c:numRef>
          </c:val>
          <c:extLst>
            <c:ext xmlns:c16="http://schemas.microsoft.com/office/drawing/2014/chart" uri="{C3380CC4-5D6E-409C-BE32-E72D297353CC}">
              <c16:uniqueId val="{00000000-69AC-4168-A108-C96E123E38C0}"/>
            </c:ext>
          </c:extLst>
        </c:ser>
        <c:ser>
          <c:idx val="1"/>
          <c:order val="1"/>
          <c:tx>
            <c:strRef>
              <c:f>Баланс_МСФО!$P$166</c:f>
              <c:strCache>
                <c:ptCount val="1"/>
                <c:pt idx="0">
                  <c:v>2012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Баланс_МСФО!$B$167:$B$173</c:f>
              <c:strCache>
                <c:ptCount val="7"/>
                <c:pt idx="0">
                  <c:v>Государственные органы</c:v>
                </c:pt>
                <c:pt idx="1">
                  <c:v>Строительство</c:v>
                </c:pt>
                <c:pt idx="2">
                  <c:v>Финансовые и прочие услуги</c:v>
                </c:pt>
                <c:pt idx="3">
                  <c:v>Торговля</c:v>
                </c:pt>
                <c:pt idx="4">
                  <c:v>Транспорт и связь</c:v>
                </c:pt>
                <c:pt idx="5">
                  <c:v>Производство</c:v>
                </c:pt>
                <c:pt idx="6">
                  <c:v>Прочие</c:v>
                </c:pt>
              </c:strCache>
            </c:strRef>
          </c:cat>
          <c:val>
            <c:numRef>
              <c:f>Баланс_МСФО!$P$167:$P$173</c:f>
              <c:numCache>
                <c:formatCode>0%;\(0%\)</c:formatCode>
                <c:ptCount val="7"/>
                <c:pt idx="0">
                  <c:v>0.15738942942040957</c:v>
                </c:pt>
                <c:pt idx="1">
                  <c:v>0.15167898506416649</c:v>
                </c:pt>
                <c:pt idx="2">
                  <c:v>0.12474299424664687</c:v>
                </c:pt>
                <c:pt idx="3">
                  <c:v>8.7762771621558808E-2</c:v>
                </c:pt>
                <c:pt idx="4">
                  <c:v>0.28526834082449232</c:v>
                </c:pt>
                <c:pt idx="5">
                  <c:v>2.1862026796537259E-2</c:v>
                </c:pt>
                <c:pt idx="6">
                  <c:v>0.17129545202618865</c:v>
                </c:pt>
              </c:numCache>
            </c:numRef>
          </c:val>
          <c:extLst>
            <c:ext xmlns:c16="http://schemas.microsoft.com/office/drawing/2014/chart" uri="{C3380CC4-5D6E-409C-BE32-E72D297353CC}">
              <c16:uniqueId val="{00000001-69AC-4168-A108-C96E123E38C0}"/>
            </c:ext>
          </c:extLst>
        </c:ser>
        <c:ser>
          <c:idx val="2"/>
          <c:order val="2"/>
          <c:tx>
            <c:strRef>
              <c:f>Баланс_МСФО!$Q$166</c:f>
              <c:strCache>
                <c:ptCount val="1"/>
                <c:pt idx="0">
                  <c:v>2013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Баланс_МСФО!$B$167:$B$173</c:f>
              <c:strCache>
                <c:ptCount val="7"/>
                <c:pt idx="0">
                  <c:v>Государственные органы</c:v>
                </c:pt>
                <c:pt idx="1">
                  <c:v>Строительство</c:v>
                </c:pt>
                <c:pt idx="2">
                  <c:v>Финансовые и прочие услуги</c:v>
                </c:pt>
                <c:pt idx="3">
                  <c:v>Торговля</c:v>
                </c:pt>
                <c:pt idx="4">
                  <c:v>Транспорт и связь</c:v>
                </c:pt>
                <c:pt idx="5">
                  <c:v>Производство</c:v>
                </c:pt>
                <c:pt idx="6">
                  <c:v>Прочие</c:v>
                </c:pt>
              </c:strCache>
            </c:strRef>
          </c:cat>
          <c:val>
            <c:numRef>
              <c:f>Баланс_МСФО!$Q$167:$Q$173</c:f>
              <c:numCache>
                <c:formatCode>0%;\(0%\)</c:formatCode>
                <c:ptCount val="7"/>
                <c:pt idx="0">
                  <c:v>0.39485199485199474</c:v>
                </c:pt>
                <c:pt idx="1">
                  <c:v>0.16731016731016726</c:v>
                </c:pt>
                <c:pt idx="2">
                  <c:v>0.12895752895752893</c:v>
                </c:pt>
                <c:pt idx="3">
                  <c:v>6.3577863577863561E-2</c:v>
                </c:pt>
                <c:pt idx="4">
                  <c:v>0.12767052767052764</c:v>
                </c:pt>
                <c:pt idx="5">
                  <c:v>5.8429858429858414E-2</c:v>
                </c:pt>
                <c:pt idx="6">
                  <c:v>5.9202059202059551E-2</c:v>
                </c:pt>
              </c:numCache>
            </c:numRef>
          </c:val>
          <c:extLst>
            <c:ext xmlns:c16="http://schemas.microsoft.com/office/drawing/2014/chart" uri="{C3380CC4-5D6E-409C-BE32-E72D297353CC}">
              <c16:uniqueId val="{00000002-69AC-4168-A108-C96E123E38C0}"/>
            </c:ext>
          </c:extLst>
        </c:ser>
        <c:ser>
          <c:idx val="3"/>
          <c:order val="3"/>
          <c:tx>
            <c:strRef>
              <c:f>Баланс_МСФО!$R$166</c:f>
              <c:strCache>
                <c:ptCount val="1"/>
                <c:pt idx="0">
                  <c:v>2014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Баланс_МСФО!$B$167:$B$173</c:f>
              <c:strCache>
                <c:ptCount val="7"/>
                <c:pt idx="0">
                  <c:v>Государственные органы</c:v>
                </c:pt>
                <c:pt idx="1">
                  <c:v>Строительство</c:v>
                </c:pt>
                <c:pt idx="2">
                  <c:v>Финансовые и прочие услуги</c:v>
                </c:pt>
                <c:pt idx="3">
                  <c:v>Торговля</c:v>
                </c:pt>
                <c:pt idx="4">
                  <c:v>Транспорт и связь</c:v>
                </c:pt>
                <c:pt idx="5">
                  <c:v>Производство</c:v>
                </c:pt>
                <c:pt idx="6">
                  <c:v>Прочие</c:v>
                </c:pt>
              </c:strCache>
            </c:strRef>
          </c:cat>
          <c:val>
            <c:numRef>
              <c:f>Баланс_МСФО!$R$167:$R$173</c:f>
              <c:numCache>
                <c:formatCode>0%;\(0%\)</c:formatCode>
                <c:ptCount val="7"/>
                <c:pt idx="0">
                  <c:v>0.39563776918829374</c:v>
                </c:pt>
                <c:pt idx="1">
                  <c:v>0.26836002208724458</c:v>
                </c:pt>
                <c:pt idx="2">
                  <c:v>7.7029265599116492E-2</c:v>
                </c:pt>
                <c:pt idx="3">
                  <c:v>8.2274986195472105E-2</c:v>
                </c:pt>
                <c:pt idx="4">
                  <c:v>5.7150745444505789E-2</c:v>
                </c:pt>
                <c:pt idx="5">
                  <c:v>3.1198233020430698E-2</c:v>
                </c:pt>
                <c:pt idx="6">
                  <c:v>8.8348978464936639E-2</c:v>
                </c:pt>
              </c:numCache>
            </c:numRef>
          </c:val>
          <c:extLst>
            <c:ext xmlns:c16="http://schemas.microsoft.com/office/drawing/2014/chart" uri="{C3380CC4-5D6E-409C-BE32-E72D297353CC}">
              <c16:uniqueId val="{00000003-69AC-4168-A108-C96E123E38C0}"/>
            </c:ext>
          </c:extLst>
        </c:ser>
        <c:ser>
          <c:idx val="4"/>
          <c:order val="4"/>
          <c:tx>
            <c:strRef>
              <c:f>Баланс_МСФО!$S$166</c:f>
              <c:strCache>
                <c:ptCount val="1"/>
                <c:pt idx="0">
                  <c:v>2015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Narrow" panose="020B0606020202030204" pitchFamily="34" charset="0"/>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Баланс_МСФО!$B$167:$B$173</c:f>
              <c:strCache>
                <c:ptCount val="7"/>
                <c:pt idx="0">
                  <c:v>Государственные органы</c:v>
                </c:pt>
                <c:pt idx="1">
                  <c:v>Строительство</c:v>
                </c:pt>
                <c:pt idx="2">
                  <c:v>Финансовые и прочие услуги</c:v>
                </c:pt>
                <c:pt idx="3">
                  <c:v>Торговля</c:v>
                </c:pt>
                <c:pt idx="4">
                  <c:v>Транспорт и связь</c:v>
                </c:pt>
                <c:pt idx="5">
                  <c:v>Производство</c:v>
                </c:pt>
                <c:pt idx="6">
                  <c:v>Прочие</c:v>
                </c:pt>
              </c:strCache>
            </c:strRef>
          </c:cat>
          <c:val>
            <c:numRef>
              <c:f>Баланс_МСФО!$S$167:$S$173</c:f>
              <c:numCache>
                <c:formatCode>0%;\(0%\)</c:formatCode>
                <c:ptCount val="7"/>
                <c:pt idx="0">
                  <c:v>0.42488177519097836</c:v>
                </c:pt>
                <c:pt idx="1">
                  <c:v>0.19789014186977075</c:v>
                </c:pt>
                <c:pt idx="2">
                  <c:v>0.11531465987631861</c:v>
                </c:pt>
                <c:pt idx="3">
                  <c:v>8.439432520916694E-2</c:v>
                </c:pt>
                <c:pt idx="4">
                  <c:v>7.4208803201164034E-2</c:v>
                </c:pt>
                <c:pt idx="5">
                  <c:v>2.0734812659148776E-2</c:v>
                </c:pt>
                <c:pt idx="6">
                  <c:v>8.2575481993452715E-2</c:v>
                </c:pt>
              </c:numCache>
            </c:numRef>
          </c:val>
          <c:extLst>
            <c:ext xmlns:c16="http://schemas.microsoft.com/office/drawing/2014/chart" uri="{C3380CC4-5D6E-409C-BE32-E72D297353CC}">
              <c16:uniqueId val="{00000004-69AC-4168-A108-C96E123E38C0}"/>
            </c:ext>
          </c:extLst>
        </c:ser>
        <c:dLbls>
          <c:showLegendKey val="0"/>
          <c:showVal val="1"/>
          <c:showCatName val="0"/>
          <c:showSerName val="0"/>
          <c:showPercent val="0"/>
          <c:showBubbleSize val="0"/>
        </c:dLbls>
        <c:gapWidth val="219"/>
        <c:overlap val="-27"/>
        <c:axId val="-391031296"/>
        <c:axId val="-391043264"/>
      </c:barChart>
      <c:catAx>
        <c:axId val="-39103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arrow" panose="020B0606020202030204" pitchFamily="34" charset="0"/>
                <a:ea typeface="+mn-ea"/>
                <a:cs typeface="+mn-cs"/>
              </a:defRPr>
            </a:pPr>
            <a:endParaRPr lang="ru-RU"/>
          </a:p>
        </c:txPr>
        <c:crossAx val="-391043264"/>
        <c:crosses val="autoZero"/>
        <c:auto val="1"/>
        <c:lblAlgn val="ctr"/>
        <c:lblOffset val="100"/>
        <c:noMultiLvlLbl val="0"/>
      </c:catAx>
      <c:valAx>
        <c:axId val="-3910432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arrow" panose="020B0606020202030204" pitchFamily="34" charset="0"/>
                <a:ea typeface="+mn-ea"/>
                <a:cs typeface="+mn-cs"/>
              </a:defRPr>
            </a:pPr>
            <a:endParaRPr lang="ru-RU"/>
          </a:p>
        </c:txPr>
        <c:crossAx val="-391031296"/>
        <c:crosses val="autoZero"/>
        <c:crossBetween val="between"/>
      </c:valAx>
      <c:spPr>
        <a:noFill/>
        <a:ln>
          <a:noFill/>
        </a:ln>
        <a:effectLst/>
      </c:spPr>
    </c:plotArea>
    <c:legend>
      <c:legendPos val="t"/>
      <c:layout>
        <c:manualLayout>
          <c:xMode val="edge"/>
          <c:yMode val="edge"/>
          <c:x val="0.20035021650287591"/>
          <c:y val="0.11260582341121392"/>
          <c:w val="0.24166053118443662"/>
          <c:h val="6.4279497583819636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latin typeface="Arial Narrow" panose="020B0606020202030204" pitchFamily="34" charset="0"/>
        </a:defRPr>
      </a:pPr>
      <a:endParaRPr lang="ru-RU"/>
    </a:p>
  </c:txPr>
  <c:printSettings>
    <c:headerFooter/>
    <c:pageMargins b="0.75000000000000033" l="0.70000000000000029" r="0.70000000000000029" t="0.75000000000000033" header="0.30000000000000016" footer="0.30000000000000016"/>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ysClr val="windowText" lastClr="000000"/>
                </a:solidFill>
                <a:latin typeface="Arial Narrow" panose="020B0606020202030204" pitchFamily="34" charset="0"/>
                <a:ea typeface="+mn-ea"/>
                <a:cs typeface="+mn-cs"/>
              </a:defRPr>
            </a:pPr>
            <a:r>
              <a:rPr lang="ru-RU" sz="1800"/>
              <a:t>Структурный анализ источников</a:t>
            </a:r>
            <a:r>
              <a:rPr lang="ru-RU" sz="1800" baseline="0"/>
              <a:t> прибыли Группы</a:t>
            </a:r>
            <a:r>
              <a:rPr lang="en-US" sz="1800" baseline="0"/>
              <a:t> </a:t>
            </a:r>
            <a:r>
              <a:rPr lang="ru-RU" sz="1800" baseline="0"/>
              <a:t>Банка Москвы в 2010-2015 гг., % от средних активов</a:t>
            </a:r>
            <a:endParaRPr lang="ru-RU" sz="1800"/>
          </a:p>
        </c:rich>
      </c:tx>
      <c:overlay val="0"/>
      <c:spPr>
        <a:noFill/>
        <a:ln>
          <a:noFill/>
        </a:ln>
        <a:effectLst/>
      </c:spPr>
    </c:title>
    <c:autoTitleDeleted val="0"/>
    <c:plotArea>
      <c:layout>
        <c:manualLayout>
          <c:layoutTarget val="inner"/>
          <c:xMode val="edge"/>
          <c:yMode val="edge"/>
          <c:x val="3.8055578912191142E-2"/>
          <c:y val="8.6163985391984527E-2"/>
          <c:w val="0.94075945611629985"/>
          <c:h val="0.90025898597566423"/>
        </c:manualLayout>
      </c:layout>
      <c:barChart>
        <c:barDir val="col"/>
        <c:grouping val="stacked"/>
        <c:varyColors val="0"/>
        <c:ser>
          <c:idx val="1"/>
          <c:order val="0"/>
          <c:tx>
            <c:v>Маржа</c:v>
          </c:tx>
          <c:spPr>
            <a:solidFill>
              <a:schemeClr val="accent2"/>
            </a:solidFill>
            <a:ln>
              <a:noFill/>
            </a:ln>
            <a:effectLst/>
          </c:spPr>
          <c:invertIfNegative val="0"/>
          <c:cat>
            <c:numRef>
              <c:f>ОПиУ_МСФО!$F$94:$K$94</c:f>
              <c:numCache>
                <c:formatCode>0</c:formatCode>
                <c:ptCount val="6"/>
                <c:pt idx="0">
                  <c:v>2010</c:v>
                </c:pt>
                <c:pt idx="1">
                  <c:v>2011</c:v>
                </c:pt>
                <c:pt idx="2">
                  <c:v>2012</c:v>
                </c:pt>
                <c:pt idx="3">
                  <c:v>2013</c:v>
                </c:pt>
                <c:pt idx="4">
                  <c:v>2014</c:v>
                </c:pt>
                <c:pt idx="5">
                  <c:v>2015</c:v>
                </c:pt>
              </c:numCache>
            </c:numRef>
          </c:cat>
          <c:val>
            <c:numRef>
              <c:f>ОПиУ_МСФО!$F$95:$K$95</c:f>
              <c:numCache>
                <c:formatCode>0.0%;\(0.0%\)</c:formatCode>
                <c:ptCount val="6"/>
                <c:pt idx="0">
                  <c:v>4.7322508496620008E-2</c:v>
                </c:pt>
                <c:pt idx="1">
                  <c:v>2.4947712243044214E-2</c:v>
                </c:pt>
                <c:pt idx="2">
                  <c:v>3.3595158829241224E-2</c:v>
                </c:pt>
                <c:pt idx="3">
                  <c:v>4.1191327053619442E-2</c:v>
                </c:pt>
                <c:pt idx="4">
                  <c:v>3.3211204097751648E-2</c:v>
                </c:pt>
                <c:pt idx="5">
                  <c:v>2.5286534920155018E-2</c:v>
                </c:pt>
              </c:numCache>
            </c:numRef>
          </c:val>
          <c:extLst>
            <c:ext xmlns:c16="http://schemas.microsoft.com/office/drawing/2014/chart" uri="{C3380CC4-5D6E-409C-BE32-E72D297353CC}">
              <c16:uniqueId val="{00000000-603C-4A77-9D31-E07AAD454C0B}"/>
            </c:ext>
          </c:extLst>
        </c:ser>
        <c:ser>
          <c:idx val="2"/>
          <c:order val="1"/>
          <c:tx>
            <c:v>Бремя</c:v>
          </c:tx>
          <c:spPr>
            <a:solidFill>
              <a:schemeClr val="accent3"/>
            </a:solidFill>
            <a:ln>
              <a:noFill/>
            </a:ln>
            <a:effectLst/>
          </c:spPr>
          <c:invertIfNegative val="0"/>
          <c:dLbls>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3C-4A77-9D31-E07AAD454C0B}"/>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3C-4A77-9D31-E07AAD454C0B}"/>
                </c:ext>
              </c:extLst>
            </c:dLbl>
            <c:spPr>
              <a:noFill/>
              <a:ln>
                <a:noFill/>
              </a:ln>
              <a:effectLst/>
            </c:spPr>
            <c:txPr>
              <a:bodyPr wrap="square" lIns="38100" tIns="19050" rIns="38100" bIns="19050" anchor="ctr">
                <a:spAutoFit/>
              </a:bodyPr>
              <a:lstStyle/>
              <a:p>
                <a:pPr>
                  <a:defRPr sz="1200" b="1"/>
                </a:pPr>
                <a:endParaRPr lang="ru-RU"/>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ОПиУ_МСФО!$F$94:$K$94</c:f>
              <c:numCache>
                <c:formatCode>0</c:formatCode>
                <c:ptCount val="6"/>
                <c:pt idx="0">
                  <c:v>2010</c:v>
                </c:pt>
                <c:pt idx="1">
                  <c:v>2011</c:v>
                </c:pt>
                <c:pt idx="2">
                  <c:v>2012</c:v>
                </c:pt>
                <c:pt idx="3">
                  <c:v>2013</c:v>
                </c:pt>
                <c:pt idx="4">
                  <c:v>2014</c:v>
                </c:pt>
                <c:pt idx="5">
                  <c:v>2015</c:v>
                </c:pt>
              </c:numCache>
            </c:numRef>
          </c:cat>
          <c:val>
            <c:numRef>
              <c:f>ОПиУ_МСФО!$F$96:$K$96</c:f>
              <c:numCache>
                <c:formatCode>0.0%;\(0.0%\)</c:formatCode>
                <c:ptCount val="6"/>
                <c:pt idx="0">
                  <c:v>-1.4798435361942723E-2</c:v>
                </c:pt>
                <c:pt idx="1">
                  <c:v>-1.3745437390438715E-2</c:v>
                </c:pt>
                <c:pt idx="2">
                  <c:v>-1.4958664142588647E-2</c:v>
                </c:pt>
                <c:pt idx="3">
                  <c:v>-1.5196720520330234E-2</c:v>
                </c:pt>
                <c:pt idx="4">
                  <c:v>-1.2613870787126825E-2</c:v>
                </c:pt>
                <c:pt idx="5">
                  <c:v>-1.1104087073633289E-2</c:v>
                </c:pt>
              </c:numCache>
            </c:numRef>
          </c:val>
          <c:extLst>
            <c:ext xmlns:c16="http://schemas.microsoft.com/office/drawing/2014/chart" uri="{C3380CC4-5D6E-409C-BE32-E72D297353CC}">
              <c16:uniqueId val="{00000003-603C-4A77-9D31-E07AAD454C0B}"/>
            </c:ext>
          </c:extLst>
        </c:ser>
        <c:ser>
          <c:idx val="3"/>
          <c:order val="2"/>
          <c:tx>
            <c:v>Нестабильные источники</c:v>
          </c:tx>
          <c:spPr>
            <a:solidFill>
              <a:schemeClr val="accent1">
                <a:lumMod val="40000"/>
                <a:lumOff val="60000"/>
              </a:schemeClr>
            </a:solidFill>
            <a:ln>
              <a:noFill/>
            </a:ln>
            <a:effectLst/>
          </c:spPr>
          <c:invertIfNegative val="0"/>
          <c:cat>
            <c:numRef>
              <c:f>ОПиУ_МСФО!$F$94:$K$94</c:f>
              <c:numCache>
                <c:formatCode>0</c:formatCode>
                <c:ptCount val="6"/>
                <c:pt idx="0">
                  <c:v>2010</c:v>
                </c:pt>
                <c:pt idx="1">
                  <c:v>2011</c:v>
                </c:pt>
                <c:pt idx="2">
                  <c:v>2012</c:v>
                </c:pt>
                <c:pt idx="3">
                  <c:v>2013</c:v>
                </c:pt>
                <c:pt idx="4">
                  <c:v>2014</c:v>
                </c:pt>
                <c:pt idx="5">
                  <c:v>2015</c:v>
                </c:pt>
              </c:numCache>
            </c:numRef>
          </c:cat>
          <c:val>
            <c:numRef>
              <c:f>ОПиУ_МСФО!$F$97:$K$97</c:f>
              <c:numCache>
                <c:formatCode>0.0%;\(0.0%\)</c:formatCode>
                <c:ptCount val="6"/>
                <c:pt idx="0">
                  <c:v>-1.3913467191238222E-3</c:v>
                </c:pt>
                <c:pt idx="1">
                  <c:v>3.452332670798293E-3</c:v>
                </c:pt>
                <c:pt idx="2">
                  <c:v>5.6565662747273971E-3</c:v>
                </c:pt>
                <c:pt idx="3">
                  <c:v>2.1220645771632312E-3</c:v>
                </c:pt>
                <c:pt idx="4">
                  <c:v>-2.1289233395994644E-3</c:v>
                </c:pt>
                <c:pt idx="5">
                  <c:v>-7.0362531951735701E-3</c:v>
                </c:pt>
              </c:numCache>
            </c:numRef>
          </c:val>
          <c:extLst>
            <c:ext xmlns:c16="http://schemas.microsoft.com/office/drawing/2014/chart" uri="{C3380CC4-5D6E-409C-BE32-E72D297353CC}">
              <c16:uniqueId val="{00000004-603C-4A77-9D31-E07AAD454C0B}"/>
            </c:ext>
          </c:extLst>
        </c:ser>
        <c:ser>
          <c:idx val="4"/>
          <c:order val="3"/>
          <c:tx>
            <c:v>Небанковская д-ть</c:v>
          </c:tx>
          <c:spPr>
            <a:solidFill>
              <a:schemeClr val="accent5"/>
            </a:solidFill>
            <a:effectLst/>
          </c:spPr>
          <c:invertIfNegative val="0"/>
          <c:cat>
            <c:numRef>
              <c:f>ОПиУ_МСФО!$F$94:$K$94</c:f>
              <c:numCache>
                <c:formatCode>0</c:formatCode>
                <c:ptCount val="6"/>
                <c:pt idx="0">
                  <c:v>2010</c:v>
                </c:pt>
                <c:pt idx="1">
                  <c:v>2011</c:v>
                </c:pt>
                <c:pt idx="2">
                  <c:v>2012</c:v>
                </c:pt>
                <c:pt idx="3">
                  <c:v>2013</c:v>
                </c:pt>
                <c:pt idx="4">
                  <c:v>2014</c:v>
                </c:pt>
                <c:pt idx="5">
                  <c:v>2015</c:v>
                </c:pt>
              </c:numCache>
            </c:numRef>
          </c:cat>
          <c:val>
            <c:numRef>
              <c:f>ОПиУ_МСФО!$F$98:$K$98</c:f>
              <c:numCache>
                <c:formatCode>0.0%;\(0.0%\)</c:formatCode>
                <c:ptCount val="6"/>
                <c:pt idx="0">
                  <c:v>2.2727320227404575E-3</c:v>
                </c:pt>
                <c:pt idx="1">
                  <c:v>3.7602773932542084E-4</c:v>
                </c:pt>
                <c:pt idx="2">
                  <c:v>2.1674296018865259E-4</c:v>
                </c:pt>
                <c:pt idx="3">
                  <c:v>-6.1608326433771265E-4</c:v>
                </c:pt>
                <c:pt idx="4">
                  <c:v>1.0644616697997308E-4</c:v>
                </c:pt>
                <c:pt idx="5">
                  <c:v>-7.1461946513481575E-4</c:v>
                </c:pt>
              </c:numCache>
            </c:numRef>
          </c:val>
          <c:extLst>
            <c:ext xmlns:c16="http://schemas.microsoft.com/office/drawing/2014/chart" uri="{C3380CC4-5D6E-409C-BE32-E72D297353CC}">
              <c16:uniqueId val="{00000005-603C-4A77-9D31-E07AAD454C0B}"/>
            </c:ext>
          </c:extLst>
        </c:ser>
        <c:ser>
          <c:idx val="5"/>
          <c:order val="4"/>
          <c:tx>
            <c:v>Резервы</c:v>
          </c:tx>
          <c:invertIfNegative val="0"/>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3C-4A77-9D31-E07AAD454C0B}"/>
                </c:ext>
              </c:extLst>
            </c:dLbl>
            <c:spPr>
              <a:noFill/>
              <a:ln>
                <a:noFill/>
              </a:ln>
              <a:effectLst/>
            </c:spPr>
            <c:txPr>
              <a:bodyPr wrap="square" lIns="38100" tIns="19050" rIns="38100" bIns="19050" anchor="ctr">
                <a:spAutoFit/>
              </a:bodyPr>
              <a:lstStyle/>
              <a:p>
                <a:pPr>
                  <a:defRPr sz="1800" b="1">
                    <a:solidFill>
                      <a:srgbClr val="C00000"/>
                    </a:solidFill>
                  </a:defRPr>
                </a:pPr>
                <a:endParaRPr lang="ru-RU"/>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ОПиУ_МСФО!$F$94:$K$94</c:f>
              <c:numCache>
                <c:formatCode>0</c:formatCode>
                <c:ptCount val="6"/>
                <c:pt idx="0">
                  <c:v>2010</c:v>
                </c:pt>
                <c:pt idx="1">
                  <c:v>2011</c:v>
                </c:pt>
                <c:pt idx="2">
                  <c:v>2012</c:v>
                </c:pt>
                <c:pt idx="3">
                  <c:v>2013</c:v>
                </c:pt>
                <c:pt idx="4">
                  <c:v>2014</c:v>
                </c:pt>
                <c:pt idx="5">
                  <c:v>2015</c:v>
                </c:pt>
              </c:numCache>
            </c:numRef>
          </c:cat>
          <c:val>
            <c:numRef>
              <c:f>ОПиУ_МСФО!$F$99:$K$99</c:f>
              <c:numCache>
                <c:formatCode>0.0%;\(0.0%\)</c:formatCode>
                <c:ptCount val="6"/>
                <c:pt idx="0">
                  <c:v>-0.1295827482561141</c:v>
                </c:pt>
                <c:pt idx="1">
                  <c:v>-0.1386966271044984</c:v>
                </c:pt>
                <c:pt idx="2">
                  <c:v>1.0945094503330531E-2</c:v>
                </c:pt>
                <c:pt idx="3">
                  <c:v>3.7136130100356539E-3</c:v>
                </c:pt>
                <c:pt idx="4">
                  <c:v>-6.6954639030403162E-2</c:v>
                </c:pt>
                <c:pt idx="5">
                  <c:v>-4.0128631503724265E-3</c:v>
                </c:pt>
              </c:numCache>
            </c:numRef>
          </c:val>
          <c:extLst>
            <c:ext xmlns:c16="http://schemas.microsoft.com/office/drawing/2014/chart" uri="{C3380CC4-5D6E-409C-BE32-E72D297353CC}">
              <c16:uniqueId val="{00000007-603C-4A77-9D31-E07AAD454C0B}"/>
            </c:ext>
          </c:extLst>
        </c:ser>
        <c:ser>
          <c:idx val="6"/>
          <c:order val="5"/>
          <c:tx>
            <c:v>Прочие доходы/ расходы</c:v>
          </c:tx>
          <c:spPr>
            <a:ln w="57150">
              <a:noFill/>
            </a:ln>
          </c:spPr>
          <c:invertIfNegative val="0"/>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03C-4A77-9D31-E07AAD454C0B}"/>
                </c:ext>
              </c:extLst>
            </c:dLbl>
            <c:spPr>
              <a:noFill/>
              <a:ln>
                <a:noFill/>
              </a:ln>
              <a:effectLst/>
            </c:spPr>
            <c:txPr>
              <a:bodyPr wrap="square" lIns="38100" tIns="19050" rIns="38100" bIns="19050" anchor="ctr">
                <a:spAutoFit/>
              </a:bodyPr>
              <a:lstStyle/>
              <a:p>
                <a:pPr>
                  <a:defRPr sz="1600" b="1">
                    <a:solidFill>
                      <a:schemeClr val="tx1"/>
                    </a:solidFill>
                  </a:defRPr>
                </a:pPr>
                <a:endParaRPr lang="ru-RU"/>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ОПиУ_МСФО!$F$94:$K$94</c:f>
              <c:numCache>
                <c:formatCode>0</c:formatCode>
                <c:ptCount val="6"/>
                <c:pt idx="0">
                  <c:v>2010</c:v>
                </c:pt>
                <c:pt idx="1">
                  <c:v>2011</c:v>
                </c:pt>
                <c:pt idx="2">
                  <c:v>2012</c:v>
                </c:pt>
                <c:pt idx="3">
                  <c:v>2013</c:v>
                </c:pt>
                <c:pt idx="4">
                  <c:v>2014</c:v>
                </c:pt>
                <c:pt idx="5">
                  <c:v>2015</c:v>
                </c:pt>
              </c:numCache>
            </c:numRef>
          </c:cat>
          <c:val>
            <c:numRef>
              <c:f>ОПиУ_МСФО!$F$100:$K$100</c:f>
              <c:numCache>
                <c:formatCode>0.0%;\(0.0%\)</c:formatCode>
                <c:ptCount val="6"/>
                <c:pt idx="0">
                  <c:v>-5.654958553692099E-3</c:v>
                </c:pt>
                <c:pt idx="1">
                  <c:v>0.15657836962751678</c:v>
                </c:pt>
                <c:pt idx="2">
                  <c:v>-5.8019115539127289E-3</c:v>
                </c:pt>
                <c:pt idx="3">
                  <c:v>-4.7917587226266518E-4</c:v>
                </c:pt>
                <c:pt idx="4">
                  <c:v>4.8858790643807708E-2</c:v>
                </c:pt>
                <c:pt idx="5">
                  <c:v>-1.3192974740950446E-3</c:v>
                </c:pt>
              </c:numCache>
            </c:numRef>
          </c:val>
          <c:extLst>
            <c:ext xmlns:c16="http://schemas.microsoft.com/office/drawing/2014/chart" uri="{C3380CC4-5D6E-409C-BE32-E72D297353CC}">
              <c16:uniqueId val="{00000009-603C-4A77-9D31-E07AAD454C0B}"/>
            </c:ext>
          </c:extLst>
        </c:ser>
        <c:ser>
          <c:idx val="7"/>
          <c:order val="6"/>
          <c:tx>
            <c:v>Налоги</c:v>
          </c:tx>
          <c:invertIfNegative val="0"/>
          <c:cat>
            <c:numRef>
              <c:f>ОПиУ_МСФО!$F$94:$K$94</c:f>
              <c:numCache>
                <c:formatCode>0</c:formatCode>
                <c:ptCount val="6"/>
                <c:pt idx="0">
                  <c:v>2010</c:v>
                </c:pt>
                <c:pt idx="1">
                  <c:v>2011</c:v>
                </c:pt>
                <c:pt idx="2">
                  <c:v>2012</c:v>
                </c:pt>
                <c:pt idx="3">
                  <c:v>2013</c:v>
                </c:pt>
                <c:pt idx="4">
                  <c:v>2014</c:v>
                </c:pt>
                <c:pt idx="5">
                  <c:v>2015</c:v>
                </c:pt>
              </c:numCache>
            </c:numRef>
          </c:cat>
          <c:val>
            <c:numRef>
              <c:f>ОПиУ_МСФО!$F$101:$K$101</c:f>
              <c:numCache>
                <c:formatCode>0.0%;\(0.0%\)</c:formatCode>
                <c:ptCount val="6"/>
                <c:pt idx="0">
                  <c:v>1.8540142890710907E-2</c:v>
                </c:pt>
                <c:pt idx="1">
                  <c:v>-7.1277681507228097E-3</c:v>
                </c:pt>
                <c:pt idx="2">
                  <c:v>-5.5826186765453849E-3</c:v>
                </c:pt>
                <c:pt idx="3">
                  <c:v>-5.2024808988517914E-3</c:v>
                </c:pt>
                <c:pt idx="4">
                  <c:v>1.5966925046995983E-4</c:v>
                </c:pt>
                <c:pt idx="5">
                  <c:v>-1.6491218426188054E-4</c:v>
                </c:pt>
              </c:numCache>
            </c:numRef>
          </c:val>
          <c:extLst>
            <c:ext xmlns:c16="http://schemas.microsoft.com/office/drawing/2014/chart" uri="{C3380CC4-5D6E-409C-BE32-E72D297353CC}">
              <c16:uniqueId val="{0000000A-603C-4A77-9D31-E07AAD454C0B}"/>
            </c:ext>
          </c:extLst>
        </c:ser>
        <c:dLbls>
          <c:showLegendKey val="0"/>
          <c:showVal val="0"/>
          <c:showCatName val="0"/>
          <c:showSerName val="0"/>
          <c:showPercent val="0"/>
          <c:showBubbleSize val="0"/>
        </c:dLbls>
        <c:gapWidth val="150"/>
        <c:overlap val="100"/>
        <c:axId val="-391032384"/>
        <c:axId val="-391036736"/>
      </c:barChart>
      <c:lineChart>
        <c:grouping val="standard"/>
        <c:varyColors val="0"/>
        <c:ser>
          <c:idx val="0"/>
          <c:order val="7"/>
          <c:tx>
            <c:v>ROA</c:v>
          </c:tx>
          <c:spPr>
            <a:ln w="57150">
              <a:solidFill>
                <a:srgbClr val="0000FF"/>
              </a:solidFill>
            </a:ln>
          </c:spPr>
          <c:marker>
            <c:spPr>
              <a:ln w="57150">
                <a:solidFill>
                  <a:srgbClr val="0000FF"/>
                </a:solidFill>
              </a:ln>
            </c:spPr>
          </c:marker>
          <c:dLbls>
            <c:dLbl>
              <c:idx val="2"/>
              <c:layout>
                <c:manualLayout>
                  <c:x val="-2.8172361983619752E-2"/>
                  <c:y val="-9.34125702599174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03C-4A77-9D31-E07AAD454C0B}"/>
                </c:ext>
              </c:extLst>
            </c:dLbl>
            <c:dLbl>
              <c:idx val="3"/>
              <c:layout>
                <c:manualLayout>
                  <c:x val="-3.0038699312776331E-2"/>
                  <c:y val="-8.63134444771969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03C-4A77-9D31-E07AAD454C0B}"/>
                </c:ext>
              </c:extLst>
            </c:dLbl>
            <c:dLbl>
              <c:idx val="5"/>
              <c:layout>
                <c:manualLayout>
                  <c:x val="-2.9105530648198194E-2"/>
                  <c:y val="-9.57789455208244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03C-4A77-9D31-E07AAD454C0B}"/>
                </c:ext>
              </c:extLst>
            </c:dLbl>
            <c:numFmt formatCode="0.0%" sourceLinked="0"/>
            <c:spPr>
              <a:noFill/>
              <a:ln>
                <a:noFill/>
              </a:ln>
              <a:effectLst/>
            </c:spPr>
            <c:txPr>
              <a:bodyPr wrap="square" lIns="38100" tIns="19050" rIns="38100" bIns="19050" anchor="ctr">
                <a:spAutoFit/>
              </a:bodyPr>
              <a:lstStyle/>
              <a:p>
                <a:pPr>
                  <a:defRPr sz="2000" b="1">
                    <a:solidFill>
                      <a:srgbClr val="0000FF"/>
                    </a:solidFill>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ОПиУ_МСФО!$F$94:$K$94</c:f>
              <c:numCache>
                <c:formatCode>0</c:formatCode>
                <c:ptCount val="6"/>
                <c:pt idx="0">
                  <c:v>2010</c:v>
                </c:pt>
                <c:pt idx="1">
                  <c:v>2011</c:v>
                </c:pt>
                <c:pt idx="2">
                  <c:v>2012</c:v>
                </c:pt>
                <c:pt idx="3">
                  <c:v>2013</c:v>
                </c:pt>
                <c:pt idx="4">
                  <c:v>2014</c:v>
                </c:pt>
                <c:pt idx="5">
                  <c:v>2015</c:v>
                </c:pt>
              </c:numCache>
            </c:numRef>
          </c:cat>
          <c:val>
            <c:numRef>
              <c:f>ОПиУ_МСФО!$F$102:$K$102</c:f>
              <c:numCache>
                <c:formatCode>0.0%;\(0.0%\)</c:formatCode>
                <c:ptCount val="6"/>
                <c:pt idx="0">
                  <c:v>-8.3292105480801362E-2</c:v>
                </c:pt>
                <c:pt idx="1">
                  <c:v>2.578460963502479E-2</c:v>
                </c:pt>
                <c:pt idx="2">
                  <c:v>2.4070368194441041E-2</c:v>
                </c:pt>
                <c:pt idx="3">
                  <c:v>2.5532544085035924E-2</c:v>
                </c:pt>
                <c:pt idx="4">
                  <c:v>6.3867700187983519E-4</c:v>
                </c:pt>
                <c:pt idx="5">
                  <c:v>9.3450237748399104E-4</c:v>
                </c:pt>
              </c:numCache>
            </c:numRef>
          </c:val>
          <c:smooth val="0"/>
          <c:extLst>
            <c:ext xmlns:c16="http://schemas.microsoft.com/office/drawing/2014/chart" uri="{C3380CC4-5D6E-409C-BE32-E72D297353CC}">
              <c16:uniqueId val="{0000000E-603C-4A77-9D31-E07AAD454C0B}"/>
            </c:ext>
          </c:extLst>
        </c:ser>
        <c:dLbls>
          <c:showLegendKey val="0"/>
          <c:showVal val="0"/>
          <c:showCatName val="0"/>
          <c:showSerName val="0"/>
          <c:showPercent val="0"/>
          <c:showBubbleSize val="0"/>
        </c:dLbls>
        <c:marker val="1"/>
        <c:smooth val="0"/>
        <c:axId val="-391032384"/>
        <c:axId val="-391036736"/>
      </c:lineChart>
      <c:catAx>
        <c:axId val="-3910323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solidFill>
                <a:latin typeface="Arial Narrow" panose="020B0606020202030204" pitchFamily="34" charset="0"/>
                <a:ea typeface="+mn-ea"/>
                <a:cs typeface="+mn-cs"/>
              </a:defRPr>
            </a:pPr>
            <a:endParaRPr lang="ru-RU"/>
          </a:p>
        </c:txPr>
        <c:crossAx val="-391036736"/>
        <c:crosses val="autoZero"/>
        <c:auto val="1"/>
        <c:lblAlgn val="ctr"/>
        <c:lblOffset val="100"/>
        <c:noMultiLvlLbl val="0"/>
      </c:catAx>
      <c:valAx>
        <c:axId val="-391036736"/>
        <c:scaling>
          <c:orientation val="minMax"/>
          <c:max val="0.2"/>
          <c:min val="-0.2"/>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mn-cs"/>
              </a:defRPr>
            </a:pPr>
            <a:endParaRPr lang="ru-RU"/>
          </a:p>
        </c:txPr>
        <c:crossAx val="-391032384"/>
        <c:crosses val="autoZero"/>
        <c:crossBetween val="between"/>
      </c:valAx>
      <c:spPr>
        <a:noFill/>
        <a:ln>
          <a:noFill/>
        </a:ln>
        <a:effectLst/>
      </c:spPr>
    </c:plotArea>
    <c:legend>
      <c:legendPos val="b"/>
      <c:layout>
        <c:manualLayout>
          <c:xMode val="edge"/>
          <c:yMode val="edge"/>
          <c:x val="9.0775429608888042E-2"/>
          <c:y val="0.91015376221990596"/>
          <c:w val="0.90922457039111204"/>
          <c:h val="5.5479103527069848E-2"/>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Narrow" panose="020B0606020202030204" pitchFamily="34" charset="0"/>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Narrow" panose="020B0606020202030204" pitchFamily="34" charset="0"/>
        </a:defRPr>
      </a:pPr>
      <a:endParaRPr lang="ru-RU"/>
    </a:p>
  </c:txPr>
  <c:printSettings>
    <c:headerFooter/>
    <c:pageMargins b="0.75000000000000044" l="0.7000000000000004" r="0.7000000000000004" t="0.75000000000000044" header="0.30000000000000021" footer="0.3000000000000002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Narrow" panose="020B0606020202030204" pitchFamily="34" charset="0"/>
                <a:ea typeface="+mn-ea"/>
                <a:cs typeface="+mn-cs"/>
              </a:defRPr>
            </a:pPr>
            <a:r>
              <a:rPr lang="ru-RU" sz="1400" b="1"/>
              <a:t>Отраслевая</a:t>
            </a:r>
            <a:r>
              <a:rPr lang="ru-RU" sz="1400" b="1" baseline="0"/>
              <a:t> структура  кредитов юридическим лицам в 2011-2015 гг</a:t>
            </a:r>
            <a:endParaRPr lang="ru-RU"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Arial Narrow" panose="020B0606020202030204" pitchFamily="34" charset="0"/>
              <a:ea typeface="+mn-ea"/>
              <a:cs typeface="+mn-cs"/>
            </a:defRPr>
          </a:pPr>
          <a:endParaRPr lang="ru-RU"/>
        </a:p>
      </c:txPr>
    </c:title>
    <c:autoTitleDeleted val="0"/>
    <c:plotArea>
      <c:layout>
        <c:manualLayout>
          <c:layoutTarget val="inner"/>
          <c:xMode val="edge"/>
          <c:yMode val="edge"/>
          <c:x val="3.3913181205417718E-2"/>
          <c:y val="9.0048142178739757E-2"/>
          <c:w val="0.95516551751958156"/>
          <c:h val="0.83150667047584403"/>
        </c:manualLayout>
      </c:layout>
      <c:barChart>
        <c:barDir val="col"/>
        <c:grouping val="clustered"/>
        <c:varyColors val="0"/>
        <c:ser>
          <c:idx val="0"/>
          <c:order val="0"/>
          <c:tx>
            <c:strRef>
              <c:f>Кредиты_МСФО!$O$106</c:f>
              <c:strCache>
                <c:ptCount val="1"/>
                <c:pt idx="0">
                  <c:v>2011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Кредиты_МСФО!$B$107:$C$114</c:f>
              <c:strCache>
                <c:ptCount val="8"/>
                <c:pt idx="0">
                  <c:v>Строительство</c:v>
                </c:pt>
                <c:pt idx="1">
                  <c:v>Финансовые услуги</c:v>
                </c:pt>
                <c:pt idx="2">
                  <c:v>Государственные органы</c:v>
                </c:pt>
                <c:pt idx="3">
                  <c:v>Торговля</c:v>
                </c:pt>
                <c:pt idx="4">
                  <c:v>Транспорт и связь</c:v>
                </c:pt>
                <c:pt idx="5">
                  <c:v>Производство</c:v>
                </c:pt>
                <c:pt idx="6">
                  <c:v>Энергетика, нефть и газ</c:v>
                </c:pt>
                <c:pt idx="7">
                  <c:v>Прочие</c:v>
                </c:pt>
              </c:strCache>
            </c:strRef>
          </c:cat>
          <c:val>
            <c:numRef>
              <c:f>Кредиты_МСФО!$O$107:$O$114</c:f>
              <c:numCache>
                <c:formatCode>0%;\(0%\)</c:formatCode>
                <c:ptCount val="8"/>
                <c:pt idx="0">
                  <c:v>0.10690176900607304</c:v>
                </c:pt>
                <c:pt idx="1">
                  <c:v>0.34935035669847114</c:v>
                </c:pt>
                <c:pt idx="2">
                  <c:v>0.16319112515728462</c:v>
                </c:pt>
                <c:pt idx="3">
                  <c:v>9.1788447084478114E-2</c:v>
                </c:pt>
                <c:pt idx="4">
                  <c:v>3.6681787453339471E-2</c:v>
                </c:pt>
                <c:pt idx="5">
                  <c:v>0.10164331832451791</c:v>
                </c:pt>
                <c:pt idx="6">
                  <c:v>4.1101853264452336E-2</c:v>
                </c:pt>
                <c:pt idx="7">
                  <c:v>0.1093413430113834</c:v>
                </c:pt>
              </c:numCache>
            </c:numRef>
          </c:val>
          <c:extLst>
            <c:ext xmlns:c16="http://schemas.microsoft.com/office/drawing/2014/chart" uri="{C3380CC4-5D6E-409C-BE32-E72D297353CC}">
              <c16:uniqueId val="{00000000-5536-45A8-A22B-D2EE23A99559}"/>
            </c:ext>
          </c:extLst>
        </c:ser>
        <c:ser>
          <c:idx val="1"/>
          <c:order val="1"/>
          <c:tx>
            <c:strRef>
              <c:f>Кредиты_МСФО!$P$106</c:f>
              <c:strCache>
                <c:ptCount val="1"/>
                <c:pt idx="0">
                  <c:v>2012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Кредиты_МСФО!$B$107:$C$114</c:f>
              <c:strCache>
                <c:ptCount val="8"/>
                <c:pt idx="0">
                  <c:v>Строительство</c:v>
                </c:pt>
                <c:pt idx="1">
                  <c:v>Финансовые услуги</c:v>
                </c:pt>
                <c:pt idx="2">
                  <c:v>Государственные органы</c:v>
                </c:pt>
                <c:pt idx="3">
                  <c:v>Торговля</c:v>
                </c:pt>
                <c:pt idx="4">
                  <c:v>Транспорт и связь</c:v>
                </c:pt>
                <c:pt idx="5">
                  <c:v>Производство</c:v>
                </c:pt>
                <c:pt idx="6">
                  <c:v>Энергетика, нефть и газ</c:v>
                </c:pt>
                <c:pt idx="7">
                  <c:v>Прочие</c:v>
                </c:pt>
              </c:strCache>
            </c:strRef>
          </c:cat>
          <c:val>
            <c:numRef>
              <c:f>Кредиты_МСФО!$P$107:$P$114</c:f>
              <c:numCache>
                <c:formatCode>0%;\(0%\)</c:formatCode>
                <c:ptCount val="8"/>
                <c:pt idx="0">
                  <c:v>0.18292689183192384</c:v>
                </c:pt>
                <c:pt idx="1">
                  <c:v>0.19635010658027383</c:v>
                </c:pt>
                <c:pt idx="2">
                  <c:v>5.8476787047226232E-2</c:v>
                </c:pt>
                <c:pt idx="3">
                  <c:v>0.17693736260635584</c:v>
                </c:pt>
                <c:pt idx="4">
                  <c:v>5.981064366277028E-2</c:v>
                </c:pt>
                <c:pt idx="5">
                  <c:v>8.177054075060218E-2</c:v>
                </c:pt>
                <c:pt idx="6">
                  <c:v>0.10264796189274254</c:v>
                </c:pt>
                <c:pt idx="7">
                  <c:v>0.14107970562810529</c:v>
                </c:pt>
              </c:numCache>
            </c:numRef>
          </c:val>
          <c:extLst>
            <c:ext xmlns:c16="http://schemas.microsoft.com/office/drawing/2014/chart" uri="{C3380CC4-5D6E-409C-BE32-E72D297353CC}">
              <c16:uniqueId val="{00000001-5536-45A8-A22B-D2EE23A99559}"/>
            </c:ext>
          </c:extLst>
        </c:ser>
        <c:ser>
          <c:idx val="2"/>
          <c:order val="2"/>
          <c:tx>
            <c:strRef>
              <c:f>Кредиты_МСФО!$Q$106</c:f>
              <c:strCache>
                <c:ptCount val="1"/>
                <c:pt idx="0">
                  <c:v>2013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Кредиты_МСФО!$B$107:$C$114</c:f>
              <c:strCache>
                <c:ptCount val="8"/>
                <c:pt idx="0">
                  <c:v>Строительство</c:v>
                </c:pt>
                <c:pt idx="1">
                  <c:v>Финансовые услуги</c:v>
                </c:pt>
                <c:pt idx="2">
                  <c:v>Государственные органы</c:v>
                </c:pt>
                <c:pt idx="3">
                  <c:v>Торговля</c:v>
                </c:pt>
                <c:pt idx="4">
                  <c:v>Транспорт и связь</c:v>
                </c:pt>
                <c:pt idx="5">
                  <c:v>Производство</c:v>
                </c:pt>
                <c:pt idx="6">
                  <c:v>Энергетика, нефть и газ</c:v>
                </c:pt>
                <c:pt idx="7">
                  <c:v>Прочие</c:v>
                </c:pt>
              </c:strCache>
            </c:strRef>
          </c:cat>
          <c:val>
            <c:numRef>
              <c:f>Кредиты_МСФО!$Q$107:$Q$114</c:f>
              <c:numCache>
                <c:formatCode>0%;\(0%\)</c:formatCode>
                <c:ptCount val="8"/>
                <c:pt idx="0">
                  <c:v>0.28379631334950561</c:v>
                </c:pt>
                <c:pt idx="1">
                  <c:v>0.19775096428590225</c:v>
                </c:pt>
                <c:pt idx="2">
                  <c:v>9.2613543678336345E-3</c:v>
                </c:pt>
                <c:pt idx="3">
                  <c:v>0.20212063966490737</c:v>
                </c:pt>
                <c:pt idx="4">
                  <c:v>4.5987886569457535E-2</c:v>
                </c:pt>
                <c:pt idx="5">
                  <c:v>5.2117219278351064E-2</c:v>
                </c:pt>
                <c:pt idx="6">
                  <c:v>0.12096170745696891</c:v>
                </c:pt>
                <c:pt idx="7">
                  <c:v>8.8003915027073679E-2</c:v>
                </c:pt>
              </c:numCache>
            </c:numRef>
          </c:val>
          <c:extLst>
            <c:ext xmlns:c16="http://schemas.microsoft.com/office/drawing/2014/chart" uri="{C3380CC4-5D6E-409C-BE32-E72D297353CC}">
              <c16:uniqueId val="{00000002-5536-45A8-A22B-D2EE23A99559}"/>
            </c:ext>
          </c:extLst>
        </c:ser>
        <c:ser>
          <c:idx val="3"/>
          <c:order val="3"/>
          <c:tx>
            <c:strRef>
              <c:f>Кредиты_МСФО!$R$106</c:f>
              <c:strCache>
                <c:ptCount val="1"/>
                <c:pt idx="0">
                  <c:v>2014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Кредиты_МСФО!$B$107:$C$114</c:f>
              <c:strCache>
                <c:ptCount val="8"/>
                <c:pt idx="0">
                  <c:v>Строительство</c:v>
                </c:pt>
                <c:pt idx="1">
                  <c:v>Финансовые услуги</c:v>
                </c:pt>
                <c:pt idx="2">
                  <c:v>Государственные органы</c:v>
                </c:pt>
                <c:pt idx="3">
                  <c:v>Торговля</c:v>
                </c:pt>
                <c:pt idx="4">
                  <c:v>Транспорт и связь</c:v>
                </c:pt>
                <c:pt idx="5">
                  <c:v>Производство</c:v>
                </c:pt>
                <c:pt idx="6">
                  <c:v>Энергетика, нефть и газ</c:v>
                </c:pt>
                <c:pt idx="7">
                  <c:v>Прочие</c:v>
                </c:pt>
              </c:strCache>
            </c:strRef>
          </c:cat>
          <c:val>
            <c:numRef>
              <c:f>Кредиты_МСФО!$R$107:$R$114</c:f>
              <c:numCache>
                <c:formatCode>0%;\(0%\)</c:formatCode>
                <c:ptCount val="8"/>
                <c:pt idx="0">
                  <c:v>0.32471543280684728</c:v>
                </c:pt>
                <c:pt idx="1">
                  <c:v>0.20903555986940794</c:v>
                </c:pt>
                <c:pt idx="2">
                  <c:v>7.9414100414718081E-3</c:v>
                </c:pt>
                <c:pt idx="3">
                  <c:v>0.15829877349333804</c:v>
                </c:pt>
                <c:pt idx="4">
                  <c:v>5.3207447277861114E-2</c:v>
                </c:pt>
                <c:pt idx="5">
                  <c:v>4.1824759551751522E-2</c:v>
                </c:pt>
                <c:pt idx="6">
                  <c:v>7.6414012176828722E-2</c:v>
                </c:pt>
                <c:pt idx="7">
                  <c:v>0.12856260478249365</c:v>
                </c:pt>
              </c:numCache>
            </c:numRef>
          </c:val>
          <c:extLst>
            <c:ext xmlns:c16="http://schemas.microsoft.com/office/drawing/2014/chart" uri="{C3380CC4-5D6E-409C-BE32-E72D297353CC}">
              <c16:uniqueId val="{00000003-5536-45A8-A22B-D2EE23A99559}"/>
            </c:ext>
          </c:extLst>
        </c:ser>
        <c:ser>
          <c:idx val="4"/>
          <c:order val="4"/>
          <c:tx>
            <c:strRef>
              <c:f>Кредиты_МСФО!$S$106</c:f>
              <c:strCache>
                <c:ptCount val="1"/>
                <c:pt idx="0">
                  <c:v>2015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Кредиты_МСФО!$B$107:$C$114</c:f>
              <c:strCache>
                <c:ptCount val="8"/>
                <c:pt idx="0">
                  <c:v>Строительство</c:v>
                </c:pt>
                <c:pt idx="1">
                  <c:v>Финансовые услуги</c:v>
                </c:pt>
                <c:pt idx="2">
                  <c:v>Государственные органы</c:v>
                </c:pt>
                <c:pt idx="3">
                  <c:v>Торговля</c:v>
                </c:pt>
                <c:pt idx="4">
                  <c:v>Транспорт и связь</c:v>
                </c:pt>
                <c:pt idx="5">
                  <c:v>Производство</c:v>
                </c:pt>
                <c:pt idx="6">
                  <c:v>Энергетика, нефть и газ</c:v>
                </c:pt>
                <c:pt idx="7">
                  <c:v>Прочие</c:v>
                </c:pt>
              </c:strCache>
            </c:strRef>
          </c:cat>
          <c:val>
            <c:numRef>
              <c:f>Кредиты_МСФО!$S$107:$S$114</c:f>
              <c:numCache>
                <c:formatCode>0%;\(0%\)</c:formatCode>
                <c:ptCount val="8"/>
                <c:pt idx="0">
                  <c:v>0.35116584233370346</c:v>
                </c:pt>
                <c:pt idx="1">
                  <c:v>0.23337034420106997</c:v>
                </c:pt>
                <c:pt idx="2">
                  <c:v>0.1475724235389119</c:v>
                </c:pt>
                <c:pt idx="3">
                  <c:v>9.0945795901887561E-2</c:v>
                </c:pt>
                <c:pt idx="4">
                  <c:v>4.0779246997072784E-2</c:v>
                </c:pt>
                <c:pt idx="5">
                  <c:v>3.3915413344100136E-2</c:v>
                </c:pt>
                <c:pt idx="6">
                  <c:v>3.4117290804481684E-2</c:v>
                </c:pt>
                <c:pt idx="7">
                  <c:v>6.813364287877248E-2</c:v>
                </c:pt>
              </c:numCache>
            </c:numRef>
          </c:val>
          <c:extLst>
            <c:ext xmlns:c16="http://schemas.microsoft.com/office/drawing/2014/chart" uri="{C3380CC4-5D6E-409C-BE32-E72D297353CC}">
              <c16:uniqueId val="{00000004-5536-45A8-A22B-D2EE23A99559}"/>
            </c:ext>
          </c:extLst>
        </c:ser>
        <c:dLbls>
          <c:showLegendKey val="0"/>
          <c:showVal val="1"/>
          <c:showCatName val="0"/>
          <c:showSerName val="0"/>
          <c:showPercent val="0"/>
          <c:showBubbleSize val="0"/>
        </c:dLbls>
        <c:gapWidth val="219"/>
        <c:overlap val="-27"/>
        <c:axId val="-391036192"/>
        <c:axId val="-592210144"/>
      </c:barChart>
      <c:catAx>
        <c:axId val="-39103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arrow" panose="020B0606020202030204" pitchFamily="34" charset="0"/>
                <a:ea typeface="+mn-ea"/>
                <a:cs typeface="+mn-cs"/>
              </a:defRPr>
            </a:pPr>
            <a:endParaRPr lang="ru-RU"/>
          </a:p>
        </c:txPr>
        <c:crossAx val="-592210144"/>
        <c:crosses val="autoZero"/>
        <c:auto val="1"/>
        <c:lblAlgn val="ctr"/>
        <c:lblOffset val="100"/>
        <c:noMultiLvlLbl val="0"/>
      </c:catAx>
      <c:valAx>
        <c:axId val="-5922101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arrow" panose="020B0606020202030204" pitchFamily="34" charset="0"/>
                <a:ea typeface="+mn-ea"/>
                <a:cs typeface="+mn-cs"/>
              </a:defRPr>
            </a:pPr>
            <a:endParaRPr lang="ru-RU"/>
          </a:p>
        </c:txPr>
        <c:crossAx val="-391036192"/>
        <c:crosses val="autoZero"/>
        <c:crossBetween val="between"/>
      </c:valAx>
      <c:spPr>
        <a:noFill/>
        <a:ln>
          <a:noFill/>
        </a:ln>
        <a:effectLst/>
      </c:spPr>
    </c:plotArea>
    <c:legend>
      <c:legendPos val="t"/>
      <c:layout>
        <c:manualLayout>
          <c:xMode val="edge"/>
          <c:yMode val="edge"/>
          <c:x val="0.20035021650287591"/>
          <c:y val="0.11260582341121392"/>
          <c:w val="0.2371224802439367"/>
          <c:h val="6.5749361378043908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latin typeface="Arial Narrow" panose="020B0606020202030204" pitchFamily="34" charset="0"/>
        </a:defRPr>
      </a:pPr>
      <a:endParaRPr lang="ru-RU"/>
    </a:p>
  </c:txPr>
  <c:printSettings>
    <c:headerFooter/>
    <c:pageMargins b="0.75000000000000033" l="0.70000000000000029" r="0.70000000000000029" t="0.75000000000000033" header="0.30000000000000016" footer="0.30000000000000016"/>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Narrow" panose="020B0606020202030204" pitchFamily="34" charset="0"/>
                <a:ea typeface="+mn-ea"/>
                <a:cs typeface="+mn-cs"/>
              </a:defRPr>
            </a:pPr>
            <a:r>
              <a:rPr lang="ru-RU" sz="1400" b="1"/>
              <a:t>Отраслевая</a:t>
            </a:r>
            <a:r>
              <a:rPr lang="ru-RU" sz="1400" b="1" baseline="0"/>
              <a:t> структура кредитов юридическим лицам на 31.12.15</a:t>
            </a:r>
            <a:endParaRPr lang="ru-RU" sz="1400" b="1"/>
          </a:p>
        </c:rich>
      </c:tx>
      <c:layout>
        <c:manualLayout>
          <c:xMode val="edge"/>
          <c:yMode val="edge"/>
          <c:x val="0.23984895996242703"/>
          <c:y val="1.836168994235751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Arial Narrow" panose="020B0606020202030204" pitchFamily="34" charset="0"/>
              <a:ea typeface="+mn-ea"/>
              <a:cs typeface="+mn-cs"/>
            </a:defRPr>
          </a:pPr>
          <a:endParaRPr lang="ru-RU"/>
        </a:p>
      </c:txPr>
    </c:title>
    <c:autoTitleDeleted val="0"/>
    <c:plotArea>
      <c:layout>
        <c:manualLayout>
          <c:layoutTarget val="inner"/>
          <c:xMode val="edge"/>
          <c:yMode val="edge"/>
          <c:x val="0.25621490763675475"/>
          <c:y val="0.18943855821196778"/>
          <c:w val="0.50691320680940177"/>
          <c:h val="0.71977415636474995"/>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48-4D6E-A7BC-229F85F76B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48-4D6E-A7BC-229F85F76B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48-4D6E-A7BC-229F85F76B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548-4D6E-A7BC-229F85F76B1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548-4D6E-A7BC-229F85F76B1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548-4D6E-A7BC-229F85F76B1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548-4D6E-A7BC-229F85F76B1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548-4D6E-A7BC-229F85F76B1E}"/>
              </c:ext>
            </c:extLst>
          </c:dPt>
          <c:dLbls>
            <c:dLbl>
              <c:idx val="4"/>
              <c:layout>
                <c:manualLayout>
                  <c:x val="4.2311261860831909E-2"/>
                  <c:y val="2.44197402176827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0" i="0" u="none" strike="noStrike" kern="1200" baseline="0">
                      <a:solidFill>
                        <a:sysClr val="windowText" lastClr="000000"/>
                      </a:solidFill>
                      <a:latin typeface="Arial Narrow" panose="020B0606020202030204" pitchFamily="34" charset="0"/>
                      <a:ea typeface="+mn-ea"/>
                      <a:cs typeface="+mn-cs"/>
                    </a:defRPr>
                  </a:pPr>
                  <a:endParaRPr lang="ru-RU"/>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843666264232603"/>
                      <c:h val="0.10456749330810061"/>
                    </c:manualLayout>
                  </c15:layout>
                </c:ext>
                <c:ext xmlns:c16="http://schemas.microsoft.com/office/drawing/2014/chart" uri="{C3380CC4-5D6E-409C-BE32-E72D297353CC}">
                  <c16:uniqueId val="{00000009-2548-4D6E-A7BC-229F85F76B1E}"/>
                </c:ext>
              </c:extLst>
            </c:dLbl>
            <c:dLbl>
              <c:idx val="5"/>
              <c:layout>
                <c:manualLayout>
                  <c:x val="-2.2162958826394401E-2"/>
                  <c:y val="-2.056399176225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0" i="0" u="none" strike="noStrike" kern="1200" baseline="0">
                      <a:solidFill>
                        <a:sysClr val="windowText" lastClr="000000"/>
                      </a:solidFill>
                      <a:latin typeface="Arial Narrow" panose="020B0606020202030204" pitchFamily="34" charset="0"/>
                      <a:ea typeface="+mn-ea"/>
                      <a:cs typeface="+mn-cs"/>
                    </a:defRPr>
                  </a:pPr>
                  <a:endParaRPr lang="ru-RU"/>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538110929019833"/>
                      <c:h val="9.900469065461702E-2"/>
                    </c:manualLayout>
                  </c15:layout>
                </c:ext>
                <c:ext xmlns:c16="http://schemas.microsoft.com/office/drawing/2014/chart" uri="{C3380CC4-5D6E-409C-BE32-E72D297353CC}">
                  <c16:uniqueId val="{0000000B-2548-4D6E-A7BC-229F85F76B1E}"/>
                </c:ext>
              </c:extLst>
            </c:dLbl>
            <c:dLbl>
              <c:idx val="6"/>
              <c:layout>
                <c:manualLayout>
                  <c:x val="9.973331471877471E-2"/>
                  <c:y val="-5.39804783759304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0" i="0" u="none" strike="noStrike" kern="1200" baseline="0">
                      <a:solidFill>
                        <a:sysClr val="windowText" lastClr="000000"/>
                      </a:solidFill>
                      <a:latin typeface="Arial Narrow" panose="020B0606020202030204" pitchFamily="34" charset="0"/>
                      <a:ea typeface="+mn-ea"/>
                      <a:cs typeface="+mn-cs"/>
                    </a:defRPr>
                  </a:pPr>
                  <a:endParaRPr lang="ru-RU"/>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408037999083016"/>
                      <c:h val="0.10713799227838301"/>
                    </c:manualLayout>
                  </c15:layout>
                </c:ext>
                <c:ext xmlns:c16="http://schemas.microsoft.com/office/drawing/2014/chart" uri="{C3380CC4-5D6E-409C-BE32-E72D297353CC}">
                  <c16:uniqueId val="{0000000D-2548-4D6E-A7BC-229F85F76B1E}"/>
                </c:ext>
              </c:extLst>
            </c:dLbl>
            <c:dLbl>
              <c:idx val="7"/>
              <c:layout>
                <c:manualLayout>
                  <c:x val="8.0592577550525041E-2"/>
                  <c:y val="1.542299382169439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2548-4D6E-A7BC-229F85F76B1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Кредиты_МСФО!$B$107:$B$114</c:f>
              <c:strCache>
                <c:ptCount val="8"/>
                <c:pt idx="0">
                  <c:v>Строительство</c:v>
                </c:pt>
                <c:pt idx="1">
                  <c:v>Финансовые услуги</c:v>
                </c:pt>
                <c:pt idx="2">
                  <c:v>Государственные органы</c:v>
                </c:pt>
                <c:pt idx="3">
                  <c:v>Торговля</c:v>
                </c:pt>
                <c:pt idx="4">
                  <c:v>Транспорт и связь</c:v>
                </c:pt>
                <c:pt idx="5">
                  <c:v>Производство</c:v>
                </c:pt>
                <c:pt idx="6">
                  <c:v>Энергетика, нефть и газ</c:v>
                </c:pt>
                <c:pt idx="7">
                  <c:v>Прочие</c:v>
                </c:pt>
              </c:strCache>
            </c:strRef>
          </c:cat>
          <c:val>
            <c:numRef>
              <c:f>Кредиты_МСФО!$S$107:$S$114</c:f>
              <c:numCache>
                <c:formatCode>0%;\(0%\)</c:formatCode>
                <c:ptCount val="8"/>
                <c:pt idx="0">
                  <c:v>0.35116584233370346</c:v>
                </c:pt>
                <c:pt idx="1">
                  <c:v>0.23337034420106997</c:v>
                </c:pt>
                <c:pt idx="2">
                  <c:v>0.1475724235389119</c:v>
                </c:pt>
                <c:pt idx="3">
                  <c:v>9.0945795901887561E-2</c:v>
                </c:pt>
                <c:pt idx="4">
                  <c:v>4.0779246997072784E-2</c:v>
                </c:pt>
                <c:pt idx="5">
                  <c:v>3.3915413344100136E-2</c:v>
                </c:pt>
                <c:pt idx="6">
                  <c:v>3.4117290804481684E-2</c:v>
                </c:pt>
                <c:pt idx="7">
                  <c:v>6.813364287877248E-2</c:v>
                </c:pt>
              </c:numCache>
            </c:numRef>
          </c:val>
          <c:extLst>
            <c:ext xmlns:c16="http://schemas.microsoft.com/office/drawing/2014/chart" uri="{C3380CC4-5D6E-409C-BE32-E72D297353CC}">
              <c16:uniqueId val="{00000010-2548-4D6E-A7BC-229F85F76B1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latin typeface="Arial Narrow" panose="020B0606020202030204" pitchFamily="34" charset="0"/>
        </a:defRPr>
      </a:pPr>
      <a:endParaRPr lang="ru-RU"/>
    </a:p>
  </c:txPr>
  <c:printSettings>
    <c:headerFooter/>
    <c:pageMargins b="0.75000000000000033" l="0.70000000000000029" r="0.70000000000000029" t="0.75000000000000033" header="0.30000000000000016" footer="0.30000000000000016"/>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ysClr val="windowText" lastClr="000000"/>
                </a:solidFill>
                <a:latin typeface="Arial Narrow" panose="020B0606020202030204" pitchFamily="34" charset="0"/>
                <a:ea typeface="+mn-ea"/>
                <a:cs typeface="+mn-cs"/>
              </a:defRPr>
            </a:pPr>
            <a:r>
              <a:rPr lang="ru-RU" b="1"/>
              <a:t>Структура</a:t>
            </a:r>
            <a:r>
              <a:rPr lang="ru-RU" b="1" baseline="0"/>
              <a:t> кредитов клиентам и уровень просрочки (90+) в 2009-2015 гг</a:t>
            </a:r>
            <a:endParaRPr lang="ru-RU" b="1"/>
          </a:p>
        </c:rich>
      </c:tx>
      <c:overlay val="0"/>
      <c:spPr>
        <a:noFill/>
        <a:ln>
          <a:noFill/>
        </a:ln>
        <a:effectLst/>
      </c:spPr>
      <c:txPr>
        <a:bodyPr rot="0" spcFirstLastPara="1" vertOverflow="ellipsis" vert="horz" wrap="square" anchor="ctr" anchorCtr="1"/>
        <a:lstStyle/>
        <a:p>
          <a:pPr>
            <a:defRPr sz="1440" b="1" i="0" u="none" strike="noStrike" kern="1200" spc="0" baseline="0">
              <a:solidFill>
                <a:sysClr val="windowText" lastClr="000000"/>
              </a:solidFill>
              <a:latin typeface="Arial Narrow" panose="020B0606020202030204" pitchFamily="34" charset="0"/>
              <a:ea typeface="+mn-ea"/>
              <a:cs typeface="+mn-cs"/>
            </a:defRPr>
          </a:pPr>
          <a:endParaRPr lang="ru-RU"/>
        </a:p>
      </c:txPr>
    </c:title>
    <c:autoTitleDeleted val="0"/>
    <c:plotArea>
      <c:layout/>
      <c:barChart>
        <c:barDir val="col"/>
        <c:grouping val="clustered"/>
        <c:varyColors val="0"/>
        <c:ser>
          <c:idx val="0"/>
          <c:order val="0"/>
          <c:tx>
            <c:v>Кредиты юр. лицам</c:v>
          </c:tx>
          <c:spPr>
            <a:solidFill>
              <a:schemeClr val="accent5">
                <a:lumMod val="40000"/>
                <a:lumOff val="6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00FF"/>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Кредиты_МСФО!$E$8:$K$8</c:f>
              <c:numCache>
                <c:formatCode>0</c:formatCode>
                <c:ptCount val="7"/>
                <c:pt idx="0">
                  <c:v>2009</c:v>
                </c:pt>
                <c:pt idx="1">
                  <c:v>2010</c:v>
                </c:pt>
                <c:pt idx="2">
                  <c:v>2011</c:v>
                </c:pt>
                <c:pt idx="3">
                  <c:v>2012</c:v>
                </c:pt>
                <c:pt idx="4">
                  <c:v>2013</c:v>
                </c:pt>
                <c:pt idx="5">
                  <c:v>2014</c:v>
                </c:pt>
                <c:pt idx="6">
                  <c:v>2015</c:v>
                </c:pt>
              </c:numCache>
            </c:numRef>
          </c:cat>
          <c:val>
            <c:numRef>
              <c:f>Кредиты_МСФО!$E$15:$K$15</c:f>
              <c:numCache>
                <c:formatCode>#\ ##0.0\ _р_.;\(###0.0\)\ _р_.;"-"</c:formatCode>
                <c:ptCount val="7"/>
                <c:pt idx="0">
                  <c:v>513.17499999999995</c:v>
                </c:pt>
                <c:pt idx="1">
                  <c:v>574.46900000000005</c:v>
                </c:pt>
                <c:pt idx="2">
                  <c:v>714.47300000000007</c:v>
                </c:pt>
                <c:pt idx="3">
                  <c:v>779.69600000000003</c:v>
                </c:pt>
                <c:pt idx="4">
                  <c:v>950.18599999999992</c:v>
                </c:pt>
                <c:pt idx="5">
                  <c:v>1133.3</c:v>
                </c:pt>
                <c:pt idx="6">
                  <c:v>990.7</c:v>
                </c:pt>
              </c:numCache>
            </c:numRef>
          </c:val>
          <c:extLst>
            <c:ext xmlns:c16="http://schemas.microsoft.com/office/drawing/2014/chart" uri="{C3380CC4-5D6E-409C-BE32-E72D297353CC}">
              <c16:uniqueId val="{00000000-1D8C-4B98-802A-9521791AD33D}"/>
            </c:ext>
          </c:extLst>
        </c:ser>
        <c:ser>
          <c:idx val="1"/>
          <c:order val="1"/>
          <c:tx>
            <c:v>Кредиты физ. лицам</c:v>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C00000"/>
                    </a:solidFill>
                    <a:latin typeface="Arial Narrow" panose="020B060602020203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Кредиты_МСФО!$E$8:$K$8</c:f>
              <c:numCache>
                <c:formatCode>0</c:formatCode>
                <c:ptCount val="7"/>
                <c:pt idx="0">
                  <c:v>2009</c:v>
                </c:pt>
                <c:pt idx="1">
                  <c:v>2010</c:v>
                </c:pt>
                <c:pt idx="2">
                  <c:v>2011</c:v>
                </c:pt>
                <c:pt idx="3">
                  <c:v>2012</c:v>
                </c:pt>
                <c:pt idx="4">
                  <c:v>2013</c:v>
                </c:pt>
                <c:pt idx="5">
                  <c:v>2014</c:v>
                </c:pt>
                <c:pt idx="6">
                  <c:v>2015</c:v>
                </c:pt>
              </c:numCache>
            </c:numRef>
          </c:cat>
          <c:val>
            <c:numRef>
              <c:f>Кредиты_МСФО!$E$22:$K$22</c:f>
              <c:numCache>
                <c:formatCode>#\ ##0.0\ _р_.;\(###0.0\)\ _р_.;"-"</c:formatCode>
                <c:ptCount val="7"/>
                <c:pt idx="0">
                  <c:v>88.292000000000016</c:v>
                </c:pt>
                <c:pt idx="1">
                  <c:v>79.736999999999995</c:v>
                </c:pt>
                <c:pt idx="2">
                  <c:v>74.606000000000009</c:v>
                </c:pt>
                <c:pt idx="3">
                  <c:v>97.152000000000001</c:v>
                </c:pt>
                <c:pt idx="4">
                  <c:v>172.01900000000003</c:v>
                </c:pt>
                <c:pt idx="5">
                  <c:v>243.5</c:v>
                </c:pt>
                <c:pt idx="6">
                  <c:v>285.8</c:v>
                </c:pt>
              </c:numCache>
            </c:numRef>
          </c:val>
          <c:extLst>
            <c:ext xmlns:c16="http://schemas.microsoft.com/office/drawing/2014/chart" uri="{C3380CC4-5D6E-409C-BE32-E72D297353CC}">
              <c16:uniqueId val="{00000001-1D8C-4B98-802A-9521791AD33D}"/>
            </c:ext>
          </c:extLst>
        </c:ser>
        <c:dLbls>
          <c:showLegendKey val="0"/>
          <c:showVal val="0"/>
          <c:showCatName val="0"/>
          <c:showSerName val="0"/>
          <c:showPercent val="0"/>
          <c:showBubbleSize val="0"/>
        </c:dLbls>
        <c:gapWidth val="150"/>
        <c:axId val="-592218304"/>
        <c:axId val="-592206336"/>
      </c:barChart>
      <c:lineChart>
        <c:grouping val="standard"/>
        <c:varyColors val="0"/>
        <c:ser>
          <c:idx val="2"/>
          <c:order val="2"/>
          <c:tx>
            <c:v>Доля просрочки (90+) по юр. лицам</c:v>
          </c:tx>
          <c:spPr>
            <a:ln w="28575" cap="rnd">
              <a:solidFill>
                <a:schemeClr val="accent3"/>
              </a:solidFill>
              <a:round/>
            </a:ln>
            <a:effectLst/>
          </c:spPr>
          <c:marker>
            <c:symbol val="diamond"/>
            <c:size val="10"/>
            <c:spPr>
              <a:solidFill>
                <a:schemeClr val="accent3"/>
              </a:solidFill>
              <a:ln w="9525">
                <a:solidFill>
                  <a:schemeClr val="accent3"/>
                </a:solidFill>
              </a:ln>
              <a:effectLst/>
            </c:spPr>
          </c:marker>
          <c:dLbls>
            <c:dLbl>
              <c:idx val="4"/>
              <c:layout>
                <c:manualLayout>
                  <c:x val="-8.0925165597174828E-17"/>
                  <c:y val="2.86267500073256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8C-4B98-802A-9521791AD33D}"/>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003300"/>
                    </a:solidFill>
                    <a:latin typeface="Arial Narrow" panose="020B0606020202030204" pitchFamily="34" charset="0"/>
                    <a:ea typeface="+mn-ea"/>
                    <a:cs typeface="+mn-cs"/>
                  </a:defRPr>
                </a:pPr>
                <a:endParaRPr lang="ru-RU"/>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Кредиты_МСФО!$E$8:$K$8</c:f>
              <c:numCache>
                <c:formatCode>0</c:formatCode>
                <c:ptCount val="7"/>
                <c:pt idx="0">
                  <c:v>2009</c:v>
                </c:pt>
                <c:pt idx="1">
                  <c:v>2010</c:v>
                </c:pt>
                <c:pt idx="2">
                  <c:v>2011</c:v>
                </c:pt>
                <c:pt idx="3">
                  <c:v>2012</c:v>
                </c:pt>
                <c:pt idx="4">
                  <c:v>2013</c:v>
                </c:pt>
                <c:pt idx="5">
                  <c:v>2014</c:v>
                </c:pt>
                <c:pt idx="6">
                  <c:v>2015</c:v>
                </c:pt>
              </c:numCache>
            </c:numRef>
          </c:cat>
          <c:val>
            <c:numRef>
              <c:f>Кредиты_МСФО!$E$66:$K$66</c:f>
              <c:numCache>
                <c:formatCode>0%;\(0%\)</c:formatCode>
                <c:ptCount val="7"/>
                <c:pt idx="2">
                  <c:v>0.18941233608547833</c:v>
                </c:pt>
                <c:pt idx="3">
                  <c:v>0.27801476472881737</c:v>
                </c:pt>
                <c:pt idx="4">
                  <c:v>0.20072701555274444</c:v>
                </c:pt>
                <c:pt idx="5">
                  <c:v>0.215212212123886</c:v>
                </c:pt>
                <c:pt idx="6">
                  <c:v>0.37185828202281213</c:v>
                </c:pt>
              </c:numCache>
            </c:numRef>
          </c:val>
          <c:smooth val="0"/>
          <c:extLst>
            <c:ext xmlns:c16="http://schemas.microsoft.com/office/drawing/2014/chart" uri="{C3380CC4-5D6E-409C-BE32-E72D297353CC}">
              <c16:uniqueId val="{00000003-1D8C-4B98-802A-9521791AD33D}"/>
            </c:ext>
          </c:extLst>
        </c:ser>
        <c:ser>
          <c:idx val="3"/>
          <c:order val="3"/>
          <c:tx>
            <c:v>Доля просрочки (90+) по физ. лицам</c:v>
          </c:tx>
          <c:spPr>
            <a:ln w="28575" cap="rnd">
              <a:solidFill>
                <a:schemeClr val="accent4"/>
              </a:solidFill>
              <a:round/>
            </a:ln>
            <a:effectLst/>
          </c:spPr>
          <c:marker>
            <c:symbol val="square"/>
            <c:size val="10"/>
            <c:spPr>
              <a:solidFill>
                <a:schemeClr val="accent4"/>
              </a:solidFill>
              <a:ln w="9525">
                <a:solidFill>
                  <a:schemeClr val="accent4"/>
                </a:solidFill>
              </a:ln>
              <a:effectLst/>
            </c:spPr>
          </c:marker>
          <c:dLbls>
            <c:dLbl>
              <c:idx val="2"/>
              <c:layout>
                <c:manualLayout>
                  <c:x val="-5.5072007140497495E-2"/>
                  <c:y val="-2.86267500073257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8C-4B98-802A-9521791AD33D}"/>
                </c:ext>
              </c:extLst>
            </c:dLbl>
            <c:dLbl>
              <c:idx val="3"/>
              <c:layout>
                <c:manualLayout>
                  <c:x val="-5.7279082607358978E-2"/>
                  <c:y val="-4.00774500102560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8C-4B98-802A-9521791AD33D}"/>
                </c:ext>
              </c:extLst>
            </c:dLbl>
            <c:dLbl>
              <c:idx val="4"/>
              <c:layout>
                <c:manualLayout>
                  <c:x val="-5.3968469407066573E-2"/>
                  <c:y val="-4.29401250109887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D8C-4B98-802A-9521791AD33D}"/>
                </c:ext>
              </c:extLst>
            </c:dLbl>
            <c:dLbl>
              <c:idx val="5"/>
              <c:layout>
                <c:manualLayout>
                  <c:x val="-5.5072007140497495E-2"/>
                  <c:y val="-3.72147750095236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D8C-4B98-802A-9521791AD33D}"/>
                </c:ext>
              </c:extLst>
            </c:dLbl>
            <c:dLbl>
              <c:idx val="6"/>
              <c:layout>
                <c:manualLayout>
                  <c:x val="-5.2864931673635818E-2"/>
                  <c:y val="-3.72147750095236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D8C-4B98-802A-9521791AD33D}"/>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660066"/>
                    </a:solidFill>
                    <a:latin typeface="Arial Narrow" panose="020B0606020202030204" pitchFamily="34" charset="0"/>
                    <a:ea typeface="+mn-ea"/>
                    <a:cs typeface="+mn-cs"/>
                  </a:defRPr>
                </a:pPr>
                <a:endParaRPr lang="ru-RU"/>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Кредиты_МСФО!$E$8:$K$8</c:f>
              <c:numCache>
                <c:formatCode>0</c:formatCode>
                <c:ptCount val="7"/>
                <c:pt idx="0">
                  <c:v>2009</c:v>
                </c:pt>
                <c:pt idx="1">
                  <c:v>2010</c:v>
                </c:pt>
                <c:pt idx="2">
                  <c:v>2011</c:v>
                </c:pt>
                <c:pt idx="3">
                  <c:v>2012</c:v>
                </c:pt>
                <c:pt idx="4">
                  <c:v>2013</c:v>
                </c:pt>
                <c:pt idx="5">
                  <c:v>2014</c:v>
                </c:pt>
                <c:pt idx="6">
                  <c:v>2015</c:v>
                </c:pt>
              </c:numCache>
            </c:numRef>
          </c:cat>
          <c:val>
            <c:numRef>
              <c:f>Кредиты_МСФО!$E$73:$K$73</c:f>
              <c:numCache>
                <c:formatCode>0%;\(0%\)</c:formatCode>
                <c:ptCount val="7"/>
                <c:pt idx="2" formatCode="0.0%;\(0.0%\)">
                  <c:v>1.7826984424845185E-3</c:v>
                </c:pt>
                <c:pt idx="3" formatCode="0.0%;\(0.0%\)">
                  <c:v>6.422924901185771E-3</c:v>
                </c:pt>
                <c:pt idx="4" formatCode="0.0%;\(0.0%\)">
                  <c:v>5.2319801882350199E-5</c:v>
                </c:pt>
                <c:pt idx="5" formatCode="0.0%;\(0.0%\)">
                  <c:v>1.2320328542094457E-3</c:v>
                </c:pt>
                <c:pt idx="6" formatCode="0.0%;\(0.0%\)">
                  <c:v>2.0993701889433169E-3</c:v>
                </c:pt>
              </c:numCache>
            </c:numRef>
          </c:val>
          <c:smooth val="0"/>
          <c:extLst>
            <c:ext xmlns:c16="http://schemas.microsoft.com/office/drawing/2014/chart" uri="{C3380CC4-5D6E-409C-BE32-E72D297353CC}">
              <c16:uniqueId val="{00000009-1D8C-4B98-802A-9521791AD33D}"/>
            </c:ext>
          </c:extLst>
        </c:ser>
        <c:dLbls>
          <c:showLegendKey val="0"/>
          <c:showVal val="0"/>
          <c:showCatName val="0"/>
          <c:showSerName val="0"/>
          <c:showPercent val="0"/>
          <c:showBubbleSize val="0"/>
        </c:dLbls>
        <c:marker val="1"/>
        <c:smooth val="0"/>
        <c:axId val="-592208512"/>
        <c:axId val="-592209056"/>
      </c:lineChart>
      <c:catAx>
        <c:axId val="-59221830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arrow" panose="020B0606020202030204" pitchFamily="34" charset="0"/>
                <a:ea typeface="+mn-ea"/>
                <a:cs typeface="+mn-cs"/>
              </a:defRPr>
            </a:pPr>
            <a:endParaRPr lang="ru-RU"/>
          </a:p>
        </c:txPr>
        <c:crossAx val="-592206336"/>
        <c:crosses val="autoZero"/>
        <c:auto val="1"/>
        <c:lblAlgn val="ctr"/>
        <c:lblOffset val="100"/>
        <c:noMultiLvlLbl val="0"/>
      </c:catAx>
      <c:valAx>
        <c:axId val="-592206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arrow" panose="020B0606020202030204" pitchFamily="34" charset="0"/>
                <a:ea typeface="+mn-ea"/>
                <a:cs typeface="+mn-cs"/>
              </a:defRPr>
            </a:pPr>
            <a:endParaRPr lang="ru-RU"/>
          </a:p>
        </c:txPr>
        <c:crossAx val="-592218304"/>
        <c:crosses val="autoZero"/>
        <c:crossBetween val="between"/>
      </c:valAx>
      <c:valAx>
        <c:axId val="-592209056"/>
        <c:scaling>
          <c:orientation val="minMax"/>
          <c:max val="0.4"/>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arrow" panose="020B0606020202030204" pitchFamily="34" charset="0"/>
                <a:ea typeface="+mn-ea"/>
                <a:cs typeface="+mn-cs"/>
              </a:defRPr>
            </a:pPr>
            <a:endParaRPr lang="ru-RU"/>
          </a:p>
        </c:txPr>
        <c:crossAx val="-592208512"/>
        <c:crosses val="max"/>
        <c:crossBetween val="between"/>
      </c:valAx>
      <c:catAx>
        <c:axId val="-592208512"/>
        <c:scaling>
          <c:orientation val="minMax"/>
        </c:scaling>
        <c:delete val="1"/>
        <c:axPos val="b"/>
        <c:numFmt formatCode="0" sourceLinked="1"/>
        <c:majorTickMark val="out"/>
        <c:minorTickMark val="none"/>
        <c:tickLblPos val="none"/>
        <c:crossAx val="-592209056"/>
        <c:crosses val="autoZero"/>
        <c:auto val="1"/>
        <c:lblAlgn val="ctr"/>
        <c:lblOffset val="100"/>
        <c:noMultiLvlLbl val="0"/>
      </c:catAx>
      <c:spPr>
        <a:noFill/>
        <a:ln>
          <a:noFill/>
        </a:ln>
        <a:effectLst/>
      </c:spPr>
    </c:plotArea>
    <c:legend>
      <c:legendPos val="b"/>
      <c:layout>
        <c:manualLayout>
          <c:xMode val="edge"/>
          <c:yMode val="edge"/>
          <c:x val="7.178539023787929E-2"/>
          <c:y val="9.6957449829930042E-2"/>
          <c:w val="0.22630917373524589"/>
          <c:h val="0.36485965003234611"/>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arrow" panose="020B0606020202030204" pitchFamily="34" charset="0"/>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solidFill>
            <a:sysClr val="windowText" lastClr="000000"/>
          </a:solidFill>
          <a:latin typeface="Arial Narrow" panose="020B0606020202030204" pitchFamily="34" charset="0"/>
        </a:defRPr>
      </a:pPr>
      <a:endParaRPr lang="ru-RU"/>
    </a:p>
  </c:txPr>
  <c:printSettings>
    <c:headerFooter/>
    <c:pageMargins b="0.75000000000000033" l="0.70000000000000029" r="0.70000000000000029" t="0.75000000000000033" header="0.30000000000000016" footer="0.30000000000000016"/>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Narrow" panose="020B0606020202030204" pitchFamily="34" charset="0"/>
                <a:ea typeface="+mn-ea"/>
                <a:cs typeface="+mn-cs"/>
              </a:defRPr>
            </a:pPr>
            <a:r>
              <a:rPr lang="ru-RU" sz="1400" b="1" baseline="0"/>
              <a:t>Структура кредитов-нетто по типам валют на 31.12.15</a:t>
            </a:r>
            <a:endParaRPr lang="ru-RU" sz="1400" b="1"/>
          </a:p>
        </c:rich>
      </c:tx>
      <c:layout>
        <c:manualLayout>
          <c:xMode val="edge"/>
          <c:yMode val="edge"/>
          <c:x val="0.12814459257521854"/>
          <c:y val="1.336793049321006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Arial Narrow" panose="020B0606020202030204" pitchFamily="34" charset="0"/>
              <a:ea typeface="+mn-ea"/>
              <a:cs typeface="+mn-cs"/>
            </a:defRPr>
          </a:pPr>
          <a:endParaRPr lang="ru-RU"/>
        </a:p>
      </c:txPr>
    </c:title>
    <c:autoTitleDeleted val="0"/>
    <c:plotArea>
      <c:layout>
        <c:manualLayout>
          <c:layoutTarget val="inner"/>
          <c:xMode val="edge"/>
          <c:yMode val="edge"/>
          <c:x val="0.1780069320437985"/>
          <c:y val="0.18118840379116505"/>
          <c:w val="0.70484959040838235"/>
          <c:h val="0.75624946916768643"/>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C5-4352-A321-7E75F74AFA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C5-4352-A321-7E75F74AFA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C5-4352-A321-7E75F74AFA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C5-4352-A321-7E75F74AFA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5C5-4352-A321-7E75F74AFA9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5C5-4352-A321-7E75F74AFA9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5C5-4352-A321-7E75F74AFA9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5C5-4352-A321-7E75F74AFA9E}"/>
              </c:ext>
            </c:extLst>
          </c:dPt>
          <c:dLbls>
            <c:dLbl>
              <c:idx val="0"/>
              <c:layout>
                <c:manualLayout>
                  <c:x val="-2.5598811859053942E-2"/>
                  <c:y val="-0.12983765181804169"/>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0819274856544437"/>
                      <c:h val="8.8546762001528792E-2"/>
                    </c:manualLayout>
                  </c15:layout>
                </c:ext>
                <c:ext xmlns:c16="http://schemas.microsoft.com/office/drawing/2014/chart" uri="{C3380CC4-5D6E-409C-BE32-E72D297353CC}">
                  <c16:uniqueId val="{00000001-65C5-4352-A321-7E75F74AFA9E}"/>
                </c:ext>
              </c:extLst>
            </c:dLbl>
            <c:dLbl>
              <c:idx val="1"/>
              <c:layout>
                <c:manualLayout>
                  <c:x val="6.8651788029351693E-2"/>
                  <c:y val="7.74032155069094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46037896272217"/>
                      <c:h val="8.8546762001528792E-2"/>
                    </c:manualLayout>
                  </c15:layout>
                </c:ext>
                <c:ext xmlns:c16="http://schemas.microsoft.com/office/drawing/2014/chart" uri="{C3380CC4-5D6E-409C-BE32-E72D297353CC}">
                  <c16:uniqueId val="{00000003-65C5-4352-A321-7E75F74AFA9E}"/>
                </c:ext>
              </c:extLst>
            </c:dLbl>
            <c:dLbl>
              <c:idx val="2"/>
              <c:layout>
                <c:manualLayout>
                  <c:x val="-1.9780879249953975E-2"/>
                  <c:y val="1.747814543704407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4631404192393075"/>
                      <c:h val="8.8546762001528792E-2"/>
                    </c:manualLayout>
                  </c15:layout>
                </c:ext>
                <c:ext xmlns:c16="http://schemas.microsoft.com/office/drawing/2014/chart" uri="{C3380CC4-5D6E-409C-BE32-E72D297353CC}">
                  <c16:uniqueId val="{00000005-65C5-4352-A321-7E75F74AFA9E}"/>
                </c:ext>
              </c:extLst>
            </c:dLbl>
            <c:dLbl>
              <c:idx val="3"/>
              <c:layout>
                <c:manualLayout>
                  <c:x val="0.28973304393317884"/>
                  <c:y val="1.8726584396832932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3753226203968467"/>
                      <c:h val="9.1585088880989748E-2"/>
                    </c:manualLayout>
                  </c15:layout>
                </c:ext>
                <c:ext xmlns:c16="http://schemas.microsoft.com/office/drawing/2014/chart" uri="{C3380CC4-5D6E-409C-BE32-E72D297353CC}">
                  <c16:uniqueId val="{00000007-65C5-4352-A321-7E75F74AFA9E}"/>
                </c:ext>
              </c:extLst>
            </c:dLbl>
            <c:dLbl>
              <c:idx val="4"/>
              <c:layout>
                <c:manualLayout>
                  <c:x val="4.2311261860831909E-2"/>
                  <c:y val="2.44197402176827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0" i="0" u="none" strike="noStrike" kern="1200" baseline="0">
                      <a:solidFill>
                        <a:sysClr val="windowText" lastClr="000000"/>
                      </a:solidFill>
                      <a:latin typeface="Arial Narrow" panose="020B0606020202030204" pitchFamily="34" charset="0"/>
                      <a:ea typeface="+mn-ea"/>
                      <a:cs typeface="+mn-cs"/>
                    </a:defRPr>
                  </a:pPr>
                  <a:endParaRPr lang="ru-RU"/>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843666264232603"/>
                      <c:h val="0.10456749330810061"/>
                    </c:manualLayout>
                  </c15:layout>
                </c:ext>
                <c:ext xmlns:c16="http://schemas.microsoft.com/office/drawing/2014/chart" uri="{C3380CC4-5D6E-409C-BE32-E72D297353CC}">
                  <c16:uniqueId val="{00000009-65C5-4352-A321-7E75F74AFA9E}"/>
                </c:ext>
              </c:extLst>
            </c:dLbl>
            <c:dLbl>
              <c:idx val="5"/>
              <c:layout>
                <c:manualLayout>
                  <c:x val="-2.2162958826394401E-2"/>
                  <c:y val="-2.056399176225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0" i="0" u="none" strike="noStrike" kern="1200" baseline="0">
                      <a:solidFill>
                        <a:sysClr val="windowText" lastClr="000000"/>
                      </a:solidFill>
                      <a:latin typeface="Arial Narrow" panose="020B0606020202030204" pitchFamily="34" charset="0"/>
                      <a:ea typeface="+mn-ea"/>
                      <a:cs typeface="+mn-cs"/>
                    </a:defRPr>
                  </a:pPr>
                  <a:endParaRPr lang="ru-RU"/>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538110929019833"/>
                      <c:h val="9.900469065461702E-2"/>
                    </c:manualLayout>
                  </c15:layout>
                </c:ext>
                <c:ext xmlns:c16="http://schemas.microsoft.com/office/drawing/2014/chart" uri="{C3380CC4-5D6E-409C-BE32-E72D297353CC}">
                  <c16:uniqueId val="{0000000B-65C5-4352-A321-7E75F74AFA9E}"/>
                </c:ext>
              </c:extLst>
            </c:dLbl>
            <c:dLbl>
              <c:idx val="6"/>
              <c:layout>
                <c:manualLayout>
                  <c:x val="9.973331471877471E-2"/>
                  <c:y val="-5.39804783759304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0" i="0" u="none" strike="noStrike" kern="1200" baseline="0">
                      <a:solidFill>
                        <a:sysClr val="windowText" lastClr="000000"/>
                      </a:solidFill>
                      <a:latin typeface="Arial Narrow" panose="020B0606020202030204" pitchFamily="34" charset="0"/>
                      <a:ea typeface="+mn-ea"/>
                      <a:cs typeface="+mn-cs"/>
                    </a:defRPr>
                  </a:pPr>
                  <a:endParaRPr lang="ru-RU"/>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408037999083016"/>
                      <c:h val="0.10713799227838301"/>
                    </c:manualLayout>
                  </c15:layout>
                </c:ext>
                <c:ext xmlns:c16="http://schemas.microsoft.com/office/drawing/2014/chart" uri="{C3380CC4-5D6E-409C-BE32-E72D297353CC}">
                  <c16:uniqueId val="{0000000D-65C5-4352-A321-7E75F74AFA9E}"/>
                </c:ext>
              </c:extLst>
            </c:dLbl>
            <c:dLbl>
              <c:idx val="7"/>
              <c:layout>
                <c:manualLayout>
                  <c:x val="8.0592577550525041E-2"/>
                  <c:y val="1.542299382169439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65C5-4352-A321-7E75F74AFA9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ysClr val="windowText" lastClr="000000"/>
                    </a:solidFill>
                    <a:latin typeface="Arial Narrow" panose="020B0606020202030204" pitchFamily="34" charset="0"/>
                    <a:ea typeface="+mn-ea"/>
                    <a:cs typeface="+mn-cs"/>
                  </a:defRPr>
                </a:pPr>
                <a:endParaRPr lang="ru-RU"/>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Кредиты_МСФО!$B$27:$B$30</c:f>
              <c:strCache>
                <c:ptCount val="4"/>
                <c:pt idx="0">
                  <c:v>Рубли</c:v>
                </c:pt>
                <c:pt idx="1">
                  <c:v>Доллар США</c:v>
                </c:pt>
                <c:pt idx="2">
                  <c:v>Евро</c:v>
                </c:pt>
                <c:pt idx="3">
                  <c:v>Прочие валюты</c:v>
                </c:pt>
              </c:strCache>
            </c:strRef>
          </c:cat>
          <c:val>
            <c:numRef>
              <c:f>Кредиты_МСФО!$S$27:$S$30</c:f>
              <c:numCache>
                <c:formatCode>0%;\(0%\)</c:formatCode>
                <c:ptCount val="4"/>
                <c:pt idx="0">
                  <c:v>0.84587175188600161</c:v>
                </c:pt>
                <c:pt idx="1">
                  <c:v>0.12908633696563288</c:v>
                </c:pt>
                <c:pt idx="2">
                  <c:v>1.8650461022632021E-2</c:v>
                </c:pt>
                <c:pt idx="3">
                  <c:v>6.3914501257334453E-3</c:v>
                </c:pt>
              </c:numCache>
            </c:numRef>
          </c:val>
          <c:extLst>
            <c:ext xmlns:c16="http://schemas.microsoft.com/office/drawing/2014/chart" uri="{C3380CC4-5D6E-409C-BE32-E72D297353CC}">
              <c16:uniqueId val="{00000010-65C5-4352-A321-7E75F74AFA9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latin typeface="Arial Narrow" panose="020B0606020202030204" pitchFamily="34" charset="0"/>
        </a:defRPr>
      </a:pPr>
      <a:endParaRPr lang="ru-RU"/>
    </a:p>
  </c:txPr>
  <c:printSettings>
    <c:headerFooter/>
    <c:pageMargins b="0.75000000000000033" l="0.70000000000000029" r="0.70000000000000029" t="0.75000000000000033" header="0.30000000000000016" footer="0.30000000000000016"/>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ru-RU"/>
              <a:t>Нормативы ликвидности ОАО</a:t>
            </a:r>
            <a:r>
              <a:rPr lang="ru-RU" baseline="0"/>
              <a:t> "Банк Москвы" в 2011-2015 гг.</a:t>
            </a:r>
            <a:endParaRPr lang="ru-RU"/>
          </a:p>
        </c:rich>
      </c:tx>
      <c:overlay val="0"/>
    </c:title>
    <c:autoTitleDeleted val="0"/>
    <c:plotArea>
      <c:layout/>
      <c:lineChart>
        <c:grouping val="standard"/>
        <c:varyColors val="0"/>
        <c:ser>
          <c:idx val="0"/>
          <c:order val="0"/>
          <c:tx>
            <c:strRef>
              <c:f>Ликвидность!$B$4</c:f>
              <c:strCache>
                <c:ptCount val="1"/>
                <c:pt idx="0">
                  <c:v>Норматив Н2 (МИН=15%)</c:v>
                </c:pt>
              </c:strCache>
            </c:strRef>
          </c:tx>
          <c:dLbls>
            <c:dLbl>
              <c:idx val="1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1AF-4A95-BC43-3CD7BDD1E559}"/>
                </c:ext>
              </c:extLst>
            </c:dLbl>
            <c:spPr>
              <a:noFill/>
              <a:ln>
                <a:noFill/>
              </a:ln>
              <a:effectLst/>
            </c:spPr>
            <c:txPr>
              <a:bodyPr/>
              <a:lstStyle/>
              <a:p>
                <a:pPr>
                  <a:defRPr sz="1400" b="1"/>
                </a:pPr>
                <a:endParaRPr lang="ru-RU"/>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Ликвидность!$C$3:$W$3</c:f>
              <c:numCache>
                <c:formatCode>dd/mm/yy;@</c:formatCode>
                <c:ptCount val="21"/>
                <c:pt idx="0">
                  <c:v>40544</c:v>
                </c:pt>
                <c:pt idx="1">
                  <c:v>40634</c:v>
                </c:pt>
                <c:pt idx="2">
                  <c:v>40725</c:v>
                </c:pt>
                <c:pt idx="3">
                  <c:v>40817</c:v>
                </c:pt>
                <c:pt idx="4">
                  <c:v>40909</c:v>
                </c:pt>
                <c:pt idx="5">
                  <c:v>41000</c:v>
                </c:pt>
                <c:pt idx="6">
                  <c:v>41091</c:v>
                </c:pt>
                <c:pt idx="7">
                  <c:v>41183</c:v>
                </c:pt>
                <c:pt idx="8">
                  <c:v>41275</c:v>
                </c:pt>
                <c:pt idx="9">
                  <c:v>41365</c:v>
                </c:pt>
                <c:pt idx="10">
                  <c:v>41456</c:v>
                </c:pt>
                <c:pt idx="11">
                  <c:v>41548</c:v>
                </c:pt>
                <c:pt idx="12">
                  <c:v>41640</c:v>
                </c:pt>
                <c:pt idx="13">
                  <c:v>41730</c:v>
                </c:pt>
                <c:pt idx="14">
                  <c:v>41821</c:v>
                </c:pt>
                <c:pt idx="15">
                  <c:v>41913</c:v>
                </c:pt>
                <c:pt idx="16">
                  <c:v>42005</c:v>
                </c:pt>
                <c:pt idx="17">
                  <c:v>42095</c:v>
                </c:pt>
                <c:pt idx="18">
                  <c:v>42186</c:v>
                </c:pt>
                <c:pt idx="19">
                  <c:v>42278</c:v>
                </c:pt>
                <c:pt idx="20">
                  <c:v>42370</c:v>
                </c:pt>
              </c:numCache>
            </c:numRef>
          </c:cat>
          <c:val>
            <c:numRef>
              <c:f>Ликвидность!$C$4:$W$4</c:f>
              <c:numCache>
                <c:formatCode>0%</c:formatCode>
                <c:ptCount val="21"/>
                <c:pt idx="0">
                  <c:v>0.47870000000000001</c:v>
                </c:pt>
                <c:pt idx="1">
                  <c:v>0.78039999999999998</c:v>
                </c:pt>
                <c:pt idx="2">
                  <c:v>0.5302</c:v>
                </c:pt>
                <c:pt idx="3">
                  <c:v>2.0863999999999998</c:v>
                </c:pt>
                <c:pt idx="4">
                  <c:v>0.36749999999999999</c:v>
                </c:pt>
                <c:pt idx="5">
                  <c:v>0.48549999999999999</c:v>
                </c:pt>
                <c:pt idx="6">
                  <c:v>0.53</c:v>
                </c:pt>
                <c:pt idx="7">
                  <c:v>0.3997</c:v>
                </c:pt>
                <c:pt idx="8">
                  <c:v>0.41199999999999998</c:v>
                </c:pt>
                <c:pt idx="9">
                  <c:v>0.36480000000000001</c:v>
                </c:pt>
                <c:pt idx="10">
                  <c:v>0.36099999999999999</c:v>
                </c:pt>
                <c:pt idx="11">
                  <c:v>0.26740000000000003</c:v>
                </c:pt>
                <c:pt idx="12">
                  <c:v>0.44900000000000001</c:v>
                </c:pt>
                <c:pt idx="13">
                  <c:v>0.48499999999999999</c:v>
                </c:pt>
                <c:pt idx="14">
                  <c:v>0.57299999999999995</c:v>
                </c:pt>
                <c:pt idx="15">
                  <c:v>0.46229999999999999</c:v>
                </c:pt>
                <c:pt idx="16">
                  <c:v>0.60599999999999998</c:v>
                </c:pt>
                <c:pt idx="17">
                  <c:v>0.93600000000000005</c:v>
                </c:pt>
                <c:pt idx="18">
                  <c:v>0.82299999999999995</c:v>
                </c:pt>
                <c:pt idx="19">
                  <c:v>1.1846000000000001</c:v>
                </c:pt>
                <c:pt idx="20">
                  <c:v>0.97140000000000004</c:v>
                </c:pt>
              </c:numCache>
            </c:numRef>
          </c:val>
          <c:smooth val="0"/>
          <c:extLst>
            <c:ext xmlns:c16="http://schemas.microsoft.com/office/drawing/2014/chart" uri="{C3380CC4-5D6E-409C-BE32-E72D297353CC}">
              <c16:uniqueId val="{00000001-71AF-4A95-BC43-3CD7BDD1E559}"/>
            </c:ext>
          </c:extLst>
        </c:ser>
        <c:ser>
          <c:idx val="1"/>
          <c:order val="1"/>
          <c:tx>
            <c:strRef>
              <c:f>Ликвидность!$B$5</c:f>
              <c:strCache>
                <c:ptCount val="1"/>
                <c:pt idx="0">
                  <c:v>Норматив Н3 (МИН=50%)</c:v>
                </c:pt>
              </c:strCache>
            </c:strRef>
          </c:tx>
          <c:dLbls>
            <c:dLbl>
              <c:idx val="15"/>
              <c:layout>
                <c:manualLayout>
                  <c:x val="0"/>
                  <c:y val="-3.2441200324412028E-2"/>
                </c:manualLayout>
              </c:layout>
              <c:spPr/>
              <c:txPr>
                <a:bodyPr/>
                <a:lstStyle/>
                <a:p>
                  <a:pPr>
                    <a:defRPr sz="1400" b="1"/>
                  </a:pPr>
                  <a:endParaRPr lang="ru-RU"/>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1AF-4A95-BC43-3CD7BDD1E559}"/>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Ликвидность!$C$3:$W$3</c:f>
              <c:numCache>
                <c:formatCode>dd/mm/yy;@</c:formatCode>
                <c:ptCount val="21"/>
                <c:pt idx="0">
                  <c:v>40544</c:v>
                </c:pt>
                <c:pt idx="1">
                  <c:v>40634</c:v>
                </c:pt>
                <c:pt idx="2">
                  <c:v>40725</c:v>
                </c:pt>
                <c:pt idx="3">
                  <c:v>40817</c:v>
                </c:pt>
                <c:pt idx="4">
                  <c:v>40909</c:v>
                </c:pt>
                <c:pt idx="5">
                  <c:v>41000</c:v>
                </c:pt>
                <c:pt idx="6">
                  <c:v>41091</c:v>
                </c:pt>
                <c:pt idx="7">
                  <c:v>41183</c:v>
                </c:pt>
                <c:pt idx="8">
                  <c:v>41275</c:v>
                </c:pt>
                <c:pt idx="9">
                  <c:v>41365</c:v>
                </c:pt>
                <c:pt idx="10">
                  <c:v>41456</c:v>
                </c:pt>
                <c:pt idx="11">
                  <c:v>41548</c:v>
                </c:pt>
                <c:pt idx="12">
                  <c:v>41640</c:v>
                </c:pt>
                <c:pt idx="13">
                  <c:v>41730</c:v>
                </c:pt>
                <c:pt idx="14">
                  <c:v>41821</c:v>
                </c:pt>
                <c:pt idx="15">
                  <c:v>41913</c:v>
                </c:pt>
                <c:pt idx="16">
                  <c:v>42005</c:v>
                </c:pt>
                <c:pt idx="17">
                  <c:v>42095</c:v>
                </c:pt>
                <c:pt idx="18">
                  <c:v>42186</c:v>
                </c:pt>
                <c:pt idx="19">
                  <c:v>42278</c:v>
                </c:pt>
                <c:pt idx="20">
                  <c:v>42370</c:v>
                </c:pt>
              </c:numCache>
            </c:numRef>
          </c:cat>
          <c:val>
            <c:numRef>
              <c:f>Ликвидность!$C$5:$W$5</c:f>
              <c:numCache>
                <c:formatCode>0%</c:formatCode>
                <c:ptCount val="21"/>
                <c:pt idx="0">
                  <c:v>0.78879999999999995</c:v>
                </c:pt>
                <c:pt idx="1">
                  <c:v>0.94410000000000005</c:v>
                </c:pt>
                <c:pt idx="2">
                  <c:v>0.73619999999999997</c:v>
                </c:pt>
                <c:pt idx="3">
                  <c:v>2.0661</c:v>
                </c:pt>
                <c:pt idx="4">
                  <c:v>0.76439999999999997</c:v>
                </c:pt>
                <c:pt idx="5">
                  <c:v>0.79820000000000002</c:v>
                </c:pt>
                <c:pt idx="6">
                  <c:v>0.78669999999999995</c:v>
                </c:pt>
                <c:pt idx="7">
                  <c:v>0.62309999999999999</c:v>
                </c:pt>
                <c:pt idx="8">
                  <c:v>0.61399999999999999</c:v>
                </c:pt>
                <c:pt idx="9">
                  <c:v>0.66949999999999998</c:v>
                </c:pt>
                <c:pt idx="10">
                  <c:v>0.58899999999999997</c:v>
                </c:pt>
                <c:pt idx="11">
                  <c:v>0.55000000000000004</c:v>
                </c:pt>
                <c:pt idx="12">
                  <c:v>0.57699999999999996</c:v>
                </c:pt>
                <c:pt idx="13">
                  <c:v>0.55810000000000004</c:v>
                </c:pt>
                <c:pt idx="14">
                  <c:v>0.54700000000000004</c:v>
                </c:pt>
                <c:pt idx="15">
                  <c:v>0.52780000000000005</c:v>
                </c:pt>
                <c:pt idx="16">
                  <c:v>0.748</c:v>
                </c:pt>
                <c:pt idx="17">
                  <c:v>0.76100000000000001</c:v>
                </c:pt>
                <c:pt idx="18">
                  <c:v>0.71599999999999997</c:v>
                </c:pt>
                <c:pt idx="19">
                  <c:v>1.3108</c:v>
                </c:pt>
                <c:pt idx="20">
                  <c:v>1.585</c:v>
                </c:pt>
              </c:numCache>
            </c:numRef>
          </c:val>
          <c:smooth val="0"/>
          <c:extLst>
            <c:ext xmlns:c16="http://schemas.microsoft.com/office/drawing/2014/chart" uri="{C3380CC4-5D6E-409C-BE32-E72D297353CC}">
              <c16:uniqueId val="{00000003-71AF-4A95-BC43-3CD7BDD1E559}"/>
            </c:ext>
          </c:extLst>
        </c:ser>
        <c:ser>
          <c:idx val="2"/>
          <c:order val="2"/>
          <c:tx>
            <c:strRef>
              <c:f>Ликвидность!$B$6</c:f>
              <c:strCache>
                <c:ptCount val="1"/>
                <c:pt idx="0">
                  <c:v>Норматив Н4 (МАКС=120%)</c:v>
                </c:pt>
              </c:strCache>
            </c:strRef>
          </c:tx>
          <c:dLbls>
            <c:dLbl>
              <c:idx val="2"/>
              <c:layout>
                <c:manualLayout>
                  <c:x val="-2.1822149481723972E-2"/>
                  <c:y val="-4.5417680454176879E-2"/>
                </c:manualLayout>
              </c:layout>
              <c:spPr/>
              <c:txPr>
                <a:bodyPr/>
                <a:lstStyle/>
                <a:p>
                  <a:pPr>
                    <a:defRPr sz="1400" b="1"/>
                  </a:pPr>
                  <a:endParaRPr lang="ru-RU"/>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1AF-4A95-BC43-3CD7BDD1E559}"/>
                </c:ext>
              </c:extLst>
            </c:dLbl>
            <c:dLbl>
              <c:idx val="3"/>
              <c:layout>
                <c:manualLayout>
                  <c:x val="-3.2733224222585957E-3"/>
                  <c:y val="2.9197080291970798E-2"/>
                </c:manualLayout>
              </c:layout>
              <c:spPr/>
              <c:txPr>
                <a:bodyPr/>
                <a:lstStyle/>
                <a:p>
                  <a:pPr>
                    <a:defRPr sz="1400" b="1"/>
                  </a:pPr>
                  <a:endParaRPr lang="ru-RU"/>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1AF-4A95-BC43-3CD7BDD1E559}"/>
                </c:ext>
              </c:extLst>
            </c:dLbl>
            <c:dLbl>
              <c:idx val="15"/>
              <c:layout>
                <c:manualLayout>
                  <c:x val="-9.8199672667757861E-3"/>
                  <c:y val="-4.5417680454176879E-2"/>
                </c:manualLayout>
              </c:layout>
              <c:spPr/>
              <c:txPr>
                <a:bodyPr/>
                <a:lstStyle/>
                <a:p>
                  <a:pPr>
                    <a:defRPr sz="1400" b="1"/>
                  </a:pPr>
                  <a:endParaRPr lang="ru-RU"/>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1AF-4A95-BC43-3CD7BDD1E559}"/>
                </c:ext>
              </c:extLst>
            </c:dLbl>
            <c:spPr>
              <a:noFill/>
              <a:ln>
                <a:noFill/>
              </a:ln>
              <a:effectLst/>
            </c:spPr>
            <c:txPr>
              <a:bodyPr/>
              <a:lstStyle/>
              <a:p>
                <a:pPr>
                  <a:defRPr sz="1400"/>
                </a:pPr>
                <a:endParaRPr lang="ru-RU"/>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Ликвидность!$C$3:$W$3</c:f>
              <c:numCache>
                <c:formatCode>dd/mm/yy;@</c:formatCode>
                <c:ptCount val="21"/>
                <c:pt idx="0">
                  <c:v>40544</c:v>
                </c:pt>
                <c:pt idx="1">
                  <c:v>40634</c:v>
                </c:pt>
                <c:pt idx="2">
                  <c:v>40725</c:v>
                </c:pt>
                <c:pt idx="3">
                  <c:v>40817</c:v>
                </c:pt>
                <c:pt idx="4">
                  <c:v>40909</c:v>
                </c:pt>
                <c:pt idx="5">
                  <c:v>41000</c:v>
                </c:pt>
                <c:pt idx="6">
                  <c:v>41091</c:v>
                </c:pt>
                <c:pt idx="7">
                  <c:v>41183</c:v>
                </c:pt>
                <c:pt idx="8">
                  <c:v>41275</c:v>
                </c:pt>
                <c:pt idx="9">
                  <c:v>41365</c:v>
                </c:pt>
                <c:pt idx="10">
                  <c:v>41456</c:v>
                </c:pt>
                <c:pt idx="11">
                  <c:v>41548</c:v>
                </c:pt>
                <c:pt idx="12">
                  <c:v>41640</c:v>
                </c:pt>
                <c:pt idx="13">
                  <c:v>41730</c:v>
                </c:pt>
                <c:pt idx="14">
                  <c:v>41821</c:v>
                </c:pt>
                <c:pt idx="15">
                  <c:v>41913</c:v>
                </c:pt>
                <c:pt idx="16">
                  <c:v>42005</c:v>
                </c:pt>
                <c:pt idx="17">
                  <c:v>42095</c:v>
                </c:pt>
                <c:pt idx="18">
                  <c:v>42186</c:v>
                </c:pt>
                <c:pt idx="19">
                  <c:v>42278</c:v>
                </c:pt>
                <c:pt idx="20">
                  <c:v>42370</c:v>
                </c:pt>
              </c:numCache>
            </c:numRef>
          </c:cat>
          <c:val>
            <c:numRef>
              <c:f>Ликвидность!$C$6:$W$6</c:f>
              <c:numCache>
                <c:formatCode>0%</c:formatCode>
                <c:ptCount val="21"/>
                <c:pt idx="0">
                  <c:v>0.84919999999999995</c:v>
                </c:pt>
                <c:pt idx="1">
                  <c:v>1.0264</c:v>
                </c:pt>
                <c:pt idx="2">
                  <c:v>1.0834999999999999</c:v>
                </c:pt>
                <c:pt idx="3">
                  <c:v>0.41820000000000002</c:v>
                </c:pt>
                <c:pt idx="4">
                  <c:v>0.42949999999999999</c:v>
                </c:pt>
                <c:pt idx="5">
                  <c:v>0.36809999999999998</c:v>
                </c:pt>
                <c:pt idx="6">
                  <c:v>0.35399999999999998</c:v>
                </c:pt>
                <c:pt idx="7">
                  <c:v>0.4652</c:v>
                </c:pt>
                <c:pt idx="8">
                  <c:v>0.51800000000000002</c:v>
                </c:pt>
                <c:pt idx="9">
                  <c:v>0.5595</c:v>
                </c:pt>
                <c:pt idx="10">
                  <c:v>0.66100000000000003</c:v>
                </c:pt>
                <c:pt idx="11">
                  <c:v>0.71289999999999998</c:v>
                </c:pt>
                <c:pt idx="12">
                  <c:v>0.67200000000000004</c:v>
                </c:pt>
                <c:pt idx="13">
                  <c:v>0.65529999999999999</c:v>
                </c:pt>
                <c:pt idx="14">
                  <c:v>0.70899999999999996</c:v>
                </c:pt>
                <c:pt idx="15">
                  <c:v>0.79400000000000004</c:v>
                </c:pt>
                <c:pt idx="16">
                  <c:v>0.875</c:v>
                </c:pt>
                <c:pt idx="17">
                  <c:v>0.58399999999999996</c:v>
                </c:pt>
                <c:pt idx="18">
                  <c:v>0.53300000000000003</c:v>
                </c:pt>
                <c:pt idx="19">
                  <c:v>0.4824</c:v>
                </c:pt>
                <c:pt idx="20">
                  <c:v>0.51719999999999999</c:v>
                </c:pt>
              </c:numCache>
            </c:numRef>
          </c:val>
          <c:smooth val="0"/>
          <c:extLst>
            <c:ext xmlns:c16="http://schemas.microsoft.com/office/drawing/2014/chart" uri="{C3380CC4-5D6E-409C-BE32-E72D297353CC}">
              <c16:uniqueId val="{00000007-71AF-4A95-BC43-3CD7BDD1E559}"/>
            </c:ext>
          </c:extLst>
        </c:ser>
        <c:dLbls>
          <c:showLegendKey val="0"/>
          <c:showVal val="0"/>
          <c:showCatName val="0"/>
          <c:showSerName val="0"/>
          <c:showPercent val="0"/>
          <c:showBubbleSize val="0"/>
        </c:dLbls>
        <c:marker val="1"/>
        <c:smooth val="0"/>
        <c:axId val="-592221024"/>
        <c:axId val="-592509408"/>
      </c:lineChart>
      <c:dateAx>
        <c:axId val="-592221024"/>
        <c:scaling>
          <c:orientation val="minMax"/>
        </c:scaling>
        <c:delete val="0"/>
        <c:axPos val="b"/>
        <c:numFmt formatCode="dd/mm/yy;@" sourceLinked="1"/>
        <c:majorTickMark val="none"/>
        <c:minorTickMark val="none"/>
        <c:tickLblPos val="nextTo"/>
        <c:txPr>
          <a:bodyPr/>
          <a:lstStyle/>
          <a:p>
            <a:pPr>
              <a:defRPr sz="1200" b="0"/>
            </a:pPr>
            <a:endParaRPr lang="ru-RU"/>
          </a:p>
        </c:txPr>
        <c:crossAx val="-592509408"/>
        <c:crosses val="autoZero"/>
        <c:auto val="1"/>
        <c:lblOffset val="100"/>
        <c:baseTimeUnit val="months"/>
        <c:majorUnit val="3"/>
      </c:dateAx>
      <c:valAx>
        <c:axId val="-592509408"/>
        <c:scaling>
          <c:orientation val="minMax"/>
          <c:max val="1.6"/>
        </c:scaling>
        <c:delete val="0"/>
        <c:axPos val="l"/>
        <c:majorGridlines/>
        <c:numFmt formatCode="0%" sourceLinked="1"/>
        <c:majorTickMark val="none"/>
        <c:minorTickMark val="none"/>
        <c:tickLblPos val="nextTo"/>
        <c:spPr>
          <a:ln w="9525">
            <a:noFill/>
          </a:ln>
        </c:spPr>
        <c:crossAx val="-592221024"/>
        <c:crosses val="autoZero"/>
        <c:crossBetween val="between"/>
      </c:valAx>
    </c:plotArea>
    <c:legend>
      <c:legendPos val="b"/>
      <c:overlay val="0"/>
      <c:txPr>
        <a:bodyPr/>
        <a:lstStyle/>
        <a:p>
          <a:pPr>
            <a:defRPr sz="1400" b="0"/>
          </a:pPr>
          <a:endParaRPr lang="ru-RU"/>
        </a:p>
      </c:txPr>
    </c:legend>
    <c:plotVisOnly val="1"/>
    <c:dispBlanksAs val="gap"/>
    <c:showDLblsOverMax val="0"/>
  </c:chart>
  <c:spPr>
    <a:ln>
      <a:noFill/>
    </a:ln>
  </c:spPr>
  <c:printSettings>
    <c:headerFooter/>
    <c:pageMargins b="0.75000000000000044" l="0.7000000000000004" r="0.7000000000000004" t="0.75000000000000044" header="0.30000000000000021" footer="0.30000000000000021"/>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hyperlink" Target="https://cbr.ru/rbr/dir_decisions/rsd_2023-12-26_23_005/" TargetMode="External"/><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8" Type="http://schemas.openxmlformats.org/officeDocument/2006/relationships/image" Target="../media/image17.emf"/><Relationship Id="rId3" Type="http://schemas.openxmlformats.org/officeDocument/2006/relationships/image" Target="../media/image12.jpeg"/><Relationship Id="rId7" Type="http://schemas.openxmlformats.org/officeDocument/2006/relationships/image" Target="../media/image16.emf"/><Relationship Id="rId2" Type="http://schemas.openxmlformats.org/officeDocument/2006/relationships/image" Target="../media/image5.jpeg"/><Relationship Id="rId1" Type="http://schemas.openxmlformats.org/officeDocument/2006/relationships/image" Target="../media/image4.png"/><Relationship Id="rId6" Type="http://schemas.openxmlformats.org/officeDocument/2006/relationships/image" Target="../media/image15.jpeg"/><Relationship Id="rId5" Type="http://schemas.openxmlformats.org/officeDocument/2006/relationships/image" Target="../media/image14.jpeg"/><Relationship Id="rId4" Type="http://schemas.openxmlformats.org/officeDocument/2006/relationships/image" Target="../media/image13.jpeg"/></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8.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chart" Target="../charts/chart7.xml"/><Relationship Id="rId6" Type="http://schemas.openxmlformats.org/officeDocument/2006/relationships/image" Target="../media/image15.jpeg"/><Relationship Id="rId5" Type="http://schemas.openxmlformats.org/officeDocument/2006/relationships/image" Target="../media/image5.jpeg"/><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1.png"/><Relationship Id="rId1" Type="http://schemas.openxmlformats.org/officeDocument/2006/relationships/image" Target="../media/image20.png"/><Relationship Id="rId4" Type="http://schemas.openxmlformats.org/officeDocument/2006/relationships/image" Target="../media/image15.jpeg"/></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5.wmf"/></Relationships>
</file>

<file path=xl/drawings/drawing1.xml><?xml version="1.0" encoding="utf-8"?>
<xdr:wsDr xmlns:xdr="http://schemas.openxmlformats.org/drawingml/2006/spreadsheetDrawing" xmlns:a="http://schemas.openxmlformats.org/drawingml/2006/main">
  <xdr:twoCellAnchor editAs="oneCell">
    <xdr:from>
      <xdr:col>1</xdr:col>
      <xdr:colOff>56029</xdr:colOff>
      <xdr:row>402</xdr:row>
      <xdr:rowOff>145676</xdr:rowOff>
    </xdr:from>
    <xdr:to>
      <xdr:col>8</xdr:col>
      <xdr:colOff>659011</xdr:colOff>
      <xdr:row>438</xdr:row>
      <xdr:rowOff>22791</xdr:rowOff>
    </xdr:to>
    <xdr:pic>
      <xdr:nvPicPr>
        <xdr:cNvPr id="2" name="Рисунок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stretch>
          <a:fillRect/>
        </a:stretch>
      </xdr:blipFill>
      <xdr:spPr>
        <a:xfrm>
          <a:off x="280147" y="76401705"/>
          <a:ext cx="8783276" cy="6735115"/>
        </a:xfrm>
        <a:prstGeom prst="rect">
          <a:avLst/>
        </a:prstGeom>
      </xdr:spPr>
    </xdr:pic>
    <xdr:clientData/>
  </xdr:twoCellAnchor>
  <xdr:twoCellAnchor editAs="oneCell">
    <xdr:from>
      <xdr:col>0</xdr:col>
      <xdr:colOff>56028</xdr:colOff>
      <xdr:row>383</xdr:row>
      <xdr:rowOff>78442</xdr:rowOff>
    </xdr:from>
    <xdr:to>
      <xdr:col>10</xdr:col>
      <xdr:colOff>402207</xdr:colOff>
      <xdr:row>398</xdr:row>
      <xdr:rowOff>49958</xdr:rowOff>
    </xdr:to>
    <xdr:pic>
      <xdr:nvPicPr>
        <xdr:cNvPr id="3" name="Рисунок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cstate="print"/>
        <a:stretch>
          <a:fillRect/>
        </a:stretch>
      </xdr:blipFill>
      <xdr:spPr>
        <a:xfrm>
          <a:off x="56028" y="74238971"/>
          <a:ext cx="10430913" cy="2829016"/>
        </a:xfrm>
        <a:prstGeom prst="rect">
          <a:avLst/>
        </a:prstGeom>
      </xdr:spPr>
    </xdr:pic>
    <xdr:clientData/>
  </xdr:twoCellAnchor>
  <xdr:twoCellAnchor>
    <xdr:from>
      <xdr:col>5</xdr:col>
      <xdr:colOff>123265</xdr:colOff>
      <xdr:row>255</xdr:row>
      <xdr:rowOff>145677</xdr:rowOff>
    </xdr:from>
    <xdr:to>
      <xdr:col>9</xdr:col>
      <xdr:colOff>481853</xdr:colOff>
      <xdr:row>256</xdr:row>
      <xdr:rowOff>291353</xdr:rowOff>
    </xdr:to>
    <xdr:sp macro="" textlink="">
      <xdr:nvSpPr>
        <xdr:cNvPr id="5" name="Скругленный прямоугольник 4">
          <a:extLst>
            <a:ext uri="{FF2B5EF4-FFF2-40B4-BE49-F238E27FC236}">
              <a16:creationId xmlns:a16="http://schemas.microsoft.com/office/drawing/2014/main" id="{00000000-0008-0000-0700-000005000000}"/>
            </a:ext>
          </a:extLst>
        </xdr:cNvPr>
        <xdr:cNvSpPr/>
      </xdr:nvSpPr>
      <xdr:spPr>
        <a:xfrm>
          <a:off x="6689912" y="56298353"/>
          <a:ext cx="3619500" cy="336176"/>
        </a:xfrm>
        <a:prstGeom prst="roundRect">
          <a:avLst/>
        </a:prstGeom>
        <a:solidFill>
          <a:schemeClr val="bg1">
            <a:lumMod val="95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200" b="1">
              <a:latin typeface="Arial Narrow" panose="020B0606020202030204" pitchFamily="34" charset="0"/>
            </a:rPr>
            <a:t>Данные см.</a:t>
          </a:r>
          <a:r>
            <a:rPr lang="ru-RU" sz="1200" b="1" baseline="0">
              <a:latin typeface="Arial Narrow" panose="020B0606020202030204" pitchFamily="34" charset="0"/>
            </a:rPr>
            <a:t> в разделе "Управление рисками"</a:t>
          </a:r>
          <a:endParaRPr lang="ru-RU" sz="1200" b="1">
            <a:latin typeface="Arial Narrow" panose="020B0606020202030204" pitchFamily="34" charset="0"/>
          </a:endParaRPr>
        </a:p>
      </xdr:txBody>
    </xdr:sp>
    <xdr:clientData/>
  </xdr:twoCellAnchor>
  <xdr:twoCellAnchor>
    <xdr:from>
      <xdr:col>5</xdr:col>
      <xdr:colOff>123265</xdr:colOff>
      <xdr:row>277</xdr:row>
      <xdr:rowOff>145677</xdr:rowOff>
    </xdr:from>
    <xdr:to>
      <xdr:col>9</xdr:col>
      <xdr:colOff>481853</xdr:colOff>
      <xdr:row>278</xdr:row>
      <xdr:rowOff>291353</xdr:rowOff>
    </xdr:to>
    <xdr:sp macro="" textlink="">
      <xdr:nvSpPr>
        <xdr:cNvPr id="6" name="Скругленный прямоугольник 5">
          <a:extLst>
            <a:ext uri="{FF2B5EF4-FFF2-40B4-BE49-F238E27FC236}">
              <a16:creationId xmlns:a16="http://schemas.microsoft.com/office/drawing/2014/main" id="{00000000-0008-0000-0700-000006000000}"/>
            </a:ext>
          </a:extLst>
        </xdr:cNvPr>
        <xdr:cNvSpPr/>
      </xdr:nvSpPr>
      <xdr:spPr>
        <a:xfrm>
          <a:off x="6689912" y="56298353"/>
          <a:ext cx="3619500" cy="336176"/>
        </a:xfrm>
        <a:prstGeom prst="roundRect">
          <a:avLst/>
        </a:prstGeom>
        <a:solidFill>
          <a:schemeClr val="bg1">
            <a:lumMod val="95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200" b="1">
              <a:latin typeface="Arial Narrow" panose="020B0606020202030204" pitchFamily="34" charset="0"/>
            </a:rPr>
            <a:t>Данные см.</a:t>
          </a:r>
          <a:r>
            <a:rPr lang="ru-RU" sz="1200" b="1" baseline="0">
              <a:latin typeface="Arial Narrow" panose="020B0606020202030204" pitchFamily="34" charset="0"/>
            </a:rPr>
            <a:t> в разделе "Управление рисками"</a:t>
          </a:r>
          <a:endParaRPr lang="ru-RU" sz="1200" b="1">
            <a:latin typeface="Arial Narrow" panose="020B0606020202030204" pitchFamily="34" charset="0"/>
          </a:endParaRPr>
        </a:p>
      </xdr:txBody>
    </xdr:sp>
    <xdr:clientData/>
  </xdr:twoCellAnchor>
  <xdr:twoCellAnchor>
    <xdr:from>
      <xdr:col>2</xdr:col>
      <xdr:colOff>40902</xdr:colOff>
      <xdr:row>467</xdr:row>
      <xdr:rowOff>40342</xdr:rowOff>
    </xdr:from>
    <xdr:to>
      <xdr:col>10</xdr:col>
      <xdr:colOff>92680</xdr:colOff>
      <xdr:row>482</xdr:row>
      <xdr:rowOff>97899</xdr:rowOff>
    </xdr:to>
    <xdr:grpSp>
      <xdr:nvGrpSpPr>
        <xdr:cNvPr id="8" name="Группа 7">
          <a:extLst>
            <a:ext uri="{FF2B5EF4-FFF2-40B4-BE49-F238E27FC236}">
              <a16:creationId xmlns:a16="http://schemas.microsoft.com/office/drawing/2014/main" id="{00000000-0008-0000-0700-000008000000}"/>
            </a:ext>
          </a:extLst>
        </xdr:cNvPr>
        <xdr:cNvGrpSpPr/>
      </xdr:nvGrpSpPr>
      <xdr:grpSpPr>
        <a:xfrm>
          <a:off x="498102" y="107063242"/>
          <a:ext cx="9662503" cy="2915057"/>
          <a:chOff x="602877" y="106120267"/>
          <a:chExt cx="9662503" cy="2915057"/>
        </a:xfrm>
      </xdr:grpSpPr>
      <xdr:pic>
        <xdr:nvPicPr>
          <xdr:cNvPr id="4" name="Рисунок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cstate="print"/>
          <a:stretch>
            <a:fillRect/>
          </a:stretch>
        </xdr:blipFill>
        <xdr:spPr>
          <a:xfrm>
            <a:off x="602877" y="106120267"/>
            <a:ext cx="9662503" cy="2915057"/>
          </a:xfrm>
          <a:prstGeom prst="rect">
            <a:avLst/>
          </a:prstGeom>
        </xdr:spPr>
      </xdr:pic>
      <xdr:sp macro="" textlink="">
        <xdr:nvSpPr>
          <xdr:cNvPr id="7" name="Прямоугольник 6">
            <a:extLst>
              <a:ext uri="{FF2B5EF4-FFF2-40B4-BE49-F238E27FC236}">
                <a16:creationId xmlns:a16="http://schemas.microsoft.com/office/drawing/2014/main" id="{00000000-0008-0000-0700-000007000000}"/>
              </a:ext>
            </a:extLst>
          </xdr:cNvPr>
          <xdr:cNvSpPr/>
        </xdr:nvSpPr>
        <xdr:spPr>
          <a:xfrm>
            <a:off x="1095375" y="108251625"/>
            <a:ext cx="9058275" cy="714375"/>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ru-RU" sz="1100"/>
          </a:p>
        </xdr:txBody>
      </xdr:sp>
    </xdr:grpSp>
    <xdr:clientData/>
  </xdr:twoCellAnchor>
  <xdr:twoCellAnchor>
    <xdr:from>
      <xdr:col>5</xdr:col>
      <xdr:colOff>485775</xdr:colOff>
      <xdr:row>462</xdr:row>
      <xdr:rowOff>66674</xdr:rowOff>
    </xdr:from>
    <xdr:to>
      <xdr:col>11</xdr:col>
      <xdr:colOff>19050</xdr:colOff>
      <xdr:row>465</xdr:row>
      <xdr:rowOff>161925</xdr:rowOff>
    </xdr:to>
    <xdr:sp macro="" textlink="">
      <xdr:nvSpPr>
        <xdr:cNvPr id="9" name="Скругленный прямоугольник 8">
          <a:extLst>
            <a:ext uri="{FF2B5EF4-FFF2-40B4-BE49-F238E27FC236}">
              <a16:creationId xmlns:a16="http://schemas.microsoft.com/office/drawing/2014/main" id="{00000000-0008-0000-0700-000009000000}"/>
            </a:ext>
          </a:extLst>
        </xdr:cNvPr>
        <xdr:cNvSpPr/>
      </xdr:nvSpPr>
      <xdr:spPr>
        <a:xfrm>
          <a:off x="6477000" y="105155999"/>
          <a:ext cx="4457700" cy="666751"/>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ru-RU" sz="1400">
              <a:latin typeface="Arial Narrow" panose="020B0606020202030204" pitchFamily="34" charset="0"/>
            </a:rPr>
            <a:t>В</a:t>
          </a:r>
          <a:r>
            <a:rPr lang="ru-RU" sz="1400" baseline="0">
              <a:latin typeface="Arial Narrow" panose="020B0606020202030204" pitchFamily="34" charset="0"/>
            </a:rPr>
            <a:t> соответствии с </a:t>
          </a:r>
          <a:r>
            <a:rPr lang="ru-RU" sz="1400" b="1" baseline="0">
              <a:latin typeface="Arial Narrow" panose="020B0606020202030204" pitchFamily="34" charset="0"/>
            </a:rPr>
            <a:t>Базель </a:t>
          </a:r>
          <a:r>
            <a:rPr lang="en-US" sz="1400" b="1" baseline="0">
              <a:latin typeface="Arial Narrow" panose="020B0606020202030204" pitchFamily="34" charset="0"/>
            </a:rPr>
            <a:t>III</a:t>
          </a:r>
          <a:r>
            <a:rPr lang="ru-RU" sz="1400" b="1" baseline="0">
              <a:latin typeface="Arial Narrow" panose="020B0606020202030204" pitchFamily="34" charset="0"/>
            </a:rPr>
            <a:t> </a:t>
          </a:r>
          <a:r>
            <a:rPr lang="ru-RU" sz="1400" baseline="0">
              <a:latin typeface="Arial Narrow" panose="020B0606020202030204" pitchFamily="34" charset="0"/>
            </a:rPr>
            <a:t>норматив достаточности основного капитала </a:t>
          </a:r>
          <a:r>
            <a:rPr lang="ru-RU" sz="1400" b="1" baseline="0">
              <a:latin typeface="Arial Narrow" panose="020B0606020202030204" pitchFamily="34" charset="0"/>
            </a:rPr>
            <a:t>увеличиен с 4% до 6%</a:t>
          </a:r>
          <a:endParaRPr lang="ru-RU" sz="1400" b="1">
            <a:latin typeface="Arial Narrow" panose="020B0606020202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361950</xdr:colOff>
      <xdr:row>2</xdr:row>
      <xdr:rowOff>190500</xdr:rowOff>
    </xdr:from>
    <xdr:to>
      <xdr:col>12</xdr:col>
      <xdr:colOff>54350</xdr:colOff>
      <xdr:row>6</xdr:row>
      <xdr:rowOff>184898</xdr:rowOff>
    </xdr:to>
    <xdr:sp macro="" textlink="">
      <xdr:nvSpPr>
        <xdr:cNvPr id="2" name="Скругленная прямоугольная выноска 1">
          <a:extLst>
            <a:ext uri="{FF2B5EF4-FFF2-40B4-BE49-F238E27FC236}">
              <a16:creationId xmlns:a16="http://schemas.microsoft.com/office/drawing/2014/main" id="{00000000-0008-0000-1900-000002000000}"/>
            </a:ext>
          </a:extLst>
        </xdr:cNvPr>
        <xdr:cNvSpPr/>
      </xdr:nvSpPr>
      <xdr:spPr>
        <a:xfrm>
          <a:off x="7419975" y="609600"/>
          <a:ext cx="1949825" cy="851648"/>
        </a:xfrm>
        <a:prstGeom prst="wedgeRoundRectCallout">
          <a:avLst>
            <a:gd name="adj1" fmla="val 13052"/>
            <a:gd name="adj2" fmla="val 61201"/>
            <a:gd name="adj3" fmla="val 16667"/>
          </a:avLst>
        </a:prstGeom>
        <a:solidFill>
          <a:schemeClr val="bg1">
            <a:lumMod val="95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latin typeface="Arial Narrow" panose="020B0606020202030204" pitchFamily="34" charset="0"/>
            </a:rPr>
            <a:t>С 01.02.2014 действует Положение 395-П (Базель </a:t>
          </a:r>
          <a:r>
            <a:rPr lang="en-US" sz="1400" b="1">
              <a:latin typeface="Arial Narrow" panose="020B0606020202030204" pitchFamily="34" charset="0"/>
            </a:rPr>
            <a:t>III</a:t>
          </a:r>
          <a:r>
            <a:rPr lang="ru-RU" sz="1400" b="1">
              <a:latin typeface="Arial Narrow" panose="020B0606020202030204" pitchFamily="34" charset="0"/>
            </a:rPr>
            <a:t>)</a:t>
          </a:r>
        </a:p>
      </xdr:txBody>
    </xdr:sp>
    <xdr:clientData/>
  </xdr:twoCellAnchor>
  <xdr:twoCellAnchor>
    <xdr:from>
      <xdr:col>13</xdr:col>
      <xdr:colOff>112059</xdr:colOff>
      <xdr:row>2</xdr:row>
      <xdr:rowOff>100852</xdr:rowOff>
    </xdr:from>
    <xdr:to>
      <xdr:col>16</xdr:col>
      <xdr:colOff>174253</xdr:colOff>
      <xdr:row>6</xdr:row>
      <xdr:rowOff>95250</xdr:rowOff>
    </xdr:to>
    <xdr:sp macro="" textlink="">
      <xdr:nvSpPr>
        <xdr:cNvPr id="3" name="Скругленная прямоугольная выноска 2">
          <a:extLst>
            <a:ext uri="{FF2B5EF4-FFF2-40B4-BE49-F238E27FC236}">
              <a16:creationId xmlns:a16="http://schemas.microsoft.com/office/drawing/2014/main" id="{00000000-0008-0000-1900-000003000000}"/>
            </a:ext>
          </a:extLst>
        </xdr:cNvPr>
        <xdr:cNvSpPr/>
      </xdr:nvSpPr>
      <xdr:spPr>
        <a:xfrm>
          <a:off x="10051677" y="526676"/>
          <a:ext cx="1944782" cy="857250"/>
        </a:xfrm>
        <a:prstGeom prst="wedgeRoundRectCallout">
          <a:avLst>
            <a:gd name="adj1" fmla="val 13052"/>
            <a:gd name="adj2" fmla="val 61201"/>
            <a:gd name="adj3" fmla="val 16667"/>
          </a:avLst>
        </a:prstGeom>
        <a:solidFill>
          <a:schemeClr val="bg1">
            <a:lumMod val="95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latin typeface="Arial Narrow" panose="020B0606020202030204" pitchFamily="34" charset="0"/>
            </a:rPr>
            <a:t>С авг.</a:t>
          </a:r>
          <a:r>
            <a:rPr lang="ru-RU" sz="1400" b="1" baseline="0">
              <a:latin typeface="Arial Narrow" panose="020B0606020202030204" pitchFamily="34" charset="0"/>
            </a:rPr>
            <a:t> 2018</a:t>
          </a:r>
          <a:r>
            <a:rPr lang="ru-RU" sz="1400" b="1">
              <a:latin typeface="Arial Narrow" panose="020B0606020202030204" pitchFamily="34" charset="0"/>
            </a:rPr>
            <a:t> действует Положение 646-П (Базель </a:t>
          </a:r>
          <a:r>
            <a:rPr lang="en-US" sz="1400" b="1">
              <a:latin typeface="Arial Narrow" panose="020B0606020202030204" pitchFamily="34" charset="0"/>
            </a:rPr>
            <a:t>III</a:t>
          </a:r>
          <a:r>
            <a:rPr lang="ru-RU" sz="1400" b="1">
              <a:latin typeface="Arial Narrow" panose="020B0606020202030204" pitchFamily="34" charset="0"/>
            </a:rPr>
            <a:t>)</a:t>
          </a:r>
        </a:p>
      </xdr:txBody>
    </xdr:sp>
    <xdr:clientData/>
  </xdr:twoCellAnchor>
  <xdr:twoCellAnchor>
    <xdr:from>
      <xdr:col>25</xdr:col>
      <xdr:colOff>396207</xdr:colOff>
      <xdr:row>27</xdr:row>
      <xdr:rowOff>112059</xdr:rowOff>
    </xdr:from>
    <xdr:to>
      <xdr:col>28</xdr:col>
      <xdr:colOff>804421</xdr:colOff>
      <xdr:row>33</xdr:row>
      <xdr:rowOff>201705</xdr:rowOff>
    </xdr:to>
    <xdr:sp macro="" textlink="">
      <xdr:nvSpPr>
        <xdr:cNvPr id="4" name="Скругленная прямоугольная выноска 3">
          <a:extLst>
            <a:ext uri="{FF2B5EF4-FFF2-40B4-BE49-F238E27FC236}">
              <a16:creationId xmlns:a16="http://schemas.microsoft.com/office/drawing/2014/main" id="{00000000-0008-0000-1900-000004000000}"/>
            </a:ext>
          </a:extLst>
        </xdr:cNvPr>
        <xdr:cNvSpPr/>
      </xdr:nvSpPr>
      <xdr:spPr>
        <a:xfrm>
          <a:off x="17595636" y="5636559"/>
          <a:ext cx="2653392" cy="1314289"/>
        </a:xfrm>
        <a:prstGeom prst="wedgeRoundRectCallout">
          <a:avLst>
            <a:gd name="adj1" fmla="val 13052"/>
            <a:gd name="adj2" fmla="val 61201"/>
            <a:gd name="adj3" fmla="val 16667"/>
          </a:avLst>
        </a:prstGeom>
        <a:solidFill>
          <a:schemeClr val="bg1">
            <a:lumMod val="95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latin typeface="Arial Narrow" panose="020B0606020202030204" pitchFamily="34" charset="0"/>
            </a:rPr>
            <a:t>С 2020 г. ЦБ</a:t>
          </a:r>
          <a:r>
            <a:rPr lang="ru-RU" sz="1400" b="1" baseline="0">
              <a:latin typeface="Arial Narrow" panose="020B0606020202030204" pitchFamily="34" charset="0"/>
            </a:rPr>
            <a:t> РФ изменил формат представления данных о структуре РВА</a:t>
          </a:r>
          <a:endParaRPr lang="ru-RU" sz="1400" b="1">
            <a:latin typeface="Arial Narrow" panose="020B0606020202030204" pitchFamily="34" charset="0"/>
          </a:endParaRPr>
        </a:p>
      </xdr:txBody>
    </xdr:sp>
    <xdr:clientData/>
  </xdr:twoCellAnchor>
  <xdr:twoCellAnchor>
    <xdr:from>
      <xdr:col>29</xdr:col>
      <xdr:colOff>374889</xdr:colOff>
      <xdr:row>29</xdr:row>
      <xdr:rowOff>160955</xdr:rowOff>
    </xdr:from>
    <xdr:to>
      <xdr:col>35</xdr:col>
      <xdr:colOff>37694</xdr:colOff>
      <xdr:row>33</xdr:row>
      <xdr:rowOff>65197</xdr:rowOff>
    </xdr:to>
    <xdr:sp macro="" textlink="">
      <xdr:nvSpPr>
        <xdr:cNvPr id="5" name="Скругленная прямоугольная выноска 4">
          <a:extLst>
            <a:ext uri="{FF2B5EF4-FFF2-40B4-BE49-F238E27FC236}">
              <a16:creationId xmlns:a16="http://schemas.microsoft.com/office/drawing/2014/main" id="{00000000-0008-0000-1900-000005000000}"/>
            </a:ext>
          </a:extLst>
        </xdr:cNvPr>
        <xdr:cNvSpPr/>
      </xdr:nvSpPr>
      <xdr:spPr>
        <a:xfrm>
          <a:off x="18957298" y="6170364"/>
          <a:ext cx="3299623" cy="735515"/>
        </a:xfrm>
        <a:prstGeom prst="wedgeRoundRectCallout">
          <a:avLst>
            <a:gd name="adj1" fmla="val 13052"/>
            <a:gd name="adj2" fmla="val 61201"/>
            <a:gd name="adj3" fmla="val 16667"/>
          </a:avLst>
        </a:prstGeom>
        <a:solidFill>
          <a:schemeClr val="bg1">
            <a:lumMod val="95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latin typeface="Arial Narrow" panose="020B0606020202030204" pitchFamily="34" charset="0"/>
            </a:rPr>
            <a:t>С 2020 г. ЦБ</a:t>
          </a:r>
          <a:r>
            <a:rPr lang="ru-RU" sz="1400" b="1" baseline="0">
              <a:latin typeface="Arial Narrow" panose="020B0606020202030204" pitchFamily="34" charset="0"/>
            </a:rPr>
            <a:t> РФ изменил формат представления данных о структуре РВА</a:t>
          </a:r>
          <a:endParaRPr lang="ru-RU" sz="1400" b="1">
            <a:latin typeface="Arial Narrow" panose="020B0606020202030204" pitchFamily="34" charset="0"/>
          </a:endParaRPr>
        </a:p>
      </xdr:txBody>
    </xdr:sp>
    <xdr:clientData/>
  </xdr:twoCellAnchor>
  <xdr:twoCellAnchor>
    <xdr:from>
      <xdr:col>10</xdr:col>
      <xdr:colOff>571500</xdr:colOff>
      <xdr:row>152</xdr:row>
      <xdr:rowOff>56029</xdr:rowOff>
    </xdr:from>
    <xdr:to>
      <xdr:col>14</xdr:col>
      <xdr:colOff>470647</xdr:colOff>
      <xdr:row>155</xdr:row>
      <xdr:rowOff>134469</xdr:rowOff>
    </xdr:to>
    <xdr:sp macro="" textlink="">
      <xdr:nvSpPr>
        <xdr:cNvPr id="6" name="Скругленная прямоугольная выноска 5">
          <a:extLst>
            <a:ext uri="{FF2B5EF4-FFF2-40B4-BE49-F238E27FC236}">
              <a16:creationId xmlns:a16="http://schemas.microsoft.com/office/drawing/2014/main" id="{00000000-0008-0000-1900-000006000000}"/>
            </a:ext>
          </a:extLst>
        </xdr:cNvPr>
        <xdr:cNvSpPr/>
      </xdr:nvSpPr>
      <xdr:spPr>
        <a:xfrm>
          <a:off x="8550088" y="27129441"/>
          <a:ext cx="2633383" cy="616322"/>
        </a:xfrm>
        <a:prstGeom prst="wedgeRoundRectCallout">
          <a:avLst>
            <a:gd name="adj1" fmla="val 16041"/>
            <a:gd name="adj2" fmla="val -85016"/>
            <a:gd name="adj3" fmla="val 16667"/>
          </a:avLst>
        </a:prstGeom>
        <a:solidFill>
          <a:schemeClr val="bg1">
            <a:lumMod val="95000"/>
          </a:schemeClr>
        </a:solidFill>
        <a:ln w="38100">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ysClr val="windowText" lastClr="000000"/>
              </a:solidFill>
              <a:latin typeface="Arial Narrow" panose="020B0606020202030204" pitchFamily="34" charset="0"/>
            </a:rPr>
            <a:t>До 2017 (включительно) - Прибыль до налогообложения</a:t>
          </a:r>
        </a:p>
      </xdr:txBody>
    </xdr:sp>
    <xdr:clientData/>
  </xdr:twoCellAnchor>
  <xdr:twoCellAnchor editAs="oneCell">
    <xdr:from>
      <xdr:col>3</xdr:col>
      <xdr:colOff>22413</xdr:colOff>
      <xdr:row>91</xdr:row>
      <xdr:rowOff>33617</xdr:rowOff>
    </xdr:from>
    <xdr:to>
      <xdr:col>4</xdr:col>
      <xdr:colOff>121609</xdr:colOff>
      <xdr:row>92</xdr:row>
      <xdr:rowOff>25774</xdr:rowOff>
    </xdr:to>
    <xdr:pic>
      <xdr:nvPicPr>
        <xdr:cNvPr id="7" name="Рисунок 6" descr="Картинки по запросу">
          <a:extLst>
            <a:ext uri="{FF2B5EF4-FFF2-40B4-BE49-F238E27FC236}">
              <a16:creationId xmlns:a16="http://schemas.microsoft.com/office/drawing/2014/main" id="{00000000-0008-0000-1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3560" y="17582029"/>
          <a:ext cx="457784" cy="305921"/>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324970</xdr:colOff>
      <xdr:row>161</xdr:row>
      <xdr:rowOff>78441</xdr:rowOff>
    </xdr:from>
    <xdr:to>
      <xdr:col>4</xdr:col>
      <xdr:colOff>146237</xdr:colOff>
      <xdr:row>162</xdr:row>
      <xdr:rowOff>133291</xdr:rowOff>
    </xdr:to>
    <xdr:pic>
      <xdr:nvPicPr>
        <xdr:cNvPr id="10" name="Рисунок 9" descr="Картинки по запросу флаг сша">
          <a:extLst>
            <a:ext uri="{FF2B5EF4-FFF2-40B4-BE49-F238E27FC236}">
              <a16:creationId xmlns:a16="http://schemas.microsoft.com/office/drawing/2014/main" id="{00000000-0008-0000-19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8735" y="29303382"/>
          <a:ext cx="527238" cy="278968"/>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347382</xdr:colOff>
      <xdr:row>195</xdr:row>
      <xdr:rowOff>78441</xdr:rowOff>
    </xdr:from>
    <xdr:to>
      <xdr:col>5</xdr:col>
      <xdr:colOff>874620</xdr:colOff>
      <xdr:row>196</xdr:row>
      <xdr:rowOff>166908</xdr:rowOff>
    </xdr:to>
    <xdr:pic>
      <xdr:nvPicPr>
        <xdr:cNvPr id="11" name="Рисунок 10" descr="Картинки по запросу флаг сша">
          <a:extLst>
            <a:ext uri="{FF2B5EF4-FFF2-40B4-BE49-F238E27FC236}">
              <a16:creationId xmlns:a16="http://schemas.microsoft.com/office/drawing/2014/main" id="{00000000-0008-0000-1900-00000B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4853" y="39243000"/>
          <a:ext cx="527238" cy="278968"/>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11</xdr:col>
      <xdr:colOff>638733</xdr:colOff>
      <xdr:row>125</xdr:row>
      <xdr:rowOff>89648</xdr:rowOff>
    </xdr:from>
    <xdr:to>
      <xdr:col>14</xdr:col>
      <xdr:colOff>526676</xdr:colOff>
      <xdr:row>128</xdr:row>
      <xdr:rowOff>134472</xdr:rowOff>
    </xdr:to>
    <xdr:sp macro="" textlink="">
      <xdr:nvSpPr>
        <xdr:cNvPr id="5" name="Скругленная прямоугольная выноска 4">
          <a:extLst>
            <a:ext uri="{FF2B5EF4-FFF2-40B4-BE49-F238E27FC236}">
              <a16:creationId xmlns:a16="http://schemas.microsoft.com/office/drawing/2014/main" id="{00000000-0008-0000-1B00-000005000000}"/>
            </a:ext>
          </a:extLst>
        </xdr:cNvPr>
        <xdr:cNvSpPr/>
      </xdr:nvSpPr>
      <xdr:spPr>
        <a:xfrm>
          <a:off x="11542057" y="24238324"/>
          <a:ext cx="1949825" cy="851648"/>
        </a:xfrm>
        <a:prstGeom prst="wedgeRoundRectCallout">
          <a:avLst>
            <a:gd name="adj1" fmla="val -56804"/>
            <a:gd name="adj2" fmla="val -29392"/>
            <a:gd name="adj3" fmla="val 16667"/>
          </a:avLst>
        </a:prstGeom>
        <a:solidFill>
          <a:schemeClr val="bg1">
            <a:lumMod val="95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latin typeface="Arial Narrow" panose="020B0606020202030204" pitchFamily="34" charset="0"/>
            </a:rPr>
            <a:t>С 01.02.2014 действует Положение 395-П (Базель </a:t>
          </a:r>
          <a:r>
            <a:rPr lang="en-US" sz="1400" b="1">
              <a:latin typeface="Arial Narrow" panose="020B0606020202030204" pitchFamily="34" charset="0"/>
            </a:rPr>
            <a:t>III</a:t>
          </a:r>
          <a:r>
            <a:rPr lang="ru-RU" sz="1400" b="1">
              <a:latin typeface="Arial Narrow" panose="020B0606020202030204" pitchFamily="34" charset="0"/>
            </a:rPr>
            <a:t>)</a:t>
          </a:r>
        </a:p>
      </xdr:txBody>
    </xdr:sp>
    <xdr:clientData/>
  </xdr:twoCellAnchor>
  <xdr:twoCellAnchor>
    <xdr:from>
      <xdr:col>4</xdr:col>
      <xdr:colOff>3361764</xdr:colOff>
      <xdr:row>125</xdr:row>
      <xdr:rowOff>33618</xdr:rowOff>
    </xdr:from>
    <xdr:to>
      <xdr:col>5</xdr:col>
      <xdr:colOff>235324</xdr:colOff>
      <xdr:row>125</xdr:row>
      <xdr:rowOff>403412</xdr:rowOff>
    </xdr:to>
    <xdr:sp macro="" textlink="">
      <xdr:nvSpPr>
        <xdr:cNvPr id="6" name="Скругленная прямоугольная выноска 5">
          <a:extLst>
            <a:ext uri="{FF2B5EF4-FFF2-40B4-BE49-F238E27FC236}">
              <a16:creationId xmlns:a16="http://schemas.microsoft.com/office/drawing/2014/main" id="{00000000-0008-0000-1B00-000006000000}"/>
            </a:ext>
          </a:extLst>
        </xdr:cNvPr>
        <xdr:cNvSpPr/>
      </xdr:nvSpPr>
      <xdr:spPr>
        <a:xfrm>
          <a:off x="4258235" y="24563294"/>
          <a:ext cx="2117913" cy="369794"/>
        </a:xfrm>
        <a:prstGeom prst="wedgeRoundRectCallout">
          <a:avLst>
            <a:gd name="adj1" fmla="val 62773"/>
            <a:gd name="adj2" fmla="val 911"/>
            <a:gd name="adj3" fmla="val 16667"/>
          </a:avLst>
        </a:prstGeom>
        <a:solidFill>
          <a:schemeClr val="bg1">
            <a:lumMod val="95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latin typeface="Arial Narrow" panose="020B0606020202030204" pitchFamily="34" charset="0"/>
            </a:rPr>
            <a:t>Регуляторный</a:t>
          </a:r>
          <a:r>
            <a:rPr lang="ru-RU" sz="1400" b="1" baseline="0">
              <a:latin typeface="Arial Narrow" panose="020B0606020202030204" pitchFamily="34" charset="0"/>
            </a:rPr>
            <a:t> капитал</a:t>
          </a:r>
          <a:endParaRPr lang="ru-RU" sz="1400" b="1">
            <a:latin typeface="Arial Narrow" panose="020B0606020202030204" pitchFamily="34" charset="0"/>
          </a:endParaRPr>
        </a:p>
      </xdr:txBody>
    </xdr:sp>
    <xdr:clientData/>
  </xdr:twoCellAnchor>
  <xdr:twoCellAnchor>
    <xdr:from>
      <xdr:col>4</xdr:col>
      <xdr:colOff>437029</xdr:colOff>
      <xdr:row>167</xdr:row>
      <xdr:rowOff>168087</xdr:rowOff>
    </xdr:from>
    <xdr:to>
      <xdr:col>4</xdr:col>
      <xdr:colOff>4829736</xdr:colOff>
      <xdr:row>168</xdr:row>
      <xdr:rowOff>145675</xdr:rowOff>
    </xdr:to>
    <xdr:sp macro="" textlink="">
      <xdr:nvSpPr>
        <xdr:cNvPr id="9" name="Скругленная прямоугольная выноска 8">
          <a:extLst>
            <a:ext uri="{FF2B5EF4-FFF2-40B4-BE49-F238E27FC236}">
              <a16:creationId xmlns:a16="http://schemas.microsoft.com/office/drawing/2014/main" id="{00000000-0008-0000-1B00-000009000000}"/>
            </a:ext>
          </a:extLst>
        </xdr:cNvPr>
        <xdr:cNvSpPr/>
      </xdr:nvSpPr>
      <xdr:spPr>
        <a:xfrm>
          <a:off x="1680882" y="43579675"/>
          <a:ext cx="4392707" cy="661147"/>
        </a:xfrm>
        <a:prstGeom prst="wedgeRoundRectCallout">
          <a:avLst>
            <a:gd name="adj1" fmla="val 2870"/>
            <a:gd name="adj2" fmla="val 65081"/>
            <a:gd name="adj3" fmla="val 16667"/>
          </a:avLst>
        </a:prstGeom>
        <a:solidFill>
          <a:schemeClr val="bg1">
            <a:lumMod val="95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latin typeface="Arial Narrow" panose="020B0606020202030204" pitchFamily="34" charset="0"/>
            </a:rPr>
            <a:t>До 01.02.2014 действовало Положение 215-П </a:t>
          </a:r>
          <a:r>
            <a:rPr lang="ru-RU" sz="1400" b="1" baseline="0">
              <a:latin typeface="Arial Narrow" panose="020B0606020202030204" pitchFamily="34" charset="0"/>
            </a:rPr>
            <a:t>                   В 2014-2018 (до окт</a:t>
          </a:r>
          <a:r>
            <a:rPr lang="en-US" sz="1400" b="1" baseline="0">
              <a:latin typeface="Arial Narrow" panose="020B0606020202030204" pitchFamily="34" charset="0"/>
            </a:rPr>
            <a:t>'</a:t>
          </a:r>
          <a:r>
            <a:rPr lang="ru-RU" sz="1400" b="1" baseline="0">
              <a:latin typeface="Arial Narrow" panose="020B0606020202030204" pitchFamily="34" charset="0"/>
            </a:rPr>
            <a:t>2018)</a:t>
          </a:r>
          <a:r>
            <a:rPr lang="en-US" sz="1400" b="1" baseline="0">
              <a:latin typeface="Arial Narrow" panose="020B0606020202030204" pitchFamily="34" charset="0"/>
            </a:rPr>
            <a:t> </a:t>
          </a:r>
          <a:r>
            <a:rPr lang="ru-RU" sz="1400" b="1" baseline="0">
              <a:latin typeface="Arial Narrow" panose="020B0606020202030204" pitchFamily="34" charset="0"/>
            </a:rPr>
            <a:t>действовало Положение 395-П</a:t>
          </a:r>
          <a:endParaRPr lang="ru-RU" sz="1400" b="1">
            <a:latin typeface="Arial Narrow" panose="020B0606020202030204" pitchFamily="34" charset="0"/>
          </a:endParaRPr>
        </a:p>
      </xdr:txBody>
    </xdr:sp>
    <xdr:clientData/>
  </xdr:twoCellAnchor>
  <xdr:twoCellAnchor>
    <xdr:from>
      <xdr:col>6</xdr:col>
      <xdr:colOff>729423</xdr:colOff>
      <xdr:row>350</xdr:row>
      <xdr:rowOff>154782</xdr:rowOff>
    </xdr:from>
    <xdr:to>
      <xdr:col>12</xdr:col>
      <xdr:colOff>1042147</xdr:colOff>
      <xdr:row>359</xdr:row>
      <xdr:rowOff>90608</xdr:rowOff>
    </xdr:to>
    <xdr:sp macro="" textlink="">
      <xdr:nvSpPr>
        <xdr:cNvPr id="10" name="Скругленный прямоугольник 9">
          <a:extLst>
            <a:ext uri="{FF2B5EF4-FFF2-40B4-BE49-F238E27FC236}">
              <a16:creationId xmlns:a16="http://schemas.microsoft.com/office/drawing/2014/main" id="{00000000-0008-0000-1B00-00000A000000}"/>
            </a:ext>
          </a:extLst>
        </xdr:cNvPr>
        <xdr:cNvSpPr/>
      </xdr:nvSpPr>
      <xdr:spPr>
        <a:xfrm>
          <a:off x="10266329" y="108715970"/>
          <a:ext cx="9694849" cy="1650326"/>
        </a:xfrm>
        <a:prstGeom prst="roundRect">
          <a:avLst/>
        </a:prstGeom>
        <a:solidFill>
          <a:schemeClr val="bg1">
            <a:lumMod val="95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ru-RU" sz="1400"/>
            <a:t>Ручной ввод из (1) пояснительной записки к годовой финансовой</a:t>
          </a:r>
          <a:r>
            <a:rPr lang="ru-RU" sz="1400" baseline="0"/>
            <a:t> отчетности банка, раздел "Информация о принимаемых рисках, процедурах их оценки ..." или</a:t>
          </a:r>
          <a:br>
            <a:rPr lang="ru-RU" sz="1400"/>
          </a:br>
          <a:r>
            <a:rPr lang="ru-RU" sz="1400"/>
            <a:t>(2) документа "</a:t>
          </a:r>
          <a:r>
            <a:rPr lang="ru-RU" sz="1400" i="1"/>
            <a:t>Информация о принимаемых рисках, процедурах их оценки, управления рисками и капиталом</a:t>
          </a:r>
          <a:r>
            <a:rPr lang="ru-RU" sz="1400"/>
            <a:t>"</a:t>
          </a:r>
          <a:r>
            <a:rPr lang="ru-RU" sz="1400" baseline="0"/>
            <a:t> на </a:t>
          </a:r>
          <a:r>
            <a:rPr lang="ru-RU" sz="1400" b="1" baseline="0"/>
            <a:t>индивидуальной</a:t>
          </a:r>
          <a:r>
            <a:rPr lang="ru-RU" sz="1400" baseline="0"/>
            <a:t> основе. Если нет на индивидуальной, тогда см для банковской группы. </a:t>
          </a:r>
          <a:r>
            <a:rPr lang="ru-RU" sz="1400" baseline="0">
              <a:solidFill>
                <a:schemeClr val="dk1"/>
              </a:solidFill>
              <a:effectLst/>
              <a:latin typeface="+mn-lt"/>
              <a:ea typeface="+mn-ea"/>
              <a:cs typeface="+mn-cs"/>
            </a:rPr>
            <a:t>См. раздел веб-сайта банка "Раскрытие информации" или "Раскрытие информации для регулятивных целей".</a:t>
          </a:r>
          <a:br>
            <a:rPr lang="ru-RU" sz="1400" baseline="0"/>
          </a:br>
          <a:r>
            <a:rPr lang="ru-RU" sz="1400" baseline="0"/>
            <a:t>Обычно это </a:t>
          </a:r>
          <a:r>
            <a:rPr lang="ru-RU" sz="1400" b="1" i="1" baseline="0">
              <a:solidFill>
                <a:srgbClr val="C00000"/>
              </a:solidFill>
            </a:rPr>
            <a:t>Таблица 2.1.</a:t>
          </a:r>
          <a:r>
            <a:rPr lang="ru-RU" sz="1400" b="1" i="1" baseline="0"/>
            <a:t> </a:t>
          </a:r>
          <a:r>
            <a:rPr lang="ru-RU" sz="1400" baseline="0"/>
            <a:t>Нужны данные из </a:t>
          </a:r>
          <a:r>
            <a:rPr lang="ru-RU" sz="1400" b="1" u="sng" baseline="0"/>
            <a:t>колонки</a:t>
          </a:r>
          <a:r>
            <a:rPr lang="ru-RU" sz="1400" baseline="0"/>
            <a:t> "</a:t>
          </a:r>
          <a:r>
            <a:rPr lang="ru-RU" sz="1400" b="1" i="0" u="none" strike="noStrike" baseline="0">
              <a:solidFill>
                <a:srgbClr val="C00000"/>
              </a:solidFill>
              <a:latin typeface="+mn-lt"/>
              <a:ea typeface="+mn-ea"/>
              <a:cs typeface="+mn-cs"/>
            </a:rPr>
            <a:t>Требования (обязательства), </a:t>
          </a:r>
          <a:r>
            <a:rPr lang="ru-RU" sz="1400" b="1" i="0" u="sng" strike="noStrike" baseline="0">
              <a:solidFill>
                <a:srgbClr val="C00000"/>
              </a:solidFill>
              <a:latin typeface="+mn-lt"/>
              <a:ea typeface="+mn-ea"/>
              <a:cs typeface="+mn-cs"/>
            </a:rPr>
            <a:t>взвешенные по уровню риска</a:t>
          </a:r>
          <a:r>
            <a:rPr lang="ru-RU" sz="1400" b="0" i="0" u="none" strike="noStrike" baseline="0">
              <a:solidFill>
                <a:schemeClr val="dk1"/>
              </a:solidFill>
              <a:latin typeface="+mn-lt"/>
              <a:ea typeface="+mn-ea"/>
              <a:cs typeface="+mn-cs"/>
            </a:rPr>
            <a:t>".</a:t>
          </a:r>
          <a:endParaRPr lang="ru-RU" sz="1400" baseline="0"/>
        </a:p>
      </xdr:txBody>
    </xdr:sp>
    <xdr:clientData/>
  </xdr:twoCellAnchor>
  <xdr:twoCellAnchor>
    <xdr:from>
      <xdr:col>8</xdr:col>
      <xdr:colOff>295427</xdr:colOff>
      <xdr:row>0</xdr:row>
      <xdr:rowOff>189482</xdr:rowOff>
    </xdr:from>
    <xdr:to>
      <xdr:col>9</xdr:col>
      <xdr:colOff>843643</xdr:colOff>
      <xdr:row>2</xdr:row>
      <xdr:rowOff>136072</xdr:rowOff>
    </xdr:to>
    <xdr:sp macro="" textlink="">
      <xdr:nvSpPr>
        <xdr:cNvPr id="12" name="Скругленная прямоугольная выноска 11">
          <a:extLst>
            <a:ext uri="{FF2B5EF4-FFF2-40B4-BE49-F238E27FC236}">
              <a16:creationId xmlns:a16="http://schemas.microsoft.com/office/drawing/2014/main" id="{00000000-0008-0000-1B00-00000C000000}"/>
            </a:ext>
          </a:extLst>
        </xdr:cNvPr>
        <xdr:cNvSpPr/>
      </xdr:nvSpPr>
      <xdr:spPr>
        <a:xfrm>
          <a:off x="12677927" y="189482"/>
          <a:ext cx="2589287" cy="368411"/>
        </a:xfrm>
        <a:prstGeom prst="wedgeRoundRectCallout">
          <a:avLst>
            <a:gd name="adj1" fmla="val -66308"/>
            <a:gd name="adj2" fmla="val -23010"/>
            <a:gd name="adj3" fmla="val 16667"/>
          </a:avLst>
        </a:prstGeom>
        <a:solidFill>
          <a:schemeClr val="bg1">
            <a:lumMod val="95000"/>
          </a:schemeClr>
        </a:solidFill>
        <a:ln w="38100">
          <a:solidFill>
            <a:schemeClr val="accent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rgbClr val="000099"/>
              </a:solidFill>
              <a:latin typeface="Arial Narrow" panose="020B0606020202030204" pitchFamily="34" charset="0"/>
            </a:rPr>
            <a:t>Нужно вписать название банка</a:t>
          </a:r>
        </a:p>
      </xdr:txBody>
    </xdr:sp>
    <xdr:clientData/>
  </xdr:twoCellAnchor>
  <xdr:twoCellAnchor>
    <xdr:from>
      <xdr:col>19</xdr:col>
      <xdr:colOff>627531</xdr:colOff>
      <xdr:row>9</xdr:row>
      <xdr:rowOff>329045</xdr:rowOff>
    </xdr:from>
    <xdr:to>
      <xdr:col>26</xdr:col>
      <xdr:colOff>407895</xdr:colOff>
      <xdr:row>23</xdr:row>
      <xdr:rowOff>443549</xdr:rowOff>
    </xdr:to>
    <xdr:sp macro="" textlink="">
      <xdr:nvSpPr>
        <xdr:cNvPr id="13" name="Скругленная прямоугольная выноска 12">
          <a:extLst>
            <a:ext uri="{FF2B5EF4-FFF2-40B4-BE49-F238E27FC236}">
              <a16:creationId xmlns:a16="http://schemas.microsoft.com/office/drawing/2014/main" id="{00000000-0008-0000-1B00-00000D000000}"/>
            </a:ext>
          </a:extLst>
        </xdr:cNvPr>
        <xdr:cNvSpPr/>
      </xdr:nvSpPr>
      <xdr:spPr>
        <a:xfrm>
          <a:off x="19845619" y="2446957"/>
          <a:ext cx="4083423" cy="5033886"/>
        </a:xfrm>
        <a:prstGeom prst="wedgeRoundRectCallout">
          <a:avLst>
            <a:gd name="adj1" fmla="val -66308"/>
            <a:gd name="adj2" fmla="val -23010"/>
            <a:gd name="adj3" fmla="val 16667"/>
          </a:avLst>
        </a:prstGeom>
        <a:solidFill>
          <a:schemeClr val="bg1">
            <a:lumMod val="95000"/>
          </a:schemeClr>
        </a:solidFill>
        <a:ln w="38100">
          <a:solidFill>
            <a:srgbClr val="FFC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ysClr val="windowText" lastClr="000000"/>
              </a:solidFill>
              <a:latin typeface="Arial Narrow" panose="020B0606020202030204" pitchFamily="34" charset="0"/>
            </a:rPr>
            <a:t>Здесь и далее ниже нужно вести данные по банку из отчетности</a:t>
          </a:r>
          <a:r>
            <a:rPr lang="ru-RU" sz="1400" b="1" baseline="0">
              <a:solidFill>
                <a:sysClr val="windowText" lastClr="000000"/>
              </a:solidFill>
              <a:latin typeface="Arial Narrow" panose="020B0606020202030204" pitchFamily="34" charset="0"/>
            </a:rPr>
            <a:t> и расшифровок. Отчетные формы удобно трансформировать в </a:t>
          </a:r>
          <a:r>
            <a:rPr lang="en-US" sz="1400" b="1" baseline="0">
              <a:solidFill>
                <a:sysClr val="windowText" lastClr="000000"/>
              </a:solidFill>
              <a:latin typeface="Arial Narrow" panose="020B0606020202030204" pitchFamily="34" charset="0"/>
            </a:rPr>
            <a:t>Excel </a:t>
          </a:r>
          <a:r>
            <a:rPr lang="ru-RU" sz="1400" b="1" baseline="0">
              <a:solidFill>
                <a:sysClr val="windowText" lastClr="000000"/>
              </a:solidFill>
              <a:latin typeface="Arial Narrow" panose="020B0606020202030204" pitchFamily="34" charset="0"/>
            </a:rPr>
            <a:t>из </a:t>
          </a:r>
          <a:r>
            <a:rPr lang="en-US" sz="1400" b="1" baseline="0">
              <a:solidFill>
                <a:sysClr val="windowText" lastClr="000000"/>
              </a:solidFill>
              <a:latin typeface="Arial Narrow" panose="020B0606020202030204" pitchFamily="34" charset="0"/>
            </a:rPr>
            <a:t>html-</a:t>
          </a:r>
          <a:r>
            <a:rPr lang="ru-RU" sz="1400" b="1" baseline="0">
              <a:solidFill>
                <a:sysClr val="windowText" lastClr="000000"/>
              </a:solidFill>
              <a:latin typeface="Arial Narrow" panose="020B0606020202030204" pitchFamily="34" charset="0"/>
            </a:rPr>
            <a:t>таблиц на сайте ЦБ РФ (</a:t>
          </a:r>
          <a:r>
            <a:rPr lang="en-US" sz="1400" b="1" baseline="0">
              <a:solidFill>
                <a:srgbClr val="000099"/>
              </a:solidFill>
              <a:latin typeface="Arial Narrow" panose="020B0606020202030204" pitchFamily="34" charset="0"/>
            </a:rPr>
            <a:t>https://cbr.ru/banking_sector/otchetnost-kreditnykh-organizaciy/transparent/</a:t>
          </a:r>
          <a:r>
            <a:rPr lang="ru-RU" sz="1400" b="1" baseline="0">
              <a:solidFill>
                <a:sysClr val="windowText" lastClr="000000"/>
              </a:solidFill>
              <a:latin typeface="Arial Narrow" panose="020B0606020202030204" pitchFamily="34" charset="0"/>
            </a:rPr>
            <a:t>). Саму отчетность и расшифровки можно также найти на сайте банка или на Сервере раскрытия корпоративной информации (</a:t>
          </a:r>
          <a:r>
            <a:rPr lang="en-US" sz="1400" b="1" baseline="0">
              <a:solidFill>
                <a:srgbClr val="000099"/>
              </a:solidFill>
              <a:latin typeface="Arial Narrow" panose="020B0606020202030204" pitchFamily="34" charset="0"/>
            </a:rPr>
            <a:t>http://www.e-disclosure.ru/poisk-po-kompaniyam</a:t>
          </a:r>
          <a:r>
            <a:rPr lang="ru-RU" sz="1400" b="1" baseline="0">
              <a:solidFill>
                <a:sysClr val="windowText" lastClr="000000"/>
              </a:solidFill>
              <a:latin typeface="Arial Narrow" panose="020B0606020202030204" pitchFamily="34" charset="0"/>
            </a:rPr>
            <a:t>)</a:t>
          </a:r>
          <a:endParaRPr lang="ru-RU" sz="1400" b="1">
            <a:solidFill>
              <a:sysClr val="windowText" lastClr="000000"/>
            </a:solidFill>
            <a:latin typeface="Arial Narrow" panose="020B0606020202030204" pitchFamily="34" charset="0"/>
          </a:endParaRPr>
        </a:p>
      </xdr:txBody>
    </xdr:sp>
    <xdr:clientData/>
  </xdr:twoCellAnchor>
  <xdr:twoCellAnchor>
    <xdr:from>
      <xdr:col>13</xdr:col>
      <xdr:colOff>190499</xdr:colOff>
      <xdr:row>129</xdr:row>
      <xdr:rowOff>173182</xdr:rowOff>
    </xdr:from>
    <xdr:to>
      <xdr:col>19</xdr:col>
      <xdr:colOff>26893</xdr:colOff>
      <xdr:row>131</xdr:row>
      <xdr:rowOff>536864</xdr:rowOff>
    </xdr:to>
    <xdr:sp macro="" textlink="">
      <xdr:nvSpPr>
        <xdr:cNvPr id="14" name="Скругленная прямоугольная выноска 13">
          <a:extLst>
            <a:ext uri="{FF2B5EF4-FFF2-40B4-BE49-F238E27FC236}">
              <a16:creationId xmlns:a16="http://schemas.microsoft.com/office/drawing/2014/main" id="{00000000-0008-0000-1B00-00000E000000}"/>
            </a:ext>
          </a:extLst>
        </xdr:cNvPr>
        <xdr:cNvSpPr/>
      </xdr:nvSpPr>
      <xdr:spPr>
        <a:xfrm>
          <a:off x="13023272" y="27864955"/>
          <a:ext cx="3473212" cy="935182"/>
        </a:xfrm>
        <a:prstGeom prst="wedgeRoundRectCallout">
          <a:avLst>
            <a:gd name="adj1" fmla="val -66308"/>
            <a:gd name="adj2" fmla="val -23010"/>
            <a:gd name="adj3" fmla="val 16667"/>
          </a:avLst>
        </a:prstGeom>
        <a:solidFill>
          <a:schemeClr val="bg1">
            <a:lumMod val="95000"/>
          </a:schemeClr>
        </a:solidFill>
        <a:ln w="3810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ysClr val="windowText" lastClr="000000"/>
              </a:solidFill>
              <a:latin typeface="Arial Narrow" panose="020B0606020202030204" pitchFamily="34" charset="0"/>
            </a:rPr>
            <a:t>Расчет</a:t>
          </a:r>
          <a:r>
            <a:rPr lang="ru-RU" sz="1400" b="1" baseline="0">
              <a:solidFill>
                <a:sysClr val="windowText" lastClr="000000"/>
              </a:solidFill>
              <a:latin typeface="Arial Narrow" panose="020B0606020202030204" pitchFamily="34" charset="0"/>
            </a:rPr>
            <a:t> структуры собственного капитала по старой форме (в соответствии с Положением 215</a:t>
          </a:r>
          <a:r>
            <a:rPr lang="en-US" sz="1400" b="1" baseline="0">
              <a:solidFill>
                <a:sysClr val="windowText" lastClr="000000"/>
              </a:solidFill>
              <a:latin typeface="Arial Narrow" panose="020B0606020202030204" pitchFamily="34" charset="0"/>
            </a:rPr>
            <a:t>-</a:t>
          </a:r>
          <a:r>
            <a:rPr lang="ru-RU" sz="1400" b="1" baseline="0">
              <a:solidFill>
                <a:sysClr val="windowText" lastClr="000000"/>
              </a:solidFill>
              <a:latin typeface="Arial Narrow" panose="020B0606020202030204" pitchFamily="34" charset="0"/>
            </a:rPr>
            <a:t>П) не заполняем</a:t>
          </a:r>
          <a:endParaRPr lang="ru-RU" sz="1400" b="1">
            <a:solidFill>
              <a:sysClr val="windowText" lastClr="000000"/>
            </a:solidFill>
            <a:latin typeface="Arial Narrow" panose="020B0606020202030204" pitchFamily="34" charset="0"/>
          </a:endParaRPr>
        </a:p>
      </xdr:txBody>
    </xdr:sp>
    <xdr:clientData/>
  </xdr:twoCellAnchor>
  <xdr:twoCellAnchor>
    <xdr:from>
      <xdr:col>16</xdr:col>
      <xdr:colOff>608318</xdr:colOff>
      <xdr:row>380</xdr:row>
      <xdr:rowOff>123482</xdr:rowOff>
    </xdr:from>
    <xdr:to>
      <xdr:col>20</xdr:col>
      <xdr:colOff>476249</xdr:colOff>
      <xdr:row>381</xdr:row>
      <xdr:rowOff>163286</xdr:rowOff>
    </xdr:to>
    <xdr:sp macro="" textlink="">
      <xdr:nvSpPr>
        <xdr:cNvPr id="15" name="Скругленная прямоугольная выноска 14">
          <a:extLst>
            <a:ext uri="{FF2B5EF4-FFF2-40B4-BE49-F238E27FC236}">
              <a16:creationId xmlns:a16="http://schemas.microsoft.com/office/drawing/2014/main" id="{00000000-0008-0000-1B00-00000F000000}"/>
            </a:ext>
          </a:extLst>
        </xdr:cNvPr>
        <xdr:cNvSpPr/>
      </xdr:nvSpPr>
      <xdr:spPr>
        <a:xfrm>
          <a:off x="24774604" y="116872768"/>
          <a:ext cx="2371645" cy="611304"/>
        </a:xfrm>
        <a:prstGeom prst="wedgeRoundRectCallout">
          <a:avLst>
            <a:gd name="adj1" fmla="val -112069"/>
            <a:gd name="adj2" fmla="val 41375"/>
            <a:gd name="adj3" fmla="val 16667"/>
          </a:avLst>
        </a:prstGeom>
        <a:solidFill>
          <a:schemeClr val="bg1">
            <a:lumMod val="95000"/>
          </a:schemeClr>
        </a:solidFill>
        <a:ln w="38100">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rgbClr val="FF0000"/>
              </a:solidFill>
              <a:latin typeface="Arial Narrow" panose="020B0606020202030204" pitchFamily="34" charset="0"/>
            </a:rPr>
            <a:t>Тут вбита функция. Оставьте</a:t>
          </a:r>
          <a:r>
            <a:rPr lang="ru-RU" sz="1400" b="1" baseline="0">
              <a:solidFill>
                <a:srgbClr val="FF0000"/>
              </a:solidFill>
              <a:latin typeface="Arial Narrow" panose="020B0606020202030204" pitchFamily="34" charset="0"/>
            </a:rPr>
            <a:t> ее</a:t>
          </a:r>
          <a:endParaRPr lang="ru-RU" sz="1400" b="1">
            <a:solidFill>
              <a:srgbClr val="FF0000"/>
            </a:solidFill>
            <a:latin typeface="Arial Narrow" panose="020B0606020202030204" pitchFamily="34" charset="0"/>
          </a:endParaRPr>
        </a:p>
      </xdr:txBody>
    </xdr:sp>
    <xdr:clientData/>
  </xdr:twoCellAnchor>
  <xdr:twoCellAnchor>
    <xdr:from>
      <xdr:col>17</xdr:col>
      <xdr:colOff>119188</xdr:colOff>
      <xdr:row>60</xdr:row>
      <xdr:rowOff>361645</xdr:rowOff>
    </xdr:from>
    <xdr:to>
      <xdr:col>24</xdr:col>
      <xdr:colOff>236341</xdr:colOff>
      <xdr:row>66</xdr:row>
      <xdr:rowOff>56029</xdr:rowOff>
    </xdr:to>
    <xdr:sp macro="" textlink="">
      <xdr:nvSpPr>
        <xdr:cNvPr id="16" name="Скругленная прямоугольная выноска 15">
          <a:extLst>
            <a:ext uri="{FF2B5EF4-FFF2-40B4-BE49-F238E27FC236}">
              <a16:creationId xmlns:a16="http://schemas.microsoft.com/office/drawing/2014/main" id="{00000000-0008-0000-1B00-000010000000}"/>
            </a:ext>
          </a:extLst>
        </xdr:cNvPr>
        <xdr:cNvSpPr/>
      </xdr:nvSpPr>
      <xdr:spPr>
        <a:xfrm>
          <a:off x="17970159" y="17047204"/>
          <a:ext cx="4420211" cy="1184766"/>
        </a:xfrm>
        <a:prstGeom prst="wedgeRoundRectCallout">
          <a:avLst>
            <a:gd name="adj1" fmla="val -66308"/>
            <a:gd name="adj2" fmla="val -23010"/>
            <a:gd name="adj3" fmla="val 16667"/>
          </a:avLst>
        </a:prstGeom>
        <a:solidFill>
          <a:schemeClr val="bg1">
            <a:lumMod val="95000"/>
          </a:schemeClr>
        </a:solidFill>
        <a:ln w="38100">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ysClr val="windowText" lastClr="000000"/>
              </a:solidFill>
              <a:latin typeface="Arial Narrow" panose="020B0606020202030204" pitchFamily="34" charset="0"/>
            </a:rPr>
            <a:t>Здесь и далее необходимо</a:t>
          </a:r>
          <a:r>
            <a:rPr lang="ru-RU" sz="1400" b="1" baseline="0">
              <a:solidFill>
                <a:sysClr val="windowText" lastClr="000000"/>
              </a:solidFill>
              <a:latin typeface="Arial Narrow" panose="020B0606020202030204" pitchFamily="34" charset="0"/>
            </a:rPr>
            <a:t> смотреть на строку "проверка". Если она отлична от нуля, значит, есть ошибка ввода данных и нужно ее найти и исправить</a:t>
          </a:r>
          <a:endParaRPr lang="ru-RU" sz="1400" b="1">
            <a:solidFill>
              <a:sysClr val="windowText" lastClr="000000"/>
            </a:solidFill>
            <a:latin typeface="Arial Narrow" panose="020B0606020202030204" pitchFamily="34" charset="0"/>
          </a:endParaRPr>
        </a:p>
      </xdr:txBody>
    </xdr:sp>
    <xdr:clientData/>
  </xdr:twoCellAnchor>
  <xdr:twoCellAnchor>
    <xdr:from>
      <xdr:col>17</xdr:col>
      <xdr:colOff>455366</xdr:colOff>
      <xdr:row>382</xdr:row>
      <xdr:rowOff>183369</xdr:rowOff>
    </xdr:from>
    <xdr:to>
      <xdr:col>24</xdr:col>
      <xdr:colOff>572519</xdr:colOff>
      <xdr:row>388</xdr:row>
      <xdr:rowOff>79459</xdr:rowOff>
    </xdr:to>
    <xdr:sp macro="" textlink="">
      <xdr:nvSpPr>
        <xdr:cNvPr id="17" name="Скругленная прямоугольная выноска 16">
          <a:extLst>
            <a:ext uri="{FF2B5EF4-FFF2-40B4-BE49-F238E27FC236}">
              <a16:creationId xmlns:a16="http://schemas.microsoft.com/office/drawing/2014/main" id="{00000000-0008-0000-1B00-000011000000}"/>
            </a:ext>
          </a:extLst>
        </xdr:cNvPr>
        <xdr:cNvSpPr/>
      </xdr:nvSpPr>
      <xdr:spPr>
        <a:xfrm>
          <a:off x="18306337" y="86009222"/>
          <a:ext cx="4420211" cy="1173561"/>
        </a:xfrm>
        <a:prstGeom prst="wedgeRoundRectCallout">
          <a:avLst>
            <a:gd name="adj1" fmla="val -64944"/>
            <a:gd name="adj2" fmla="val -23010"/>
            <a:gd name="adj3" fmla="val 16667"/>
          </a:avLst>
        </a:prstGeom>
        <a:solidFill>
          <a:schemeClr val="bg1">
            <a:lumMod val="95000"/>
          </a:schemeClr>
        </a:solidFill>
        <a:ln w="38100">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ysClr val="windowText" lastClr="000000"/>
              </a:solidFill>
              <a:latin typeface="Arial Narrow" panose="020B0606020202030204" pitchFamily="34" charset="0"/>
            </a:rPr>
            <a:t>Здесь и далее необходимо</a:t>
          </a:r>
          <a:r>
            <a:rPr lang="ru-RU" sz="1400" b="1" baseline="0">
              <a:solidFill>
                <a:sysClr val="windowText" lastClr="000000"/>
              </a:solidFill>
              <a:latin typeface="Arial Narrow" panose="020B0606020202030204" pitchFamily="34" charset="0"/>
            </a:rPr>
            <a:t> смотреть на строку "</a:t>
          </a:r>
          <a:r>
            <a:rPr lang="ru-RU" sz="1400" b="1" baseline="0">
              <a:solidFill>
                <a:srgbClr val="0000FF"/>
              </a:solidFill>
              <a:latin typeface="Arial Narrow" panose="020B0606020202030204" pitchFamily="34" charset="0"/>
            </a:rPr>
            <a:t>проверка</a:t>
          </a:r>
          <a:r>
            <a:rPr lang="ru-RU" sz="1400" b="1" baseline="0">
              <a:solidFill>
                <a:sysClr val="windowText" lastClr="000000"/>
              </a:solidFill>
              <a:latin typeface="Arial Narrow" panose="020B0606020202030204" pitchFamily="34" charset="0"/>
            </a:rPr>
            <a:t>". Если она отлична от нуля, значит, есть ошибка ввода данных и нужно ее найти и исправить</a:t>
          </a:r>
          <a:endParaRPr lang="ru-RU" sz="1400" b="1">
            <a:solidFill>
              <a:sysClr val="windowText" lastClr="000000"/>
            </a:solidFill>
            <a:latin typeface="Arial Narrow" panose="020B0606020202030204" pitchFamily="34" charset="0"/>
          </a:endParaRPr>
        </a:p>
      </xdr:txBody>
    </xdr:sp>
    <xdr:clientData/>
  </xdr:twoCellAnchor>
  <xdr:twoCellAnchor>
    <xdr:from>
      <xdr:col>19</xdr:col>
      <xdr:colOff>568228</xdr:colOff>
      <xdr:row>403</xdr:row>
      <xdr:rowOff>249731</xdr:rowOff>
    </xdr:from>
    <xdr:to>
      <xdr:col>33</xdr:col>
      <xdr:colOff>204107</xdr:colOff>
      <xdr:row>410</xdr:row>
      <xdr:rowOff>467444</xdr:rowOff>
    </xdr:to>
    <xdr:sp macro="" textlink="">
      <xdr:nvSpPr>
        <xdr:cNvPr id="18" name="Скругленная прямоугольная выноска 17">
          <a:extLst>
            <a:ext uri="{FF2B5EF4-FFF2-40B4-BE49-F238E27FC236}">
              <a16:creationId xmlns:a16="http://schemas.microsoft.com/office/drawing/2014/main" id="{00000000-0008-0000-1B00-000012000000}"/>
            </a:ext>
          </a:extLst>
        </xdr:cNvPr>
        <xdr:cNvSpPr/>
      </xdr:nvSpPr>
      <xdr:spPr>
        <a:xfrm>
          <a:off x="19629434" y="91017378"/>
          <a:ext cx="8174761" cy="2414066"/>
        </a:xfrm>
        <a:prstGeom prst="wedgeRoundRectCallout">
          <a:avLst>
            <a:gd name="adj1" fmla="val -65783"/>
            <a:gd name="adj2" fmla="val -22736"/>
            <a:gd name="adj3" fmla="val 16667"/>
          </a:avLst>
        </a:prstGeom>
        <a:solidFill>
          <a:schemeClr val="bg1">
            <a:lumMod val="95000"/>
          </a:schemeClr>
        </a:solidFill>
        <a:ln w="38100">
          <a:solidFill>
            <a:srgbClr val="FFC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ysClr val="windowText" lastClr="000000"/>
              </a:solidFill>
              <a:latin typeface="Arial Narrow" panose="020B0606020202030204" pitchFamily="34" charset="0"/>
            </a:rPr>
            <a:t>Значение </a:t>
          </a:r>
          <a:r>
            <a:rPr lang="ru-RU" sz="1400" b="1">
              <a:solidFill>
                <a:srgbClr val="0000FF"/>
              </a:solidFill>
              <a:latin typeface="Arial Narrow" panose="020B0606020202030204" pitchFamily="34" charset="0"/>
            </a:rPr>
            <a:t>Норматива краткосрочной ликвидности </a:t>
          </a:r>
          <a:r>
            <a:rPr lang="ru-RU" sz="1400" b="1">
              <a:solidFill>
                <a:sysClr val="windowText" lastClr="000000"/>
              </a:solidFill>
              <a:latin typeface="Arial Narrow" panose="020B0606020202030204" pitchFamily="34" charset="0"/>
            </a:rPr>
            <a:t>и </a:t>
          </a:r>
          <a:r>
            <a:rPr lang="ru-RU" sz="1400" b="1">
              <a:solidFill>
                <a:srgbClr val="0000FF"/>
              </a:solidFill>
              <a:latin typeface="Arial Narrow" panose="020B0606020202030204" pitchFamily="34" charset="0"/>
            </a:rPr>
            <a:t>Норматива чистого стабильного</a:t>
          </a:r>
          <a:r>
            <a:rPr lang="ru-RU" sz="1400" b="1" baseline="0">
              <a:solidFill>
                <a:srgbClr val="0000FF"/>
              </a:solidFill>
              <a:latin typeface="Arial Narrow" panose="020B0606020202030204" pitchFamily="34" charset="0"/>
            </a:rPr>
            <a:t> фондирования </a:t>
          </a:r>
          <a:r>
            <a:rPr lang="ru-RU" sz="1400" b="1" baseline="0">
              <a:solidFill>
                <a:sysClr val="windowText" lastClr="000000"/>
              </a:solidFill>
              <a:latin typeface="Arial Narrow" panose="020B0606020202030204" pitchFamily="34" charset="0"/>
            </a:rPr>
            <a:t>- см. в одном из источников:</a:t>
          </a:r>
          <a:br>
            <a:rPr lang="ru-RU" sz="1400" b="1" baseline="0">
              <a:solidFill>
                <a:sysClr val="windowText" lastClr="000000"/>
              </a:solidFill>
              <a:latin typeface="Arial Narrow" panose="020B0606020202030204" pitchFamily="34" charset="0"/>
            </a:rPr>
          </a:br>
          <a:r>
            <a:rPr lang="ru-RU" sz="1400" b="1" baseline="0">
              <a:solidFill>
                <a:sysClr val="windowText" lastClr="000000"/>
              </a:solidFill>
              <a:latin typeface="Arial Narrow" panose="020B0606020202030204" pitchFamily="34" charset="0"/>
            </a:rPr>
            <a:t>1) в "</a:t>
          </a:r>
          <a:r>
            <a:rPr lang="ru-RU" sz="1400" b="1" i="1" baseline="0">
              <a:solidFill>
                <a:srgbClr val="C00000"/>
              </a:solidFill>
              <a:latin typeface="Arial Narrow" panose="020B0606020202030204" pitchFamily="34" charset="0"/>
            </a:rPr>
            <a:t>Информации о принимаемых рисках, процедурах их оценки, управления рисками и капиталом</a:t>
          </a:r>
          <a:r>
            <a:rPr lang="ru-RU" sz="1400" b="1" baseline="0">
              <a:solidFill>
                <a:sysClr val="windowText" lastClr="000000"/>
              </a:solidFill>
              <a:latin typeface="Arial Narrow" panose="020B0606020202030204" pitchFamily="34" charset="0"/>
            </a:rPr>
            <a:t>". Эта отчетность располагается на сайте банка в разделе "Раскрытие информации для регулятивных целей"</a:t>
          </a:r>
          <a:br>
            <a:rPr lang="en-US" sz="1400" b="1" baseline="0">
              <a:solidFill>
                <a:sysClr val="windowText" lastClr="000000"/>
              </a:solidFill>
              <a:latin typeface="Arial Narrow" panose="020B0606020202030204" pitchFamily="34" charset="0"/>
            </a:rPr>
          </a:br>
          <a:r>
            <a:rPr lang="en-US" sz="1400" b="1" baseline="0">
              <a:solidFill>
                <a:sysClr val="windowText" lastClr="000000"/>
              </a:solidFill>
              <a:latin typeface="Arial Narrow" panose="020B0606020202030204" pitchFamily="34" charset="0"/>
            </a:rPr>
            <a:t>2</a:t>
          </a:r>
          <a:r>
            <a:rPr lang="ru-RU" sz="1400" b="1" baseline="0">
              <a:solidFill>
                <a:sysClr val="windowText" lastClr="000000"/>
              </a:solidFill>
              <a:latin typeface="Arial Narrow" panose="020B0606020202030204" pitchFamily="34" charset="0"/>
            </a:rPr>
            <a:t>) </a:t>
          </a:r>
          <a:r>
            <a:rPr lang="ru-RU" sz="1400" b="1" baseline="0">
              <a:solidFill>
                <a:sysClr val="windowText" lastClr="000000"/>
              </a:solidFill>
              <a:latin typeface="Arial Narrow" panose="020B0606020202030204" pitchFamily="34" charset="0"/>
              <a:ea typeface="+mn-ea"/>
              <a:cs typeface="+mn-cs"/>
            </a:rPr>
            <a:t>Форма на сайте ЦБ (</a:t>
          </a:r>
          <a:r>
            <a:rPr lang="en-US" sz="1400" b="1" baseline="0">
              <a:solidFill>
                <a:sysClr val="windowText" lastClr="000000"/>
              </a:solidFill>
              <a:latin typeface="Arial Narrow" panose="020B0606020202030204" pitchFamily="34" charset="0"/>
              <a:ea typeface="+mn-ea"/>
              <a:cs typeface="+mn-cs"/>
            </a:rPr>
            <a:t>http://www.cbr.ru/banking_sector/otchetnost-kreditnykh-organizaciy/transparent/</a:t>
          </a:r>
          <a:r>
            <a:rPr lang="ru-RU" sz="1400" b="1" baseline="0">
              <a:solidFill>
                <a:sysClr val="windowText" lastClr="000000"/>
              </a:solidFill>
              <a:latin typeface="Arial Narrow" panose="020B0606020202030204" pitchFamily="34" charset="0"/>
              <a:ea typeface="+mn-ea"/>
              <a:cs typeface="+mn-cs"/>
            </a:rPr>
            <a:t>) "</a:t>
          </a:r>
          <a:r>
            <a:rPr lang="ru-RU" sz="1400" b="1" i="1" baseline="0">
              <a:solidFill>
                <a:srgbClr val="C00000"/>
              </a:solidFill>
              <a:latin typeface="Arial Narrow" panose="020B0606020202030204" pitchFamily="34" charset="0"/>
              <a:ea typeface="+mn-ea"/>
              <a:cs typeface="+mn-cs"/>
            </a:rPr>
            <a:t>Сведения об обязательных нормативах, показателе финансового рычага и нормативе краткосрочной ликвидности (публикуемая форма) </a:t>
          </a:r>
          <a:r>
            <a:rPr lang="ru-RU" sz="1400" b="1" i="1" u="sng" baseline="0">
              <a:solidFill>
                <a:srgbClr val="C00000"/>
              </a:solidFill>
              <a:latin typeface="Arial Narrow" panose="020B0606020202030204" pitchFamily="34" charset="0"/>
              <a:ea typeface="+mn-ea"/>
              <a:cs typeface="+mn-cs"/>
            </a:rPr>
            <a:t>головной кредитной </a:t>
          </a:r>
          <a:r>
            <a:rPr lang="ru-RU" sz="1400" b="1" i="1" baseline="0">
              <a:solidFill>
                <a:srgbClr val="C00000"/>
              </a:solidFill>
              <a:latin typeface="Arial Narrow" panose="020B0606020202030204" pitchFamily="34" charset="0"/>
              <a:ea typeface="+mn-ea"/>
              <a:cs typeface="+mn-cs"/>
            </a:rPr>
            <a:t>организации банковской группы</a:t>
          </a:r>
          <a:r>
            <a:rPr lang="ru-RU" sz="1400" b="1" baseline="0">
              <a:solidFill>
                <a:sysClr val="windowText" lastClr="000000"/>
              </a:solidFill>
              <a:latin typeface="Arial Narrow" panose="020B0606020202030204" pitchFamily="34" charset="0"/>
              <a:ea typeface="+mn-ea"/>
              <a:cs typeface="+mn-cs"/>
            </a:rPr>
            <a:t>" (внутри раздела "Годовая (промежуточная) отчётность" страницы нужного банка</a:t>
          </a:r>
        </a:p>
      </xdr:txBody>
    </xdr:sp>
    <xdr:clientData/>
  </xdr:twoCellAnchor>
  <xdr:twoCellAnchor>
    <xdr:from>
      <xdr:col>17</xdr:col>
      <xdr:colOff>71157</xdr:colOff>
      <xdr:row>404</xdr:row>
      <xdr:rowOff>12887</xdr:rowOff>
    </xdr:from>
    <xdr:to>
      <xdr:col>17</xdr:col>
      <xdr:colOff>337857</xdr:colOff>
      <xdr:row>405</xdr:row>
      <xdr:rowOff>498662</xdr:rowOff>
    </xdr:to>
    <xdr:sp macro="" textlink="">
      <xdr:nvSpPr>
        <xdr:cNvPr id="2" name="Правая фигурная скобка 1">
          <a:extLst>
            <a:ext uri="{FF2B5EF4-FFF2-40B4-BE49-F238E27FC236}">
              <a16:creationId xmlns:a16="http://schemas.microsoft.com/office/drawing/2014/main" id="{00000000-0008-0000-1B00-000002000000}"/>
            </a:ext>
          </a:extLst>
        </xdr:cNvPr>
        <xdr:cNvSpPr/>
      </xdr:nvSpPr>
      <xdr:spPr>
        <a:xfrm>
          <a:off x="17922128" y="91161534"/>
          <a:ext cx="266700" cy="990040"/>
        </a:xfrm>
        <a:prstGeom prst="rightBrac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ru-RU" sz="1100"/>
        </a:p>
      </xdr:txBody>
    </xdr:sp>
    <xdr:clientData/>
  </xdr:twoCellAnchor>
  <xdr:twoCellAnchor>
    <xdr:from>
      <xdr:col>19</xdr:col>
      <xdr:colOff>529324</xdr:colOff>
      <xdr:row>415</xdr:row>
      <xdr:rowOff>38756</xdr:rowOff>
    </xdr:from>
    <xdr:to>
      <xdr:col>29</xdr:col>
      <xdr:colOff>601115</xdr:colOff>
      <xdr:row>428</xdr:row>
      <xdr:rowOff>100853</xdr:rowOff>
    </xdr:to>
    <xdr:sp macro="" textlink="">
      <xdr:nvSpPr>
        <xdr:cNvPr id="19" name="Скругленная прямоугольная выноска 18">
          <a:extLst>
            <a:ext uri="{FF2B5EF4-FFF2-40B4-BE49-F238E27FC236}">
              <a16:creationId xmlns:a16="http://schemas.microsoft.com/office/drawing/2014/main" id="{00000000-0008-0000-1B00-000013000000}"/>
            </a:ext>
          </a:extLst>
        </xdr:cNvPr>
        <xdr:cNvSpPr/>
      </xdr:nvSpPr>
      <xdr:spPr>
        <a:xfrm>
          <a:off x="26504559" y="126620403"/>
          <a:ext cx="6190203" cy="2617038"/>
        </a:xfrm>
        <a:prstGeom prst="wedgeRoundRectCallout">
          <a:avLst>
            <a:gd name="adj1" fmla="val -87206"/>
            <a:gd name="adj2" fmla="val -26686"/>
            <a:gd name="adj3" fmla="val 16667"/>
          </a:avLst>
        </a:prstGeom>
        <a:solidFill>
          <a:schemeClr val="bg1">
            <a:lumMod val="95000"/>
          </a:schemeClr>
        </a:solidFill>
        <a:ln w="38100">
          <a:solidFill>
            <a:srgbClr val="FFC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ysClr val="windowText" lastClr="000000"/>
              </a:solidFill>
              <a:latin typeface="Arial Narrow" panose="020B0606020202030204" pitchFamily="34" charset="0"/>
            </a:rPr>
            <a:t>Среднесписочную численность сотрудников </a:t>
          </a:r>
          <a:r>
            <a:rPr lang="ru-RU" sz="1400" b="1">
              <a:solidFill>
                <a:srgbClr val="C00000"/>
              </a:solidFill>
              <a:latin typeface="Arial Narrow" panose="020B0606020202030204" pitchFamily="34" charset="0"/>
            </a:rPr>
            <a:t>банка </a:t>
          </a:r>
          <a:r>
            <a:rPr lang="ru-RU" sz="1400" b="1">
              <a:solidFill>
                <a:sysClr val="windowText" lastClr="000000"/>
              </a:solidFill>
              <a:latin typeface="Arial Narrow" panose="020B0606020202030204" pitchFamily="34" charset="0"/>
            </a:rPr>
            <a:t>по итогам года  можно найти в </a:t>
          </a:r>
          <a:r>
            <a:rPr lang="ru-RU" sz="1400" b="1">
              <a:solidFill>
                <a:srgbClr val="0000FF"/>
              </a:solidFill>
              <a:latin typeface="Arial Narrow" panose="020B0606020202030204" pitchFamily="34" charset="0"/>
            </a:rPr>
            <a:t>(1)</a:t>
          </a:r>
          <a:r>
            <a:rPr lang="ru-RU" sz="1400" b="1">
              <a:solidFill>
                <a:sysClr val="windowText" lastClr="000000"/>
              </a:solidFill>
              <a:latin typeface="Arial Narrow" panose="020B0606020202030204" pitchFamily="34" charset="0"/>
            </a:rPr>
            <a:t> </a:t>
          </a:r>
          <a:r>
            <a:rPr lang="ru-RU" sz="1400" b="1">
              <a:solidFill>
                <a:srgbClr val="0000FF"/>
              </a:solidFill>
              <a:latin typeface="Arial Narrow" panose="020B0606020202030204" pitchFamily="34" charset="0"/>
            </a:rPr>
            <a:t>Ежеквартальном отчете эмитента з</a:t>
          </a:r>
          <a:r>
            <a:rPr lang="ru-RU" sz="1400" b="1">
              <a:solidFill>
                <a:sysClr val="windowText" lastClr="000000"/>
              </a:solidFill>
              <a:latin typeface="Arial Narrow" panose="020B0606020202030204" pitchFamily="34" charset="0"/>
            </a:rPr>
            <a:t>а 4 квартал отчтеного года в разделе 5.7. Данные о численности и обобщенные данные о составе сотрудников (работников)</a:t>
          </a:r>
        </a:p>
        <a:p>
          <a:pPr algn="l"/>
          <a:r>
            <a:rPr lang="ru-RU" sz="1400" b="1">
              <a:solidFill>
                <a:sysClr val="windowText" lastClr="000000"/>
              </a:solidFill>
              <a:latin typeface="Arial Narrow" panose="020B0606020202030204" pitchFamily="34" charset="0"/>
            </a:rPr>
            <a:t>эмитента, а также об изменении численности сотрудников (работников) эмитента. Ежеквартальный отчет удобно скачать с Портала раскрытия (</a:t>
          </a:r>
          <a:r>
            <a:rPr lang="en-US" sz="1400" b="1">
              <a:solidFill>
                <a:sysClr val="windowText" lastClr="000000"/>
              </a:solidFill>
              <a:latin typeface="Arial Narrow" panose="020B0606020202030204" pitchFamily="34" charset="0"/>
            </a:rPr>
            <a:t>http://www.e-disclosure.ru/#</a:t>
          </a:r>
          <a:r>
            <a:rPr lang="ru-RU" sz="1400" b="1">
              <a:solidFill>
                <a:sysClr val="windowText" lastClr="000000"/>
              </a:solidFill>
              <a:latin typeface="Arial Narrow" panose="020B0606020202030204" pitchFamily="34" charset="0"/>
            </a:rPr>
            <a:t>), в карточке банка</a:t>
          </a:r>
          <a:r>
            <a:rPr lang="ru-RU" sz="1400" b="1" baseline="0">
              <a:solidFill>
                <a:sysClr val="windowText" lastClr="000000"/>
              </a:solidFill>
              <a:latin typeface="Arial Narrow" panose="020B0606020202030204" pitchFamily="34" charset="0"/>
            </a:rPr>
            <a:t> - раздел "Отчтеность" - подраздел "Квартальная".                                                                                                                             Либо см</a:t>
          </a:r>
          <a:r>
            <a:rPr lang="ru-RU" sz="1400" b="1" baseline="0">
              <a:solidFill>
                <a:srgbClr val="0000FF"/>
              </a:solidFill>
              <a:latin typeface="Arial Narrow" panose="020B0606020202030204" pitchFamily="34" charset="0"/>
            </a:rPr>
            <a:t>. (2) Годовой отчет / Отчет об устойчивом развитии</a:t>
          </a:r>
          <a:endParaRPr lang="ru-RU" sz="1400" b="1">
            <a:solidFill>
              <a:srgbClr val="0000FF"/>
            </a:solidFill>
            <a:latin typeface="Arial Narrow" panose="020B0606020202030204" pitchFamily="34" charset="0"/>
          </a:endParaRPr>
        </a:p>
      </xdr:txBody>
    </xdr:sp>
    <xdr:clientData/>
  </xdr:twoCellAnchor>
  <xdr:twoCellAnchor>
    <xdr:from>
      <xdr:col>16</xdr:col>
      <xdr:colOff>222080</xdr:colOff>
      <xdr:row>421</xdr:row>
      <xdr:rowOff>189481</xdr:rowOff>
    </xdr:from>
    <xdr:to>
      <xdr:col>18</xdr:col>
      <xdr:colOff>257735</xdr:colOff>
      <xdr:row>426</xdr:row>
      <xdr:rowOff>22412</xdr:rowOff>
    </xdr:to>
    <xdr:sp macro="" textlink="">
      <xdr:nvSpPr>
        <xdr:cNvPr id="20" name="Скругленная прямоугольная выноска 19">
          <a:extLst>
            <a:ext uri="{FF2B5EF4-FFF2-40B4-BE49-F238E27FC236}">
              <a16:creationId xmlns:a16="http://schemas.microsoft.com/office/drawing/2014/main" id="{00000000-0008-0000-1B00-000014000000}"/>
            </a:ext>
          </a:extLst>
        </xdr:cNvPr>
        <xdr:cNvSpPr/>
      </xdr:nvSpPr>
      <xdr:spPr>
        <a:xfrm>
          <a:off x="24381962" y="127970157"/>
          <a:ext cx="1245891" cy="796637"/>
        </a:xfrm>
        <a:prstGeom prst="wedgeRoundRectCallout">
          <a:avLst>
            <a:gd name="adj1" fmla="val -66308"/>
            <a:gd name="adj2" fmla="val -23010"/>
            <a:gd name="adj3" fmla="val 16667"/>
          </a:avLst>
        </a:prstGeom>
        <a:solidFill>
          <a:schemeClr val="bg1">
            <a:lumMod val="95000"/>
          </a:schemeClr>
        </a:solidFill>
        <a:ln w="38100">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rgbClr val="FF0000"/>
              </a:solidFill>
              <a:latin typeface="Arial Narrow" panose="020B0606020202030204" pitchFamily="34" charset="0"/>
            </a:rPr>
            <a:t>Данные о курсе уже внесены</a:t>
          </a:r>
        </a:p>
      </xdr:txBody>
    </xdr:sp>
    <xdr:clientData/>
  </xdr:twoCellAnchor>
  <xdr:twoCellAnchor>
    <xdr:from>
      <xdr:col>19</xdr:col>
      <xdr:colOff>288296</xdr:colOff>
      <xdr:row>440</xdr:row>
      <xdr:rowOff>52683</xdr:rowOff>
    </xdr:from>
    <xdr:to>
      <xdr:col>26</xdr:col>
      <xdr:colOff>405448</xdr:colOff>
      <xdr:row>444</xdr:row>
      <xdr:rowOff>108347</xdr:rowOff>
    </xdr:to>
    <xdr:sp macro="" textlink="">
      <xdr:nvSpPr>
        <xdr:cNvPr id="21" name="Скругленная прямоугольная выноска 20">
          <a:extLst>
            <a:ext uri="{FF2B5EF4-FFF2-40B4-BE49-F238E27FC236}">
              <a16:creationId xmlns:a16="http://schemas.microsoft.com/office/drawing/2014/main" id="{00000000-0008-0000-1B00-000015000000}"/>
            </a:ext>
          </a:extLst>
        </xdr:cNvPr>
        <xdr:cNvSpPr/>
      </xdr:nvSpPr>
      <xdr:spPr>
        <a:xfrm>
          <a:off x="28142117" y="134015004"/>
          <a:ext cx="4457831" cy="1171450"/>
        </a:xfrm>
        <a:prstGeom prst="wedgeRoundRectCallout">
          <a:avLst>
            <a:gd name="adj1" fmla="val -64944"/>
            <a:gd name="adj2" fmla="val -23010"/>
            <a:gd name="adj3" fmla="val 16667"/>
          </a:avLst>
        </a:prstGeom>
        <a:solidFill>
          <a:schemeClr val="bg1">
            <a:lumMod val="95000"/>
          </a:schemeClr>
        </a:solidFill>
        <a:ln w="38100">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ysClr val="windowText" lastClr="000000"/>
              </a:solidFill>
              <a:latin typeface="Arial Narrow" panose="020B0606020202030204" pitchFamily="34" charset="0"/>
            </a:rPr>
            <a:t>Здесь и далее необходимо</a:t>
          </a:r>
          <a:r>
            <a:rPr lang="ru-RU" sz="1400" b="1" baseline="0">
              <a:solidFill>
                <a:sysClr val="windowText" lastClr="000000"/>
              </a:solidFill>
              <a:latin typeface="Arial Narrow" panose="020B0606020202030204" pitchFamily="34" charset="0"/>
            </a:rPr>
            <a:t> смотреть на строку "</a:t>
          </a:r>
          <a:r>
            <a:rPr lang="ru-RU" sz="1400" b="1" baseline="0">
              <a:solidFill>
                <a:srgbClr val="0000FF"/>
              </a:solidFill>
              <a:latin typeface="Arial Narrow" panose="020B0606020202030204" pitchFamily="34" charset="0"/>
            </a:rPr>
            <a:t>проверка</a:t>
          </a:r>
          <a:r>
            <a:rPr lang="ru-RU" sz="1400" b="1" baseline="0">
              <a:solidFill>
                <a:sysClr val="windowText" lastClr="000000"/>
              </a:solidFill>
              <a:latin typeface="Arial Narrow" panose="020B0606020202030204" pitchFamily="34" charset="0"/>
            </a:rPr>
            <a:t>". Если она отлична от нуля, значит, есть ошибка ввода данных в расшифровку, нужно ее найти и исправить</a:t>
          </a:r>
          <a:endParaRPr lang="ru-RU" sz="1400" b="1">
            <a:solidFill>
              <a:sysClr val="windowText" lastClr="000000"/>
            </a:solidFill>
            <a:latin typeface="Arial Narrow" panose="020B0606020202030204" pitchFamily="34" charset="0"/>
          </a:endParaRPr>
        </a:p>
      </xdr:txBody>
    </xdr:sp>
    <xdr:clientData/>
  </xdr:twoCellAnchor>
  <xdr:twoCellAnchor>
    <xdr:from>
      <xdr:col>19</xdr:col>
      <xdr:colOff>112059</xdr:colOff>
      <xdr:row>555</xdr:row>
      <xdr:rowOff>324971</xdr:rowOff>
    </xdr:from>
    <xdr:to>
      <xdr:col>24</xdr:col>
      <xdr:colOff>281169</xdr:colOff>
      <xdr:row>566</xdr:row>
      <xdr:rowOff>5095</xdr:rowOff>
    </xdr:to>
    <xdr:sp macro="" textlink="">
      <xdr:nvSpPr>
        <xdr:cNvPr id="22" name="Скругленная прямоугольная выноска 21">
          <a:extLst>
            <a:ext uri="{FF2B5EF4-FFF2-40B4-BE49-F238E27FC236}">
              <a16:creationId xmlns:a16="http://schemas.microsoft.com/office/drawing/2014/main" id="{00000000-0008-0000-1B00-000016000000}"/>
            </a:ext>
          </a:extLst>
        </xdr:cNvPr>
        <xdr:cNvSpPr/>
      </xdr:nvSpPr>
      <xdr:spPr>
        <a:xfrm>
          <a:off x="19173265" y="125449853"/>
          <a:ext cx="3261933" cy="2201448"/>
        </a:xfrm>
        <a:prstGeom prst="wedgeRoundRectCallout">
          <a:avLst>
            <a:gd name="adj1" fmla="val -66308"/>
            <a:gd name="adj2" fmla="val -23010"/>
            <a:gd name="adj3" fmla="val 16667"/>
          </a:avLst>
        </a:prstGeom>
        <a:solidFill>
          <a:schemeClr val="bg1">
            <a:lumMod val="95000"/>
          </a:schemeClr>
        </a:solidFill>
        <a:ln w="38100">
          <a:solidFill>
            <a:schemeClr val="accent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rgbClr val="000099"/>
              </a:solidFill>
              <a:latin typeface="Arial Narrow" panose="020B0606020202030204" pitchFamily="34" charset="0"/>
            </a:rPr>
            <a:t>При необходимости можно</a:t>
          </a:r>
          <a:r>
            <a:rPr lang="ru-RU" sz="1400" b="1" baseline="0">
              <a:solidFill>
                <a:srgbClr val="000099"/>
              </a:solidFill>
              <a:latin typeface="Arial Narrow" panose="020B0606020202030204" pitchFamily="34" charset="0"/>
            </a:rPr>
            <a:t> менять название и очередность отраслей в списке исходя из расшифровок Вашего банка. Их даже может быть больше (оставлены свободные места)</a:t>
          </a:r>
          <a:endParaRPr lang="ru-RU" sz="1400" b="1">
            <a:solidFill>
              <a:srgbClr val="000099"/>
            </a:solidFill>
            <a:latin typeface="Arial Narrow" panose="020B0606020202030204" pitchFamily="34" charset="0"/>
          </a:endParaRPr>
        </a:p>
      </xdr:txBody>
    </xdr:sp>
    <xdr:clientData/>
  </xdr:twoCellAnchor>
  <xdr:twoCellAnchor>
    <xdr:from>
      <xdr:col>21</xdr:col>
      <xdr:colOff>496116</xdr:colOff>
      <xdr:row>659</xdr:row>
      <xdr:rowOff>46860</xdr:rowOff>
    </xdr:from>
    <xdr:to>
      <xdr:col>27</xdr:col>
      <xdr:colOff>159941</xdr:colOff>
      <xdr:row>668</xdr:row>
      <xdr:rowOff>100052</xdr:rowOff>
    </xdr:to>
    <xdr:sp macro="" textlink="">
      <xdr:nvSpPr>
        <xdr:cNvPr id="23" name="Скругленная прямоугольная выноска 22">
          <a:extLst>
            <a:ext uri="{FF2B5EF4-FFF2-40B4-BE49-F238E27FC236}">
              <a16:creationId xmlns:a16="http://schemas.microsoft.com/office/drawing/2014/main" id="{00000000-0008-0000-1B00-000017000000}"/>
            </a:ext>
          </a:extLst>
        </xdr:cNvPr>
        <xdr:cNvSpPr/>
      </xdr:nvSpPr>
      <xdr:spPr>
        <a:xfrm>
          <a:off x="20834792" y="147572301"/>
          <a:ext cx="3294531" cy="1790104"/>
        </a:xfrm>
        <a:prstGeom prst="wedgeRoundRectCallout">
          <a:avLst>
            <a:gd name="adj1" fmla="val -66308"/>
            <a:gd name="adj2" fmla="val -23010"/>
            <a:gd name="adj3" fmla="val 16667"/>
          </a:avLst>
        </a:prstGeom>
        <a:solidFill>
          <a:schemeClr val="bg1">
            <a:lumMod val="95000"/>
          </a:schemeClr>
        </a:solidFill>
        <a:ln w="38100">
          <a:solidFill>
            <a:schemeClr val="accent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rgbClr val="000099"/>
              </a:solidFill>
              <a:latin typeface="Arial Narrow" panose="020B0606020202030204" pitchFamily="34" charset="0"/>
            </a:rPr>
            <a:t>При необходимости можно</a:t>
          </a:r>
          <a:r>
            <a:rPr lang="ru-RU" sz="1400" b="1" baseline="0">
              <a:solidFill>
                <a:srgbClr val="000099"/>
              </a:solidFill>
              <a:latin typeface="Arial Narrow" panose="020B0606020202030204" pitchFamily="34" charset="0"/>
            </a:rPr>
            <a:t> менять название и очередность отраслей в списке исходя из расшифровок Вашего банка. Их даже может быть больше (оставлены свободные места)</a:t>
          </a:r>
          <a:endParaRPr lang="ru-RU" sz="1400" b="1">
            <a:solidFill>
              <a:srgbClr val="000099"/>
            </a:solidFill>
            <a:latin typeface="Arial Narrow" panose="020B0606020202030204" pitchFamily="34" charset="0"/>
          </a:endParaRPr>
        </a:p>
      </xdr:txBody>
    </xdr:sp>
    <xdr:clientData/>
  </xdr:twoCellAnchor>
  <xdr:twoCellAnchor>
    <xdr:from>
      <xdr:col>16</xdr:col>
      <xdr:colOff>515396</xdr:colOff>
      <xdr:row>745</xdr:row>
      <xdr:rowOff>1146638</xdr:rowOff>
    </xdr:from>
    <xdr:to>
      <xdr:col>21</xdr:col>
      <xdr:colOff>253732</xdr:colOff>
      <xdr:row>748</xdr:row>
      <xdr:rowOff>0</xdr:rowOff>
    </xdr:to>
    <xdr:sp macro="" textlink="">
      <xdr:nvSpPr>
        <xdr:cNvPr id="24" name="Скругленная прямоугольная выноска 23">
          <a:extLst>
            <a:ext uri="{FF2B5EF4-FFF2-40B4-BE49-F238E27FC236}">
              <a16:creationId xmlns:a16="http://schemas.microsoft.com/office/drawing/2014/main" id="{00000000-0008-0000-1B00-000018000000}"/>
            </a:ext>
          </a:extLst>
        </xdr:cNvPr>
        <xdr:cNvSpPr/>
      </xdr:nvSpPr>
      <xdr:spPr>
        <a:xfrm>
          <a:off x="24681682" y="203838638"/>
          <a:ext cx="2854371" cy="840005"/>
        </a:xfrm>
        <a:prstGeom prst="wedgeRoundRectCallout">
          <a:avLst>
            <a:gd name="adj1" fmla="val -73863"/>
            <a:gd name="adj2" fmla="val -11553"/>
            <a:gd name="adj3" fmla="val 16667"/>
          </a:avLst>
        </a:prstGeom>
        <a:solidFill>
          <a:schemeClr val="bg1">
            <a:lumMod val="95000"/>
          </a:schemeClr>
        </a:solidFill>
        <a:ln w="38100">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800" b="1">
              <a:solidFill>
                <a:srgbClr val="FF0000"/>
              </a:solidFill>
              <a:latin typeface="Arial Narrow" panose="020B0606020202030204" pitchFamily="34" charset="0"/>
            </a:rPr>
            <a:t>Тут вбита функция. Лучшее ее не менять</a:t>
          </a:r>
        </a:p>
      </xdr:txBody>
    </xdr:sp>
    <xdr:clientData/>
  </xdr:twoCellAnchor>
  <xdr:twoCellAnchor>
    <xdr:from>
      <xdr:col>4</xdr:col>
      <xdr:colOff>163285</xdr:colOff>
      <xdr:row>750</xdr:row>
      <xdr:rowOff>149678</xdr:rowOff>
    </xdr:from>
    <xdr:to>
      <xdr:col>4</xdr:col>
      <xdr:colOff>5255558</xdr:colOff>
      <xdr:row>764</xdr:row>
      <xdr:rowOff>54429</xdr:rowOff>
    </xdr:to>
    <xdr:sp macro="" textlink="">
      <xdr:nvSpPr>
        <xdr:cNvPr id="3" name="Скругленный прямоугольник 2">
          <a:extLst>
            <a:ext uri="{FF2B5EF4-FFF2-40B4-BE49-F238E27FC236}">
              <a16:creationId xmlns:a16="http://schemas.microsoft.com/office/drawing/2014/main" id="{00000000-0008-0000-1B00-000003000000}"/>
            </a:ext>
          </a:extLst>
        </xdr:cNvPr>
        <xdr:cNvSpPr/>
      </xdr:nvSpPr>
      <xdr:spPr>
        <a:xfrm>
          <a:off x="2272392" y="172089535"/>
          <a:ext cx="5092273" cy="2571751"/>
        </a:xfrm>
        <a:prstGeom prst="roundRect">
          <a:avLst/>
        </a:prstGeom>
        <a:solidFill>
          <a:schemeClr val="accent5">
            <a:lumMod val="20000"/>
            <a:lumOff val="80000"/>
          </a:schemeClr>
        </a:solidFill>
        <a:ln>
          <a:solidFill>
            <a:schemeClr val="accent5">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600" b="1">
              <a:solidFill>
                <a:srgbClr val="C00000"/>
              </a:solidFill>
              <a:latin typeface="Arial Narrow" panose="020B0606020202030204" pitchFamily="34" charset="0"/>
            </a:rPr>
            <a:t>Справка. </a:t>
          </a:r>
          <a:r>
            <a:rPr lang="ru-RU" sz="1600" b="0">
              <a:latin typeface="Arial Narrow" panose="020B0606020202030204" pitchFamily="34" charset="0"/>
            </a:rPr>
            <a:t>В</a:t>
          </a:r>
          <a:r>
            <a:rPr lang="ru-RU" sz="1600" b="0" baseline="0">
              <a:latin typeface="Arial Narrow" panose="020B0606020202030204" pitchFamily="34" charset="0"/>
            </a:rPr>
            <a:t> соответствии с Указанием №4212-У от 24.11.2016 строка "Операционные расходы" публикуемой формы 0409807 "Отчет о финансовых результатах" включает в себя большое количество симолов из формы 0409102 (см. ниже), в т.ч. тех, которые по смыслу не относятся к содержанию персонала  и функционированию банка (орг. и управ. расходы). Это мешает корректному расчету показателей операционной эффективности и требует заполнения таблицы выше. </a:t>
          </a:r>
          <a:endParaRPr lang="ru-RU" sz="1400" b="1">
            <a:solidFill>
              <a:srgbClr val="C00000"/>
            </a:solidFill>
            <a:latin typeface="Arial Narrow" panose="020B0606020202030204" pitchFamily="34" charset="0"/>
          </a:endParaRPr>
        </a:p>
      </xdr:txBody>
    </xdr:sp>
    <xdr:clientData/>
  </xdr:twoCellAnchor>
  <xdr:twoCellAnchor>
    <xdr:from>
      <xdr:col>18</xdr:col>
      <xdr:colOff>416218</xdr:colOff>
      <xdr:row>394</xdr:row>
      <xdr:rowOff>156082</xdr:rowOff>
    </xdr:from>
    <xdr:to>
      <xdr:col>25</xdr:col>
      <xdr:colOff>568740</xdr:colOff>
      <xdr:row>398</xdr:row>
      <xdr:rowOff>28328</xdr:rowOff>
    </xdr:to>
    <xdr:sp macro="" textlink="">
      <xdr:nvSpPr>
        <xdr:cNvPr id="27" name="Выноска 2 26">
          <a:extLst>
            <a:ext uri="{FF2B5EF4-FFF2-40B4-BE49-F238E27FC236}">
              <a16:creationId xmlns:a16="http://schemas.microsoft.com/office/drawing/2014/main" id="{00000000-0008-0000-1B00-00001B000000}"/>
            </a:ext>
          </a:extLst>
        </xdr:cNvPr>
        <xdr:cNvSpPr/>
      </xdr:nvSpPr>
      <xdr:spPr>
        <a:xfrm>
          <a:off x="18872306" y="88447229"/>
          <a:ext cx="4455581" cy="634246"/>
        </a:xfrm>
        <a:prstGeom prst="borderCallout2">
          <a:avLst>
            <a:gd name="adj1" fmla="val 18750"/>
            <a:gd name="adj2" fmla="val -8333"/>
            <a:gd name="adj3" fmla="val 18750"/>
            <a:gd name="adj4" fmla="val -16667"/>
            <a:gd name="adj5" fmla="val 208549"/>
            <a:gd name="adj6" fmla="val -36215"/>
          </a:avLst>
        </a:prstGeom>
        <a:solidFill>
          <a:schemeClr val="accent6">
            <a:lumMod val="20000"/>
            <a:lumOff val="8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ru-RU" sz="1800"/>
            <a:t>Норматив 9.1 </a:t>
          </a:r>
          <a:r>
            <a:rPr lang="ru-RU" sz="1800" b="1" u="sng">
              <a:solidFill>
                <a:srgbClr val="FF0000"/>
              </a:solidFill>
            </a:rPr>
            <a:t>исключен </a:t>
          </a:r>
          <a:r>
            <a:rPr lang="ru-RU" sz="1800"/>
            <a:t>с окт.</a:t>
          </a:r>
          <a:r>
            <a:rPr lang="ru-RU" sz="1800" baseline="0"/>
            <a:t> 2018 г. </a:t>
          </a:r>
          <a:r>
            <a:rPr lang="ru-RU" sz="1800"/>
            <a:t> </a:t>
          </a:r>
        </a:p>
      </xdr:txBody>
    </xdr:sp>
    <xdr:clientData/>
  </xdr:twoCellAnchor>
  <xdr:twoCellAnchor>
    <xdr:from>
      <xdr:col>17</xdr:col>
      <xdr:colOff>575283</xdr:colOff>
      <xdr:row>542</xdr:row>
      <xdr:rowOff>165613</xdr:rowOff>
    </xdr:from>
    <xdr:to>
      <xdr:col>25</xdr:col>
      <xdr:colOff>87318</xdr:colOff>
      <xdr:row>548</xdr:row>
      <xdr:rowOff>3564</xdr:rowOff>
    </xdr:to>
    <xdr:sp macro="" textlink="">
      <xdr:nvSpPr>
        <xdr:cNvPr id="28" name="Скругленная прямоугольная выноска 27">
          <a:extLst>
            <a:ext uri="{FF2B5EF4-FFF2-40B4-BE49-F238E27FC236}">
              <a16:creationId xmlns:a16="http://schemas.microsoft.com/office/drawing/2014/main" id="{00000000-0008-0000-1B00-00001C000000}"/>
            </a:ext>
          </a:extLst>
        </xdr:cNvPr>
        <xdr:cNvSpPr/>
      </xdr:nvSpPr>
      <xdr:spPr>
        <a:xfrm>
          <a:off x="18426254" y="123766495"/>
          <a:ext cx="4420211" cy="1160245"/>
        </a:xfrm>
        <a:prstGeom prst="wedgeRoundRectCallout">
          <a:avLst>
            <a:gd name="adj1" fmla="val -64944"/>
            <a:gd name="adj2" fmla="val -23010"/>
            <a:gd name="adj3" fmla="val 16667"/>
          </a:avLst>
        </a:prstGeom>
        <a:solidFill>
          <a:schemeClr val="bg1">
            <a:lumMod val="95000"/>
          </a:schemeClr>
        </a:solidFill>
        <a:ln w="38100">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ysClr val="windowText" lastClr="000000"/>
              </a:solidFill>
              <a:latin typeface="Arial Narrow" panose="020B0606020202030204" pitchFamily="34" charset="0"/>
            </a:rPr>
            <a:t>Здесь и далее необходимо</a:t>
          </a:r>
          <a:r>
            <a:rPr lang="ru-RU" sz="1400" b="1" baseline="0">
              <a:solidFill>
                <a:sysClr val="windowText" lastClr="000000"/>
              </a:solidFill>
              <a:latin typeface="Arial Narrow" panose="020B0606020202030204" pitchFamily="34" charset="0"/>
            </a:rPr>
            <a:t> смотреть на строку "</a:t>
          </a:r>
          <a:r>
            <a:rPr lang="ru-RU" sz="1400" b="1" baseline="0">
              <a:solidFill>
                <a:srgbClr val="0000FF"/>
              </a:solidFill>
              <a:latin typeface="Arial Narrow" panose="020B0606020202030204" pitchFamily="34" charset="0"/>
            </a:rPr>
            <a:t>проверка</a:t>
          </a:r>
          <a:r>
            <a:rPr lang="ru-RU" sz="1400" b="1" baseline="0">
              <a:solidFill>
                <a:sysClr val="windowText" lastClr="000000"/>
              </a:solidFill>
              <a:latin typeface="Arial Narrow" panose="020B0606020202030204" pitchFamily="34" charset="0"/>
            </a:rPr>
            <a:t>". Если она отлична от нуля, значит, есть ошибка ввода данных в расшифровку, нужно ее найти и исправить</a:t>
          </a:r>
          <a:endParaRPr lang="ru-RU" sz="1400" b="1">
            <a:solidFill>
              <a:sysClr val="windowText" lastClr="000000"/>
            </a:solidFill>
            <a:latin typeface="Arial Narrow" panose="020B0606020202030204" pitchFamily="34" charset="0"/>
          </a:endParaRPr>
        </a:p>
      </xdr:txBody>
    </xdr:sp>
    <xdr:clientData/>
  </xdr:twoCellAnchor>
  <xdr:twoCellAnchor>
    <xdr:from>
      <xdr:col>19</xdr:col>
      <xdr:colOff>255335</xdr:colOff>
      <xdr:row>434</xdr:row>
      <xdr:rowOff>16009</xdr:rowOff>
    </xdr:from>
    <xdr:to>
      <xdr:col>25</xdr:col>
      <xdr:colOff>280147</xdr:colOff>
      <xdr:row>437</xdr:row>
      <xdr:rowOff>152080</xdr:rowOff>
    </xdr:to>
    <xdr:sp macro="" textlink="">
      <xdr:nvSpPr>
        <xdr:cNvPr id="29" name="Скругленная прямоугольная выноска 28">
          <a:extLst>
            <a:ext uri="{FF2B5EF4-FFF2-40B4-BE49-F238E27FC236}">
              <a16:creationId xmlns:a16="http://schemas.microsoft.com/office/drawing/2014/main" id="{00000000-0008-0000-1B00-00001D000000}"/>
            </a:ext>
          </a:extLst>
        </xdr:cNvPr>
        <xdr:cNvSpPr/>
      </xdr:nvSpPr>
      <xdr:spPr>
        <a:xfrm>
          <a:off x="19316541" y="99770774"/>
          <a:ext cx="3722753" cy="707571"/>
        </a:xfrm>
        <a:prstGeom prst="wedgeRoundRectCallout">
          <a:avLst>
            <a:gd name="adj1" fmla="val -64944"/>
            <a:gd name="adj2" fmla="val -23010"/>
            <a:gd name="adj3" fmla="val 16667"/>
          </a:avLst>
        </a:prstGeom>
        <a:solidFill>
          <a:schemeClr val="bg1">
            <a:lumMod val="95000"/>
          </a:schemeClr>
        </a:solidFill>
        <a:ln w="38100">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ysClr val="windowText" lastClr="000000"/>
              </a:solidFill>
              <a:latin typeface="Arial Narrow" panose="020B0606020202030204" pitchFamily="34" charset="0"/>
            </a:rPr>
            <a:t>Названия облигаций необходимо</a:t>
          </a:r>
          <a:r>
            <a:rPr lang="ru-RU" sz="1400" b="1" baseline="0">
              <a:solidFill>
                <a:sysClr val="windowText" lastClr="000000"/>
              </a:solidFill>
              <a:latin typeface="Arial Narrow" panose="020B0606020202030204" pitchFamily="34" charset="0"/>
            </a:rPr>
            <a:t> вписать, как в расшифровке банка</a:t>
          </a:r>
          <a:endParaRPr lang="ru-RU" sz="1400" b="1">
            <a:solidFill>
              <a:sysClr val="windowText" lastClr="000000"/>
            </a:solidFill>
            <a:latin typeface="Arial Narrow" panose="020B0606020202030204" pitchFamily="34" charset="0"/>
          </a:endParaRPr>
        </a:p>
      </xdr:txBody>
    </xdr:sp>
    <xdr:clientData/>
  </xdr:twoCellAnchor>
  <xdr:twoCellAnchor>
    <xdr:from>
      <xdr:col>1</xdr:col>
      <xdr:colOff>418621</xdr:colOff>
      <xdr:row>449</xdr:row>
      <xdr:rowOff>140074</xdr:rowOff>
    </xdr:from>
    <xdr:to>
      <xdr:col>3</xdr:col>
      <xdr:colOff>730707</xdr:colOff>
      <xdr:row>454</xdr:row>
      <xdr:rowOff>149679</xdr:rowOff>
    </xdr:to>
    <xdr:sp macro="" textlink="">
      <xdr:nvSpPr>
        <xdr:cNvPr id="30" name="Скругленная прямоугольная выноска 29">
          <a:extLst>
            <a:ext uri="{FF2B5EF4-FFF2-40B4-BE49-F238E27FC236}">
              <a16:creationId xmlns:a16="http://schemas.microsoft.com/office/drawing/2014/main" id="{00000000-0008-0000-1B00-00001E000000}"/>
            </a:ext>
          </a:extLst>
        </xdr:cNvPr>
        <xdr:cNvSpPr/>
      </xdr:nvSpPr>
      <xdr:spPr>
        <a:xfrm>
          <a:off x="1275871" y="136306753"/>
          <a:ext cx="2353157" cy="975712"/>
        </a:xfrm>
        <a:prstGeom prst="wedgeRoundRectCallout">
          <a:avLst>
            <a:gd name="adj1" fmla="val 55414"/>
            <a:gd name="adj2" fmla="val -13248"/>
            <a:gd name="adj3" fmla="val 16667"/>
          </a:avLst>
        </a:prstGeom>
        <a:solidFill>
          <a:schemeClr val="bg1">
            <a:lumMod val="95000"/>
          </a:schemeClr>
        </a:solidFill>
        <a:ln w="38100">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ysClr val="windowText" lastClr="000000"/>
              </a:solidFill>
              <a:latin typeface="Arial Narrow" panose="020B0606020202030204" pitchFamily="34" charset="0"/>
            </a:rPr>
            <a:t>Структуру</a:t>
          </a:r>
          <a:r>
            <a:rPr lang="ru-RU" sz="1400" b="1" baseline="0">
              <a:solidFill>
                <a:sysClr val="windowText" lastClr="000000"/>
              </a:solidFill>
              <a:latin typeface="Arial Narrow" panose="020B0606020202030204" pitchFamily="34" charset="0"/>
            </a:rPr>
            <a:t> кредитов необходимо прописать так, как ее раскрывает банк</a:t>
          </a:r>
          <a:endParaRPr lang="ru-RU" sz="1400" b="1">
            <a:solidFill>
              <a:sysClr val="windowText" lastClr="000000"/>
            </a:solidFill>
            <a:latin typeface="Arial Narrow" panose="020B0606020202030204" pitchFamily="34" charset="0"/>
          </a:endParaRPr>
        </a:p>
      </xdr:txBody>
    </xdr:sp>
    <xdr:clientData/>
  </xdr:twoCellAnchor>
  <xdr:twoCellAnchor>
    <xdr:from>
      <xdr:col>18</xdr:col>
      <xdr:colOff>133670</xdr:colOff>
      <xdr:row>585</xdr:row>
      <xdr:rowOff>199305</xdr:rowOff>
    </xdr:from>
    <xdr:to>
      <xdr:col>24</xdr:col>
      <xdr:colOff>165687</xdr:colOff>
      <xdr:row>589</xdr:row>
      <xdr:rowOff>131269</xdr:rowOff>
    </xdr:to>
    <xdr:sp macro="" textlink="">
      <xdr:nvSpPr>
        <xdr:cNvPr id="33" name="Скругленная прямоугольная выноска 32">
          <a:extLst>
            <a:ext uri="{FF2B5EF4-FFF2-40B4-BE49-F238E27FC236}">
              <a16:creationId xmlns:a16="http://schemas.microsoft.com/office/drawing/2014/main" id="{00000000-0008-0000-1B00-000021000000}"/>
            </a:ext>
          </a:extLst>
        </xdr:cNvPr>
        <xdr:cNvSpPr/>
      </xdr:nvSpPr>
      <xdr:spPr>
        <a:xfrm>
          <a:off x="18589758" y="131184864"/>
          <a:ext cx="3729958" cy="705170"/>
        </a:xfrm>
        <a:prstGeom prst="wedgeRoundRectCallout">
          <a:avLst>
            <a:gd name="adj1" fmla="val -64944"/>
            <a:gd name="adj2" fmla="val -23010"/>
            <a:gd name="adj3" fmla="val 16667"/>
          </a:avLst>
        </a:prstGeom>
        <a:solidFill>
          <a:schemeClr val="bg1">
            <a:lumMod val="95000"/>
          </a:schemeClr>
        </a:solidFill>
        <a:ln w="38100">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ysClr val="windowText" lastClr="000000"/>
              </a:solidFill>
              <a:latin typeface="Arial Narrow" panose="020B0606020202030204" pitchFamily="34" charset="0"/>
            </a:rPr>
            <a:t>Названия облигаций необходимо</a:t>
          </a:r>
          <a:r>
            <a:rPr lang="ru-RU" sz="1400" b="1" baseline="0">
              <a:solidFill>
                <a:sysClr val="windowText" lastClr="000000"/>
              </a:solidFill>
              <a:latin typeface="Arial Narrow" panose="020B0606020202030204" pitchFamily="34" charset="0"/>
            </a:rPr>
            <a:t> вписать, как в расшифровке банка</a:t>
          </a:r>
          <a:endParaRPr lang="ru-RU" sz="1400" b="1">
            <a:solidFill>
              <a:sysClr val="windowText" lastClr="000000"/>
            </a:solidFill>
            <a:latin typeface="Arial Narrow" panose="020B0606020202030204" pitchFamily="34" charset="0"/>
          </a:endParaRPr>
        </a:p>
      </xdr:txBody>
    </xdr:sp>
    <xdr:clientData/>
  </xdr:twoCellAnchor>
  <xdr:twoCellAnchor>
    <xdr:from>
      <xdr:col>18</xdr:col>
      <xdr:colOff>403412</xdr:colOff>
      <xdr:row>604</xdr:row>
      <xdr:rowOff>159284</xdr:rowOff>
    </xdr:from>
    <xdr:to>
      <xdr:col>24</xdr:col>
      <xdr:colOff>428224</xdr:colOff>
      <xdr:row>608</xdr:row>
      <xdr:rowOff>91248</xdr:rowOff>
    </xdr:to>
    <xdr:sp macro="" textlink="">
      <xdr:nvSpPr>
        <xdr:cNvPr id="34" name="Скругленная прямоугольная выноска 33">
          <a:extLst>
            <a:ext uri="{FF2B5EF4-FFF2-40B4-BE49-F238E27FC236}">
              <a16:creationId xmlns:a16="http://schemas.microsoft.com/office/drawing/2014/main" id="{00000000-0008-0000-1B00-000022000000}"/>
            </a:ext>
          </a:extLst>
        </xdr:cNvPr>
        <xdr:cNvSpPr/>
      </xdr:nvSpPr>
      <xdr:spPr>
        <a:xfrm>
          <a:off x="18859500" y="135436696"/>
          <a:ext cx="3722753" cy="693964"/>
        </a:xfrm>
        <a:prstGeom prst="wedgeRoundRectCallout">
          <a:avLst>
            <a:gd name="adj1" fmla="val -64944"/>
            <a:gd name="adj2" fmla="val -23010"/>
            <a:gd name="adj3" fmla="val 16667"/>
          </a:avLst>
        </a:prstGeom>
        <a:solidFill>
          <a:schemeClr val="bg1">
            <a:lumMod val="95000"/>
          </a:schemeClr>
        </a:solidFill>
        <a:ln w="38100">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ysClr val="windowText" lastClr="000000"/>
              </a:solidFill>
              <a:latin typeface="Arial Narrow" panose="020B0606020202030204" pitchFamily="34" charset="0"/>
            </a:rPr>
            <a:t>Названия облигаций необходимо</a:t>
          </a:r>
          <a:r>
            <a:rPr lang="ru-RU" sz="1400" b="1" baseline="0">
              <a:solidFill>
                <a:sysClr val="windowText" lastClr="000000"/>
              </a:solidFill>
              <a:latin typeface="Arial Narrow" panose="020B0606020202030204" pitchFamily="34" charset="0"/>
            </a:rPr>
            <a:t> вписать, как в расшифровке банка</a:t>
          </a:r>
          <a:endParaRPr lang="ru-RU" sz="1400" b="1">
            <a:solidFill>
              <a:sysClr val="windowText" lastClr="000000"/>
            </a:solidFill>
            <a:latin typeface="Arial Narrow" panose="020B0606020202030204" pitchFamily="34" charset="0"/>
          </a:endParaRPr>
        </a:p>
      </xdr:txBody>
    </xdr:sp>
    <xdr:clientData/>
  </xdr:twoCellAnchor>
  <xdr:twoCellAnchor>
    <xdr:from>
      <xdr:col>19</xdr:col>
      <xdr:colOff>238526</xdr:colOff>
      <xdr:row>713</xdr:row>
      <xdr:rowOff>372198</xdr:rowOff>
    </xdr:from>
    <xdr:to>
      <xdr:col>28</xdr:col>
      <xdr:colOff>327371</xdr:colOff>
      <xdr:row>719</xdr:row>
      <xdr:rowOff>100054</xdr:rowOff>
    </xdr:to>
    <xdr:sp macro="" textlink="">
      <xdr:nvSpPr>
        <xdr:cNvPr id="35" name="Скругленная прямоугольная выноска 34">
          <a:extLst>
            <a:ext uri="{FF2B5EF4-FFF2-40B4-BE49-F238E27FC236}">
              <a16:creationId xmlns:a16="http://schemas.microsoft.com/office/drawing/2014/main" id="{00000000-0008-0000-1B00-000023000000}"/>
            </a:ext>
          </a:extLst>
        </xdr:cNvPr>
        <xdr:cNvSpPr/>
      </xdr:nvSpPr>
      <xdr:spPr>
        <a:xfrm>
          <a:off x="19299732" y="160168080"/>
          <a:ext cx="5602139" cy="1969033"/>
        </a:xfrm>
        <a:prstGeom prst="wedgeRoundRectCallout">
          <a:avLst>
            <a:gd name="adj1" fmla="val -61655"/>
            <a:gd name="adj2" fmla="val 8058"/>
            <a:gd name="adj3" fmla="val 16667"/>
          </a:avLst>
        </a:prstGeom>
        <a:solidFill>
          <a:schemeClr val="bg1">
            <a:lumMod val="95000"/>
          </a:schemeClr>
        </a:solidFill>
        <a:ln w="38100">
          <a:solidFill>
            <a:srgbClr val="FFC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800" b="1">
              <a:solidFill>
                <a:sysClr val="windowText" lastClr="000000"/>
              </a:solidFill>
              <a:latin typeface="Arial Narrow" panose="020B0606020202030204" pitchFamily="34" charset="0"/>
            </a:rPr>
            <a:t> - Данные заполняются с листа </a:t>
          </a:r>
          <a:r>
            <a:rPr lang="ru-RU" sz="1800" b="1" baseline="0">
              <a:solidFill>
                <a:sysClr val="windowText" lastClr="000000"/>
              </a:solidFill>
              <a:latin typeface="Arial Narrow" panose="020B0606020202030204" pitchFamily="34" charset="0"/>
            </a:rPr>
            <a:t>"</a:t>
          </a:r>
          <a:r>
            <a:rPr lang="ru-RU" sz="1800" b="1">
              <a:solidFill>
                <a:sysClr val="windowText" lastClr="000000"/>
              </a:solidFill>
              <a:latin typeface="Arial Narrow" panose="020B0606020202030204" pitchFamily="34" charset="0"/>
            </a:rPr>
            <a:t>Процен, комисс. дох., опер.расх"</a:t>
          </a:r>
          <a:br>
            <a:rPr lang="ru-RU" sz="1800" b="1">
              <a:solidFill>
                <a:sysClr val="windowText" lastClr="000000"/>
              </a:solidFill>
              <a:latin typeface="Arial Narrow" panose="020B0606020202030204" pitchFamily="34" charset="0"/>
            </a:rPr>
          </a:br>
          <a:r>
            <a:rPr lang="ru-RU" sz="1800" b="1">
              <a:solidFill>
                <a:sysClr val="windowText" lastClr="000000"/>
              </a:solidFill>
              <a:latin typeface="Arial Narrow" panose="020B0606020202030204" pitchFamily="34" charset="0"/>
            </a:rPr>
            <a:t>- Исходные данные для заполнения см. в </a:t>
          </a:r>
          <a:r>
            <a:rPr lang="ru-RU" sz="1800" b="1">
              <a:solidFill>
                <a:srgbClr val="C00000"/>
              </a:solidFill>
              <a:latin typeface="Arial Narrow" panose="020B0606020202030204" pitchFamily="34" charset="0"/>
            </a:rPr>
            <a:t>форме №</a:t>
          </a:r>
          <a:r>
            <a:rPr lang="ru-RU" sz="1800" b="1" baseline="0">
              <a:solidFill>
                <a:srgbClr val="C00000"/>
              </a:solidFill>
              <a:latin typeface="Arial Narrow" panose="020B0606020202030204" pitchFamily="34" charset="0"/>
            </a:rPr>
            <a:t> 102</a:t>
          </a:r>
          <a:r>
            <a:rPr lang="ru-RU" sz="1800" b="1" baseline="0">
              <a:solidFill>
                <a:sysClr val="windowText" lastClr="000000"/>
              </a:solidFill>
              <a:latin typeface="Arial Narrow" panose="020B0606020202030204" pitchFamily="34" charset="0"/>
            </a:rPr>
            <a:t> (на сайте Банка России в карточке банка, </a:t>
          </a:r>
          <a:r>
            <a:rPr lang="en-US" sz="1800" b="1" u="sng" baseline="0">
              <a:solidFill>
                <a:srgbClr val="0000FF"/>
              </a:solidFill>
              <a:latin typeface="Arial Narrow" panose="020B0606020202030204" pitchFamily="34" charset="0"/>
            </a:rPr>
            <a:t>http://www.cbr.ru/credit/transparent</a:t>
          </a:r>
          <a:r>
            <a:rPr lang="en-US" sz="1800" b="1" baseline="0">
              <a:solidFill>
                <a:sysClr val="windowText" lastClr="000000"/>
              </a:solidFill>
              <a:latin typeface="Arial Narrow" panose="020B0606020202030204" pitchFamily="34" charset="0"/>
            </a:rPr>
            <a:t>/</a:t>
          </a:r>
          <a:r>
            <a:rPr lang="ru-RU" sz="1800" b="1" baseline="0">
              <a:solidFill>
                <a:sysClr val="windowText" lastClr="000000"/>
              </a:solidFill>
              <a:latin typeface="Arial Narrow" panose="020B0606020202030204" pitchFamily="34" charset="0"/>
            </a:rPr>
            <a:t>).  </a:t>
          </a:r>
          <a:br>
            <a:rPr lang="ru-RU" sz="1800" b="1" baseline="0">
              <a:solidFill>
                <a:sysClr val="windowText" lastClr="000000"/>
              </a:solidFill>
              <a:latin typeface="Arial Narrow" panose="020B0606020202030204" pitchFamily="34" charset="0"/>
            </a:rPr>
          </a:br>
          <a:endParaRPr lang="ru-RU" sz="1800" b="1">
            <a:solidFill>
              <a:sysClr val="windowText" lastClr="000000"/>
            </a:solidFill>
            <a:latin typeface="Arial Narrow" panose="020B0606020202030204" pitchFamily="34" charset="0"/>
          </a:endParaRPr>
        </a:p>
      </xdr:txBody>
    </xdr:sp>
    <xdr:clientData/>
  </xdr:twoCellAnchor>
  <xdr:twoCellAnchor>
    <xdr:from>
      <xdr:col>18</xdr:col>
      <xdr:colOff>605037</xdr:colOff>
      <xdr:row>688</xdr:row>
      <xdr:rowOff>33618</xdr:rowOff>
    </xdr:from>
    <xdr:to>
      <xdr:col>31</xdr:col>
      <xdr:colOff>1599</xdr:colOff>
      <xdr:row>702</xdr:row>
      <xdr:rowOff>142474</xdr:rowOff>
    </xdr:to>
    <xdr:sp macro="" textlink="">
      <xdr:nvSpPr>
        <xdr:cNvPr id="36" name="Скругленная прямоугольная выноска 35">
          <a:extLst>
            <a:ext uri="{FF2B5EF4-FFF2-40B4-BE49-F238E27FC236}">
              <a16:creationId xmlns:a16="http://schemas.microsoft.com/office/drawing/2014/main" id="{00000000-0008-0000-1B00-000024000000}"/>
            </a:ext>
          </a:extLst>
        </xdr:cNvPr>
        <xdr:cNvSpPr/>
      </xdr:nvSpPr>
      <xdr:spPr>
        <a:xfrm>
          <a:off x="19061125" y="153901589"/>
          <a:ext cx="7330327" cy="4916179"/>
        </a:xfrm>
        <a:prstGeom prst="wedgeRoundRectCallout">
          <a:avLst>
            <a:gd name="adj1" fmla="val -61655"/>
            <a:gd name="adj2" fmla="val 8058"/>
            <a:gd name="adj3" fmla="val 16667"/>
          </a:avLst>
        </a:prstGeom>
        <a:solidFill>
          <a:schemeClr val="bg1">
            <a:lumMod val="95000"/>
          </a:schemeClr>
        </a:solidFill>
        <a:ln w="38100">
          <a:solidFill>
            <a:srgbClr val="FFC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lang="ru-RU" sz="1800" b="1">
              <a:solidFill>
                <a:sysClr val="windowText" lastClr="000000"/>
              </a:solidFill>
              <a:latin typeface="Arial Narrow" panose="020B0606020202030204" pitchFamily="34" charset="0"/>
            </a:rPr>
            <a:t>- Серые строки заполняются автоматически</a:t>
          </a:r>
          <a:br>
            <a:rPr lang="ru-RU" sz="1800" b="1">
              <a:solidFill>
                <a:sysClr val="windowText" lastClr="000000"/>
              </a:solidFill>
              <a:latin typeface="Arial Narrow" panose="020B0606020202030204" pitchFamily="34" charset="0"/>
            </a:rPr>
          </a:br>
          <a:r>
            <a:rPr lang="ru-RU" sz="1800" b="1">
              <a:solidFill>
                <a:sysClr val="windowText" lastClr="000000"/>
              </a:solidFill>
              <a:latin typeface="Arial Narrow" panose="020B0606020202030204" pitchFamily="34" charset="0"/>
            </a:rPr>
            <a:t>-</a:t>
          </a:r>
          <a:r>
            <a:rPr lang="ru-RU" sz="1800" b="1" baseline="0">
              <a:solidFill>
                <a:sysClr val="windowText" lastClr="000000"/>
              </a:solidFill>
              <a:latin typeface="Arial Narrow" panose="020B0606020202030204" pitchFamily="34" charset="0"/>
            </a:rPr>
            <a:t> Белые строки обращаются к листу "Процен, комисс. дох., опер.расх"</a:t>
          </a:r>
          <a:r>
            <a:rPr lang="ru-RU" sz="1800" b="1">
              <a:solidFill>
                <a:sysClr val="windowText" lastClr="000000"/>
              </a:solidFill>
              <a:latin typeface="Arial Narrow" panose="020B0606020202030204" pitchFamily="34" charset="0"/>
            </a:rPr>
            <a:t> </a:t>
          </a:r>
          <a:br>
            <a:rPr lang="ru-RU" sz="1800" b="1">
              <a:solidFill>
                <a:sysClr val="windowText" lastClr="000000"/>
              </a:solidFill>
              <a:latin typeface="Arial Narrow" panose="020B0606020202030204" pitchFamily="34" charset="0"/>
            </a:rPr>
          </a:br>
          <a:r>
            <a:rPr lang="ru-RU" sz="1800" b="1">
              <a:solidFill>
                <a:sysClr val="windowText" lastClr="000000"/>
              </a:solidFill>
              <a:latin typeface="Arial Narrow" panose="020B0606020202030204" pitchFamily="34" charset="0"/>
            </a:rPr>
            <a:t>- Данные для заполнения листа</a:t>
          </a:r>
          <a:r>
            <a:rPr lang="ru-RU" sz="1800" b="1" baseline="0">
              <a:solidFill>
                <a:sysClr val="windowText" lastClr="000000"/>
              </a:solidFill>
              <a:latin typeface="Arial Narrow" panose="020B0606020202030204" pitchFamily="34" charset="0"/>
            </a:rPr>
            <a:t> "Процен, комисс. дох., опер.расх"</a:t>
          </a:r>
          <a:r>
            <a:rPr lang="ru-RU" sz="1800" b="1">
              <a:solidFill>
                <a:sysClr val="windowText" lastClr="000000"/>
              </a:solidFill>
              <a:latin typeface="Arial Narrow" panose="020B0606020202030204" pitchFamily="34" charset="0"/>
            </a:rPr>
            <a:t> см. в </a:t>
          </a:r>
          <a:r>
            <a:rPr lang="ru-RU" sz="1800" b="1">
              <a:solidFill>
                <a:srgbClr val="C00000"/>
              </a:solidFill>
              <a:latin typeface="Arial Narrow" panose="020B0606020202030204" pitchFamily="34" charset="0"/>
            </a:rPr>
            <a:t>форме №</a:t>
          </a:r>
          <a:r>
            <a:rPr lang="ru-RU" sz="1800" b="1" baseline="0">
              <a:solidFill>
                <a:srgbClr val="C00000"/>
              </a:solidFill>
              <a:latin typeface="Arial Narrow" panose="020B0606020202030204" pitchFamily="34" charset="0"/>
            </a:rPr>
            <a:t> 102</a:t>
          </a:r>
          <a:r>
            <a:rPr lang="ru-RU" sz="1800" b="1" baseline="0">
              <a:solidFill>
                <a:sysClr val="windowText" lastClr="000000"/>
              </a:solidFill>
              <a:latin typeface="Arial Narrow" panose="020B0606020202030204" pitchFamily="34" charset="0"/>
            </a:rPr>
            <a:t> по всем годам (на сайте Банка России в карточке банка, </a:t>
          </a:r>
          <a:r>
            <a:rPr lang="en-US" sz="1800" b="1" u="sng" baseline="0">
              <a:solidFill>
                <a:srgbClr val="0000FF"/>
              </a:solidFill>
              <a:latin typeface="Arial Narrow" panose="020B0606020202030204" pitchFamily="34" charset="0"/>
            </a:rPr>
            <a:t>http://www.cbr.ru/credit/transparent</a:t>
          </a:r>
          <a:r>
            <a:rPr lang="en-US" sz="1800" b="1" baseline="0">
              <a:solidFill>
                <a:sysClr val="windowText" lastClr="000000"/>
              </a:solidFill>
              <a:latin typeface="Arial Narrow" panose="020B0606020202030204" pitchFamily="34" charset="0"/>
            </a:rPr>
            <a:t>/</a:t>
          </a:r>
          <a:r>
            <a:rPr lang="ru-RU" sz="1800" b="1" baseline="0">
              <a:solidFill>
                <a:sysClr val="windowText" lastClr="000000"/>
              </a:solidFill>
              <a:latin typeface="Arial Narrow" panose="020B0606020202030204" pitchFamily="34" charset="0"/>
            </a:rPr>
            <a:t>).  </a:t>
          </a:r>
          <a:br>
            <a:rPr lang="ru-RU" sz="1800" b="1" baseline="0">
              <a:solidFill>
                <a:sysClr val="windowText" lastClr="000000"/>
              </a:solidFill>
              <a:latin typeface="Arial Narrow" panose="020B0606020202030204" pitchFamily="34" charset="0"/>
            </a:rPr>
          </a:br>
          <a:r>
            <a:rPr lang="ru-RU" sz="1800" b="1" baseline="0">
              <a:solidFill>
                <a:sysClr val="windowText" lastClr="000000"/>
              </a:solidFill>
              <a:latin typeface="Arial Narrow" panose="020B0606020202030204" pitchFamily="34" charset="0"/>
            </a:rPr>
            <a:t>- Форму 102 за каждый год нужно скопировать на отдельные листы в данном файле и воспользоваться формулой ВПР на листе "Процентные и комисс. доходы"</a:t>
          </a:r>
          <a:br>
            <a:rPr lang="ru-RU" sz="1800" b="1" baseline="0">
              <a:solidFill>
                <a:sysClr val="windowText" lastClr="000000"/>
              </a:solidFill>
              <a:latin typeface="Arial Narrow" panose="020B0606020202030204" pitchFamily="34" charset="0"/>
            </a:rPr>
          </a:br>
          <a:r>
            <a:rPr lang="ru-RU" sz="1800" b="1" baseline="0">
              <a:solidFill>
                <a:sysClr val="windowText" lastClr="000000"/>
              </a:solidFill>
              <a:latin typeface="Arial Narrow" panose="020B0606020202030204" pitchFamily="34" charset="0"/>
            </a:rPr>
            <a:t> - Сумма процентного дохода в виде неустоек при переходе на лист ОПиУ распределяется между ИП, гос. органами, физ. лицами и юрид. лицами пропорционально их величинам процентного дохода</a:t>
          </a:r>
          <a:endParaRPr lang="ru-RU" sz="1800" b="1">
            <a:solidFill>
              <a:sysClr val="windowText" lastClr="000000"/>
            </a:solidFill>
            <a:latin typeface="Arial Narrow" panose="020B0606020202030204" pitchFamily="34" charset="0"/>
          </a:endParaRPr>
        </a:p>
      </xdr:txBody>
    </xdr:sp>
    <xdr:clientData/>
  </xdr:twoCellAnchor>
  <xdr:twoCellAnchor>
    <xdr:from>
      <xdr:col>17</xdr:col>
      <xdr:colOff>490659</xdr:colOff>
      <xdr:row>734</xdr:row>
      <xdr:rowOff>88047</xdr:rowOff>
    </xdr:from>
    <xdr:to>
      <xdr:col>26</xdr:col>
      <xdr:colOff>188101</xdr:colOff>
      <xdr:row>739</xdr:row>
      <xdr:rowOff>183296</xdr:rowOff>
    </xdr:to>
    <xdr:sp macro="" textlink="">
      <xdr:nvSpPr>
        <xdr:cNvPr id="37" name="Скругленная прямоугольная выноска 36">
          <a:extLst>
            <a:ext uri="{FF2B5EF4-FFF2-40B4-BE49-F238E27FC236}">
              <a16:creationId xmlns:a16="http://schemas.microsoft.com/office/drawing/2014/main" id="{00000000-0008-0000-1B00-000025000000}"/>
            </a:ext>
          </a:extLst>
        </xdr:cNvPr>
        <xdr:cNvSpPr/>
      </xdr:nvSpPr>
      <xdr:spPr>
        <a:xfrm>
          <a:off x="25269266" y="198112797"/>
          <a:ext cx="5262764" cy="2068285"/>
        </a:xfrm>
        <a:prstGeom prst="wedgeRoundRectCallout">
          <a:avLst>
            <a:gd name="adj1" fmla="val -61655"/>
            <a:gd name="adj2" fmla="val 8058"/>
            <a:gd name="adj3" fmla="val 16667"/>
          </a:avLst>
        </a:prstGeom>
        <a:solidFill>
          <a:schemeClr val="bg1">
            <a:lumMod val="95000"/>
          </a:schemeClr>
        </a:solidFill>
        <a:ln w="38100">
          <a:solidFill>
            <a:srgbClr val="FFC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800" b="1">
              <a:solidFill>
                <a:sysClr val="windowText" lastClr="000000"/>
              </a:solidFill>
              <a:latin typeface="Arial Narrow" panose="020B0606020202030204" pitchFamily="34" charset="0"/>
            </a:rPr>
            <a:t> - Данные заполняются с листа </a:t>
          </a:r>
          <a:r>
            <a:rPr lang="ru-RU" sz="1800" b="1" baseline="0">
              <a:solidFill>
                <a:sysClr val="windowText" lastClr="000000"/>
              </a:solidFill>
              <a:latin typeface="Arial Narrow" panose="020B0606020202030204" pitchFamily="34" charset="0"/>
            </a:rPr>
            <a:t>"</a:t>
          </a:r>
          <a:r>
            <a:rPr lang="ru-RU" sz="1800" b="1">
              <a:solidFill>
                <a:sysClr val="windowText" lastClr="000000"/>
              </a:solidFill>
              <a:latin typeface="Arial Narrow" panose="020B0606020202030204" pitchFamily="34" charset="0"/>
            </a:rPr>
            <a:t>Доходы-Расходы_Ф102"</a:t>
          </a:r>
          <a:br>
            <a:rPr lang="ru-RU" sz="1800" b="1">
              <a:solidFill>
                <a:sysClr val="windowText" lastClr="000000"/>
              </a:solidFill>
              <a:latin typeface="Arial Narrow" panose="020B0606020202030204" pitchFamily="34" charset="0"/>
            </a:rPr>
          </a:br>
          <a:r>
            <a:rPr lang="ru-RU" sz="1800" b="1">
              <a:solidFill>
                <a:sysClr val="windowText" lastClr="000000"/>
              </a:solidFill>
              <a:latin typeface="Arial Narrow" panose="020B0606020202030204" pitchFamily="34" charset="0"/>
            </a:rPr>
            <a:t>- Исходные данные для заполнения см. в </a:t>
          </a:r>
          <a:r>
            <a:rPr lang="ru-RU" sz="1800" b="1">
              <a:solidFill>
                <a:srgbClr val="C00000"/>
              </a:solidFill>
              <a:latin typeface="Arial Narrow" panose="020B0606020202030204" pitchFamily="34" charset="0"/>
            </a:rPr>
            <a:t>форме №</a:t>
          </a:r>
          <a:r>
            <a:rPr lang="ru-RU" sz="1800" b="1" baseline="0">
              <a:solidFill>
                <a:srgbClr val="C00000"/>
              </a:solidFill>
              <a:latin typeface="Arial Narrow" panose="020B0606020202030204" pitchFamily="34" charset="0"/>
            </a:rPr>
            <a:t> 102</a:t>
          </a:r>
          <a:r>
            <a:rPr lang="ru-RU" sz="1800" b="1" baseline="0">
              <a:solidFill>
                <a:sysClr val="windowText" lastClr="000000"/>
              </a:solidFill>
              <a:latin typeface="Arial Narrow" panose="020B0606020202030204" pitchFamily="34" charset="0"/>
            </a:rPr>
            <a:t> (на сайте Банка России в карточке банка, </a:t>
          </a:r>
          <a:r>
            <a:rPr lang="en-US" sz="1800" b="1" u="sng" baseline="0">
              <a:solidFill>
                <a:srgbClr val="0000FF"/>
              </a:solidFill>
              <a:latin typeface="Arial Narrow" panose="020B0606020202030204" pitchFamily="34" charset="0"/>
            </a:rPr>
            <a:t>http://www.cbr.ru/credit/transparent</a:t>
          </a:r>
          <a:r>
            <a:rPr lang="en-US" sz="1800" b="1" baseline="0">
              <a:solidFill>
                <a:sysClr val="windowText" lastClr="000000"/>
              </a:solidFill>
              <a:latin typeface="Arial Narrow" panose="020B0606020202030204" pitchFamily="34" charset="0"/>
            </a:rPr>
            <a:t>/</a:t>
          </a:r>
          <a:r>
            <a:rPr lang="ru-RU" sz="1800" b="1" baseline="0">
              <a:solidFill>
                <a:sysClr val="windowText" lastClr="000000"/>
              </a:solidFill>
              <a:latin typeface="Arial Narrow" panose="020B0606020202030204" pitchFamily="34" charset="0"/>
            </a:rPr>
            <a:t>).  </a:t>
          </a:r>
          <a:br>
            <a:rPr lang="ru-RU" sz="1800" b="1" baseline="0">
              <a:solidFill>
                <a:sysClr val="windowText" lastClr="000000"/>
              </a:solidFill>
              <a:latin typeface="Arial Narrow" panose="020B0606020202030204" pitchFamily="34" charset="0"/>
            </a:rPr>
          </a:br>
          <a:endParaRPr lang="ru-RU" sz="1800" b="1">
            <a:solidFill>
              <a:sysClr val="windowText" lastClr="000000"/>
            </a:solidFill>
            <a:latin typeface="Arial Narrow" panose="020B0606020202030204" pitchFamily="34" charset="0"/>
          </a:endParaRPr>
        </a:p>
      </xdr:txBody>
    </xdr:sp>
    <xdr:clientData/>
  </xdr:twoCellAnchor>
  <xdr:twoCellAnchor>
    <xdr:from>
      <xdr:col>18</xdr:col>
      <xdr:colOff>354035</xdr:colOff>
      <xdr:row>399</xdr:row>
      <xdr:rowOff>333775</xdr:rowOff>
    </xdr:from>
    <xdr:to>
      <xdr:col>30</xdr:col>
      <xdr:colOff>588629</xdr:colOff>
      <xdr:row>403</xdr:row>
      <xdr:rowOff>91570</xdr:rowOff>
    </xdr:to>
    <xdr:sp macro="" textlink="">
      <xdr:nvSpPr>
        <xdr:cNvPr id="38" name="Скругленная прямоугольная выноска 37">
          <a:extLst>
            <a:ext uri="{FF2B5EF4-FFF2-40B4-BE49-F238E27FC236}">
              <a16:creationId xmlns:a16="http://schemas.microsoft.com/office/drawing/2014/main" id="{00000000-0008-0000-1B00-000026000000}"/>
            </a:ext>
          </a:extLst>
        </xdr:cNvPr>
        <xdr:cNvSpPr/>
      </xdr:nvSpPr>
      <xdr:spPr>
        <a:xfrm>
          <a:off x="18810123" y="89588628"/>
          <a:ext cx="7563241" cy="1270589"/>
        </a:xfrm>
        <a:prstGeom prst="wedgeRoundRectCallout">
          <a:avLst>
            <a:gd name="adj1" fmla="val -68876"/>
            <a:gd name="adj2" fmla="val 51938"/>
            <a:gd name="adj3" fmla="val 16667"/>
          </a:avLst>
        </a:prstGeom>
        <a:solidFill>
          <a:schemeClr val="bg1">
            <a:lumMod val="95000"/>
          </a:schemeClr>
        </a:solidFill>
        <a:ln w="38100">
          <a:solidFill>
            <a:srgbClr val="FFC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ysClr val="windowText" lastClr="000000"/>
              </a:solidFill>
              <a:latin typeface="Arial Narrow" panose="020B0606020202030204" pitchFamily="34" charset="0"/>
            </a:rPr>
            <a:t>Значение </a:t>
          </a:r>
          <a:r>
            <a:rPr lang="ru-RU" sz="1400" b="1">
              <a:solidFill>
                <a:srgbClr val="0000FF"/>
              </a:solidFill>
              <a:latin typeface="Arial Narrow" panose="020B0606020202030204" pitchFamily="34" charset="0"/>
            </a:rPr>
            <a:t>Норматива Н25 </a:t>
          </a:r>
          <a:r>
            <a:rPr lang="ru-RU" sz="1400" b="1" baseline="0">
              <a:solidFill>
                <a:sysClr val="windowText" lastClr="000000"/>
              </a:solidFill>
              <a:latin typeface="Arial Narrow" panose="020B0606020202030204" pitchFamily="34" charset="0"/>
            </a:rPr>
            <a:t>- см.</a:t>
          </a:r>
          <a:br>
            <a:rPr lang="ru-RU" sz="1400" b="1" baseline="0">
              <a:solidFill>
                <a:sysClr val="windowText" lastClr="000000"/>
              </a:solidFill>
              <a:latin typeface="Arial Narrow" panose="020B0606020202030204" pitchFamily="34" charset="0"/>
            </a:rPr>
          </a:br>
          <a:r>
            <a:rPr lang="ru-RU" sz="1400" b="1" baseline="0">
              <a:solidFill>
                <a:sysClr val="windowText" lastClr="000000"/>
              </a:solidFill>
              <a:latin typeface="Arial Narrow" panose="020B0606020202030204" pitchFamily="34" charset="0"/>
              <a:ea typeface="+mn-ea"/>
              <a:cs typeface="+mn-cs"/>
            </a:rPr>
            <a:t>Форма на сайте ЦБ (</a:t>
          </a:r>
          <a:r>
            <a:rPr lang="en-US" sz="1400" b="1" baseline="0">
              <a:solidFill>
                <a:sysClr val="windowText" lastClr="000000"/>
              </a:solidFill>
              <a:latin typeface="Arial Narrow" panose="020B0606020202030204" pitchFamily="34" charset="0"/>
              <a:ea typeface="+mn-ea"/>
              <a:cs typeface="+mn-cs"/>
            </a:rPr>
            <a:t>http://www.cbr.ru/banking_sector/otchetnost-kreditnykh-organizaciy/transparent/</a:t>
          </a:r>
          <a:r>
            <a:rPr lang="ru-RU" sz="1400" b="1" baseline="0">
              <a:solidFill>
                <a:sysClr val="windowText" lastClr="000000"/>
              </a:solidFill>
              <a:latin typeface="Arial Narrow" panose="020B0606020202030204" pitchFamily="34" charset="0"/>
              <a:ea typeface="+mn-ea"/>
              <a:cs typeface="+mn-cs"/>
            </a:rPr>
            <a:t>) "</a:t>
          </a:r>
          <a:r>
            <a:rPr lang="ru-RU" sz="1400" b="1" i="1" baseline="0">
              <a:solidFill>
                <a:srgbClr val="C00000"/>
              </a:solidFill>
              <a:latin typeface="Arial Narrow" panose="020B0606020202030204" pitchFamily="34" charset="0"/>
              <a:ea typeface="+mn-ea"/>
              <a:cs typeface="+mn-cs"/>
            </a:rPr>
            <a:t>Сведения об обязательных нормативах, показателе финансового рычага и нормативе краткосрочной ликвидности (публикуемая форма)</a:t>
          </a:r>
          <a:r>
            <a:rPr lang="ru-RU" sz="1400" b="1" baseline="0">
              <a:solidFill>
                <a:sysClr val="windowText" lastClr="000000"/>
              </a:solidFill>
              <a:latin typeface="Arial Narrow" panose="020B0606020202030204" pitchFamily="34" charset="0"/>
              <a:ea typeface="+mn-ea"/>
              <a:cs typeface="+mn-cs"/>
            </a:rPr>
            <a:t>" (внутри раздела "Годовая (промежуточная) отчётность" страницы нужного банка)</a:t>
          </a:r>
        </a:p>
      </xdr:txBody>
    </xdr:sp>
    <xdr:clientData/>
  </xdr:twoCellAnchor>
  <xdr:twoCellAnchor>
    <xdr:from>
      <xdr:col>17</xdr:col>
      <xdr:colOff>81242</xdr:colOff>
      <xdr:row>407</xdr:row>
      <xdr:rowOff>89247</xdr:rowOff>
    </xdr:from>
    <xdr:to>
      <xdr:col>17</xdr:col>
      <xdr:colOff>347942</xdr:colOff>
      <xdr:row>410</xdr:row>
      <xdr:rowOff>466165</xdr:rowOff>
    </xdr:to>
    <xdr:sp macro="" textlink="">
      <xdr:nvSpPr>
        <xdr:cNvPr id="39" name="Правая фигурная скобка 38">
          <a:extLst>
            <a:ext uri="{FF2B5EF4-FFF2-40B4-BE49-F238E27FC236}">
              <a16:creationId xmlns:a16="http://schemas.microsoft.com/office/drawing/2014/main" id="{00000000-0008-0000-1B00-000027000000}"/>
            </a:ext>
          </a:extLst>
        </xdr:cNvPr>
        <xdr:cNvSpPr/>
      </xdr:nvSpPr>
      <xdr:spPr>
        <a:xfrm>
          <a:off x="17932213" y="92448129"/>
          <a:ext cx="266700" cy="982036"/>
        </a:xfrm>
        <a:prstGeom prst="rightBrac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ru-RU" sz="1100"/>
        </a:p>
      </xdr:txBody>
    </xdr:sp>
    <xdr:clientData/>
  </xdr:twoCellAnchor>
  <xdr:twoCellAnchor>
    <xdr:from>
      <xdr:col>19</xdr:col>
      <xdr:colOff>661716</xdr:colOff>
      <xdr:row>412</xdr:row>
      <xdr:rowOff>7523</xdr:rowOff>
    </xdr:from>
    <xdr:to>
      <xdr:col>32</xdr:col>
      <xdr:colOff>291192</xdr:colOff>
      <xdr:row>413</xdr:row>
      <xdr:rowOff>186497</xdr:rowOff>
    </xdr:to>
    <xdr:sp macro="" textlink="">
      <xdr:nvSpPr>
        <xdr:cNvPr id="40" name="Скругленная прямоугольная выноска 39">
          <a:extLst>
            <a:ext uri="{FF2B5EF4-FFF2-40B4-BE49-F238E27FC236}">
              <a16:creationId xmlns:a16="http://schemas.microsoft.com/office/drawing/2014/main" id="{00000000-0008-0000-1B00-000028000000}"/>
            </a:ext>
          </a:extLst>
        </xdr:cNvPr>
        <xdr:cNvSpPr/>
      </xdr:nvSpPr>
      <xdr:spPr>
        <a:xfrm>
          <a:off x="19722922" y="93890405"/>
          <a:ext cx="7563241" cy="1691768"/>
        </a:xfrm>
        <a:prstGeom prst="wedgeRoundRectCallout">
          <a:avLst>
            <a:gd name="adj1" fmla="val -58822"/>
            <a:gd name="adj2" fmla="val -83255"/>
            <a:gd name="adj3" fmla="val 16667"/>
          </a:avLst>
        </a:prstGeom>
        <a:solidFill>
          <a:schemeClr val="bg1">
            <a:lumMod val="95000"/>
          </a:schemeClr>
        </a:solidFill>
        <a:ln w="38100">
          <a:solidFill>
            <a:srgbClr val="FFC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ysClr val="windowText" lastClr="000000"/>
              </a:solidFill>
              <a:latin typeface="Arial Narrow" panose="020B0606020202030204" pitchFamily="34" charset="0"/>
            </a:rPr>
            <a:t>Значение </a:t>
          </a:r>
          <a:r>
            <a:rPr lang="ru-RU" sz="1400" b="1">
              <a:solidFill>
                <a:srgbClr val="0000FF"/>
              </a:solidFill>
              <a:latin typeface="Arial Narrow" panose="020B0606020202030204" pitchFamily="34" charset="0"/>
            </a:rPr>
            <a:t>Надбавок </a:t>
          </a:r>
          <a:r>
            <a:rPr lang="ru-RU" sz="1400" b="1" baseline="0">
              <a:solidFill>
                <a:sysClr val="windowText" lastClr="000000"/>
              </a:solidFill>
              <a:latin typeface="Arial Narrow" panose="020B0606020202030204" pitchFamily="34" charset="0"/>
            </a:rPr>
            <a:t>- см.</a:t>
          </a:r>
          <a:br>
            <a:rPr lang="ru-RU" sz="1400" b="1" baseline="0">
              <a:solidFill>
                <a:sysClr val="windowText" lastClr="000000"/>
              </a:solidFill>
              <a:latin typeface="Arial Narrow" panose="020B0606020202030204" pitchFamily="34" charset="0"/>
            </a:rPr>
          </a:br>
          <a:r>
            <a:rPr lang="ru-RU" sz="1400" b="1" baseline="0">
              <a:solidFill>
                <a:sysClr val="windowText" lastClr="000000"/>
              </a:solidFill>
              <a:latin typeface="Arial Narrow" panose="020B0606020202030204" pitchFamily="34" charset="0"/>
              <a:ea typeface="+mn-ea"/>
              <a:cs typeface="+mn-cs"/>
            </a:rPr>
            <a:t>Форма 0409813 на сайте ЦБ (</a:t>
          </a:r>
          <a:r>
            <a:rPr lang="en-US" sz="1400" b="1" baseline="0">
              <a:solidFill>
                <a:sysClr val="windowText" lastClr="000000"/>
              </a:solidFill>
              <a:latin typeface="Arial Narrow" panose="020B0606020202030204" pitchFamily="34" charset="0"/>
              <a:ea typeface="+mn-ea"/>
              <a:cs typeface="+mn-cs"/>
            </a:rPr>
            <a:t>http://www.cbr.ru/banking_sector/otchetnost-kreditnykh-organizaciy/transparent/</a:t>
          </a:r>
          <a:r>
            <a:rPr lang="ru-RU" sz="1400" b="1" baseline="0">
              <a:solidFill>
                <a:sysClr val="windowText" lastClr="000000"/>
              </a:solidFill>
              <a:latin typeface="Arial Narrow" panose="020B0606020202030204" pitchFamily="34" charset="0"/>
              <a:ea typeface="+mn-ea"/>
              <a:cs typeface="+mn-cs"/>
            </a:rPr>
            <a:t>) "</a:t>
          </a:r>
          <a:r>
            <a:rPr lang="ru-RU" sz="1400" b="1" i="1" baseline="0">
              <a:solidFill>
                <a:srgbClr val="C00000"/>
              </a:solidFill>
              <a:latin typeface="Arial Narrow" panose="020B0606020202030204" pitchFamily="34" charset="0"/>
              <a:ea typeface="+mn-ea"/>
              <a:cs typeface="+mn-cs"/>
            </a:rPr>
            <a:t>Сведения об обязательных нормативах, показателе финансового рычага и нормативе краткосрочной ликвидности (публикуемая форма) </a:t>
          </a:r>
          <a:r>
            <a:rPr lang="ru-RU" sz="1400" b="1" i="1" u="sng" baseline="0">
              <a:solidFill>
                <a:srgbClr val="C00000"/>
              </a:solidFill>
              <a:latin typeface="Arial Narrow" panose="020B0606020202030204" pitchFamily="34" charset="0"/>
              <a:ea typeface="+mn-ea"/>
              <a:cs typeface="+mn-cs"/>
            </a:rPr>
            <a:t>головной кредитной </a:t>
          </a:r>
          <a:r>
            <a:rPr lang="ru-RU" sz="1400" b="1" i="1" baseline="0">
              <a:solidFill>
                <a:srgbClr val="C00000"/>
              </a:solidFill>
              <a:latin typeface="Arial Narrow" panose="020B0606020202030204" pitchFamily="34" charset="0"/>
              <a:ea typeface="+mn-ea"/>
              <a:cs typeface="+mn-cs"/>
            </a:rPr>
            <a:t>организации банковской группы</a:t>
          </a:r>
          <a:r>
            <a:rPr lang="ru-RU" sz="1400" b="1" baseline="0">
              <a:solidFill>
                <a:sysClr val="windowText" lastClr="000000"/>
              </a:solidFill>
              <a:latin typeface="Arial Narrow" panose="020B0606020202030204" pitchFamily="34" charset="0"/>
              <a:ea typeface="+mn-ea"/>
              <a:cs typeface="+mn-cs"/>
            </a:rPr>
            <a:t>" (внутри раздела "Годовая (промежуточная) отчётность" страницы нужного банка</a:t>
          </a:r>
        </a:p>
      </xdr:txBody>
    </xdr:sp>
    <xdr:clientData/>
  </xdr:twoCellAnchor>
  <xdr:twoCellAnchor>
    <xdr:from>
      <xdr:col>10</xdr:col>
      <xdr:colOff>952500</xdr:colOff>
      <xdr:row>0</xdr:row>
      <xdr:rowOff>122463</xdr:rowOff>
    </xdr:from>
    <xdr:to>
      <xdr:col>16</xdr:col>
      <xdr:colOff>231321</xdr:colOff>
      <xdr:row>5</xdr:row>
      <xdr:rowOff>-1</xdr:rowOff>
    </xdr:to>
    <xdr:sp macro="" textlink="">
      <xdr:nvSpPr>
        <xdr:cNvPr id="4" name="TextBox 3">
          <a:extLst>
            <a:ext uri="{FF2B5EF4-FFF2-40B4-BE49-F238E27FC236}">
              <a16:creationId xmlns:a16="http://schemas.microsoft.com/office/drawing/2014/main" id="{00000000-0008-0000-1B00-000004000000}"/>
            </a:ext>
          </a:extLst>
        </xdr:cNvPr>
        <xdr:cNvSpPr txBox="1"/>
      </xdr:nvSpPr>
      <xdr:spPr>
        <a:xfrm>
          <a:off x="15933964" y="122463"/>
          <a:ext cx="7279821" cy="88446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600" b="1">
              <a:solidFill>
                <a:srgbClr val="C00000"/>
              </a:solidFill>
              <a:latin typeface="Arial Narrow" panose="020B0606020202030204" pitchFamily="34" charset="0"/>
            </a:rPr>
            <a:t>Кредитные организации вправе НЕ раскрывать не</a:t>
          </a:r>
          <a:r>
            <a:rPr lang="ru-RU" sz="1600" b="1" baseline="0">
              <a:solidFill>
                <a:srgbClr val="C00000"/>
              </a:solidFill>
              <a:latin typeface="Arial Narrow" panose="020B0606020202030204" pitchFamily="34" charset="0"/>
            </a:rPr>
            <a:t> только отдельные формы отчетности, но и некоторые строки в раскрываемой отчетности. Подробнее - см по ссылке</a:t>
          </a:r>
          <a:endParaRPr lang="ru-RU" sz="1600" b="1">
            <a:solidFill>
              <a:srgbClr val="C00000"/>
            </a:solidFill>
            <a:latin typeface="Arial Narrow" panose="020B0606020202030204" pitchFamily="34" charset="0"/>
          </a:endParaRPr>
        </a:p>
      </xdr:txBody>
    </xdr:sp>
    <xdr:clientData/>
  </xdr:twoCellAnchor>
  <xdr:twoCellAnchor>
    <xdr:from>
      <xdr:col>11</xdr:col>
      <xdr:colOff>166007</xdr:colOff>
      <xdr:row>2</xdr:row>
      <xdr:rowOff>179616</xdr:rowOff>
    </xdr:from>
    <xdr:to>
      <xdr:col>11</xdr:col>
      <xdr:colOff>1265465</xdr:colOff>
      <xdr:row>4</xdr:row>
      <xdr:rowOff>136072</xdr:rowOff>
    </xdr:to>
    <xdr:sp macro="" textlink="">
      <xdr:nvSpPr>
        <xdr:cNvPr id="8" name="TextBox 7">
          <a:hlinkClick xmlns:r="http://schemas.openxmlformats.org/officeDocument/2006/relationships" r:id="rId1"/>
          <a:extLst>
            <a:ext uri="{FF2B5EF4-FFF2-40B4-BE49-F238E27FC236}">
              <a16:creationId xmlns:a16="http://schemas.microsoft.com/office/drawing/2014/main" id="{00000000-0008-0000-1B00-000008000000}"/>
            </a:ext>
          </a:extLst>
        </xdr:cNvPr>
        <xdr:cNvSpPr txBox="1"/>
      </xdr:nvSpPr>
      <xdr:spPr>
        <a:xfrm>
          <a:off x="16807543" y="601437"/>
          <a:ext cx="1099458" cy="351064"/>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600" b="1">
              <a:solidFill>
                <a:srgbClr val="0000FF"/>
              </a:solidFill>
              <a:latin typeface="Arial Narrow" panose="020B0606020202030204" pitchFamily="34" charset="0"/>
            </a:rPr>
            <a:t>ССЫЛКА</a:t>
          </a:r>
        </a:p>
      </xdr:txBody>
    </xdr:sp>
    <xdr:clientData/>
  </xdr:twoCellAnchor>
  <xdr:twoCellAnchor>
    <xdr:from>
      <xdr:col>30</xdr:col>
      <xdr:colOff>54428</xdr:colOff>
      <xdr:row>447</xdr:row>
      <xdr:rowOff>136072</xdr:rowOff>
    </xdr:from>
    <xdr:to>
      <xdr:col>49</xdr:col>
      <xdr:colOff>517072</xdr:colOff>
      <xdr:row>472</xdr:row>
      <xdr:rowOff>103414</xdr:rowOff>
    </xdr:to>
    <xdr:grpSp>
      <xdr:nvGrpSpPr>
        <xdr:cNvPr id="26" name="Группа 25">
          <a:extLst>
            <a:ext uri="{FF2B5EF4-FFF2-40B4-BE49-F238E27FC236}">
              <a16:creationId xmlns:a16="http://schemas.microsoft.com/office/drawing/2014/main" id="{00000000-0008-0000-1B00-00001A000000}"/>
            </a:ext>
          </a:extLst>
        </xdr:cNvPr>
        <xdr:cNvGrpSpPr/>
      </xdr:nvGrpSpPr>
      <xdr:grpSpPr>
        <a:xfrm>
          <a:off x="36646303" y="136026072"/>
          <a:ext cx="11924394" cy="5793467"/>
          <a:chOff x="30792964" y="134982857"/>
          <a:chExt cx="12096750" cy="5777592"/>
        </a:xfrm>
      </xdr:grpSpPr>
      <xdr:pic>
        <xdr:nvPicPr>
          <xdr:cNvPr id="11" name="Рисунок 10">
            <a:extLst>
              <a:ext uri="{FF2B5EF4-FFF2-40B4-BE49-F238E27FC236}">
                <a16:creationId xmlns:a16="http://schemas.microsoft.com/office/drawing/2014/main" id="{00000000-0008-0000-1B00-00000B000000}"/>
              </a:ext>
            </a:extLst>
          </xdr:cNvPr>
          <xdr:cNvPicPr>
            <a:picLocks noChangeAspect="1"/>
          </xdr:cNvPicPr>
        </xdr:nvPicPr>
        <xdr:blipFill>
          <a:blip xmlns:r="http://schemas.openxmlformats.org/officeDocument/2006/relationships" r:embed="rId2"/>
          <a:stretch>
            <a:fillRect/>
          </a:stretch>
        </xdr:blipFill>
        <xdr:spPr>
          <a:xfrm>
            <a:off x="30792964" y="134982857"/>
            <a:ext cx="12096750" cy="2438400"/>
          </a:xfrm>
          <a:prstGeom prst="rect">
            <a:avLst/>
          </a:prstGeom>
        </xdr:spPr>
      </xdr:pic>
      <xdr:pic>
        <xdr:nvPicPr>
          <xdr:cNvPr id="25" name="Рисунок 24">
            <a:extLst>
              <a:ext uri="{FF2B5EF4-FFF2-40B4-BE49-F238E27FC236}">
                <a16:creationId xmlns:a16="http://schemas.microsoft.com/office/drawing/2014/main" id="{00000000-0008-0000-1B00-000019000000}"/>
              </a:ext>
            </a:extLst>
          </xdr:cNvPr>
          <xdr:cNvPicPr>
            <a:picLocks noChangeAspect="1"/>
          </xdr:cNvPicPr>
        </xdr:nvPicPr>
        <xdr:blipFill>
          <a:blip xmlns:r="http://schemas.openxmlformats.org/officeDocument/2006/relationships" r:embed="rId3"/>
          <a:stretch>
            <a:fillRect/>
          </a:stretch>
        </xdr:blipFill>
        <xdr:spPr>
          <a:xfrm>
            <a:off x="30901822" y="137445749"/>
            <a:ext cx="11953875" cy="3314700"/>
          </a:xfrm>
          <a:prstGeom prst="rect">
            <a:avLst/>
          </a:prstGeom>
        </xdr:spPr>
      </xdr:pic>
    </xdr:grpSp>
    <xdr:clientData/>
  </xdr:twoCellAnchor>
  <xdr:twoCellAnchor editAs="oneCell">
    <xdr:from>
      <xdr:col>50</xdr:col>
      <xdr:colOff>340179</xdr:colOff>
      <xdr:row>449</xdr:row>
      <xdr:rowOff>68036</xdr:rowOff>
    </xdr:from>
    <xdr:to>
      <xdr:col>72</xdr:col>
      <xdr:colOff>137433</xdr:colOff>
      <xdr:row>471</xdr:row>
      <xdr:rowOff>57151</xdr:rowOff>
    </xdr:to>
    <xdr:pic>
      <xdr:nvPicPr>
        <xdr:cNvPr id="41" name="Рисунок 40">
          <a:extLst>
            <a:ext uri="{FF2B5EF4-FFF2-40B4-BE49-F238E27FC236}">
              <a16:creationId xmlns:a16="http://schemas.microsoft.com/office/drawing/2014/main" id="{00000000-0008-0000-1B00-000029000000}"/>
            </a:ext>
          </a:extLst>
        </xdr:cNvPr>
        <xdr:cNvPicPr>
          <a:picLocks noChangeAspect="1"/>
        </xdr:cNvPicPr>
      </xdr:nvPicPr>
      <xdr:blipFill>
        <a:blip xmlns:r="http://schemas.openxmlformats.org/officeDocument/2006/relationships" r:embed="rId4"/>
        <a:stretch>
          <a:fillRect/>
        </a:stretch>
      </xdr:blipFill>
      <xdr:spPr>
        <a:xfrm>
          <a:off x="47230393" y="136180286"/>
          <a:ext cx="13268325" cy="5200650"/>
        </a:xfrm>
        <a:prstGeom prst="rect">
          <a:avLst/>
        </a:prstGeom>
      </xdr:spPr>
    </xdr:pic>
    <xdr:clientData/>
  </xdr:twoCellAnchor>
  <xdr:twoCellAnchor editAs="oneCell">
    <xdr:from>
      <xdr:col>18</xdr:col>
      <xdr:colOff>122462</xdr:colOff>
      <xdr:row>531</xdr:row>
      <xdr:rowOff>408213</xdr:rowOff>
    </xdr:from>
    <xdr:to>
      <xdr:col>33</xdr:col>
      <xdr:colOff>123823</xdr:colOff>
      <xdr:row>548</xdr:row>
      <xdr:rowOff>71230</xdr:rowOff>
    </xdr:to>
    <xdr:pic>
      <xdr:nvPicPr>
        <xdr:cNvPr id="43" name="Рисунок 42">
          <a:extLst>
            <a:ext uri="{FF2B5EF4-FFF2-40B4-BE49-F238E27FC236}">
              <a16:creationId xmlns:a16="http://schemas.microsoft.com/office/drawing/2014/main" id="{00000000-0008-0000-1B00-00002B000000}"/>
            </a:ext>
          </a:extLst>
        </xdr:cNvPr>
        <xdr:cNvPicPr>
          <a:picLocks noChangeAspect="1"/>
        </xdr:cNvPicPr>
      </xdr:nvPicPr>
      <xdr:blipFill>
        <a:blip xmlns:r="http://schemas.openxmlformats.org/officeDocument/2006/relationships" r:embed="rId5"/>
        <a:stretch>
          <a:fillRect/>
        </a:stretch>
      </xdr:blipFill>
      <xdr:spPr>
        <a:xfrm>
          <a:off x="25513391" y="153243642"/>
          <a:ext cx="11696700" cy="3745158"/>
        </a:xfrm>
        <a:prstGeom prst="rect">
          <a:avLst/>
        </a:prstGeom>
      </xdr:spPr>
    </xdr:pic>
    <xdr:clientData/>
  </xdr:twoCellAnchor>
  <xdr:twoCellAnchor editAs="oneCell">
    <xdr:from>
      <xdr:col>18</xdr:col>
      <xdr:colOff>95248</xdr:colOff>
      <xdr:row>513</xdr:row>
      <xdr:rowOff>233238</xdr:rowOff>
    </xdr:from>
    <xdr:to>
      <xdr:col>30</xdr:col>
      <xdr:colOff>12246</xdr:colOff>
      <xdr:row>531</xdr:row>
      <xdr:rowOff>129268</xdr:rowOff>
    </xdr:to>
    <xdr:pic>
      <xdr:nvPicPr>
        <xdr:cNvPr id="44" name="Рисунок 43">
          <a:extLst>
            <a:ext uri="{FF2B5EF4-FFF2-40B4-BE49-F238E27FC236}">
              <a16:creationId xmlns:a16="http://schemas.microsoft.com/office/drawing/2014/main" id="{00000000-0008-0000-1B00-00002C000000}"/>
            </a:ext>
          </a:extLst>
        </xdr:cNvPr>
        <xdr:cNvPicPr>
          <a:picLocks noChangeAspect="1"/>
        </xdr:cNvPicPr>
      </xdr:nvPicPr>
      <xdr:blipFill>
        <a:blip xmlns:r="http://schemas.openxmlformats.org/officeDocument/2006/relationships" r:embed="rId6"/>
        <a:stretch>
          <a:fillRect/>
        </a:stretch>
      </xdr:blipFill>
      <xdr:spPr>
        <a:xfrm>
          <a:off x="25486177" y="149108988"/>
          <a:ext cx="9775373" cy="3896530"/>
        </a:xfrm>
        <a:prstGeom prst="rect">
          <a:avLst/>
        </a:prstGeom>
      </xdr:spPr>
    </xdr:pic>
    <xdr:clientData/>
  </xdr:twoCellAnchor>
  <xdr:twoCellAnchor editAs="oneCell">
    <xdr:from>
      <xdr:col>17</xdr:col>
      <xdr:colOff>789214</xdr:colOff>
      <xdr:row>627</xdr:row>
      <xdr:rowOff>176893</xdr:rowOff>
    </xdr:from>
    <xdr:to>
      <xdr:col>33</xdr:col>
      <xdr:colOff>223157</xdr:colOff>
      <xdr:row>640</xdr:row>
      <xdr:rowOff>145597</xdr:rowOff>
    </xdr:to>
    <xdr:pic>
      <xdr:nvPicPr>
        <xdr:cNvPr id="45" name="Рисунок 44">
          <a:extLst>
            <a:ext uri="{FF2B5EF4-FFF2-40B4-BE49-F238E27FC236}">
              <a16:creationId xmlns:a16="http://schemas.microsoft.com/office/drawing/2014/main" id="{00000000-0008-0000-1B00-00002D000000}"/>
            </a:ext>
          </a:extLst>
        </xdr:cNvPr>
        <xdr:cNvPicPr>
          <a:picLocks noChangeAspect="1"/>
        </xdr:cNvPicPr>
      </xdr:nvPicPr>
      <xdr:blipFill>
        <a:blip xmlns:r="http://schemas.openxmlformats.org/officeDocument/2006/relationships" r:embed="rId7"/>
        <a:stretch>
          <a:fillRect/>
        </a:stretch>
      </xdr:blipFill>
      <xdr:spPr>
        <a:xfrm>
          <a:off x="25567821" y="172633822"/>
          <a:ext cx="12163425" cy="2771775"/>
        </a:xfrm>
        <a:prstGeom prst="rect">
          <a:avLst/>
        </a:prstGeom>
      </xdr:spPr>
    </xdr:pic>
    <xdr:clientData/>
  </xdr:twoCellAnchor>
  <xdr:twoCellAnchor>
    <xdr:from>
      <xdr:col>19</xdr:col>
      <xdr:colOff>238526</xdr:colOff>
      <xdr:row>704</xdr:row>
      <xdr:rowOff>372198</xdr:rowOff>
    </xdr:from>
    <xdr:to>
      <xdr:col>28</xdr:col>
      <xdr:colOff>327371</xdr:colOff>
      <xdr:row>708</xdr:row>
      <xdr:rowOff>0</xdr:rowOff>
    </xdr:to>
    <xdr:sp macro="" textlink="">
      <xdr:nvSpPr>
        <xdr:cNvPr id="49" name="Скругленная прямоугольная выноска 34">
          <a:extLst>
            <a:ext uri="{FF2B5EF4-FFF2-40B4-BE49-F238E27FC236}">
              <a16:creationId xmlns:a16="http://schemas.microsoft.com/office/drawing/2014/main" id="{00000000-0008-0000-1B00-000031000000}"/>
            </a:ext>
          </a:extLst>
        </xdr:cNvPr>
        <xdr:cNvSpPr/>
      </xdr:nvSpPr>
      <xdr:spPr>
        <a:xfrm>
          <a:off x="26241776" y="195743555"/>
          <a:ext cx="5654166" cy="1959428"/>
        </a:xfrm>
        <a:prstGeom prst="wedgeRoundRectCallout">
          <a:avLst>
            <a:gd name="adj1" fmla="val -61655"/>
            <a:gd name="adj2" fmla="val 8058"/>
            <a:gd name="adj3" fmla="val 16667"/>
          </a:avLst>
        </a:prstGeom>
        <a:solidFill>
          <a:schemeClr val="bg1">
            <a:lumMod val="95000"/>
          </a:schemeClr>
        </a:solidFill>
        <a:ln w="38100">
          <a:solidFill>
            <a:srgbClr val="FFC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800" b="1">
              <a:solidFill>
                <a:sysClr val="windowText" lastClr="000000"/>
              </a:solidFill>
              <a:latin typeface="Arial Narrow" panose="020B0606020202030204" pitchFamily="34" charset="0"/>
            </a:rPr>
            <a:t> - Данные заполняются с листа </a:t>
          </a:r>
          <a:r>
            <a:rPr lang="ru-RU" sz="1800" b="1" baseline="0">
              <a:solidFill>
                <a:sysClr val="windowText" lastClr="000000"/>
              </a:solidFill>
              <a:latin typeface="Arial Narrow" panose="020B0606020202030204" pitchFamily="34" charset="0"/>
            </a:rPr>
            <a:t>"</a:t>
          </a:r>
          <a:r>
            <a:rPr lang="ru-RU" sz="1800" b="1">
              <a:solidFill>
                <a:sysClr val="windowText" lastClr="000000"/>
              </a:solidFill>
              <a:latin typeface="Arial Narrow" panose="020B0606020202030204" pitchFamily="34" charset="0"/>
            </a:rPr>
            <a:t>Процен, комисс. дох., опер.расх"</a:t>
          </a:r>
          <a:br>
            <a:rPr lang="ru-RU" sz="1800" b="1">
              <a:solidFill>
                <a:sysClr val="windowText" lastClr="000000"/>
              </a:solidFill>
              <a:latin typeface="Arial Narrow" panose="020B0606020202030204" pitchFamily="34" charset="0"/>
            </a:rPr>
          </a:br>
          <a:r>
            <a:rPr lang="ru-RU" sz="1800" b="1">
              <a:solidFill>
                <a:sysClr val="windowText" lastClr="000000"/>
              </a:solidFill>
              <a:latin typeface="Arial Narrow" panose="020B0606020202030204" pitchFamily="34" charset="0"/>
            </a:rPr>
            <a:t>- Исходные данные для заполнения см. в </a:t>
          </a:r>
          <a:r>
            <a:rPr lang="ru-RU" sz="1800" b="1">
              <a:solidFill>
                <a:srgbClr val="C00000"/>
              </a:solidFill>
              <a:latin typeface="Arial Narrow" panose="020B0606020202030204" pitchFamily="34" charset="0"/>
            </a:rPr>
            <a:t>форме №</a:t>
          </a:r>
          <a:r>
            <a:rPr lang="ru-RU" sz="1800" b="1" baseline="0">
              <a:solidFill>
                <a:srgbClr val="C00000"/>
              </a:solidFill>
              <a:latin typeface="Arial Narrow" panose="020B0606020202030204" pitchFamily="34" charset="0"/>
            </a:rPr>
            <a:t> 102</a:t>
          </a:r>
          <a:r>
            <a:rPr lang="ru-RU" sz="1800" b="1" baseline="0">
              <a:solidFill>
                <a:sysClr val="windowText" lastClr="000000"/>
              </a:solidFill>
              <a:latin typeface="Arial Narrow" panose="020B0606020202030204" pitchFamily="34" charset="0"/>
            </a:rPr>
            <a:t> (на сайте Банка России в карточке банка, </a:t>
          </a:r>
          <a:r>
            <a:rPr lang="en-US" sz="1800" b="1" u="sng" baseline="0">
              <a:solidFill>
                <a:srgbClr val="0000FF"/>
              </a:solidFill>
              <a:latin typeface="Arial Narrow" panose="020B0606020202030204" pitchFamily="34" charset="0"/>
            </a:rPr>
            <a:t>http://www.cbr.ru/credit/transparent</a:t>
          </a:r>
          <a:r>
            <a:rPr lang="en-US" sz="1800" b="1" baseline="0">
              <a:solidFill>
                <a:sysClr val="windowText" lastClr="000000"/>
              </a:solidFill>
              <a:latin typeface="Arial Narrow" panose="020B0606020202030204" pitchFamily="34" charset="0"/>
            </a:rPr>
            <a:t>/</a:t>
          </a:r>
          <a:r>
            <a:rPr lang="ru-RU" sz="1800" b="1" baseline="0">
              <a:solidFill>
                <a:sysClr val="windowText" lastClr="000000"/>
              </a:solidFill>
              <a:latin typeface="Arial Narrow" panose="020B0606020202030204" pitchFamily="34" charset="0"/>
            </a:rPr>
            <a:t>).  </a:t>
          </a:r>
          <a:br>
            <a:rPr lang="ru-RU" sz="1800" b="1" baseline="0">
              <a:solidFill>
                <a:sysClr val="windowText" lastClr="000000"/>
              </a:solidFill>
              <a:latin typeface="Arial Narrow" panose="020B0606020202030204" pitchFamily="34" charset="0"/>
            </a:rPr>
          </a:br>
          <a:endParaRPr lang="ru-RU" sz="1800" b="1">
            <a:solidFill>
              <a:sysClr val="windowText" lastClr="000000"/>
            </a:solidFill>
            <a:latin typeface="Arial Narrow" panose="020B060602020203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353787</xdr:colOff>
      <xdr:row>254</xdr:row>
      <xdr:rowOff>81642</xdr:rowOff>
    </xdr:from>
    <xdr:to>
      <xdr:col>12</xdr:col>
      <xdr:colOff>367393</xdr:colOff>
      <xdr:row>278</xdr:row>
      <xdr:rowOff>28014</xdr:rowOff>
    </xdr:to>
    <xdr:graphicFrame macro="">
      <xdr:nvGraphicFramePr>
        <xdr:cNvPr id="4" name="Диаграмма 3">
          <a:extLst>
            <a:ext uri="{FF2B5EF4-FFF2-40B4-BE49-F238E27FC236}">
              <a16:creationId xmlns:a16="http://schemas.microsoft.com/office/drawing/2014/main" id="{00000000-0008-0000-1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142876</xdr:colOff>
      <xdr:row>5</xdr:row>
      <xdr:rowOff>78440</xdr:rowOff>
    </xdr:from>
    <xdr:to>
      <xdr:col>22</xdr:col>
      <xdr:colOff>600661</xdr:colOff>
      <xdr:row>6</xdr:row>
      <xdr:rowOff>171449</xdr:rowOff>
    </xdr:to>
    <xdr:pic>
      <xdr:nvPicPr>
        <xdr:cNvPr id="6" name="Рисунок 5" descr="Картинки по запросу">
          <a:extLst>
            <a:ext uri="{FF2B5EF4-FFF2-40B4-BE49-F238E27FC236}">
              <a16:creationId xmlns:a16="http://schemas.microsoft.com/office/drawing/2014/main" id="{00000000-0008-0000-1D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459076" y="1126190"/>
          <a:ext cx="457785" cy="302559"/>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123263</xdr:colOff>
      <xdr:row>54</xdr:row>
      <xdr:rowOff>11205</xdr:rowOff>
    </xdr:from>
    <xdr:to>
      <xdr:col>22</xdr:col>
      <xdr:colOff>581048</xdr:colOff>
      <xdr:row>55</xdr:row>
      <xdr:rowOff>104214</xdr:rowOff>
    </xdr:to>
    <xdr:pic>
      <xdr:nvPicPr>
        <xdr:cNvPr id="7" name="Рисунок 6" descr="Картинки по запросу">
          <a:extLst>
            <a:ext uri="{FF2B5EF4-FFF2-40B4-BE49-F238E27FC236}">
              <a16:creationId xmlns:a16="http://schemas.microsoft.com/office/drawing/2014/main" id="{00000000-0008-0000-1D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439463" y="12412755"/>
          <a:ext cx="457785" cy="307601"/>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163605</xdr:colOff>
      <xdr:row>247</xdr:row>
      <xdr:rowOff>17928</xdr:rowOff>
    </xdr:from>
    <xdr:to>
      <xdr:col>22</xdr:col>
      <xdr:colOff>621390</xdr:colOff>
      <xdr:row>248</xdr:row>
      <xdr:rowOff>133350</xdr:rowOff>
    </xdr:to>
    <xdr:pic>
      <xdr:nvPicPr>
        <xdr:cNvPr id="8" name="Рисунок 7" descr="Картинки по запросу">
          <a:extLst>
            <a:ext uri="{FF2B5EF4-FFF2-40B4-BE49-F238E27FC236}">
              <a16:creationId xmlns:a16="http://schemas.microsoft.com/office/drawing/2014/main" id="{00000000-0008-0000-1D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479805" y="15153153"/>
          <a:ext cx="457785" cy="307602"/>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203946</xdr:colOff>
      <xdr:row>258</xdr:row>
      <xdr:rowOff>13446</xdr:rowOff>
    </xdr:from>
    <xdr:to>
      <xdr:col>22</xdr:col>
      <xdr:colOff>661731</xdr:colOff>
      <xdr:row>259</xdr:row>
      <xdr:rowOff>128867</xdr:rowOff>
    </xdr:to>
    <xdr:pic>
      <xdr:nvPicPr>
        <xdr:cNvPr id="9" name="Рисунок 8" descr="Картинки по запросу">
          <a:extLst>
            <a:ext uri="{FF2B5EF4-FFF2-40B4-BE49-F238E27FC236}">
              <a16:creationId xmlns:a16="http://schemas.microsoft.com/office/drawing/2014/main" id="{00000000-0008-0000-1D00-00000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20146" y="17006046"/>
          <a:ext cx="455544" cy="307602"/>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20170</xdr:colOff>
      <xdr:row>281</xdr:row>
      <xdr:rowOff>177049</xdr:rowOff>
    </xdr:from>
    <xdr:to>
      <xdr:col>22</xdr:col>
      <xdr:colOff>477955</xdr:colOff>
      <xdr:row>283</xdr:row>
      <xdr:rowOff>101969</xdr:rowOff>
    </xdr:to>
    <xdr:pic>
      <xdr:nvPicPr>
        <xdr:cNvPr id="10" name="Рисунок 9" descr="Картинки по запросу">
          <a:extLst>
            <a:ext uri="{FF2B5EF4-FFF2-40B4-BE49-F238E27FC236}">
              <a16:creationId xmlns:a16="http://schemas.microsoft.com/office/drawing/2014/main" id="{00000000-0008-0000-1D00-00000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72229" y="20795873"/>
          <a:ext cx="457785" cy="305921"/>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34</xdr:col>
      <xdr:colOff>541806</xdr:colOff>
      <xdr:row>5</xdr:row>
      <xdr:rowOff>40340</xdr:rowOff>
    </xdr:from>
    <xdr:to>
      <xdr:col>35</xdr:col>
      <xdr:colOff>316031</xdr:colOff>
      <xdr:row>6</xdr:row>
      <xdr:rowOff>133349</xdr:rowOff>
    </xdr:to>
    <xdr:pic>
      <xdr:nvPicPr>
        <xdr:cNvPr id="12" name="Рисунок 11" descr="Картинки по запросу">
          <a:extLst>
            <a:ext uri="{FF2B5EF4-FFF2-40B4-BE49-F238E27FC236}">
              <a16:creationId xmlns:a16="http://schemas.microsoft.com/office/drawing/2014/main" id="{00000000-0008-0000-1D00-00000C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104600" y="1104899"/>
          <a:ext cx="457784" cy="305921"/>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48</xdr:col>
      <xdr:colOff>414617</xdr:colOff>
      <xdr:row>5</xdr:row>
      <xdr:rowOff>45440</xdr:rowOff>
    </xdr:from>
    <xdr:to>
      <xdr:col>49</xdr:col>
      <xdr:colOff>60593</xdr:colOff>
      <xdr:row>6</xdr:row>
      <xdr:rowOff>111496</xdr:rowOff>
    </xdr:to>
    <xdr:pic>
      <xdr:nvPicPr>
        <xdr:cNvPr id="13" name="Рисунок 12" descr="Картинки по запросу флаг сша">
          <a:extLst>
            <a:ext uri="{FF2B5EF4-FFF2-40B4-BE49-F238E27FC236}">
              <a16:creationId xmlns:a16="http://schemas.microsoft.com/office/drawing/2014/main" id="{00000000-0008-0000-1D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388792" y="1093190"/>
          <a:ext cx="524996" cy="275606"/>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59</xdr:col>
      <xdr:colOff>477369</xdr:colOff>
      <xdr:row>5</xdr:row>
      <xdr:rowOff>18546</xdr:rowOff>
    </xdr:from>
    <xdr:to>
      <xdr:col>60</xdr:col>
      <xdr:colOff>321047</xdr:colOff>
      <xdr:row>6</xdr:row>
      <xdr:rowOff>84602</xdr:rowOff>
    </xdr:to>
    <xdr:pic>
      <xdr:nvPicPr>
        <xdr:cNvPr id="14" name="Рисунок 13" descr="Картинки по запросу флаг сша">
          <a:extLst>
            <a:ext uri="{FF2B5EF4-FFF2-40B4-BE49-F238E27FC236}">
              <a16:creationId xmlns:a16="http://schemas.microsoft.com/office/drawing/2014/main" id="{00000000-0008-0000-1D00-00000E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775644" y="1066296"/>
          <a:ext cx="529478" cy="275606"/>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47</xdr:col>
      <xdr:colOff>27214</xdr:colOff>
      <xdr:row>55</xdr:row>
      <xdr:rowOff>74438</xdr:rowOff>
    </xdr:from>
    <xdr:to>
      <xdr:col>47</xdr:col>
      <xdr:colOff>554451</xdr:colOff>
      <xdr:row>55</xdr:row>
      <xdr:rowOff>344601</xdr:rowOff>
    </xdr:to>
    <xdr:pic>
      <xdr:nvPicPr>
        <xdr:cNvPr id="15" name="Рисунок 14" descr="Картинки по запросу флаг сша">
          <a:extLst>
            <a:ext uri="{FF2B5EF4-FFF2-40B4-BE49-F238E27FC236}">
              <a16:creationId xmlns:a16="http://schemas.microsoft.com/office/drawing/2014/main" id="{00000000-0008-0000-1D00-00000F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2821678" y="11831009"/>
          <a:ext cx="527237" cy="270163"/>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47</xdr:col>
      <xdr:colOff>22412</xdr:colOff>
      <xdr:row>247</xdr:row>
      <xdr:rowOff>44824</xdr:rowOff>
    </xdr:from>
    <xdr:to>
      <xdr:col>47</xdr:col>
      <xdr:colOff>549649</xdr:colOff>
      <xdr:row>248</xdr:row>
      <xdr:rowOff>133293</xdr:rowOff>
    </xdr:to>
    <xdr:pic>
      <xdr:nvPicPr>
        <xdr:cNvPr id="16" name="Рисунок 15" descr="Картинки по запросу флаг сша">
          <a:extLst>
            <a:ext uri="{FF2B5EF4-FFF2-40B4-BE49-F238E27FC236}">
              <a16:creationId xmlns:a16="http://schemas.microsoft.com/office/drawing/2014/main" id="{00000000-0008-0000-1D00-000010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1348887" y="15180049"/>
          <a:ext cx="527237" cy="280649"/>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46</xdr:col>
      <xdr:colOff>638736</xdr:colOff>
      <xdr:row>258</xdr:row>
      <xdr:rowOff>11205</xdr:rowOff>
    </xdr:from>
    <xdr:to>
      <xdr:col>47</xdr:col>
      <xdr:colOff>230281</xdr:colOff>
      <xdr:row>259</xdr:row>
      <xdr:rowOff>99673</xdr:rowOff>
    </xdr:to>
    <xdr:pic>
      <xdr:nvPicPr>
        <xdr:cNvPr id="17" name="Рисунок 16" descr="Картинки по запросу флаг сша">
          <a:extLst>
            <a:ext uri="{FF2B5EF4-FFF2-40B4-BE49-F238E27FC236}">
              <a16:creationId xmlns:a16="http://schemas.microsoft.com/office/drawing/2014/main" id="{00000000-0008-0000-1D00-000011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1317511" y="17003805"/>
          <a:ext cx="524995" cy="280649"/>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47</xdr:col>
      <xdr:colOff>0</xdr:colOff>
      <xdr:row>282</xdr:row>
      <xdr:rowOff>0</xdr:rowOff>
    </xdr:from>
    <xdr:to>
      <xdr:col>47</xdr:col>
      <xdr:colOff>527237</xdr:colOff>
      <xdr:row>283</xdr:row>
      <xdr:rowOff>88468</xdr:rowOff>
    </xdr:to>
    <xdr:pic>
      <xdr:nvPicPr>
        <xdr:cNvPr id="18" name="Рисунок 17" descr="Картинки по запросу флаг сша">
          <a:extLst>
            <a:ext uri="{FF2B5EF4-FFF2-40B4-BE49-F238E27FC236}">
              <a16:creationId xmlns:a16="http://schemas.microsoft.com/office/drawing/2014/main" id="{00000000-0008-0000-1D00-000012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1326475" y="20878800"/>
          <a:ext cx="527237" cy="280649"/>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140072</xdr:colOff>
      <xdr:row>166</xdr:row>
      <xdr:rowOff>105056</xdr:rowOff>
    </xdr:from>
    <xdr:to>
      <xdr:col>22</xdr:col>
      <xdr:colOff>591973</xdr:colOff>
      <xdr:row>168</xdr:row>
      <xdr:rowOff>39502</xdr:rowOff>
    </xdr:to>
    <xdr:pic>
      <xdr:nvPicPr>
        <xdr:cNvPr id="19" name="Рисунок 18" descr="Картинки по запросу">
          <a:extLst>
            <a:ext uri="{FF2B5EF4-FFF2-40B4-BE49-F238E27FC236}">
              <a16:creationId xmlns:a16="http://schemas.microsoft.com/office/drawing/2014/main" id="{00000000-0008-0000-1D00-00001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427697" y="27632306"/>
          <a:ext cx="451901" cy="315446"/>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46</xdr:col>
      <xdr:colOff>638735</xdr:colOff>
      <xdr:row>167</xdr:row>
      <xdr:rowOff>1402</xdr:rowOff>
    </xdr:from>
    <xdr:to>
      <xdr:col>47</xdr:col>
      <xdr:colOff>230281</xdr:colOff>
      <xdr:row>168</xdr:row>
      <xdr:rowOff>110601</xdr:rowOff>
    </xdr:to>
    <xdr:pic>
      <xdr:nvPicPr>
        <xdr:cNvPr id="20" name="Рисунок 19" descr="Картинки по запросу флаг сша">
          <a:extLst>
            <a:ext uri="{FF2B5EF4-FFF2-40B4-BE49-F238E27FC236}">
              <a16:creationId xmlns:a16="http://schemas.microsoft.com/office/drawing/2014/main" id="{00000000-0008-0000-1D00-000014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6927735" y="27719152"/>
          <a:ext cx="520234" cy="299699"/>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163605</xdr:colOff>
      <xdr:row>247</xdr:row>
      <xdr:rowOff>17928</xdr:rowOff>
    </xdr:from>
    <xdr:to>
      <xdr:col>22</xdr:col>
      <xdr:colOff>621390</xdr:colOff>
      <xdr:row>248</xdr:row>
      <xdr:rowOff>133349</xdr:rowOff>
    </xdr:to>
    <xdr:pic>
      <xdr:nvPicPr>
        <xdr:cNvPr id="21" name="Рисунок 20" descr="Картинки по запросу">
          <a:extLst>
            <a:ext uri="{FF2B5EF4-FFF2-40B4-BE49-F238E27FC236}">
              <a16:creationId xmlns:a16="http://schemas.microsoft.com/office/drawing/2014/main" id="{00000000-0008-0000-1D00-00001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36955" y="24059028"/>
          <a:ext cx="457785" cy="307602"/>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47</xdr:col>
      <xdr:colOff>22412</xdr:colOff>
      <xdr:row>247</xdr:row>
      <xdr:rowOff>44824</xdr:rowOff>
    </xdr:from>
    <xdr:to>
      <xdr:col>47</xdr:col>
      <xdr:colOff>549649</xdr:colOff>
      <xdr:row>248</xdr:row>
      <xdr:rowOff>133292</xdr:rowOff>
    </xdr:to>
    <xdr:pic>
      <xdr:nvPicPr>
        <xdr:cNvPr id="22" name="Рисунок 21" descr="Картинки по запросу флаг сша">
          <a:extLst>
            <a:ext uri="{FF2B5EF4-FFF2-40B4-BE49-F238E27FC236}">
              <a16:creationId xmlns:a16="http://schemas.microsoft.com/office/drawing/2014/main" id="{00000000-0008-0000-1D00-000016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4187337" y="24085924"/>
          <a:ext cx="527237" cy="280649"/>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212910</xdr:colOff>
      <xdr:row>237</xdr:row>
      <xdr:rowOff>89648</xdr:rowOff>
    </xdr:from>
    <xdr:to>
      <xdr:col>3</xdr:col>
      <xdr:colOff>3966881</xdr:colOff>
      <xdr:row>246</xdr:row>
      <xdr:rowOff>97478</xdr:rowOff>
    </xdr:to>
    <xdr:pic>
      <xdr:nvPicPr>
        <xdr:cNvPr id="23" name="Рисунок 22">
          <a:extLst>
            <a:ext uri="{FF2B5EF4-FFF2-40B4-BE49-F238E27FC236}">
              <a16:creationId xmlns:a16="http://schemas.microsoft.com/office/drawing/2014/main" id="{00000000-0008-0000-1D00-000017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12910" y="22320998"/>
          <a:ext cx="5119408" cy="17391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145676</xdr:colOff>
      <xdr:row>222</xdr:row>
      <xdr:rowOff>44824</xdr:rowOff>
    </xdr:from>
    <xdr:to>
      <xdr:col>3</xdr:col>
      <xdr:colOff>5210735</xdr:colOff>
      <xdr:row>230</xdr:row>
      <xdr:rowOff>37032</xdr:rowOff>
    </xdr:to>
    <xdr:pic>
      <xdr:nvPicPr>
        <xdr:cNvPr id="24" name="Рисунок 23">
          <a:extLst>
            <a:ext uri="{FF2B5EF4-FFF2-40B4-BE49-F238E27FC236}">
              <a16:creationId xmlns:a16="http://schemas.microsoft.com/office/drawing/2014/main" id="{00000000-0008-0000-1D00-000018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5676" y="19561549"/>
          <a:ext cx="6430496" cy="1529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145677</xdr:colOff>
      <xdr:row>54</xdr:row>
      <xdr:rowOff>67236</xdr:rowOff>
    </xdr:from>
    <xdr:to>
      <xdr:col>26</xdr:col>
      <xdr:colOff>661148</xdr:colOff>
      <xdr:row>55</xdr:row>
      <xdr:rowOff>493058</xdr:rowOff>
    </xdr:to>
    <xdr:sp macro="" textlink="">
      <xdr:nvSpPr>
        <xdr:cNvPr id="25" name="Скругленная прямоугольная выноска 24">
          <a:extLst>
            <a:ext uri="{FF2B5EF4-FFF2-40B4-BE49-F238E27FC236}">
              <a16:creationId xmlns:a16="http://schemas.microsoft.com/office/drawing/2014/main" id="{00000000-0008-0000-1D00-000019000000}"/>
            </a:ext>
          </a:extLst>
        </xdr:cNvPr>
        <xdr:cNvSpPr/>
      </xdr:nvSpPr>
      <xdr:spPr>
        <a:xfrm>
          <a:off x="16192501" y="11642912"/>
          <a:ext cx="2622176" cy="616322"/>
        </a:xfrm>
        <a:prstGeom prst="wedgeRoundRectCallout">
          <a:avLst>
            <a:gd name="adj1" fmla="val -18853"/>
            <a:gd name="adj2" fmla="val -75925"/>
            <a:gd name="adj3" fmla="val 16667"/>
          </a:avLst>
        </a:prstGeom>
        <a:solidFill>
          <a:schemeClr val="bg1">
            <a:lumMod val="95000"/>
          </a:schemeClr>
        </a:solidFill>
        <a:ln w="38100">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ysClr val="windowText" lastClr="000000"/>
              </a:solidFill>
              <a:latin typeface="Arial Narrow" panose="020B0606020202030204" pitchFamily="34" charset="0"/>
            </a:rPr>
            <a:t>До 2017 (включительно) - Прибыль до налогообложения</a:t>
          </a:r>
        </a:p>
      </xdr:txBody>
    </xdr:sp>
    <xdr:clientData/>
  </xdr:twoCellAnchor>
  <xdr:twoCellAnchor>
    <xdr:from>
      <xdr:col>33</xdr:col>
      <xdr:colOff>549089</xdr:colOff>
      <xdr:row>53</xdr:row>
      <xdr:rowOff>201705</xdr:rowOff>
    </xdr:from>
    <xdr:to>
      <xdr:col>37</xdr:col>
      <xdr:colOff>358588</xdr:colOff>
      <xdr:row>55</xdr:row>
      <xdr:rowOff>414616</xdr:rowOff>
    </xdr:to>
    <xdr:sp macro="" textlink="">
      <xdr:nvSpPr>
        <xdr:cNvPr id="27" name="Скругленная прямоугольная выноска 26">
          <a:extLst>
            <a:ext uri="{FF2B5EF4-FFF2-40B4-BE49-F238E27FC236}">
              <a16:creationId xmlns:a16="http://schemas.microsoft.com/office/drawing/2014/main" id="{00000000-0008-0000-1D00-00001B000000}"/>
            </a:ext>
          </a:extLst>
        </xdr:cNvPr>
        <xdr:cNvSpPr/>
      </xdr:nvSpPr>
      <xdr:spPr>
        <a:xfrm>
          <a:off x="20349883" y="11564470"/>
          <a:ext cx="2622176" cy="616322"/>
        </a:xfrm>
        <a:prstGeom prst="wedgeRoundRectCallout">
          <a:avLst>
            <a:gd name="adj1" fmla="val -18853"/>
            <a:gd name="adj2" fmla="val -75925"/>
            <a:gd name="adj3" fmla="val 16667"/>
          </a:avLst>
        </a:prstGeom>
        <a:solidFill>
          <a:schemeClr val="bg1">
            <a:lumMod val="95000"/>
          </a:schemeClr>
        </a:solidFill>
        <a:ln w="38100">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solidFill>
                <a:sysClr val="windowText" lastClr="000000"/>
              </a:solidFill>
              <a:latin typeface="Arial Narrow" panose="020B0606020202030204" pitchFamily="34" charset="0"/>
            </a:rPr>
            <a:t>До 2017 (включительно) - </a:t>
          </a:r>
          <a:r>
            <a:rPr lang="en-US" sz="1400" b="1">
              <a:solidFill>
                <a:sysClr val="windowText" lastClr="000000"/>
              </a:solidFill>
              <a:latin typeface="Arial Narrow" panose="020B0606020202030204" pitchFamily="34" charset="0"/>
            </a:rPr>
            <a:t>ROA</a:t>
          </a:r>
          <a:r>
            <a:rPr lang="ru-RU" sz="1400" b="1">
              <a:solidFill>
                <a:sysClr val="windowText" lastClr="000000"/>
              </a:solidFill>
              <a:latin typeface="Arial Narrow" panose="020B0606020202030204" pitchFamily="34" charset="0"/>
            </a:rPr>
            <a:t> до налогообложения</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140073</xdr:colOff>
      <xdr:row>227</xdr:row>
      <xdr:rowOff>135589</xdr:rowOff>
    </xdr:from>
    <xdr:to>
      <xdr:col>15</xdr:col>
      <xdr:colOff>258535</xdr:colOff>
      <xdr:row>251</xdr:row>
      <xdr:rowOff>145677</xdr:rowOff>
    </xdr:to>
    <xdr:graphicFrame macro="">
      <xdr:nvGraphicFramePr>
        <xdr:cNvPr id="2" name="Диаграмма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173690</xdr:colOff>
      <xdr:row>252</xdr:row>
      <xdr:rowOff>146796</xdr:rowOff>
    </xdr:from>
    <xdr:to>
      <xdr:col>7</xdr:col>
      <xdr:colOff>33616</xdr:colOff>
      <xdr:row>281</xdr:row>
      <xdr:rowOff>33618</xdr:rowOff>
    </xdr:to>
    <xdr:graphicFrame macro="">
      <xdr:nvGraphicFramePr>
        <xdr:cNvPr id="3" name="Диаграмма 2">
          <a:extLst>
            <a:ext uri="{FF2B5EF4-FFF2-40B4-BE49-F238E27FC236}">
              <a16:creationId xmlns:a16="http://schemas.microsoft.com/office/drawing/2014/main" id="{00000000-0008-0000-1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184096</xdr:colOff>
      <xdr:row>284</xdr:row>
      <xdr:rowOff>155601</xdr:rowOff>
    </xdr:from>
    <xdr:to>
      <xdr:col>11</xdr:col>
      <xdr:colOff>38420</xdr:colOff>
      <xdr:row>309</xdr:row>
      <xdr:rowOff>109657</xdr:rowOff>
    </xdr:to>
    <xdr:graphicFrame macro="">
      <xdr:nvGraphicFramePr>
        <xdr:cNvPr id="4" name="Диаграмма 3">
          <a:extLst>
            <a:ext uri="{FF2B5EF4-FFF2-40B4-BE49-F238E27FC236}">
              <a16:creationId xmlns:a16="http://schemas.microsoft.com/office/drawing/2014/main" id="{00000000-0008-0000-1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302558</xdr:colOff>
      <xdr:row>117</xdr:row>
      <xdr:rowOff>67235</xdr:rowOff>
    </xdr:from>
    <xdr:to>
      <xdr:col>21</xdr:col>
      <xdr:colOff>123264</xdr:colOff>
      <xdr:row>121</xdr:row>
      <xdr:rowOff>134470</xdr:rowOff>
    </xdr:to>
    <xdr:sp macro="" textlink="">
      <xdr:nvSpPr>
        <xdr:cNvPr id="6" name="Скругленная прямоугольная выноска 5">
          <a:extLst>
            <a:ext uri="{FF2B5EF4-FFF2-40B4-BE49-F238E27FC236}">
              <a16:creationId xmlns:a16="http://schemas.microsoft.com/office/drawing/2014/main" id="{00000000-0008-0000-1E00-000006000000}"/>
            </a:ext>
          </a:extLst>
        </xdr:cNvPr>
        <xdr:cNvSpPr/>
      </xdr:nvSpPr>
      <xdr:spPr>
        <a:xfrm>
          <a:off x="11183470" y="23285823"/>
          <a:ext cx="3451412" cy="784412"/>
        </a:xfrm>
        <a:prstGeom prst="wedgeRoundRectCallout">
          <a:avLst>
            <a:gd name="adj1" fmla="val -56782"/>
            <a:gd name="adj2" fmla="val 8839"/>
            <a:gd name="adj3" fmla="val 16667"/>
          </a:avLst>
        </a:prstGeom>
        <a:solidFill>
          <a:schemeClr val="bg1">
            <a:lumMod val="95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latin typeface="Arial Narrow" panose="020B0606020202030204" pitchFamily="34" charset="0"/>
            </a:rPr>
            <a:t>Если резерв</a:t>
          </a:r>
          <a:r>
            <a:rPr lang="ru-RU" sz="1400" b="1" baseline="0">
              <a:latin typeface="Arial Narrow" panose="020B0606020202030204" pitchFamily="34" charset="0"/>
            </a:rPr>
            <a:t> на возможные потери превышает размер просрочки, то проставляется "-"</a:t>
          </a:r>
          <a:endParaRPr lang="ru-RU" sz="1400" b="1">
            <a:latin typeface="Arial Narrow" panose="020B0606020202030204" pitchFamily="34" charset="0"/>
          </a:endParaRPr>
        </a:p>
      </xdr:txBody>
    </xdr:sp>
    <xdr:clientData/>
  </xdr:twoCellAnchor>
  <xdr:twoCellAnchor>
    <xdr:from>
      <xdr:col>1</xdr:col>
      <xdr:colOff>272143</xdr:colOff>
      <xdr:row>313</xdr:row>
      <xdr:rowOff>27214</xdr:rowOff>
    </xdr:from>
    <xdr:to>
      <xdr:col>10</xdr:col>
      <xdr:colOff>311363</xdr:colOff>
      <xdr:row>337</xdr:row>
      <xdr:rowOff>160565</xdr:rowOff>
    </xdr:to>
    <xdr:graphicFrame macro="">
      <xdr:nvGraphicFramePr>
        <xdr:cNvPr id="7" name="Диаграмма 6">
          <a:extLst>
            <a:ext uri="{FF2B5EF4-FFF2-40B4-BE49-F238E27FC236}">
              <a16:creationId xmlns:a16="http://schemas.microsoft.com/office/drawing/2014/main" id="{00000000-0008-0000-1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1257458</xdr:colOff>
      <xdr:row>205</xdr:row>
      <xdr:rowOff>166488</xdr:rowOff>
    </xdr:from>
    <xdr:to>
      <xdr:col>8</xdr:col>
      <xdr:colOff>1251056</xdr:colOff>
      <xdr:row>211</xdr:row>
      <xdr:rowOff>177692</xdr:rowOff>
    </xdr:to>
    <xdr:sp macro="" textlink="">
      <xdr:nvSpPr>
        <xdr:cNvPr id="8" name="Скругленная прямоугольная выноска 7">
          <a:extLst>
            <a:ext uri="{FF2B5EF4-FFF2-40B4-BE49-F238E27FC236}">
              <a16:creationId xmlns:a16="http://schemas.microsoft.com/office/drawing/2014/main" id="{00000000-0008-0000-1E00-000008000000}"/>
            </a:ext>
          </a:extLst>
        </xdr:cNvPr>
        <xdr:cNvSpPr/>
      </xdr:nvSpPr>
      <xdr:spPr>
        <a:xfrm>
          <a:off x="8428422" y="38960452"/>
          <a:ext cx="3830813" cy="1154204"/>
        </a:xfrm>
        <a:prstGeom prst="wedgeRoundRectCallout">
          <a:avLst>
            <a:gd name="adj1" fmla="val -10799"/>
            <a:gd name="adj2" fmla="val -67750"/>
            <a:gd name="adj3" fmla="val 16667"/>
          </a:avLst>
        </a:prstGeom>
        <a:solidFill>
          <a:schemeClr val="accent6">
            <a:lumMod val="20000"/>
            <a:lumOff val="80000"/>
          </a:schemeClr>
        </a:solidFill>
        <a:ln>
          <a:solidFill>
            <a:srgbClr val="C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r>
            <a:rPr lang="ru-RU" sz="1400" b="1">
              <a:solidFill>
                <a:srgbClr val="C00000"/>
              </a:solidFill>
              <a:effectLst/>
              <a:latin typeface="+mn-lt"/>
              <a:ea typeface="+mn-ea"/>
              <a:cs typeface="+mn-cs"/>
            </a:rPr>
            <a:t>Если доля кредитов компаниям</a:t>
          </a:r>
          <a:r>
            <a:rPr lang="ru-RU" sz="1400" b="1" baseline="0">
              <a:solidFill>
                <a:srgbClr val="C00000"/>
              </a:solidFill>
              <a:effectLst/>
              <a:latin typeface="+mn-lt"/>
              <a:ea typeface="+mn-ea"/>
              <a:cs typeface="+mn-cs"/>
            </a:rPr>
            <a:t> из отраслей с высоким риском превышает 100% от основного капитала, это тревожный сигнал</a:t>
          </a:r>
          <a:endParaRPr lang="ru-RU" sz="1600">
            <a:solidFill>
              <a:srgbClr val="C00000"/>
            </a:solidFill>
            <a:effectLst/>
          </a:endParaRPr>
        </a:p>
      </xdr:txBody>
    </xdr:sp>
    <xdr:clientData/>
  </xdr:twoCellAnchor>
  <xdr:twoCellAnchor>
    <xdr:from>
      <xdr:col>5</xdr:col>
      <xdr:colOff>786813</xdr:colOff>
      <xdr:row>189</xdr:row>
      <xdr:rowOff>140874</xdr:rowOff>
    </xdr:from>
    <xdr:to>
      <xdr:col>8</xdr:col>
      <xdr:colOff>40821</xdr:colOff>
      <xdr:row>194</xdr:row>
      <xdr:rowOff>139273</xdr:rowOff>
    </xdr:to>
    <xdr:sp macro="" textlink="">
      <xdr:nvSpPr>
        <xdr:cNvPr id="9" name="Скругленная прямоугольная выноска 8">
          <a:extLst>
            <a:ext uri="{FF2B5EF4-FFF2-40B4-BE49-F238E27FC236}">
              <a16:creationId xmlns:a16="http://schemas.microsoft.com/office/drawing/2014/main" id="{00000000-0008-0000-1E00-000009000000}"/>
            </a:ext>
          </a:extLst>
        </xdr:cNvPr>
        <xdr:cNvSpPr/>
      </xdr:nvSpPr>
      <xdr:spPr>
        <a:xfrm>
          <a:off x="7957777" y="36635231"/>
          <a:ext cx="3091223" cy="882863"/>
        </a:xfrm>
        <a:prstGeom prst="wedgeRoundRectCallout">
          <a:avLst>
            <a:gd name="adj1" fmla="val -60706"/>
            <a:gd name="adj2" fmla="val 47348"/>
            <a:gd name="adj3" fmla="val 16667"/>
          </a:avLst>
        </a:prstGeom>
        <a:solidFill>
          <a:srgbClr val="FFFF99"/>
        </a:solidFill>
        <a:ln w="57150">
          <a:solidFill>
            <a:srgbClr val="FFC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r>
            <a:rPr lang="ru-RU" sz="1400" b="1">
              <a:solidFill>
                <a:sysClr val="windowText" lastClr="000000"/>
              </a:solidFill>
              <a:effectLst/>
              <a:latin typeface="+mn-lt"/>
              <a:ea typeface="+mn-ea"/>
              <a:cs typeface="+mn-cs"/>
            </a:rPr>
            <a:t>Выполняется вручную. Нужно</a:t>
          </a:r>
          <a:r>
            <a:rPr lang="ru-RU" sz="1400" b="1" baseline="0">
              <a:solidFill>
                <a:sysClr val="windowText" lastClr="000000"/>
              </a:solidFill>
              <a:effectLst/>
              <a:latin typeface="+mn-lt"/>
              <a:ea typeface="+mn-ea"/>
              <a:cs typeface="+mn-cs"/>
            </a:rPr>
            <a:t> внести данные из таблицы выше</a:t>
          </a:r>
          <a:r>
            <a:rPr lang="ru-RU" sz="1400" b="1">
              <a:solidFill>
                <a:sysClr val="windowText" lastClr="000000"/>
              </a:solidFill>
              <a:effectLst/>
              <a:latin typeface="+mn-lt"/>
              <a:ea typeface="+mn-ea"/>
              <a:cs typeface="+mn-cs"/>
            </a:rPr>
            <a:t> </a:t>
          </a:r>
          <a:endParaRPr lang="ru-RU" sz="1600">
            <a:solidFill>
              <a:sysClr val="windowText" lastClr="000000"/>
            </a:solidFill>
            <a:effectLs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361950</xdr:colOff>
      <xdr:row>2</xdr:row>
      <xdr:rowOff>190500</xdr:rowOff>
    </xdr:from>
    <xdr:to>
      <xdr:col>11</xdr:col>
      <xdr:colOff>54350</xdr:colOff>
      <xdr:row>6</xdr:row>
      <xdr:rowOff>184898</xdr:rowOff>
    </xdr:to>
    <xdr:sp macro="" textlink="">
      <xdr:nvSpPr>
        <xdr:cNvPr id="2" name="Скругленная прямоугольная выноска 1">
          <a:extLst>
            <a:ext uri="{FF2B5EF4-FFF2-40B4-BE49-F238E27FC236}">
              <a16:creationId xmlns:a16="http://schemas.microsoft.com/office/drawing/2014/main" id="{00000000-0008-0000-1F00-000002000000}"/>
            </a:ext>
          </a:extLst>
        </xdr:cNvPr>
        <xdr:cNvSpPr/>
      </xdr:nvSpPr>
      <xdr:spPr>
        <a:xfrm>
          <a:off x="7419975" y="609600"/>
          <a:ext cx="1949825" cy="851648"/>
        </a:xfrm>
        <a:prstGeom prst="wedgeRoundRectCallout">
          <a:avLst>
            <a:gd name="adj1" fmla="val 13052"/>
            <a:gd name="adj2" fmla="val 61201"/>
            <a:gd name="adj3" fmla="val 16667"/>
          </a:avLst>
        </a:prstGeom>
        <a:solidFill>
          <a:schemeClr val="bg1">
            <a:lumMod val="95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latin typeface="Arial Narrow" panose="020B0606020202030204" pitchFamily="34" charset="0"/>
            </a:rPr>
            <a:t>С 01.02.2014 действует Положение 395-П (Базель </a:t>
          </a:r>
          <a:r>
            <a:rPr lang="en-US" sz="1400" b="1">
              <a:latin typeface="Arial Narrow" panose="020B0606020202030204" pitchFamily="34" charset="0"/>
            </a:rPr>
            <a:t>III</a:t>
          </a:r>
          <a:r>
            <a:rPr lang="ru-RU" sz="1400" b="1">
              <a:latin typeface="Arial Narrow" panose="020B0606020202030204" pitchFamily="34" charset="0"/>
            </a:rPr>
            <a:t>)</a:t>
          </a:r>
        </a:p>
      </xdr:txBody>
    </xdr:sp>
    <xdr:clientData/>
  </xdr:twoCellAnchor>
  <xdr:twoCellAnchor>
    <xdr:from>
      <xdr:col>7</xdr:col>
      <xdr:colOff>494740</xdr:colOff>
      <xdr:row>75</xdr:row>
      <xdr:rowOff>26894</xdr:rowOff>
    </xdr:from>
    <xdr:to>
      <xdr:col>10</xdr:col>
      <xdr:colOff>187140</xdr:colOff>
      <xdr:row>79</xdr:row>
      <xdr:rowOff>122144</xdr:rowOff>
    </xdr:to>
    <xdr:sp macro="" textlink="">
      <xdr:nvSpPr>
        <xdr:cNvPr id="4" name="Скругленная прямоугольная выноска 3">
          <a:extLst>
            <a:ext uri="{FF2B5EF4-FFF2-40B4-BE49-F238E27FC236}">
              <a16:creationId xmlns:a16="http://schemas.microsoft.com/office/drawing/2014/main" id="{00000000-0008-0000-1F00-000004000000}"/>
            </a:ext>
          </a:extLst>
        </xdr:cNvPr>
        <xdr:cNvSpPr/>
      </xdr:nvSpPr>
      <xdr:spPr>
        <a:xfrm>
          <a:off x="6803652" y="16230600"/>
          <a:ext cx="1944782" cy="857250"/>
        </a:xfrm>
        <a:prstGeom prst="wedgeRoundRectCallout">
          <a:avLst>
            <a:gd name="adj1" fmla="val 13052"/>
            <a:gd name="adj2" fmla="val 61201"/>
            <a:gd name="adj3" fmla="val 16667"/>
          </a:avLst>
        </a:prstGeom>
        <a:solidFill>
          <a:schemeClr val="bg1">
            <a:lumMod val="95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latin typeface="Arial Narrow" panose="020B0606020202030204" pitchFamily="34" charset="0"/>
            </a:rPr>
            <a:t>С 31.12.2013 приведены данные по Базель </a:t>
          </a:r>
          <a:r>
            <a:rPr lang="en-US" sz="1400" b="1">
              <a:latin typeface="Arial Narrow" panose="020B0606020202030204" pitchFamily="34" charset="0"/>
            </a:rPr>
            <a:t>III</a:t>
          </a:r>
          <a:endParaRPr lang="ru-RU" sz="1400" b="1">
            <a:latin typeface="Arial Narrow" panose="020B060602020203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16</xdr:col>
      <xdr:colOff>276225</xdr:colOff>
      <xdr:row>133</xdr:row>
      <xdr:rowOff>76200</xdr:rowOff>
    </xdr:from>
    <xdr:to>
      <xdr:col>16</xdr:col>
      <xdr:colOff>295275</xdr:colOff>
      <xdr:row>158</xdr:row>
      <xdr:rowOff>123825</xdr:rowOff>
    </xdr:to>
    <xdr:cxnSp macro="">
      <xdr:nvCxnSpPr>
        <xdr:cNvPr id="6" name="Прямая со стрелкой 5">
          <a:extLst>
            <a:ext uri="{FF2B5EF4-FFF2-40B4-BE49-F238E27FC236}">
              <a16:creationId xmlns:a16="http://schemas.microsoft.com/office/drawing/2014/main" id="{00000000-0008-0000-2000-000006000000}"/>
            </a:ext>
          </a:extLst>
        </xdr:cNvPr>
        <xdr:cNvCxnSpPr/>
      </xdr:nvCxnSpPr>
      <xdr:spPr>
        <a:xfrm>
          <a:off x="8077200" y="13973175"/>
          <a:ext cx="19050" cy="2952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300484</xdr:colOff>
      <xdr:row>160</xdr:row>
      <xdr:rowOff>0</xdr:rowOff>
    </xdr:from>
    <xdr:to>
      <xdr:col>16</xdr:col>
      <xdr:colOff>300484</xdr:colOff>
      <xdr:row>200</xdr:row>
      <xdr:rowOff>45982</xdr:rowOff>
    </xdr:to>
    <xdr:cxnSp macro="">
      <xdr:nvCxnSpPr>
        <xdr:cNvPr id="8" name="Прямая со стрелкой 7">
          <a:extLst>
            <a:ext uri="{FF2B5EF4-FFF2-40B4-BE49-F238E27FC236}">
              <a16:creationId xmlns:a16="http://schemas.microsoft.com/office/drawing/2014/main" id="{00000000-0008-0000-2000-000008000000}"/>
            </a:ext>
          </a:extLst>
        </xdr:cNvPr>
        <xdr:cNvCxnSpPr/>
      </xdr:nvCxnSpPr>
      <xdr:spPr>
        <a:xfrm flipV="1">
          <a:off x="8117553" y="17304906"/>
          <a:ext cx="0" cy="22109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223630</xdr:colOff>
      <xdr:row>273</xdr:row>
      <xdr:rowOff>91108</xdr:rowOff>
    </xdr:from>
    <xdr:to>
      <xdr:col>16</xdr:col>
      <xdr:colOff>248478</xdr:colOff>
      <xdr:row>302</xdr:row>
      <xdr:rowOff>107674</xdr:rowOff>
    </xdr:to>
    <xdr:cxnSp macro="">
      <xdr:nvCxnSpPr>
        <xdr:cNvPr id="10" name="Прямая со стрелкой 9">
          <a:extLst>
            <a:ext uri="{FF2B5EF4-FFF2-40B4-BE49-F238E27FC236}">
              <a16:creationId xmlns:a16="http://schemas.microsoft.com/office/drawing/2014/main" id="{00000000-0008-0000-2000-00000A000000}"/>
            </a:ext>
          </a:extLst>
        </xdr:cNvPr>
        <xdr:cNvCxnSpPr/>
      </xdr:nvCxnSpPr>
      <xdr:spPr>
        <a:xfrm>
          <a:off x="8100391" y="28525304"/>
          <a:ext cx="24848" cy="250134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255816</xdr:colOff>
      <xdr:row>304</xdr:row>
      <xdr:rowOff>43544</xdr:rowOff>
    </xdr:from>
    <xdr:to>
      <xdr:col>16</xdr:col>
      <xdr:colOff>272143</xdr:colOff>
      <xdr:row>308</xdr:row>
      <xdr:rowOff>190500</xdr:rowOff>
    </xdr:to>
    <xdr:cxnSp macro="">
      <xdr:nvCxnSpPr>
        <xdr:cNvPr id="12" name="Прямая со стрелкой 11">
          <a:extLst>
            <a:ext uri="{FF2B5EF4-FFF2-40B4-BE49-F238E27FC236}">
              <a16:creationId xmlns:a16="http://schemas.microsoft.com/office/drawing/2014/main" id="{00000000-0008-0000-2000-00000C000000}"/>
            </a:ext>
          </a:extLst>
        </xdr:cNvPr>
        <xdr:cNvCxnSpPr/>
      </xdr:nvCxnSpPr>
      <xdr:spPr>
        <a:xfrm flipH="1" flipV="1">
          <a:off x="12053209" y="38715044"/>
          <a:ext cx="16327" cy="96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67234</xdr:colOff>
      <xdr:row>190</xdr:row>
      <xdr:rowOff>135849</xdr:rowOff>
    </xdr:from>
    <xdr:to>
      <xdr:col>6</xdr:col>
      <xdr:colOff>963256</xdr:colOff>
      <xdr:row>197</xdr:row>
      <xdr:rowOff>122536</xdr:rowOff>
    </xdr:to>
    <xdr:pic>
      <xdr:nvPicPr>
        <xdr:cNvPr id="9" name="Рисунок 8">
          <a:extLst>
            <a:ext uri="{FF2B5EF4-FFF2-40B4-BE49-F238E27FC236}">
              <a16:creationId xmlns:a16="http://schemas.microsoft.com/office/drawing/2014/main" id="{00000000-0008-0000-2000-000009000000}"/>
            </a:ext>
          </a:extLst>
        </xdr:cNvPr>
        <xdr:cNvPicPr>
          <a:picLocks noChangeAspect="1"/>
        </xdr:cNvPicPr>
      </xdr:nvPicPr>
      <xdr:blipFill>
        <a:blip xmlns:r="http://schemas.openxmlformats.org/officeDocument/2006/relationships" r:embed="rId1"/>
        <a:stretch>
          <a:fillRect/>
        </a:stretch>
      </xdr:blipFill>
      <xdr:spPr>
        <a:xfrm>
          <a:off x="248209" y="23767374"/>
          <a:ext cx="6771826" cy="1453536"/>
        </a:xfrm>
        <a:prstGeom prst="rect">
          <a:avLst/>
        </a:prstGeom>
      </xdr:spPr>
    </xdr:pic>
    <xdr:clientData/>
  </xdr:twoCellAnchor>
  <xdr:twoCellAnchor>
    <xdr:from>
      <xdr:col>22</xdr:col>
      <xdr:colOff>476250</xdr:colOff>
      <xdr:row>273</xdr:row>
      <xdr:rowOff>176893</xdr:rowOff>
    </xdr:from>
    <xdr:to>
      <xdr:col>25</xdr:col>
      <xdr:colOff>441032</xdr:colOff>
      <xdr:row>280</xdr:row>
      <xdr:rowOff>115260</xdr:rowOff>
    </xdr:to>
    <xdr:sp macro="" textlink="">
      <xdr:nvSpPr>
        <xdr:cNvPr id="11" name="Скругленная прямоугольная выноска 10">
          <a:extLst>
            <a:ext uri="{FF2B5EF4-FFF2-40B4-BE49-F238E27FC236}">
              <a16:creationId xmlns:a16="http://schemas.microsoft.com/office/drawing/2014/main" id="{00000000-0008-0000-2000-00000B000000}"/>
            </a:ext>
          </a:extLst>
        </xdr:cNvPr>
        <xdr:cNvSpPr/>
      </xdr:nvSpPr>
      <xdr:spPr>
        <a:xfrm>
          <a:off x="16083643" y="35596286"/>
          <a:ext cx="2196353" cy="1367117"/>
        </a:xfrm>
        <a:prstGeom prst="wedgeRoundRectCallout">
          <a:avLst>
            <a:gd name="adj1" fmla="val 13052"/>
            <a:gd name="adj2" fmla="val 61201"/>
            <a:gd name="adj3" fmla="val 16667"/>
          </a:avLst>
        </a:prstGeom>
        <a:solidFill>
          <a:schemeClr val="bg1">
            <a:lumMod val="95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latin typeface="Arial Narrow" panose="020B0606020202030204" pitchFamily="34" charset="0"/>
            </a:rPr>
            <a:t>С 2020 г. ЦБ</a:t>
          </a:r>
          <a:r>
            <a:rPr lang="ru-RU" sz="1400" b="1" baseline="0">
              <a:latin typeface="Arial Narrow" panose="020B0606020202030204" pitchFamily="34" charset="0"/>
            </a:rPr>
            <a:t> РФ изменил формат представления данных о структуре РВА</a:t>
          </a:r>
          <a:endParaRPr lang="ru-RU" sz="1400" b="1">
            <a:latin typeface="Arial Narrow" panose="020B0606020202030204" pitchFamily="34" charset="0"/>
          </a:endParaRPr>
        </a:p>
      </xdr:txBody>
    </xdr:sp>
    <xdr:clientData/>
  </xdr:twoCellAnchor>
  <xdr:twoCellAnchor>
    <xdr:from>
      <xdr:col>17</xdr:col>
      <xdr:colOff>394608</xdr:colOff>
      <xdr:row>288</xdr:row>
      <xdr:rowOff>27216</xdr:rowOff>
    </xdr:from>
    <xdr:to>
      <xdr:col>20</xdr:col>
      <xdr:colOff>359389</xdr:colOff>
      <xdr:row>294</xdr:row>
      <xdr:rowOff>169690</xdr:rowOff>
    </xdr:to>
    <xdr:sp macro="" textlink="">
      <xdr:nvSpPr>
        <xdr:cNvPr id="13" name="Скругленная прямоугольная выноска 12">
          <a:extLst>
            <a:ext uri="{FF2B5EF4-FFF2-40B4-BE49-F238E27FC236}">
              <a16:creationId xmlns:a16="http://schemas.microsoft.com/office/drawing/2014/main" id="{00000000-0008-0000-2000-00000D000000}"/>
            </a:ext>
          </a:extLst>
        </xdr:cNvPr>
        <xdr:cNvSpPr/>
      </xdr:nvSpPr>
      <xdr:spPr>
        <a:xfrm>
          <a:off x="12790715" y="38535430"/>
          <a:ext cx="2196353" cy="1367117"/>
        </a:xfrm>
        <a:prstGeom prst="wedgeRoundRectCallout">
          <a:avLst>
            <a:gd name="adj1" fmla="val 13052"/>
            <a:gd name="adj2" fmla="val 61201"/>
            <a:gd name="adj3" fmla="val 16667"/>
          </a:avLst>
        </a:prstGeom>
        <a:solidFill>
          <a:schemeClr val="bg1">
            <a:lumMod val="95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400" b="1">
              <a:latin typeface="Arial Narrow" panose="020B0606020202030204" pitchFamily="34" charset="0"/>
            </a:rPr>
            <a:t>С 2020 г. ЦБ</a:t>
          </a:r>
          <a:r>
            <a:rPr lang="ru-RU" sz="1400" b="1" baseline="0">
              <a:latin typeface="Arial Narrow" panose="020B0606020202030204" pitchFamily="34" charset="0"/>
            </a:rPr>
            <a:t> РФ изменил формат представления данных о структуре РВА</a:t>
          </a:r>
          <a:endParaRPr lang="ru-RU" sz="1400" b="1">
            <a:latin typeface="Arial Narrow" panose="020B0606020202030204" pitchFamily="34" charset="0"/>
          </a:endParaRPr>
        </a:p>
      </xdr:txBody>
    </xdr:sp>
    <xdr:clientData/>
  </xdr:twoCellAnchor>
  <xdr:twoCellAnchor editAs="oneCell">
    <xdr:from>
      <xdr:col>17</xdr:col>
      <xdr:colOff>9525</xdr:colOff>
      <xdr:row>160</xdr:row>
      <xdr:rowOff>180975</xdr:rowOff>
    </xdr:from>
    <xdr:to>
      <xdr:col>25</xdr:col>
      <xdr:colOff>514350</xdr:colOff>
      <xdr:row>171</xdr:row>
      <xdr:rowOff>66675</xdr:rowOff>
    </xdr:to>
    <xdr:pic>
      <xdr:nvPicPr>
        <xdr:cNvPr id="14" name="Рисунок 13" descr="https://static4.banki.ru/ugc/40/bf/f9/39/trebovani_po_nadbavkam.png">
          <a:extLst>
            <a:ext uri="{FF2B5EF4-FFF2-40B4-BE49-F238E27FC236}">
              <a16:creationId xmlns:a16="http://schemas.microsoft.com/office/drawing/2014/main" id="{00000000-0008-0000-20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49175" y="21726525"/>
          <a:ext cx="6334125"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3</xdr:col>
      <xdr:colOff>840442</xdr:colOff>
      <xdr:row>38</xdr:row>
      <xdr:rowOff>33618</xdr:rowOff>
    </xdr:from>
    <xdr:to>
      <xdr:col>3</xdr:col>
      <xdr:colOff>3372971</xdr:colOff>
      <xdr:row>39</xdr:row>
      <xdr:rowOff>156883</xdr:rowOff>
    </xdr:to>
    <xdr:sp macro="" textlink="">
      <xdr:nvSpPr>
        <xdr:cNvPr id="2" name="Скругленная прямоугольная выноска 1">
          <a:extLst>
            <a:ext uri="{FF2B5EF4-FFF2-40B4-BE49-F238E27FC236}">
              <a16:creationId xmlns:a16="http://schemas.microsoft.com/office/drawing/2014/main" id="{00000000-0008-0000-2200-000002000000}"/>
            </a:ext>
          </a:extLst>
        </xdr:cNvPr>
        <xdr:cNvSpPr/>
      </xdr:nvSpPr>
      <xdr:spPr>
        <a:xfrm>
          <a:off x="1580030" y="7832912"/>
          <a:ext cx="2532529" cy="313765"/>
        </a:xfrm>
        <a:prstGeom prst="wedgeRoundRectCallout">
          <a:avLst>
            <a:gd name="adj1" fmla="val -49151"/>
            <a:gd name="adj2" fmla="val 101785"/>
            <a:gd name="adj3" fmla="val 16667"/>
          </a:avLst>
        </a:prstGeom>
        <a:solidFill>
          <a:schemeClr val="bg1">
            <a:lumMod val="95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200" b="1">
              <a:latin typeface="Arial Narrow" panose="020B0606020202030204" pitchFamily="34" charset="0"/>
            </a:rPr>
            <a:t>Без субординированных</a:t>
          </a:r>
          <a:r>
            <a:rPr lang="ru-RU" sz="1200" b="1" baseline="0">
              <a:latin typeface="Arial Narrow" panose="020B0606020202030204" pitchFamily="34" charset="0"/>
            </a:rPr>
            <a:t> кредитов</a:t>
          </a:r>
          <a:endParaRPr lang="ru-RU" sz="1200" b="1">
            <a:latin typeface="Arial Narrow" panose="020B0606020202030204" pitchFamily="34" charset="0"/>
          </a:endParaRPr>
        </a:p>
      </xdr:txBody>
    </xdr:sp>
    <xdr:clientData/>
  </xdr:twoCellAnchor>
  <xdr:twoCellAnchor>
    <xdr:from>
      <xdr:col>6</xdr:col>
      <xdr:colOff>270542</xdr:colOff>
      <xdr:row>161</xdr:row>
      <xdr:rowOff>109657</xdr:rowOff>
    </xdr:from>
    <xdr:to>
      <xdr:col>8</xdr:col>
      <xdr:colOff>698766</xdr:colOff>
      <xdr:row>163</xdr:row>
      <xdr:rowOff>120863</xdr:rowOff>
    </xdr:to>
    <xdr:sp macro="" textlink="">
      <xdr:nvSpPr>
        <xdr:cNvPr id="3" name="Скругленная прямоугольная выноска 2">
          <a:extLst>
            <a:ext uri="{FF2B5EF4-FFF2-40B4-BE49-F238E27FC236}">
              <a16:creationId xmlns:a16="http://schemas.microsoft.com/office/drawing/2014/main" id="{00000000-0008-0000-2200-000003000000}"/>
            </a:ext>
          </a:extLst>
        </xdr:cNvPr>
        <xdr:cNvSpPr/>
      </xdr:nvSpPr>
      <xdr:spPr>
        <a:xfrm>
          <a:off x="6774756" y="31011478"/>
          <a:ext cx="2115510" cy="364992"/>
        </a:xfrm>
        <a:prstGeom prst="wedgeRoundRectCallout">
          <a:avLst>
            <a:gd name="adj1" fmla="val -60706"/>
            <a:gd name="adj2" fmla="val 47348"/>
            <a:gd name="adj3" fmla="val 16667"/>
          </a:avLst>
        </a:prstGeom>
        <a:ln>
          <a:solidFill>
            <a:srgbClr val="C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ru-RU" sz="1200" b="1">
              <a:solidFill>
                <a:srgbClr val="C00000"/>
              </a:solidFill>
            </a:rPr>
            <a:t>Выполняется вручную</a:t>
          </a:r>
        </a:p>
      </xdr:txBody>
    </xdr:sp>
    <xdr:clientData/>
  </xdr:twoCellAnchor>
  <xdr:twoCellAnchor>
    <xdr:from>
      <xdr:col>2</xdr:col>
      <xdr:colOff>0</xdr:colOff>
      <xdr:row>176</xdr:row>
      <xdr:rowOff>-1</xdr:rowOff>
    </xdr:from>
    <xdr:to>
      <xdr:col>15</xdr:col>
      <xdr:colOff>64034</xdr:colOff>
      <xdr:row>199</xdr:row>
      <xdr:rowOff>123264</xdr:rowOff>
    </xdr:to>
    <xdr:graphicFrame macro="">
      <xdr:nvGraphicFramePr>
        <xdr:cNvPr id="4" name="Диаграмма 3">
          <a:extLst>
            <a:ext uri="{FF2B5EF4-FFF2-40B4-BE49-F238E27FC236}">
              <a16:creationId xmlns:a16="http://schemas.microsoft.com/office/drawing/2014/main" id="{00000000-0008-0000-2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306480</xdr:colOff>
      <xdr:row>143</xdr:row>
      <xdr:rowOff>152400</xdr:rowOff>
    </xdr:from>
    <xdr:to>
      <xdr:col>14</xdr:col>
      <xdr:colOff>161925</xdr:colOff>
      <xdr:row>172</xdr:row>
      <xdr:rowOff>109257</xdr:rowOff>
    </xdr:to>
    <xdr:graphicFrame macro="">
      <xdr:nvGraphicFramePr>
        <xdr:cNvPr id="3" name="Диаграмма 2">
          <a:extLst>
            <a:ext uri="{FF2B5EF4-FFF2-40B4-BE49-F238E27FC236}">
              <a16:creationId xmlns:a16="http://schemas.microsoft.com/office/drawing/2014/main" id="{00000000-0008-0000-2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182</xdr:row>
      <xdr:rowOff>0</xdr:rowOff>
    </xdr:from>
    <xdr:to>
      <xdr:col>5</xdr:col>
      <xdr:colOff>265244</xdr:colOff>
      <xdr:row>197</xdr:row>
      <xdr:rowOff>56562</xdr:rowOff>
    </xdr:to>
    <xdr:pic>
      <xdr:nvPicPr>
        <xdr:cNvPr id="4" name="Рисунок 3">
          <a:extLst>
            <a:ext uri="{FF2B5EF4-FFF2-40B4-BE49-F238E27FC236}">
              <a16:creationId xmlns:a16="http://schemas.microsoft.com/office/drawing/2014/main" id="{00000000-0008-0000-2300-000004000000}"/>
            </a:ext>
          </a:extLst>
        </xdr:cNvPr>
        <xdr:cNvPicPr>
          <a:picLocks noChangeAspect="1"/>
        </xdr:cNvPicPr>
      </xdr:nvPicPr>
      <xdr:blipFill>
        <a:blip xmlns:r="http://schemas.openxmlformats.org/officeDocument/2006/relationships" r:embed="rId2" cstate="print"/>
        <a:stretch>
          <a:fillRect/>
        </a:stretch>
      </xdr:blipFill>
      <xdr:spPr>
        <a:xfrm>
          <a:off x="219075" y="20640675"/>
          <a:ext cx="7618873" cy="2771188"/>
        </a:xfrm>
        <a:prstGeom prst="rect">
          <a:avLst/>
        </a:prstGeom>
      </xdr:spPr>
    </xdr:pic>
    <xdr:clientData/>
  </xdr:twoCellAnchor>
  <xdr:twoCellAnchor editAs="oneCell">
    <xdr:from>
      <xdr:col>1</xdr:col>
      <xdr:colOff>0</xdr:colOff>
      <xdr:row>198</xdr:row>
      <xdr:rowOff>0</xdr:rowOff>
    </xdr:from>
    <xdr:to>
      <xdr:col>5</xdr:col>
      <xdr:colOff>179507</xdr:colOff>
      <xdr:row>207</xdr:row>
      <xdr:rowOff>30127</xdr:rowOff>
    </xdr:to>
    <xdr:pic>
      <xdr:nvPicPr>
        <xdr:cNvPr id="5" name="Рисунок 4">
          <a:extLst>
            <a:ext uri="{FF2B5EF4-FFF2-40B4-BE49-F238E27FC236}">
              <a16:creationId xmlns:a16="http://schemas.microsoft.com/office/drawing/2014/main" id="{00000000-0008-0000-2300-000005000000}"/>
            </a:ext>
          </a:extLst>
        </xdr:cNvPr>
        <xdr:cNvPicPr>
          <a:picLocks noChangeAspect="1"/>
        </xdr:cNvPicPr>
      </xdr:nvPicPr>
      <xdr:blipFill>
        <a:blip xmlns:r="http://schemas.openxmlformats.org/officeDocument/2006/relationships" r:embed="rId3" cstate="print"/>
        <a:stretch>
          <a:fillRect/>
        </a:stretch>
      </xdr:blipFill>
      <xdr:spPr>
        <a:xfrm>
          <a:off x="219075" y="23536275"/>
          <a:ext cx="7533136" cy="1658902"/>
        </a:xfrm>
        <a:prstGeom prst="rect">
          <a:avLst/>
        </a:prstGeom>
      </xdr:spPr>
    </xdr:pic>
    <xdr:clientData/>
  </xdr:twoCellAnchor>
  <xdr:twoCellAnchor>
    <xdr:from>
      <xdr:col>15</xdr:col>
      <xdr:colOff>462240</xdr:colOff>
      <xdr:row>0</xdr:row>
      <xdr:rowOff>177613</xdr:rowOff>
    </xdr:from>
    <xdr:to>
      <xdr:col>19</xdr:col>
      <xdr:colOff>22412</xdr:colOff>
      <xdr:row>3</xdr:row>
      <xdr:rowOff>128306</xdr:rowOff>
    </xdr:to>
    <xdr:sp macro="" textlink="">
      <xdr:nvSpPr>
        <xdr:cNvPr id="9" name="Скругленная прямоугольная выноска 8">
          <a:extLst>
            <a:ext uri="{FF2B5EF4-FFF2-40B4-BE49-F238E27FC236}">
              <a16:creationId xmlns:a16="http://schemas.microsoft.com/office/drawing/2014/main" id="{00000000-0008-0000-2300-000009000000}"/>
            </a:ext>
          </a:extLst>
        </xdr:cNvPr>
        <xdr:cNvSpPr/>
      </xdr:nvSpPr>
      <xdr:spPr>
        <a:xfrm>
          <a:off x="14604064" y="177613"/>
          <a:ext cx="2070289" cy="589428"/>
        </a:xfrm>
        <a:prstGeom prst="wedgeRoundRectCallout">
          <a:avLst>
            <a:gd name="adj1" fmla="val -37591"/>
            <a:gd name="adj2" fmla="val 66730"/>
            <a:gd name="adj3" fmla="val 16667"/>
          </a:avLst>
        </a:prstGeom>
        <a:solidFill>
          <a:schemeClr val="bg1">
            <a:lumMod val="95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200" b="1">
              <a:solidFill>
                <a:schemeClr val="tx1"/>
              </a:solidFill>
              <a:latin typeface="Arial Narrow" panose="020B0606020202030204" pitchFamily="34" charset="0"/>
            </a:rPr>
            <a:t>В этом блоке </a:t>
          </a:r>
          <a:r>
            <a:rPr lang="ru-RU" sz="1200" b="1">
              <a:solidFill>
                <a:srgbClr val="C00000"/>
              </a:solidFill>
              <a:latin typeface="Arial Narrow" panose="020B0606020202030204" pitchFamily="34" charset="0"/>
            </a:rPr>
            <a:t>ручной </a:t>
          </a:r>
          <a:r>
            <a:rPr lang="ru-RU" sz="1200" b="1">
              <a:solidFill>
                <a:schemeClr val="tx1"/>
              </a:solidFill>
              <a:latin typeface="Arial Narrow" panose="020B0606020202030204" pitchFamily="34" charset="0"/>
            </a:rPr>
            <a:t>ввод первичных данных</a:t>
          </a:r>
        </a:p>
      </xdr:txBody>
    </xdr:sp>
    <xdr:clientData/>
  </xdr:twoCellAnchor>
  <xdr:twoCellAnchor editAs="oneCell">
    <xdr:from>
      <xdr:col>17</xdr:col>
      <xdr:colOff>142876</xdr:colOff>
      <xdr:row>5</xdr:row>
      <xdr:rowOff>78440</xdr:rowOff>
    </xdr:from>
    <xdr:to>
      <xdr:col>17</xdr:col>
      <xdr:colOff>600661</xdr:colOff>
      <xdr:row>6</xdr:row>
      <xdr:rowOff>171449</xdr:rowOff>
    </xdr:to>
    <xdr:pic>
      <xdr:nvPicPr>
        <xdr:cNvPr id="10" name="Рисунок 9" descr="Картинки по запросу">
          <a:extLst>
            <a:ext uri="{FF2B5EF4-FFF2-40B4-BE49-F238E27FC236}">
              <a16:creationId xmlns:a16="http://schemas.microsoft.com/office/drawing/2014/main" id="{00000000-0008-0000-23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5494935" y="1142999"/>
          <a:ext cx="457785" cy="305921"/>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123263</xdr:colOff>
      <xdr:row>63</xdr:row>
      <xdr:rowOff>11205</xdr:rowOff>
    </xdr:from>
    <xdr:to>
      <xdr:col>17</xdr:col>
      <xdr:colOff>581048</xdr:colOff>
      <xdr:row>64</xdr:row>
      <xdr:rowOff>137832</xdr:rowOff>
    </xdr:to>
    <xdr:pic>
      <xdr:nvPicPr>
        <xdr:cNvPr id="11" name="Рисунок 10" descr="Картинки по запросу">
          <a:extLst>
            <a:ext uri="{FF2B5EF4-FFF2-40B4-BE49-F238E27FC236}">
              <a16:creationId xmlns:a16="http://schemas.microsoft.com/office/drawing/2014/main" id="{00000000-0008-0000-2300-00000B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5475322" y="13850470"/>
          <a:ext cx="457785" cy="305921"/>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163605</xdr:colOff>
      <xdr:row>78</xdr:row>
      <xdr:rowOff>17928</xdr:rowOff>
    </xdr:from>
    <xdr:to>
      <xdr:col>17</xdr:col>
      <xdr:colOff>621390</xdr:colOff>
      <xdr:row>79</xdr:row>
      <xdr:rowOff>144555</xdr:rowOff>
    </xdr:to>
    <xdr:pic>
      <xdr:nvPicPr>
        <xdr:cNvPr id="12" name="Рисунок 11" descr="Картинки по запросу">
          <a:extLst>
            <a:ext uri="{FF2B5EF4-FFF2-40B4-BE49-F238E27FC236}">
              <a16:creationId xmlns:a16="http://schemas.microsoft.com/office/drawing/2014/main" id="{00000000-0008-0000-2300-00000C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5515664" y="16210428"/>
          <a:ext cx="457785" cy="305921"/>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203946</xdr:colOff>
      <xdr:row>89</xdr:row>
      <xdr:rowOff>13446</xdr:rowOff>
    </xdr:from>
    <xdr:to>
      <xdr:col>18</xdr:col>
      <xdr:colOff>11790</xdr:colOff>
      <xdr:row>90</xdr:row>
      <xdr:rowOff>140073</xdr:rowOff>
    </xdr:to>
    <xdr:pic>
      <xdr:nvPicPr>
        <xdr:cNvPr id="13" name="Рисунок 12" descr="Картинки по запросу">
          <a:extLst>
            <a:ext uri="{FF2B5EF4-FFF2-40B4-BE49-F238E27FC236}">
              <a16:creationId xmlns:a16="http://schemas.microsoft.com/office/drawing/2014/main" id="{00000000-0008-0000-2300-00000D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5556005" y="18267828"/>
          <a:ext cx="457785" cy="305921"/>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87405</xdr:colOff>
      <xdr:row>119</xdr:row>
      <xdr:rowOff>177050</xdr:rowOff>
    </xdr:from>
    <xdr:to>
      <xdr:col>17</xdr:col>
      <xdr:colOff>545190</xdr:colOff>
      <xdr:row>121</xdr:row>
      <xdr:rowOff>124383</xdr:rowOff>
    </xdr:to>
    <xdr:pic>
      <xdr:nvPicPr>
        <xdr:cNvPr id="14" name="Рисунок 13" descr="Картинки по запросу">
          <a:extLst>
            <a:ext uri="{FF2B5EF4-FFF2-40B4-BE49-F238E27FC236}">
              <a16:creationId xmlns:a16="http://schemas.microsoft.com/office/drawing/2014/main" id="{00000000-0008-0000-2300-00000E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5439464" y="22118168"/>
          <a:ext cx="457785" cy="305921"/>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30</xdr:col>
      <xdr:colOff>47625</xdr:colOff>
      <xdr:row>1</xdr:row>
      <xdr:rowOff>9525</xdr:rowOff>
    </xdr:from>
    <xdr:to>
      <xdr:col>33</xdr:col>
      <xdr:colOff>145676</xdr:colOff>
      <xdr:row>3</xdr:row>
      <xdr:rowOff>173130</xdr:rowOff>
    </xdr:to>
    <xdr:sp macro="" textlink="">
      <xdr:nvSpPr>
        <xdr:cNvPr id="15" name="Скругленная прямоугольная выноска 14">
          <a:extLst>
            <a:ext uri="{FF2B5EF4-FFF2-40B4-BE49-F238E27FC236}">
              <a16:creationId xmlns:a16="http://schemas.microsoft.com/office/drawing/2014/main" id="{00000000-0008-0000-2300-00000F000000}"/>
            </a:ext>
          </a:extLst>
        </xdr:cNvPr>
        <xdr:cNvSpPr/>
      </xdr:nvSpPr>
      <xdr:spPr>
        <a:xfrm>
          <a:off x="23434301" y="222437"/>
          <a:ext cx="2047875" cy="589428"/>
        </a:xfrm>
        <a:prstGeom prst="wedgeRoundRectCallout">
          <a:avLst>
            <a:gd name="adj1" fmla="val -37591"/>
            <a:gd name="adj2" fmla="val 66730"/>
            <a:gd name="adj3" fmla="val 16667"/>
          </a:avLst>
        </a:prstGeom>
        <a:solidFill>
          <a:schemeClr val="bg1">
            <a:lumMod val="95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200" b="1">
              <a:solidFill>
                <a:schemeClr val="tx1"/>
              </a:solidFill>
              <a:latin typeface="Arial Narrow" panose="020B0606020202030204" pitchFamily="34" charset="0"/>
            </a:rPr>
            <a:t>В этом блоке </a:t>
          </a:r>
          <a:r>
            <a:rPr lang="ru-RU" sz="1200" b="1">
              <a:solidFill>
                <a:srgbClr val="C00000"/>
              </a:solidFill>
              <a:latin typeface="Arial Narrow" panose="020B0606020202030204" pitchFamily="34" charset="0"/>
            </a:rPr>
            <a:t>ручной </a:t>
          </a:r>
          <a:r>
            <a:rPr lang="ru-RU" sz="1200" b="1">
              <a:solidFill>
                <a:schemeClr val="tx1"/>
              </a:solidFill>
              <a:latin typeface="Arial Narrow" panose="020B0606020202030204" pitchFamily="34" charset="0"/>
            </a:rPr>
            <a:t>ввод первичных данных</a:t>
          </a:r>
        </a:p>
      </xdr:txBody>
    </xdr:sp>
    <xdr:clientData/>
  </xdr:twoCellAnchor>
  <xdr:twoCellAnchor editAs="oneCell">
    <xdr:from>
      <xdr:col>24</xdr:col>
      <xdr:colOff>508188</xdr:colOff>
      <xdr:row>5</xdr:row>
      <xdr:rowOff>51546</xdr:rowOff>
    </xdr:from>
    <xdr:to>
      <xdr:col>25</xdr:col>
      <xdr:colOff>282414</xdr:colOff>
      <xdr:row>6</xdr:row>
      <xdr:rowOff>144555</xdr:rowOff>
    </xdr:to>
    <xdr:pic>
      <xdr:nvPicPr>
        <xdr:cNvPr id="21" name="Рисунок 20" descr="Картинки по запросу">
          <a:extLst>
            <a:ext uri="{FF2B5EF4-FFF2-40B4-BE49-F238E27FC236}">
              <a16:creationId xmlns:a16="http://schemas.microsoft.com/office/drawing/2014/main" id="{00000000-0008-0000-2300-00001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8841012" y="1116105"/>
          <a:ext cx="457785" cy="305921"/>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414617</xdr:colOff>
      <xdr:row>5</xdr:row>
      <xdr:rowOff>45440</xdr:rowOff>
    </xdr:from>
    <xdr:to>
      <xdr:col>33</xdr:col>
      <xdr:colOff>291913</xdr:colOff>
      <xdr:row>6</xdr:row>
      <xdr:rowOff>111496</xdr:rowOff>
    </xdr:to>
    <xdr:pic>
      <xdr:nvPicPr>
        <xdr:cNvPr id="22" name="Рисунок 21" descr="Картинки по запросу флаг сша">
          <a:extLst>
            <a:ext uri="{FF2B5EF4-FFF2-40B4-BE49-F238E27FC236}">
              <a16:creationId xmlns:a16="http://schemas.microsoft.com/office/drawing/2014/main" id="{00000000-0008-0000-2300-000016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2277293" y="1109999"/>
          <a:ext cx="527237" cy="278968"/>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477369</xdr:colOff>
      <xdr:row>5</xdr:row>
      <xdr:rowOff>18546</xdr:rowOff>
    </xdr:from>
    <xdr:to>
      <xdr:col>39</xdr:col>
      <xdr:colOff>321047</xdr:colOff>
      <xdr:row>6</xdr:row>
      <xdr:rowOff>84602</xdr:rowOff>
    </xdr:to>
    <xdr:pic>
      <xdr:nvPicPr>
        <xdr:cNvPr id="23" name="Рисунок 22" descr="Картинки по запросу флаг сша">
          <a:extLst>
            <a:ext uri="{FF2B5EF4-FFF2-40B4-BE49-F238E27FC236}">
              <a16:creationId xmlns:a16="http://schemas.microsoft.com/office/drawing/2014/main" id="{00000000-0008-0000-2300-000017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4670869" y="1083105"/>
          <a:ext cx="527237" cy="278968"/>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0</xdr:colOff>
      <xdr:row>63</xdr:row>
      <xdr:rowOff>33617</xdr:rowOff>
    </xdr:from>
    <xdr:to>
      <xdr:col>31</xdr:col>
      <xdr:colOff>527237</xdr:colOff>
      <xdr:row>64</xdr:row>
      <xdr:rowOff>133291</xdr:rowOff>
    </xdr:to>
    <xdr:pic>
      <xdr:nvPicPr>
        <xdr:cNvPr id="24" name="Рисунок 23" descr="Картинки по запросу флаг сша">
          <a:extLst>
            <a:ext uri="{FF2B5EF4-FFF2-40B4-BE49-F238E27FC236}">
              <a16:creationId xmlns:a16="http://schemas.microsoft.com/office/drawing/2014/main" id="{00000000-0008-0000-2300-000018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1369618" y="13872882"/>
          <a:ext cx="527237" cy="278968"/>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22412</xdr:colOff>
      <xdr:row>78</xdr:row>
      <xdr:rowOff>44824</xdr:rowOff>
    </xdr:from>
    <xdr:to>
      <xdr:col>31</xdr:col>
      <xdr:colOff>549649</xdr:colOff>
      <xdr:row>79</xdr:row>
      <xdr:rowOff>144498</xdr:rowOff>
    </xdr:to>
    <xdr:pic>
      <xdr:nvPicPr>
        <xdr:cNvPr id="25" name="Рисунок 24" descr="Картинки по запросу флаг сша">
          <a:extLst>
            <a:ext uri="{FF2B5EF4-FFF2-40B4-BE49-F238E27FC236}">
              <a16:creationId xmlns:a16="http://schemas.microsoft.com/office/drawing/2014/main" id="{00000000-0008-0000-2300-000019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1392030" y="16237324"/>
          <a:ext cx="527237" cy="278968"/>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638736</xdr:colOff>
      <xdr:row>89</xdr:row>
      <xdr:rowOff>11205</xdr:rowOff>
    </xdr:from>
    <xdr:to>
      <xdr:col>31</xdr:col>
      <xdr:colOff>516031</xdr:colOff>
      <xdr:row>90</xdr:row>
      <xdr:rowOff>110879</xdr:rowOff>
    </xdr:to>
    <xdr:pic>
      <xdr:nvPicPr>
        <xdr:cNvPr id="26" name="Рисунок 25" descr="Картинки по запросу флаг сша">
          <a:extLst>
            <a:ext uri="{FF2B5EF4-FFF2-40B4-BE49-F238E27FC236}">
              <a16:creationId xmlns:a16="http://schemas.microsoft.com/office/drawing/2014/main" id="{00000000-0008-0000-2300-00001A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1358412" y="18265587"/>
          <a:ext cx="527237" cy="278968"/>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0</xdr:colOff>
      <xdr:row>120</xdr:row>
      <xdr:rowOff>0</xdr:rowOff>
    </xdr:from>
    <xdr:to>
      <xdr:col>31</xdr:col>
      <xdr:colOff>527237</xdr:colOff>
      <xdr:row>121</xdr:row>
      <xdr:rowOff>99674</xdr:rowOff>
    </xdr:to>
    <xdr:pic>
      <xdr:nvPicPr>
        <xdr:cNvPr id="27" name="Рисунок 26" descr="Картинки по запросу флаг сша">
          <a:extLst>
            <a:ext uri="{FF2B5EF4-FFF2-40B4-BE49-F238E27FC236}">
              <a16:creationId xmlns:a16="http://schemas.microsoft.com/office/drawing/2014/main" id="{00000000-0008-0000-2300-00001B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1369618" y="22120412"/>
          <a:ext cx="527237" cy="278968"/>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33618</xdr:colOff>
      <xdr:row>104</xdr:row>
      <xdr:rowOff>0</xdr:rowOff>
    </xdr:from>
    <xdr:to>
      <xdr:col>16</xdr:col>
      <xdr:colOff>22412</xdr:colOff>
      <xdr:row>110</xdr:row>
      <xdr:rowOff>29134</xdr:rowOff>
    </xdr:to>
    <xdr:sp macro="" textlink="">
      <xdr:nvSpPr>
        <xdr:cNvPr id="19" name="Скругленная прямоугольная выноска 18">
          <a:extLst>
            <a:ext uri="{FF2B5EF4-FFF2-40B4-BE49-F238E27FC236}">
              <a16:creationId xmlns:a16="http://schemas.microsoft.com/office/drawing/2014/main" id="{00000000-0008-0000-2300-000013000000}"/>
            </a:ext>
          </a:extLst>
        </xdr:cNvPr>
        <xdr:cNvSpPr/>
      </xdr:nvSpPr>
      <xdr:spPr>
        <a:xfrm>
          <a:off x="11945471" y="20652441"/>
          <a:ext cx="2779059" cy="1116105"/>
        </a:xfrm>
        <a:prstGeom prst="wedgeRoundRectCallout">
          <a:avLst>
            <a:gd name="adj1" fmla="val -49049"/>
            <a:gd name="adj2" fmla="val 72922"/>
            <a:gd name="adj3" fmla="val 16667"/>
          </a:avLst>
        </a:prstGeom>
        <a:solidFill>
          <a:schemeClr val="bg1">
            <a:lumMod val="95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ru-RU" sz="1200" b="1">
              <a:solidFill>
                <a:schemeClr val="tx1"/>
              </a:solidFill>
              <a:latin typeface="Arial Narrow" panose="020B0606020202030204" pitchFamily="34" charset="0"/>
            </a:rPr>
            <a:t>Регулярное</a:t>
          </a:r>
          <a:r>
            <a:rPr lang="ru-RU" sz="1200" b="1" baseline="0">
              <a:solidFill>
                <a:schemeClr val="tx1"/>
              </a:solidFill>
              <a:latin typeface="Arial Narrow" panose="020B0606020202030204" pitchFamily="34" charset="0"/>
            </a:rPr>
            <a:t> и большое значение показателя указывет на наличие просроченных (проблемных) кредитов, по которым % фактически не уплачиваются</a:t>
          </a:r>
          <a:endParaRPr lang="ru-RU" sz="1200" b="1">
            <a:solidFill>
              <a:schemeClr val="tx1"/>
            </a:solidFill>
            <a:latin typeface="Arial Narrow" panose="020B060602020203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151278</xdr:colOff>
      <xdr:row>116</xdr:row>
      <xdr:rowOff>23530</xdr:rowOff>
    </xdr:from>
    <xdr:to>
      <xdr:col>15</xdr:col>
      <xdr:colOff>369794</xdr:colOff>
      <xdr:row>139</xdr:row>
      <xdr:rowOff>89646</xdr:rowOff>
    </xdr:to>
    <xdr:graphicFrame macro="">
      <xdr:nvGraphicFramePr>
        <xdr:cNvPr id="2" name="Диаграмма 1">
          <a:extLst>
            <a:ext uri="{FF2B5EF4-FFF2-40B4-BE49-F238E27FC236}">
              <a16:creationId xmlns:a16="http://schemas.microsoft.com/office/drawing/2014/main" id="{00000000-0008-0000-2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173690</xdr:colOff>
      <xdr:row>140</xdr:row>
      <xdr:rowOff>124384</xdr:rowOff>
    </xdr:from>
    <xdr:to>
      <xdr:col>7</xdr:col>
      <xdr:colOff>33616</xdr:colOff>
      <xdr:row>169</xdr:row>
      <xdr:rowOff>11206</xdr:rowOff>
    </xdr:to>
    <xdr:graphicFrame macro="">
      <xdr:nvGraphicFramePr>
        <xdr:cNvPr id="3" name="Диаграмма 2">
          <a:extLst>
            <a:ext uri="{FF2B5EF4-FFF2-40B4-BE49-F238E27FC236}">
              <a16:creationId xmlns:a16="http://schemas.microsoft.com/office/drawing/2014/main" id="{00000000-0008-0000-2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156881</xdr:colOff>
      <xdr:row>170</xdr:row>
      <xdr:rowOff>169208</xdr:rowOff>
    </xdr:from>
    <xdr:to>
      <xdr:col>13</xdr:col>
      <xdr:colOff>302558</xdr:colOff>
      <xdr:row>195</xdr:row>
      <xdr:rowOff>123265</xdr:rowOff>
    </xdr:to>
    <xdr:graphicFrame macro="">
      <xdr:nvGraphicFramePr>
        <xdr:cNvPr id="5" name="Диаграмма 4">
          <a:extLst>
            <a:ext uri="{FF2B5EF4-FFF2-40B4-BE49-F238E27FC236}">
              <a16:creationId xmlns:a16="http://schemas.microsoft.com/office/drawing/2014/main" id="{00000000-0008-0000-2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489857</xdr:colOff>
      <xdr:row>102</xdr:row>
      <xdr:rowOff>0</xdr:rowOff>
    </xdr:from>
    <xdr:to>
      <xdr:col>8</xdr:col>
      <xdr:colOff>502664</xdr:colOff>
      <xdr:row>104</xdr:row>
      <xdr:rowOff>7205</xdr:rowOff>
    </xdr:to>
    <xdr:sp macro="" textlink="">
      <xdr:nvSpPr>
        <xdr:cNvPr id="6" name="Скругленная прямоугольная выноска 5">
          <a:extLst>
            <a:ext uri="{FF2B5EF4-FFF2-40B4-BE49-F238E27FC236}">
              <a16:creationId xmlns:a16="http://schemas.microsoft.com/office/drawing/2014/main" id="{00000000-0008-0000-2400-000006000000}"/>
            </a:ext>
          </a:extLst>
        </xdr:cNvPr>
        <xdr:cNvSpPr/>
      </xdr:nvSpPr>
      <xdr:spPr>
        <a:xfrm>
          <a:off x="6735536" y="18029464"/>
          <a:ext cx="2135521" cy="374598"/>
        </a:xfrm>
        <a:prstGeom prst="wedgeRoundRectCallout">
          <a:avLst>
            <a:gd name="adj1" fmla="val -60706"/>
            <a:gd name="adj2" fmla="val 47348"/>
            <a:gd name="adj3" fmla="val 16667"/>
          </a:avLst>
        </a:prstGeom>
        <a:ln>
          <a:solidFill>
            <a:srgbClr val="C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ru-RU" sz="1200" b="1">
              <a:solidFill>
                <a:srgbClr val="C00000"/>
              </a:solidFill>
            </a:rPr>
            <a:t>Выполняется вручную</a:t>
          </a:r>
        </a:p>
      </xdr:txBody>
    </xdr:sp>
    <xdr:clientData/>
  </xdr:twoCellAnchor>
  <xdr:twoCellAnchor>
    <xdr:from>
      <xdr:col>7</xdr:col>
      <xdr:colOff>336176</xdr:colOff>
      <xdr:row>140</xdr:row>
      <xdr:rowOff>145678</xdr:rowOff>
    </xdr:from>
    <xdr:to>
      <xdr:col>15</xdr:col>
      <xdr:colOff>582706</xdr:colOff>
      <xdr:row>169</xdr:row>
      <xdr:rowOff>32500</xdr:rowOff>
    </xdr:to>
    <xdr:graphicFrame macro="">
      <xdr:nvGraphicFramePr>
        <xdr:cNvPr id="7" name="Диаграмма 6">
          <a:extLst>
            <a:ext uri="{FF2B5EF4-FFF2-40B4-BE49-F238E27FC236}">
              <a16:creationId xmlns:a16="http://schemas.microsoft.com/office/drawing/2014/main" id="{00000000-0008-0000-2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187</xdr:row>
      <xdr:rowOff>0</xdr:rowOff>
    </xdr:from>
    <xdr:to>
      <xdr:col>5</xdr:col>
      <xdr:colOff>422127</xdr:colOff>
      <xdr:row>202</xdr:row>
      <xdr:rowOff>56562</xdr:rowOff>
    </xdr:to>
    <xdr:pic>
      <xdr:nvPicPr>
        <xdr:cNvPr id="3" name="Рисунок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stretch>
          <a:fillRect/>
        </a:stretch>
      </xdr:blipFill>
      <xdr:spPr>
        <a:xfrm>
          <a:off x="247650" y="33661350"/>
          <a:ext cx="7609019" cy="2771187"/>
        </a:xfrm>
        <a:prstGeom prst="rect">
          <a:avLst/>
        </a:prstGeom>
      </xdr:spPr>
    </xdr:pic>
    <xdr:clientData/>
  </xdr:twoCellAnchor>
  <xdr:twoCellAnchor editAs="oneCell">
    <xdr:from>
      <xdr:col>1</xdr:col>
      <xdr:colOff>0</xdr:colOff>
      <xdr:row>203</xdr:row>
      <xdr:rowOff>0</xdr:rowOff>
    </xdr:from>
    <xdr:to>
      <xdr:col>5</xdr:col>
      <xdr:colOff>336390</xdr:colOff>
      <xdr:row>212</xdr:row>
      <xdr:rowOff>30127</xdr:rowOff>
    </xdr:to>
    <xdr:pic>
      <xdr:nvPicPr>
        <xdr:cNvPr id="4" name="Рисунок 3">
          <a:extLst>
            <a:ext uri="{FF2B5EF4-FFF2-40B4-BE49-F238E27FC236}">
              <a16:creationId xmlns:a16="http://schemas.microsoft.com/office/drawing/2014/main" id="{00000000-0008-0000-2500-000004000000}"/>
            </a:ext>
          </a:extLst>
        </xdr:cNvPr>
        <xdr:cNvPicPr>
          <a:picLocks noChangeAspect="1"/>
        </xdr:cNvPicPr>
      </xdr:nvPicPr>
      <xdr:blipFill>
        <a:blip xmlns:r="http://schemas.openxmlformats.org/officeDocument/2006/relationships" r:embed="rId2" cstate="print"/>
        <a:stretch>
          <a:fillRect/>
        </a:stretch>
      </xdr:blipFill>
      <xdr:spPr>
        <a:xfrm>
          <a:off x="247650" y="36556950"/>
          <a:ext cx="7523282" cy="1658902"/>
        </a:xfrm>
        <a:prstGeom prst="rect">
          <a:avLst/>
        </a:prstGeom>
      </xdr:spPr>
    </xdr:pic>
    <xdr:clientData/>
  </xdr:twoCellAnchor>
  <xdr:twoCellAnchor editAs="oneCell">
    <xdr:from>
      <xdr:col>17</xdr:col>
      <xdr:colOff>142876</xdr:colOff>
      <xdr:row>5</xdr:row>
      <xdr:rowOff>78440</xdr:rowOff>
    </xdr:from>
    <xdr:to>
      <xdr:col>17</xdr:col>
      <xdr:colOff>600661</xdr:colOff>
      <xdr:row>6</xdr:row>
      <xdr:rowOff>171449</xdr:rowOff>
    </xdr:to>
    <xdr:pic>
      <xdr:nvPicPr>
        <xdr:cNvPr id="6" name="Рисунок 5" descr="Картинки по запросу">
          <a:extLst>
            <a:ext uri="{FF2B5EF4-FFF2-40B4-BE49-F238E27FC236}">
              <a16:creationId xmlns:a16="http://schemas.microsoft.com/office/drawing/2014/main" id="{00000000-0008-0000-25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459076" y="1126190"/>
          <a:ext cx="457785" cy="302559"/>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87405</xdr:colOff>
      <xdr:row>107</xdr:row>
      <xdr:rowOff>177050</xdr:rowOff>
    </xdr:from>
    <xdr:to>
      <xdr:col>17</xdr:col>
      <xdr:colOff>545190</xdr:colOff>
      <xdr:row>109</xdr:row>
      <xdr:rowOff>124383</xdr:rowOff>
    </xdr:to>
    <xdr:pic>
      <xdr:nvPicPr>
        <xdr:cNvPr id="10" name="Рисунок 9" descr="Картинки по запросу">
          <a:extLst>
            <a:ext uri="{FF2B5EF4-FFF2-40B4-BE49-F238E27FC236}">
              <a16:creationId xmlns:a16="http://schemas.microsoft.com/office/drawing/2014/main" id="{00000000-0008-0000-2500-00000A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403605" y="22379825"/>
          <a:ext cx="457785" cy="309283"/>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414617</xdr:colOff>
      <xdr:row>5</xdr:row>
      <xdr:rowOff>45440</xdr:rowOff>
    </xdr:from>
    <xdr:to>
      <xdr:col>31</xdr:col>
      <xdr:colOff>291913</xdr:colOff>
      <xdr:row>6</xdr:row>
      <xdr:rowOff>111496</xdr:rowOff>
    </xdr:to>
    <xdr:pic>
      <xdr:nvPicPr>
        <xdr:cNvPr id="13" name="Рисунок 12" descr="Картинки по запросу флаг сша">
          <a:extLst>
            <a:ext uri="{FF2B5EF4-FFF2-40B4-BE49-F238E27FC236}">
              <a16:creationId xmlns:a16="http://schemas.microsoft.com/office/drawing/2014/main" id="{00000000-0008-0000-2500-00000D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9759892" y="1093190"/>
          <a:ext cx="524995" cy="275606"/>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0</xdr:colOff>
      <xdr:row>116</xdr:row>
      <xdr:rowOff>0</xdr:rowOff>
    </xdr:from>
    <xdr:to>
      <xdr:col>29</xdr:col>
      <xdr:colOff>527237</xdr:colOff>
      <xdr:row>117</xdr:row>
      <xdr:rowOff>99674</xdr:rowOff>
    </xdr:to>
    <xdr:pic>
      <xdr:nvPicPr>
        <xdr:cNvPr id="18" name="Рисунок 17" descr="Картинки по запросу флаг сша">
          <a:extLst>
            <a:ext uri="{FF2B5EF4-FFF2-40B4-BE49-F238E27FC236}">
              <a16:creationId xmlns:a16="http://schemas.microsoft.com/office/drawing/2014/main" id="{00000000-0008-0000-2500-000012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8697575" y="22383750"/>
          <a:ext cx="527237" cy="280649"/>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171449</xdr:colOff>
      <xdr:row>7</xdr:row>
      <xdr:rowOff>85724</xdr:rowOff>
    </xdr:from>
    <xdr:to>
      <xdr:col>17</xdr:col>
      <xdr:colOff>581024</xdr:colOff>
      <xdr:row>29</xdr:row>
      <xdr:rowOff>19049</xdr:rowOff>
    </xdr:to>
    <xdr:graphicFrame macro="">
      <xdr:nvGraphicFramePr>
        <xdr:cNvPr id="2" name="Диаграмма 1">
          <a:extLst>
            <a:ext uri="{FF2B5EF4-FFF2-40B4-BE49-F238E27FC236}">
              <a16:creationId xmlns:a16="http://schemas.microsoft.com/office/drawing/2014/main" id="{00000000-0008-0000-2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152400</xdr:colOff>
      <xdr:row>11</xdr:row>
      <xdr:rowOff>28575</xdr:rowOff>
    </xdr:from>
    <xdr:to>
      <xdr:col>10</xdr:col>
      <xdr:colOff>533400</xdr:colOff>
      <xdr:row>15</xdr:row>
      <xdr:rowOff>133350</xdr:rowOff>
    </xdr:to>
    <xdr:sp macro="" textlink="">
      <xdr:nvSpPr>
        <xdr:cNvPr id="3" name="Прямоугольная выноска 2">
          <a:extLst>
            <a:ext uri="{FF2B5EF4-FFF2-40B4-BE49-F238E27FC236}">
              <a16:creationId xmlns:a16="http://schemas.microsoft.com/office/drawing/2014/main" id="{00000000-0008-0000-2600-000003000000}"/>
            </a:ext>
          </a:extLst>
        </xdr:cNvPr>
        <xdr:cNvSpPr/>
      </xdr:nvSpPr>
      <xdr:spPr>
        <a:xfrm>
          <a:off x="2990850" y="2095500"/>
          <a:ext cx="4972050" cy="828675"/>
        </a:xfrm>
        <a:prstGeom prst="wedgeRectCallout">
          <a:avLst>
            <a:gd name="adj1" fmla="val -49579"/>
            <a:gd name="adj2" fmla="val -67325"/>
          </a:avLst>
        </a:prstGeom>
        <a:ln w="6350">
          <a:solidFill>
            <a:srgbClr val="0033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lang="ru-RU" sz="1400" b="1"/>
            <a:t>29.09.11</a:t>
          </a:r>
          <a:r>
            <a:rPr lang="ru-RU" sz="1400" baseline="0"/>
            <a:t> Банк Москвы получил заем от АСВ в размере 294,8 млрд.руб</a:t>
          </a:r>
          <a:r>
            <a:rPr lang="ru-RU" sz="1400" baseline="0">
              <a:solidFill>
                <a:schemeClr val="dk1"/>
              </a:solidFill>
              <a:latin typeface="+mn-lt"/>
              <a:ea typeface="+mn-ea"/>
              <a:cs typeface="+mn-cs"/>
            </a:rPr>
            <a:t>.   сроком на 10 лет под 0,51% годовых</a:t>
          </a:r>
        </a:p>
        <a:p>
          <a:pPr algn="l"/>
          <a:r>
            <a:rPr lang="ru-RU" sz="1400" b="1"/>
            <a:t>30.09.11</a:t>
          </a:r>
          <a:r>
            <a:rPr lang="ru-RU" sz="1400"/>
            <a:t> Банк</a:t>
          </a:r>
          <a:r>
            <a:rPr lang="ru-RU" sz="1400" baseline="0"/>
            <a:t> </a:t>
          </a:r>
          <a:r>
            <a:rPr lang="ru-RU" sz="1400"/>
            <a:t>приобрел ОФЗ номиналом 295 млрд. руб.  </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104775</xdr:colOff>
      <xdr:row>26</xdr:row>
      <xdr:rowOff>57150</xdr:rowOff>
    </xdr:from>
    <xdr:to>
      <xdr:col>5</xdr:col>
      <xdr:colOff>906091</xdr:colOff>
      <xdr:row>39</xdr:row>
      <xdr:rowOff>28899</xdr:rowOff>
    </xdr:to>
    <xdr:pic>
      <xdr:nvPicPr>
        <xdr:cNvPr id="2" name="Рисунок 1">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cstate="print"/>
        <a:stretch>
          <a:fillRect/>
        </a:stretch>
      </xdr:blipFill>
      <xdr:spPr>
        <a:xfrm>
          <a:off x="104775" y="4981575"/>
          <a:ext cx="8716591" cy="2324424"/>
        </a:xfrm>
        <a:prstGeom prst="rect">
          <a:avLst/>
        </a:prstGeom>
      </xdr:spPr>
    </xdr:pic>
    <xdr:clientData/>
  </xdr:twoCellAnchor>
  <xdr:twoCellAnchor editAs="oneCell">
    <xdr:from>
      <xdr:col>0</xdr:col>
      <xdr:colOff>257175</xdr:colOff>
      <xdr:row>43</xdr:row>
      <xdr:rowOff>142875</xdr:rowOff>
    </xdr:from>
    <xdr:to>
      <xdr:col>6</xdr:col>
      <xdr:colOff>477517</xdr:colOff>
      <xdr:row>57</xdr:row>
      <xdr:rowOff>152755</xdr:rowOff>
    </xdr:to>
    <xdr:pic>
      <xdr:nvPicPr>
        <xdr:cNvPr id="3" name="Рисунок 2">
          <a:extLst>
            <a:ext uri="{FF2B5EF4-FFF2-40B4-BE49-F238E27FC236}">
              <a16:creationId xmlns:a16="http://schemas.microsoft.com/office/drawing/2014/main" id="{00000000-0008-0000-2700-000003000000}"/>
            </a:ext>
          </a:extLst>
        </xdr:cNvPr>
        <xdr:cNvPicPr>
          <a:picLocks noChangeAspect="1"/>
        </xdr:cNvPicPr>
      </xdr:nvPicPr>
      <xdr:blipFill>
        <a:blip xmlns:r="http://schemas.openxmlformats.org/officeDocument/2006/relationships" r:embed="rId2" cstate="print"/>
        <a:stretch>
          <a:fillRect/>
        </a:stretch>
      </xdr:blipFill>
      <xdr:spPr>
        <a:xfrm>
          <a:off x="257175" y="7962900"/>
          <a:ext cx="9078592" cy="2543530"/>
        </a:xfrm>
        <a:prstGeom prst="rect">
          <a:avLst/>
        </a:prstGeom>
      </xdr:spPr>
    </xdr:pic>
    <xdr:clientData/>
  </xdr:twoCellAnchor>
  <xdr:twoCellAnchor editAs="oneCell">
    <xdr:from>
      <xdr:col>0</xdr:col>
      <xdr:colOff>514350</xdr:colOff>
      <xdr:row>60</xdr:row>
      <xdr:rowOff>66675</xdr:rowOff>
    </xdr:from>
    <xdr:to>
      <xdr:col>6</xdr:col>
      <xdr:colOff>510380</xdr:colOff>
      <xdr:row>75</xdr:row>
      <xdr:rowOff>123825</xdr:rowOff>
    </xdr:to>
    <xdr:pic>
      <xdr:nvPicPr>
        <xdr:cNvPr id="4" name="Рисунок 3">
          <a:extLst>
            <a:ext uri="{FF2B5EF4-FFF2-40B4-BE49-F238E27FC236}">
              <a16:creationId xmlns:a16="http://schemas.microsoft.com/office/drawing/2014/main" id="{00000000-0008-0000-2700-000004000000}"/>
            </a:ext>
          </a:extLst>
        </xdr:cNvPr>
        <xdr:cNvPicPr>
          <a:picLocks noChangeAspect="1"/>
        </xdr:cNvPicPr>
      </xdr:nvPicPr>
      <xdr:blipFill>
        <a:blip xmlns:r="http://schemas.openxmlformats.org/officeDocument/2006/relationships" r:embed="rId3"/>
        <a:stretch>
          <a:fillRect/>
        </a:stretch>
      </xdr:blipFill>
      <xdr:spPr>
        <a:xfrm>
          <a:off x="514350" y="11144250"/>
          <a:ext cx="8854280" cy="27717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438150</xdr:colOff>
          <xdr:row>12</xdr:row>
          <xdr:rowOff>38100</xdr:rowOff>
        </xdr:from>
        <xdr:to>
          <xdr:col>4</xdr:col>
          <xdr:colOff>190500</xdr:colOff>
          <xdr:row>15</xdr:row>
          <xdr:rowOff>142875</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2900-000001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10" xr16:uid="{75AAC84D-9326-4E8B-B5C5-5B14237ABA01}" autoFormatId="16" applyNumberFormats="0" applyBorderFormats="0" applyFontFormats="0" applyPatternFormats="0" applyAlignmentFormats="0" applyWidthHeightFormats="0">
  <queryTableRefresh nextId="7">
    <queryTableFields count="6">
      <queryTableField id="1" name="Номер п/п" tableColumnId="1"/>
      <queryTableField id="2" name="Наименование статей" tableColumnId="2"/>
      <queryTableField id="3" name="Символы" tableColumnId="3"/>
      <queryTableField id="4" name="Рубли" tableColumnId="4"/>
      <queryTableField id="5" name="Ин.валюта" tableColumnId="5"/>
      <queryTableField id="6" name="ВСЕГО"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9" xr16:uid="{AC70267D-B744-4152-8972-5AE9E32C89ED}" autoFormatId="16" applyNumberFormats="0" applyBorderFormats="0" applyFontFormats="0" applyPatternFormats="0" applyAlignmentFormats="0" applyWidthHeightFormats="0">
  <queryTableRefresh nextId="7">
    <queryTableFields count="6">
      <queryTableField id="1" name="Номер п/п" tableColumnId="1"/>
      <queryTableField id="2" name="Наименование статей" tableColumnId="2"/>
      <queryTableField id="3" name="Символы" tableColumnId="3"/>
      <queryTableField id="4" name="Рубли" tableColumnId="4"/>
      <queryTableField id="5" name="Ин.валюта" tableColumnId="5"/>
      <queryTableField id="6" name="ВСЕГО"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8" xr16:uid="{DA3718C0-A8A3-44C6-97CB-0EBA6250B55F}" autoFormatId="16" applyNumberFormats="0" applyBorderFormats="0" applyFontFormats="0" applyPatternFormats="0" applyAlignmentFormats="0" applyWidthHeightFormats="0">
  <queryTableRefresh nextId="7">
    <queryTableFields count="6">
      <queryTableField id="1" name="Номер п/п" tableColumnId="1"/>
      <queryTableField id="2" name="Наименование статей" tableColumnId="2"/>
      <queryTableField id="3" name="Символы" tableColumnId="3"/>
      <queryTableField id="4" name="Рубли" tableColumnId="4"/>
      <queryTableField id="5" name="Ин.валюта" tableColumnId="5"/>
      <queryTableField id="6" name="ВСЕГО"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7" xr16:uid="{1786186B-041C-4CB3-951F-62B4E37BD57A}" autoFormatId="16" applyNumberFormats="0" applyBorderFormats="0" applyFontFormats="0" applyPatternFormats="0" applyAlignmentFormats="0" applyWidthHeightFormats="0">
  <queryTableRefresh nextId="7">
    <queryTableFields count="6">
      <queryTableField id="1" name="Номер п/п" tableColumnId="1"/>
      <queryTableField id="2" name="Наименование статей" tableColumnId="2"/>
      <queryTableField id="3" name="Символы" tableColumnId="3"/>
      <queryTableField id="4" name="Рубли" tableColumnId="4"/>
      <queryTableField id="5" name="Ин.валюта" tableColumnId="5"/>
      <queryTableField id="6" name="ВСЕГО"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6" xr16:uid="{8DE0EB96-9DA5-4299-8F8D-6D59693C9BB9}" autoFormatId="16" applyNumberFormats="0" applyBorderFormats="0" applyFontFormats="0" applyPatternFormats="0" applyAlignmentFormats="0" applyWidthHeightFormats="0">
  <queryTableRefresh nextId="7">
    <queryTableFields count="6">
      <queryTableField id="1" name="Номер п/п" tableColumnId="1"/>
      <queryTableField id="2" name="Наименование статей" tableColumnId="2"/>
      <queryTableField id="3" name="Символы" tableColumnId="3"/>
      <queryTableField id="4" name="Рубли" tableColumnId="4"/>
      <queryTableField id="5" name="Ин.валюта" tableColumnId="5"/>
      <queryTableField id="6" name="ВСЕГО"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8" connectionId="5" xr16:uid="{EF0D5112-CFEB-4113-8A2F-DCD16E1EE1FB}" autoFormatId="16" applyNumberFormats="0" applyBorderFormats="0" applyFontFormats="0" applyPatternFormats="0" applyAlignmentFormats="0" applyWidthHeightFormats="0">
  <queryTableRefresh nextId="7">
    <queryTableFields count="6">
      <queryTableField id="1" name="Номер п/п" tableColumnId="1"/>
      <queryTableField id="2" name="Наименование статей" tableColumnId="2"/>
      <queryTableField id="3" name="Символы" tableColumnId="3"/>
      <queryTableField id="4" name="Рубли" tableColumnId="4"/>
      <queryTableField id="5" name="Ин.валюта" tableColumnId="5"/>
      <queryTableField id="6" name="ВСЕГО" tableColumnId="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8" connectionId="53" xr16:uid="{3BF438F4-1BF5-4C57-B06C-EA19D89D14B7}" autoFormatId="16" applyNumberFormats="0" applyBorderFormats="0" applyFontFormats="0" applyPatternFormats="0" applyAlignmentFormats="0" applyWidthHeightFormats="0">
  <queryTableRefresh nextId="11">
    <queryTableFields count="10">
      <queryTableField id="1" name="Номер строки" tableColumnId="1"/>
      <queryTableField id="2" name="Наименование инструмента (показателя)" tableColumnId="2"/>
      <queryTableField id="3" name="2017" tableColumnId="3"/>
      <queryTableField id="4" name="2018" tableColumnId="4"/>
      <queryTableField id="5" name="2019" tableColumnId="5"/>
      <queryTableField id="6" name="2020" tableColumnId="6"/>
      <queryTableField id="7" name="2021" tableColumnId="7"/>
      <queryTableField id="8" name="2022" tableColumnId="8"/>
      <queryTableField id="9" name="2023" tableColumnId="9"/>
      <queryTableField id="10" name="2024" tableColumnId="10"/>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7" connectionId="49" xr16:uid="{51F4127E-F5D8-4D26-8D61-45442B3327AA}" autoFormatId="16" applyNumberFormats="0" applyBorderFormats="0" applyFontFormats="0" applyPatternFormats="0" applyAlignmentFormats="0" applyWidthHeightFormats="0">
  <queryTableRefresh nextId="5">
    <queryTableFields count="4">
      <queryTableField id="1" name="Номер строки" tableColumnId="1"/>
      <queryTableField id="2" name="Наименование инструмента (показателя)" tableColumnId="2"/>
      <queryTableField id="3" name="2015" tableColumnId="3"/>
      <queryTableField id="4" name="2016" tableColumnId="4"/>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8" connectionId="21" xr16:uid="{3B138085-11B5-4E6C-8788-270A960C3A93}" autoFormatId="16" applyNumberFormats="0" applyBorderFormats="0" applyFontFormats="0" applyPatternFormats="0" applyAlignmentFormats="0" applyWidthHeightFormats="0">
  <queryTableRefresh nextId="5">
    <queryTableFields count="4">
      <queryTableField id="1" name="Краткое наименование норматива" tableColumnId="1"/>
      <queryTableField id="2" name="2017" tableColumnId="2"/>
      <queryTableField id="3" name="2016" tableColumnId="3"/>
      <queryTableField id="4" name="2015" tableColumnId="4"/>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7" connectionId="28" xr16:uid="{6E6D492D-9936-493B-A56F-4A2CAE0876D1}" autoFormatId="16" applyNumberFormats="0" applyBorderFormats="0" applyFontFormats="0" applyPatternFormats="0" applyAlignmentFormats="0" applyWidthHeightFormats="0">
  <queryTableRefresh nextId="8">
    <queryTableFields count="7">
      <queryTableField id="1" name="Краткое наименование норматива" tableColumnId="1"/>
      <queryTableField id="2" name="2024" tableColumnId="2"/>
      <queryTableField id="3" name="2023" tableColumnId="3"/>
      <queryTableField id="4" name="2021" tableColumnId="4"/>
      <queryTableField id="5" name="2020" tableColumnId="5"/>
      <queryTableField id="6" name="2019" tableColumnId="6"/>
      <queryTableField id="7" name="2018" tableColumnId="7"/>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6" connectionId="17" xr16:uid="{FECCE457-D25A-4FCD-8919-F2A3FA1CB30D}" autoFormatId="16" applyNumberFormats="0" applyBorderFormats="0" applyFontFormats="0" applyPatternFormats="0" applyAlignmentFormats="0" applyWidthHeightFormats="0">
  <queryTableRefresh nextId="5">
    <queryTableFields count="3">
      <queryTableField id="1" name="Номер строки" tableColumnId="1"/>
      <queryTableField id="2" name="Наименование показателя" tableColumnId="2"/>
      <queryTableField id="4" name="2021" tableColumnId="4"/>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5" connectionId="16" xr16:uid="{16AFA641-6E5A-4442-B6CF-85FD29B85110}" autoFormatId="16" applyNumberFormats="0" applyBorderFormats="0" applyFontFormats="0" applyPatternFormats="0" applyAlignmentFormats="0" applyWidthHeightFormats="0">
  <queryTableRefresh nextId="4">
    <queryTableFields count="3">
      <queryTableField id="1" name="Номер строки" tableColumnId="1"/>
      <queryTableField id="2" name="Наименование показателя" tableColumnId="2"/>
      <queryTableField id="3" name="2020" tableColumnId="3"/>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4" connectionId="15" xr16:uid="{0C1234F6-A142-42D5-BCCE-32A1CD99CEB0}" autoFormatId="16" applyNumberFormats="0" applyBorderFormats="0" applyFontFormats="0" applyPatternFormats="0" applyAlignmentFormats="0" applyWidthHeightFormats="0">
  <queryTableRefresh nextId="4">
    <queryTableFields count="3">
      <queryTableField id="1" name="Номер строки" tableColumnId="1"/>
      <queryTableField id="2" name="Наименование показателя" tableColumnId="2"/>
      <queryTableField id="3" name="2019" tableColumnId="3"/>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3" connectionId="14" xr16:uid="{AA56353F-DCB7-4D58-9B64-411500BE574F}" autoFormatId="16" applyNumberFormats="0" applyBorderFormats="0" applyFontFormats="0" applyPatternFormats="0" applyAlignmentFormats="0" applyWidthHeightFormats="0">
  <queryTableRefresh nextId="5">
    <queryTableFields count="3">
      <queryTableField id="1" name="Номер строки" tableColumnId="1"/>
      <queryTableField id="2" name="Наименование показателя" tableColumnId="2"/>
      <queryTableField id="4" name="2018" tableColumnId="4"/>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2" connectionId="13" xr16:uid="{2A4A3512-3CD4-48C8-A70C-BAC12F6825D0}" autoFormatId="16" applyNumberFormats="0" applyBorderFormats="0" applyFontFormats="0" applyPatternFormats="0" applyAlignmentFormats="0" applyWidthHeightFormats="0">
  <queryTableRefresh nextId="4">
    <queryTableFields count="3">
      <queryTableField id="1" name="Номер строки" tableColumnId="1"/>
      <queryTableField id="2" name="Наименование показателя" tableColumnId="2"/>
      <queryTableField id="3" name="2017" tableColumnId="3"/>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connectionId="12" xr16:uid="{B4F16000-45E1-4FF8-837E-938C93F6FA7F}" autoFormatId="16" applyNumberFormats="0" applyBorderFormats="0" applyFontFormats="0" applyPatternFormats="0" applyAlignmentFormats="0" applyWidthHeightFormats="0">
  <queryTableRefresh nextId="4">
    <queryTableFields count="3">
      <queryTableField id="1" name="Номер строки" tableColumnId="1"/>
      <queryTableField id="2" name="Наименование показателя" tableColumnId="2"/>
      <queryTableField id="3" name="2016" tableColumnId="3"/>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2" connectionId="11" xr16:uid="{22B94C7D-2D9F-42F9-A1B8-30D44D01A665}" autoFormatId="16" applyNumberFormats="0" applyBorderFormats="0" applyFontFormats="0" applyPatternFormats="0" applyAlignmentFormats="0" applyWidthHeightFormats="0">
  <queryTableRefresh nextId="4">
    <queryTableFields count="3">
      <queryTableField id="1" name="Номер строки" tableColumnId="1"/>
      <queryTableField id="2" name="Наименование показателя" tableColumnId="2"/>
      <queryTableField id="3" name="2015" tableColumnId="3"/>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3" connectionId="42" xr16:uid="{CF6224BB-2357-483F-A6B4-9967D052DDC5}" autoFormatId="16" applyNumberFormats="0" applyBorderFormats="0" applyFontFormats="0" applyPatternFormats="0" applyAlignmentFormats="0" applyWidthHeightFormats="0">
  <queryTableRefresh nextId="9">
    <queryTableFields count="8">
      <queryTableField id="1" name="Номер строки" tableColumnId="1"/>
      <queryTableField id="2" name="Наименование статьи" tableColumnId="2"/>
      <queryTableField id="3" name="2015" tableColumnId="3"/>
      <queryTableField id="4" name="2016" tableColumnId="4"/>
      <queryTableField id="5" name="2017" tableColumnId="5"/>
      <queryTableField id="6" name="2018" tableColumnId="6"/>
      <queryTableField id="7" name="2019" tableColumnId="7"/>
      <queryTableField id="8" name="2020" tableColumnId="8"/>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2" connectionId="47" xr16:uid="{E068ACE0-A39C-410B-AE73-265BDC4E7211}" autoFormatId="16" applyNumberFormats="0" applyBorderFormats="0" applyFontFormats="0" applyPatternFormats="0" applyAlignmentFormats="0" applyWidthHeightFormats="0">
  <queryTableRefresh nextId="7">
    <queryTableFields count="6">
      <queryTableField id="1" name="Номер строки" tableColumnId="1"/>
      <queryTableField id="2" name="Наименование статьи" tableColumnId="2"/>
      <queryTableField id="3" name="2021" tableColumnId="3"/>
      <queryTableField id="4" name="2022" tableColumnId="4"/>
      <queryTableField id="5" name="2023" tableColumnId="5"/>
      <queryTableField id="6" name="2024" tableColumnId="6"/>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2" connectionId="31" xr16:uid="{9E508E53-33A9-4AE7-97C9-BE42F3D1C00E}" autoFormatId="16" applyNumberFormats="0" applyBorderFormats="0" applyFontFormats="0" applyPatternFormats="0" applyAlignmentFormats="0" applyWidthHeightFormats="0">
  <queryTableRefresh nextId="10">
    <queryTableFields count="6">
      <queryTableField id="1" name="Номер строки" tableColumnId="1"/>
      <queryTableField id="2" name="Наименование статьи" tableColumnId="2"/>
      <queryTableField id="6" name="2015" tableColumnId="6"/>
      <queryTableField id="5" name="2016" tableColumnId="5"/>
      <queryTableField id="4" name="2017" tableColumnId="4"/>
      <queryTableField id="3" name="2018" tableColumnId="3"/>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1" connectionId="34" xr16:uid="{7C85A09D-12F7-4D4A-AB58-6375FF14F84E}" autoFormatId="16" applyNumberFormats="0" applyBorderFormats="0" applyFontFormats="0" applyPatternFormats="0" applyAlignmentFormats="0" applyWidthHeightFormats="0">
  <queryTableRefresh nextId="16">
    <queryTableFields count="7">
      <queryTableField id="1" name="Номер строки" tableColumnId="1"/>
      <queryTableField id="2" name="Наименование статьи" tableColumnId="2"/>
      <queryTableField id="10" name="2019" tableColumnId="8"/>
      <queryTableField id="11" name="2020" tableColumnId="9"/>
      <queryTableField id="7" name="2021" tableColumnId="7"/>
      <queryTableField id="6" name="2022" tableColumnId="6"/>
      <queryTableField id="5" name="2023" tableColumnId="5"/>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2" connectionId="35" xr16:uid="{0FF7C598-1A8B-404D-87BA-6FB60CFB73FB}" autoFormatId="16" applyNumberFormats="0" applyBorderFormats="0" applyFontFormats="0" applyPatternFormats="0" applyAlignmentFormats="0" applyWidthHeightFormats="0">
  <queryTableRefresh nextId="5">
    <queryTableFields count="4">
      <queryTableField id="1" name="Номер строки" tableColumnId="1"/>
      <queryTableField id="2" name="Наименование статьи" tableColumnId="2"/>
      <queryTableField id="3" name="2024" tableColumnId="3"/>
      <queryTableField id="4" name="2023" tableColumnId="4"/>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alData_1" connectionId="58" xr16:uid="{922EFABB-A333-4101-AAD6-4DB1FB4B14F6}" autoFormatId="16" applyNumberFormats="0" applyBorderFormats="0" applyFontFormats="0" applyPatternFormats="0" applyAlignmentFormats="0" applyWidthHeightFormats="0">
  <queryTableRefresh nextId="9">
    <queryTableFields count="8">
      <queryTableField id="1" name="Номер строки" tableColumnId="1"/>
      <queryTableField id="2" name="Наименование статьи" tableColumnId="2"/>
      <queryTableField id="3" name="2015" tableColumnId="3"/>
      <queryTableField id="4" name="2016" tableColumnId="4"/>
      <queryTableField id="5" name="2017" tableColumnId="5"/>
      <queryTableField id="6" name="2018" tableColumnId="6"/>
      <queryTableField id="7" name="2019" tableColumnId="7"/>
      <queryTableField id="8" name="2020" tableColumnId="8"/>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2</v>
    <v>3</v>
  </rv>
  <rv s="1">
    <v>2</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2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FBFC26D-A508-4227-8B9B-B07BFAE52092}" name="Ф_102_2021_" displayName="Ф_102_2021_" ref="A1:F2419" tableType="queryTable" totalsRowShown="0">
  <autoFilter ref="A1:F2419" xr:uid="{EFBFC26D-A508-4227-8B9B-B07BFAE52092}"/>
  <tableColumns count="6">
    <tableColumn id="1" xr3:uid="{A474FDBC-C25D-4301-BDB9-31F259CAD56D}" uniqueName="1" name="Номер п/п" queryTableFieldId="1" dataDxfId="66"/>
    <tableColumn id="2" xr3:uid="{B576F53A-B60A-45E8-ACB7-D17B359540A6}" uniqueName="2" name="Наименование статей" queryTableFieldId="2" dataDxfId="65"/>
    <tableColumn id="3" xr3:uid="{75632858-CE3C-466D-A89C-F8C662839244}" uniqueName="3" name="Символы" queryTableFieldId="3"/>
    <tableColumn id="4" xr3:uid="{73258C95-8225-42F5-B61C-9F750972B410}" uniqueName="4" name="Рубли" queryTableFieldId="4"/>
    <tableColumn id="5" xr3:uid="{B1AF9222-6EE6-4010-90FB-6F3D2E808FDF}" uniqueName="5" name="Ин.валюта" queryTableFieldId="5"/>
    <tableColumn id="6" xr3:uid="{6A79C083-8253-488E-9CA4-51A18929F69B}" uniqueName="6" name="ВСЕГО"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33F5F90-00B6-446A-BF0F-C63D0E7A46E7}" name="Ф_102_2020_" displayName="Ф_102_2020_" ref="A1:F2420" tableType="queryTable" totalsRowShown="0">
  <autoFilter ref="A1:F2420" xr:uid="{833F5F90-00B6-446A-BF0F-C63D0E7A46E7}"/>
  <tableColumns count="6">
    <tableColumn id="1" xr3:uid="{21733D6D-D370-49BB-A54B-7B399F03B5A1}" uniqueName="1" name="Номер п/п" queryTableFieldId="1" dataDxfId="64"/>
    <tableColumn id="2" xr3:uid="{9BEED122-FDC2-4674-ACAF-8B99521C6EFE}" uniqueName="2" name="Наименование статей" queryTableFieldId="2" dataDxfId="63"/>
    <tableColumn id="3" xr3:uid="{A32D79CE-0337-484C-9A31-D725B39A60CE}" uniqueName="3" name="Символы" queryTableFieldId="3"/>
    <tableColumn id="4" xr3:uid="{B2A10756-E4D6-41CF-8C85-DE84E282A714}" uniqueName="4" name="Рубли" queryTableFieldId="4"/>
    <tableColumn id="5" xr3:uid="{4C9D24CA-3B0B-48E3-8745-1B9A6B7702A8}" uniqueName="5" name="Ин.валюта" queryTableFieldId="5"/>
    <tableColumn id="6" xr3:uid="{55635CFC-FFDF-430D-9E54-0953C3FADF6B}" uniqueName="6" name="ВСЕГО"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DCB7BD5-1BA5-4515-B1E4-DD63F7D6D043}" name="Ф_102_2019_" displayName="Ф_102_2019_" ref="A1:F2416" tableType="queryTable" totalsRowShown="0">
  <autoFilter ref="A1:F2416" xr:uid="{8DCB7BD5-1BA5-4515-B1E4-DD63F7D6D043}"/>
  <tableColumns count="6">
    <tableColumn id="1" xr3:uid="{07CE7D5A-1C61-4263-89B2-6824033A47D9}" uniqueName="1" name="Номер п/п" queryTableFieldId="1" dataDxfId="62"/>
    <tableColumn id="2" xr3:uid="{DF0A5D9E-9035-4763-AD62-54B5A468750D}" uniqueName="2" name="Наименование статей" queryTableFieldId="2" dataDxfId="61"/>
    <tableColumn id="3" xr3:uid="{EF140C93-4534-47B3-B3C8-C4A7A413BFB1}" uniqueName="3" name="Символы" queryTableFieldId="3"/>
    <tableColumn id="4" xr3:uid="{5DEAC7EF-20D4-4669-AC22-D2060B20B57D}" uniqueName="4" name="Рубли" queryTableFieldId="4"/>
    <tableColumn id="5" xr3:uid="{95CDE9A4-5026-4B7B-AC96-BC37383D978D}" uniqueName="5" name="Ин.валюта" queryTableFieldId="5"/>
    <tableColumn id="6" xr3:uid="{98058BA0-1B37-4DEC-89D0-D20E117D4135}" uniqueName="6" name="ВСЕГО" queryTableField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ED9ABAC-E509-4C4C-87B7-AEDF191ED8F9}" name="Ф_102_2018_" displayName="Ф_102_2018_" ref="A1:F2018" tableType="queryTable" totalsRowShown="0">
  <autoFilter ref="A1:F2018" xr:uid="{CED9ABAC-E509-4C4C-87B7-AEDF191ED8F9}"/>
  <tableColumns count="6">
    <tableColumn id="1" xr3:uid="{E24E7F25-0C8D-4AFC-A203-B73C7E0AC347}" uniqueName="1" name="Номер п/п" queryTableFieldId="1" dataDxfId="60"/>
    <tableColumn id="2" xr3:uid="{2120350D-1AF9-4B17-80F0-EB6DE4B5E89D}" uniqueName="2" name="Наименование статей" queryTableFieldId="2" dataDxfId="59"/>
    <tableColumn id="3" xr3:uid="{811CC71E-EEC0-4E8C-8E78-A64192E3B60E}" uniqueName="3" name="Символы" queryTableFieldId="3"/>
    <tableColumn id="4" xr3:uid="{C0E196A5-7A95-45C4-941C-3434120EED20}" uniqueName="4" name="Рубли" queryTableFieldId="4"/>
    <tableColumn id="5" xr3:uid="{DDDB3DC7-4180-406B-99DA-B6B884BC194A}" uniqueName="5" name="Ин.валюта" queryTableFieldId="5"/>
    <tableColumn id="6" xr3:uid="{DC500F03-CADD-4D5A-8511-0401D73FD940}" uniqueName="6" name="ВСЕГО" queryTableField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6A6216-9B19-4720-91CA-7A55DDC42E1F}" name="Ф_102_2017_" displayName="Ф_102_2017_" ref="A1:F2018" tableType="queryTable" totalsRowShown="0">
  <autoFilter ref="A1:F2018" xr:uid="{DD6A6216-9B19-4720-91CA-7A55DDC42E1F}"/>
  <tableColumns count="6">
    <tableColumn id="1" xr3:uid="{348EED4C-E368-4A83-9D65-7C0E7686EC85}" uniqueName="1" name="Номер п/п" queryTableFieldId="1" dataDxfId="58"/>
    <tableColumn id="2" xr3:uid="{4310A34B-263C-4F73-9401-90F1BBBAAA89}" uniqueName="2" name="Наименование статей" queryTableFieldId="2" dataDxfId="57"/>
    <tableColumn id="3" xr3:uid="{1C98A74C-6C01-48C6-92C2-8DA8854D8A49}" uniqueName="3" name="Символы" queryTableFieldId="3"/>
    <tableColumn id="4" xr3:uid="{472B9202-577D-4E73-914D-65055ECB8EA3}" uniqueName="4" name="Рубли" queryTableFieldId="4"/>
    <tableColumn id="5" xr3:uid="{0171B4DC-A654-472F-B391-8C39B8A1C531}" uniqueName="5" name="Ин.валюта" queryTableFieldId="5"/>
    <tableColumn id="6" xr3:uid="{32788E3F-7BAA-4FA7-B64E-F4EECD395AC9}" uniqueName="6" name="ВСЕГО" queryTableField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A1430F7-3D3C-4DA2-BA0C-011437E2B5B9}" name="Ф_102_2016" displayName="Ф_102_2016" ref="A1:F2018" tableType="queryTable" totalsRowShown="0">
  <autoFilter ref="A1:F2018" xr:uid="{5A1430F7-3D3C-4DA2-BA0C-011437E2B5B9}"/>
  <tableColumns count="6">
    <tableColumn id="1" xr3:uid="{4AEC2C9A-91C5-43E4-9B50-A83227CE7F69}" uniqueName="1" name="Номер п/п" queryTableFieldId="1" dataDxfId="56"/>
    <tableColumn id="2" xr3:uid="{74CEE827-10A6-4F30-B8DB-01B1F016C882}" uniqueName="2" name="Наименование статей" queryTableFieldId="2" dataDxfId="55"/>
    <tableColumn id="3" xr3:uid="{E712530F-0F49-4979-97AF-D9F3AD671EBA}" uniqueName="3" name="Символы" queryTableFieldId="3"/>
    <tableColumn id="4" xr3:uid="{827ABCFC-3882-4DA9-8CE3-341E28D96A6B}" uniqueName="4" name="Рубли" queryTableFieldId="4"/>
    <tableColumn id="5" xr3:uid="{069B2DA2-E9F4-4998-905F-930FB0A20EA8}" uniqueName="5" name="Ин.валюта" queryTableFieldId="5"/>
    <tableColumn id="6" xr3:uid="{716E4E84-B2A0-4251-A29E-48B303AB4D93}" uniqueName="6" name="ВСЕГО" queryTableFieldId="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12AF785-4DCD-477F-B758-BF5C6D6FB85D}" name="Ф_808_2023_2017" displayName="Ф_808_2023_2017" ref="A1:J109" tableType="queryTable" totalsRowShown="0">
  <autoFilter ref="A1:J109" xr:uid="{712AF785-4DCD-477F-B758-BF5C6D6FB85D}"/>
  <tableColumns count="10">
    <tableColumn id="1" xr3:uid="{FBFDB3EE-0619-4DE7-9882-F1F6B17FD91C}" uniqueName="1" name="Номер строки" queryTableFieldId="1" dataDxfId="54"/>
    <tableColumn id="2" xr3:uid="{B4979E9C-F39B-49BB-9A03-E2841A986534}" uniqueName="2" name="Наименование инструмента (показателя)" queryTableFieldId="2" dataDxfId="53"/>
    <tableColumn id="3" xr3:uid="{EFC9F0C1-1B64-457A-8D66-CAA7504484B9}" uniqueName="3" name="2017" queryTableFieldId="3"/>
    <tableColumn id="4" xr3:uid="{F5C161C7-0A11-4A0B-A829-844AB37C504D}" uniqueName="4" name="2018" queryTableFieldId="4"/>
    <tableColumn id="5" xr3:uid="{884508FB-AE3C-4A5C-99CE-544E6A14E928}" uniqueName="5" name="2019" queryTableFieldId="5"/>
    <tableColumn id="6" xr3:uid="{2E711A77-A427-4B02-B0FB-7D01D2523103}" uniqueName="6" name="2020" queryTableFieldId="6"/>
    <tableColumn id="7" xr3:uid="{BF55871F-3282-4401-A789-B6C181E1C008}" uniqueName="7" name="2021" queryTableFieldId="7"/>
    <tableColumn id="8" xr3:uid="{4E983A1B-DA6F-42E5-BE9A-AA7778F024D5}" uniqueName="8" name="2022" queryTableFieldId="8"/>
    <tableColumn id="9" xr3:uid="{77DE8DC9-DFD5-4441-BDE8-E3C226AF54D2}" uniqueName="9" name="2023" queryTableFieldId="9"/>
    <tableColumn id="10" xr3:uid="{060DE880-F6D5-4E5C-AD10-CA70143A0E4C}" uniqueName="10" name="2024" queryTableFieldId="10"/>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621EDBD-9293-47EA-A196-03C652B6DDDF}" name="Ф_808_2016_2015" displayName="Ф_808_2016_2015" ref="A1:D119" tableType="queryTable" totalsRowShown="0">
  <autoFilter ref="A1:D119" xr:uid="{B621EDBD-9293-47EA-A196-03C652B6DDDF}"/>
  <tableColumns count="4">
    <tableColumn id="1" xr3:uid="{2A6D6F38-DF5A-40F6-9C0F-8A9D78228E47}" uniqueName="1" name="Номер строки" queryTableFieldId="1" dataDxfId="52"/>
    <tableColumn id="2" xr3:uid="{D011A684-D4EF-4363-9171-572134A70AD8}" uniqueName="2" name="Наименование инструмента (показателя)" queryTableFieldId="2" dataDxfId="51"/>
    <tableColumn id="3" xr3:uid="{5617A93B-A339-4019-9F56-D046A3D483F1}" uniqueName="3" name="2015" queryTableFieldId="3"/>
    <tableColumn id="4" xr3:uid="{6619FB00-9B1F-4E1B-AFCD-9B7B1E95E1FB}" uniqueName="4" name="2016" queryTableFieldId="4"/>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5364138-197E-4315-99C4-F85668907232}" name="Ф_135_2017_2015" displayName="Ф_135_2017_2015" ref="A1:D18" tableType="queryTable" totalsRowShown="0">
  <autoFilter ref="A1:D18" xr:uid="{B5364138-197E-4315-99C4-F85668907232}"/>
  <tableColumns count="4">
    <tableColumn id="1" xr3:uid="{79B8945D-0B22-4140-9586-8CC2205BC586}" uniqueName="1" name="Краткое наименование норматива" queryTableFieldId="1" dataDxfId="50"/>
    <tableColumn id="2" xr3:uid="{EA3EA904-0BEC-4C51-93D2-093978C280E5}" uniqueName="2" name="2017" queryTableFieldId="2"/>
    <tableColumn id="3" xr3:uid="{C4F4728F-7D7E-4FA7-8211-7BE123471160}" uniqueName="3" name="2016" queryTableFieldId="3"/>
    <tableColumn id="4" xr3:uid="{E48548F1-CD97-43E3-A56E-D464D5E4D5AB}" uniqueName="4" name="2015" queryTableFieldId="4"/>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CA0AB55-1BE7-4B98-BD38-521D9789AE67}" name="Ф_135_2024_2018" displayName="Ф_135_2024_2018" ref="A1:G18" tableType="queryTable" totalsRowShown="0">
  <autoFilter ref="A1:G18" xr:uid="{8CA0AB55-1BE7-4B98-BD38-521D9789AE67}"/>
  <tableColumns count="7">
    <tableColumn id="1" xr3:uid="{E0E5DE06-0038-4937-932A-AED27CE980A6}" uniqueName="1" name="Краткое наименование норматива" queryTableFieldId="1" dataDxfId="49"/>
    <tableColumn id="2" xr3:uid="{1DF139D5-7069-4A1C-9FC9-CE2972417AD9}" uniqueName="2" name="2024" queryTableFieldId="2"/>
    <tableColumn id="3" xr3:uid="{D1062E2F-28A9-49F9-B8D8-02EDD760E26A}" uniqueName="3" name="2023" queryTableFieldId="3"/>
    <tableColumn id="4" xr3:uid="{D90E6E4B-9A8B-461D-B376-F906B38B3124}" uniqueName="4" name="2021" queryTableFieldId="4"/>
    <tableColumn id="5" xr3:uid="{FD717132-D0FD-45F3-B384-0F2B52260ADC}" uniqueName="5" name="2020" queryTableFieldId="5"/>
    <tableColumn id="6" xr3:uid="{F0C12ABA-0E97-4DE9-AA48-81433D19392E}" uniqueName="6" name="2019" queryTableFieldId="6"/>
    <tableColumn id="7" xr3:uid="{02145A34-194F-4FF0-B870-9795689647A7}" uniqueName="7" name="2018" queryTableFieldId="7"/>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71AAE32-1FF8-496C-B3D9-86939C3320D3}" name="Ф_123_2021" displayName="Ф_123_2021" ref="A1:C195" tableType="queryTable" totalsRowShown="0">
  <autoFilter ref="A1:C195" xr:uid="{A71AAE32-1FF8-496C-B3D9-86939C3320D3}"/>
  <tableColumns count="3">
    <tableColumn id="1" xr3:uid="{BEDD0846-3C09-4B1B-85E5-CEF4DF56CC94}" uniqueName="1" name="Номер строки" queryTableFieldId="1" dataDxfId="48"/>
    <tableColumn id="2" xr3:uid="{33402E28-C0A4-4A4B-B837-EC1590B93EF7}" uniqueName="2" name="Наименование показателя" queryTableFieldId="2" dataDxfId="47"/>
    <tableColumn id="4" xr3:uid="{2E21CCA3-15F2-4D7F-9153-EF9C80E6F476}" uniqueName="4" name="2021" queryTableFieldId="4"/>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C79EDD4-375A-4FD3-B71A-96DCEC3F4043}" name="Ф_123_2020" displayName="Ф_123_2020" ref="A1:C164" tableType="queryTable" totalsRowShown="0">
  <autoFilter ref="A1:C164" xr:uid="{2C79EDD4-375A-4FD3-B71A-96DCEC3F4043}"/>
  <tableColumns count="3">
    <tableColumn id="1" xr3:uid="{13ADA941-985D-4BFE-86C9-157694F6C181}" uniqueName="1" name="Номер строки" queryTableFieldId="1" dataDxfId="46"/>
    <tableColumn id="2" xr3:uid="{A8E93C48-ECC2-4FB5-8360-33CF1376782F}" uniqueName="2" name="Наименование показателя" queryTableFieldId="2" dataDxfId="45"/>
    <tableColumn id="3" xr3:uid="{0DD741CB-570F-4839-ABED-148784C2B8BF}" uniqueName="3" name="2020" queryTableFieldId="3"/>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D58C92F-0AC0-42ED-8883-A31B483AD0C0}" name="Ф_123_2019" displayName="Ф_123_2019" ref="A1:C164" tableType="queryTable" totalsRowShown="0">
  <autoFilter ref="A1:C164" xr:uid="{4D58C92F-0AC0-42ED-8883-A31B483AD0C0}"/>
  <tableColumns count="3">
    <tableColumn id="1" xr3:uid="{13BB9253-09D4-4BA2-9F8B-243522CC9DFF}" uniqueName="1" name="Номер строки" queryTableFieldId="1" dataDxfId="44"/>
    <tableColumn id="2" xr3:uid="{39508C3E-276F-4C58-8A9D-57ED038419B7}" uniqueName="2" name="Наименование показателя" queryTableFieldId="2" dataDxfId="43"/>
    <tableColumn id="3" xr3:uid="{8808F9FA-D0D8-4DE5-AE0A-E3B5BEC323DD}" uniqueName="3" name="2019" queryTableFieldId="3"/>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7D87201-7DA7-4B73-80CD-F109154278D9}" name="Ф_123_2018" displayName="Ф_123_2018" ref="A1:C174" tableType="queryTable" totalsRowShown="0">
  <autoFilter ref="A1:C174" xr:uid="{77D87201-7DA7-4B73-80CD-F109154278D9}"/>
  <tableColumns count="3">
    <tableColumn id="1" xr3:uid="{DCCC6CB3-6E90-46F4-89C5-5AF3C51B054B}" uniqueName="1" name="Номер строки" queryTableFieldId="1" dataDxfId="42"/>
    <tableColumn id="2" xr3:uid="{0862152D-FFF3-4840-8B30-8751CE596E24}" uniqueName="2" name="Наименование показателя" queryTableFieldId="2" dataDxfId="41"/>
    <tableColumn id="4" xr3:uid="{6F719B5C-90B6-4454-BA6F-A99A37523F2A}" uniqueName="4" name="2018" queryTableFieldId="4"/>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E75145-672E-48ED-A307-BE0BA1E6C9FE}" name="Ф_123_2017" displayName="Ф_123_2017" ref="A1:C174" tableType="queryTable" totalsRowShown="0">
  <autoFilter ref="A1:C174" xr:uid="{B8E75145-672E-48ED-A307-BE0BA1E6C9FE}"/>
  <tableColumns count="3">
    <tableColumn id="1" xr3:uid="{DE29E05F-AA3A-4DB9-94B6-C0EDEC3EABB6}" uniqueName="1" name="Номер строки" queryTableFieldId="1" dataDxfId="40"/>
    <tableColumn id="2" xr3:uid="{1CDEDCA2-29B7-44A5-986A-619A374C8FF1}" uniqueName="2" name="Наименование показателя" queryTableFieldId="2" dataDxfId="39"/>
    <tableColumn id="3" xr3:uid="{29C5395B-E75A-4F2F-BECC-2321EE227AA0}" uniqueName="3" name="2017" queryTableFieldId="3"/>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C3C315-A7B5-4572-829A-5D3E45AB72B0}" name="Ф_123_2016" displayName="Ф_123_2016" ref="A1:C174" tableType="queryTable" totalsRowShown="0">
  <autoFilter ref="A1:C174" xr:uid="{38C3C315-A7B5-4572-829A-5D3E45AB72B0}"/>
  <tableColumns count="3">
    <tableColumn id="1" xr3:uid="{E35E7AC5-BA90-489C-B78B-F42BE0C41C12}" uniqueName="1" name="Номер строки" queryTableFieldId="1" dataDxfId="38"/>
    <tableColumn id="2" xr3:uid="{95CE986F-C7EC-4402-84FD-B4950BBD1860}" uniqueName="2" name="Наименование показателя" queryTableFieldId="2" dataDxfId="37"/>
    <tableColumn id="3" xr3:uid="{8A5CF583-396B-4A3A-ADAA-BEBABFEA7EF2}" uniqueName="3" name="2016" queryTableFieldId="3"/>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56B4E0D-CF99-4112-8BEA-0D2D5BCD4AEA}" name="Ф_123_2015" displayName="Ф_123_2015" ref="A1:C179" tableType="queryTable" totalsRowShown="0">
  <autoFilter ref="A1:C179" xr:uid="{C56B4E0D-CF99-4112-8BEA-0D2D5BCD4AEA}"/>
  <tableColumns count="3">
    <tableColumn id="1" xr3:uid="{79BF231E-D873-4F3F-9A9B-907D75821B46}" uniqueName="1" name="Номер строки" queryTableFieldId="1" dataDxfId="36"/>
    <tableColumn id="2" xr3:uid="{00DAB5A9-E7D0-4A2B-B1EF-095EDD9461D1}" uniqueName="2" name="Наименование показателя" queryTableFieldId="2" dataDxfId="35"/>
    <tableColumn id="3" xr3:uid="{C61D25AA-DC34-4F7C-8B24-7320619002A9}" uniqueName="3" name="2015" queryTableFieldId="3"/>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11218A6-64B7-4D11-B6B3-BF76D2BEE8CD}" name="Ф_807_2020_2015" displayName="Ф_807_2020_2015" ref="A1:H39" tableType="queryTable" totalsRowShown="0">
  <autoFilter ref="A1:H39" xr:uid="{B11218A6-64B7-4D11-B6B3-BF76D2BEE8CD}"/>
  <tableColumns count="8">
    <tableColumn id="1" xr3:uid="{643E3EA0-1DE7-4EFD-9FCE-E69629E85369}" uniqueName="1" name="Номер строки" queryTableFieldId="1" dataDxfId="34"/>
    <tableColumn id="2" xr3:uid="{43C3E4A5-34AC-4303-83AF-8F072009B114}" uniqueName="2" name="Наименование статьи" queryTableFieldId="2" dataDxfId="33"/>
    <tableColumn id="3" xr3:uid="{07075C91-18C2-4B10-A353-85F581B93A9A}" uniqueName="3" name="2015" queryTableFieldId="3"/>
    <tableColumn id="4" xr3:uid="{0D259577-53F6-45E5-B71E-834CBD1DF1FD}" uniqueName="4" name="2016" queryTableFieldId="4"/>
    <tableColumn id="5" xr3:uid="{F71B4DA2-45EE-48FC-B46B-17F3C76ABFEF}" uniqueName="5" name="2017" queryTableFieldId="5"/>
    <tableColumn id="6" xr3:uid="{42C4E744-DA24-41CA-A0D3-2E4E19340A0E}" uniqueName="6" name="2018" queryTableFieldId="6"/>
    <tableColumn id="7" xr3:uid="{A0B99F33-DD02-444F-A0DB-D69BDA79C327}" uniqueName="7" name="2019" queryTableFieldId="7"/>
    <tableColumn id="8" xr3:uid="{64FB36A3-657F-4976-B23A-F9AE0F20C27A}" uniqueName="8" name="2020" queryTableFieldId="8"/>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9E80F3B-6482-4538-985D-596CC0F0A182}" name="Ф_807_2023_2021" displayName="Ф_807_2023_2021" ref="A1:F34" tableType="queryTable" totalsRowShown="0">
  <autoFilter ref="A1:F34" xr:uid="{29E80F3B-6482-4538-985D-596CC0F0A182}"/>
  <tableColumns count="6">
    <tableColumn id="1" xr3:uid="{A2029BA3-FEC6-4B32-B7CB-E21279E51027}" uniqueName="1" name="Номер строки" queryTableFieldId="1" dataDxfId="32"/>
    <tableColumn id="2" xr3:uid="{555233B6-2C65-43BE-AFE4-7D4D7D399B2A}" uniqueName="2" name="Наименование статьи" queryTableFieldId="2" dataDxfId="31"/>
    <tableColumn id="3" xr3:uid="{D80F8C08-150A-4DFB-873D-2FB8C87A2219}" uniqueName="3" name="2021" queryTableFieldId="3"/>
    <tableColumn id="4" xr3:uid="{AEAE3942-CDD1-4249-90E0-9A155BDA018D}" uniqueName="4" name="2022" queryTableFieldId="4"/>
    <tableColumn id="5" xr3:uid="{B20324CB-CFE3-4789-B924-D4F0BE06CF1C}" uniqueName="5" name="2023" queryTableFieldId="5"/>
    <tableColumn id="6" xr3:uid="{1D1BF3FB-B59E-4067-B633-C31752718BE7}" uniqueName="6" name="2024" queryTableFieldId="6"/>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CD9FCC-4F6B-4B86-9D1F-B8849B063006}" name="Ф_806_2018_2015" displayName="Ф_806_2018_2015" ref="A1:F46" tableType="queryTable" totalsRowShown="0">
  <autoFilter ref="A1:F46" xr:uid="{7ECD9FCC-4F6B-4B86-9D1F-B8849B063006}"/>
  <tableColumns count="6">
    <tableColumn id="1" xr3:uid="{A41D079D-289C-4200-A938-97465012F239}" uniqueName="1" name="Номер строки" queryTableFieldId="1" dataDxfId="30"/>
    <tableColumn id="2" xr3:uid="{0AF5D738-0F22-4548-AB75-6819699F098E}" uniqueName="2" name="Наименование статьи" queryTableFieldId="2" dataDxfId="29"/>
    <tableColumn id="6" xr3:uid="{9A23F438-7135-426B-9984-6ABD941F85F5}" uniqueName="6" name="2015" queryTableFieldId="6" dataDxfId="28"/>
    <tableColumn id="5" xr3:uid="{42501372-655D-49AF-A823-C7B21942F58C}" uniqueName="5" name="2016" queryTableFieldId="5" dataDxfId="27"/>
    <tableColumn id="4" xr3:uid="{04E3DDBE-F641-4765-AEF8-F5C29DFD4CF5}" uniqueName="4" name="2017" queryTableFieldId="4" dataDxfId="26"/>
    <tableColumn id="3" xr3:uid="{4C7883D3-506F-4822-A5DD-3B1A0DEE2ECE}" uniqueName="3" name="2018" queryTableFieldId="3" dataDxfId="25"/>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56F4DC-2078-4EC6-A684-4BEC8B9BC4EE}" name="Ф_806_2023_2019" displayName="Ф_806_2023_2019" ref="A1:G53" tableType="queryTable" totalsRowShown="0">
  <autoFilter ref="A1:G53" xr:uid="{4856F4DC-2078-4EC6-A684-4BEC8B9BC4EE}"/>
  <tableColumns count="7">
    <tableColumn id="1" xr3:uid="{5D9BFFFD-5D4A-47D7-A2EB-239606368BDC}" uniqueName="1" name="Номер строки" queryTableFieldId="1" dataDxfId="24"/>
    <tableColumn id="2" xr3:uid="{B172415B-C7E6-4BAA-A2B4-10180F71C830}" uniqueName="2" name="Наименование статьи" queryTableFieldId="2" dataDxfId="23"/>
    <tableColumn id="8" xr3:uid="{0C9DE4E5-9F5B-4F87-8261-E12DE3A8A405}" uniqueName="8" name="2019" queryTableFieldId="10" dataDxfId="22"/>
    <tableColumn id="9" xr3:uid="{BF34BB93-00C4-46F0-AB9B-1D15BDC8C966}" uniqueName="9" name="2020" queryTableFieldId="11" dataDxfId="21"/>
    <tableColumn id="7" xr3:uid="{B93BA5EE-2962-48D0-A8EE-989736B8A2E9}" uniqueName="7" name="2021" queryTableFieldId="7" dataDxfId="20"/>
    <tableColumn id="6" xr3:uid="{340BE9F8-E141-4A2C-9AE9-B7820378F69F}" uniqueName="6" name="2022" queryTableFieldId="6" dataDxfId="19"/>
    <tableColumn id="5" xr3:uid="{FE3211DC-9DFD-4F1C-95E8-3D9BC0352F5D}" uniqueName="5" name="2023" queryTableFieldId="5" dataDxfId="18"/>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B373BD9-B9F0-415F-9A73-6CB54C645A4E}" name="Ф_806_2024" displayName="Ф_806_2024" ref="A1:D55" tableType="queryTable" totalsRowShown="0">
  <autoFilter ref="A1:D55" xr:uid="{CB373BD9-B9F0-415F-9A73-6CB54C645A4E}"/>
  <tableColumns count="4">
    <tableColumn id="1" xr3:uid="{D0A09399-7C5E-4D62-852F-7A41BBE54B02}" uniqueName="1" name="Номер строки" queryTableFieldId="1" dataDxfId="17"/>
    <tableColumn id="2" xr3:uid="{580B7A0F-B069-47AF-96B9-6213B9775E13}" uniqueName="2" name="Наименование статьи" queryTableFieldId="2" dataDxfId="16"/>
    <tableColumn id="3" xr3:uid="{68E951F6-13EA-4EC1-99CA-1AF50DF73C72}" uniqueName="3" name="2024" queryTableFieldId="3"/>
    <tableColumn id="4" xr3:uid="{F88348CB-95BA-46C3-B085-0EC77FABBF1E}" uniqueName="4" name="2023" queryTableFieldId="4"/>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838D491-BB78-43DB-892B-5C7CC7387CB8}" name="Ф_814_2020_2015" displayName="Ф_814_2020_2015" ref="A1:H44" tableType="queryTable" totalsRowShown="0">
  <autoFilter ref="A1:H44" xr:uid="{6838D491-BB78-43DB-892B-5C7CC7387CB8}"/>
  <tableColumns count="8">
    <tableColumn id="1" xr3:uid="{0BFAC2F8-C195-4917-9A4A-C24817FAEF95}" uniqueName="1" name="Номер строки" queryTableFieldId="1" dataDxfId="15"/>
    <tableColumn id="2" xr3:uid="{BF4849DD-E437-4383-9797-AB211CD5F2AB}" uniqueName="2" name="Наименование статьи" queryTableFieldId="2" dataDxfId="14"/>
    <tableColumn id="3" xr3:uid="{DB1BA4C7-0151-45B6-A113-89AC36A84C6F}" uniqueName="3" name="2015" queryTableFieldId="3"/>
    <tableColumn id="4" xr3:uid="{0D520096-8E35-4751-9C3B-20CC62BB12BA}" uniqueName="4" name="2016" queryTableFieldId="4"/>
    <tableColumn id="5" xr3:uid="{C85E1073-ED19-48D2-A7C5-7E42147218C3}" uniqueName="5" name="2017" queryTableFieldId="5"/>
    <tableColumn id="6" xr3:uid="{D978DFA8-4ABC-474B-91E8-5FCD78B55929}" uniqueName="6" name="2018" queryTableFieldId="6"/>
    <tableColumn id="7" xr3:uid="{4AEE6ADC-1F85-4141-803A-B173CCD3F7D2}" uniqueName="7" name="2019" queryTableFieldId="7"/>
    <tableColumn id="8" xr3:uid="{75FD73CE-0C8F-44A2-A2EA-01AA14F124D1}" uniqueName="8" name="2020" queryTableFieldId="8"/>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ivo.garant.ru/document?id=70732382&amp;sub=28303"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fred.stlouisfed.org/release/tables?rid=482"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28.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hyperlink" Target="https://analizbankov.ru/index.php" TargetMode="External"/><Relationship Id="rId7" Type="http://schemas.openxmlformats.org/officeDocument/2006/relationships/printerSettings" Target="../printerSettings/printerSettings4.bin"/><Relationship Id="rId2" Type="http://schemas.openxmlformats.org/officeDocument/2006/relationships/hyperlink" Target="https://analizbankov.ru/index.php" TargetMode="External"/><Relationship Id="rId1" Type="http://schemas.openxmlformats.org/officeDocument/2006/relationships/hyperlink" Target="https://analizbankov.ru/index.php" TargetMode="External"/><Relationship Id="rId6" Type="http://schemas.openxmlformats.org/officeDocument/2006/relationships/hyperlink" Target="https://analizbankov.ru/index.php" TargetMode="External"/><Relationship Id="rId5" Type="http://schemas.openxmlformats.org/officeDocument/2006/relationships/hyperlink" Target="https://analizbankov.ru/index.php" TargetMode="External"/><Relationship Id="rId10" Type="http://schemas.openxmlformats.org/officeDocument/2006/relationships/comments" Target="../comments3.xml"/><Relationship Id="rId4" Type="http://schemas.openxmlformats.org/officeDocument/2006/relationships/hyperlink" Target="https://analizbankov.ru/index.php" TargetMode="External"/><Relationship Id="rId9" Type="http://schemas.openxmlformats.org/officeDocument/2006/relationships/vmlDrawing" Target="../drawings/vmlDrawing3.v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comments" Target="../comments7.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8.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comments" Target="../comments9.xml"/></Relationships>
</file>

<file path=xl/worksheets/_rels/sheet3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1.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www.cbr.ru/statistics/print.aspx?file=bank_system/4-1-3_010714.htm&amp;pid=pdko_sub&amp;sid=opdkovo" TargetMode="Externa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4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5.xml"/><Relationship Id="rId1" Type="http://schemas.openxmlformats.org/officeDocument/2006/relationships/printerSettings" Target="../printerSettings/printerSettings16.bin"/><Relationship Id="rId5" Type="http://schemas.openxmlformats.org/officeDocument/2006/relationships/image" Target="../media/image25.w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63"/>
  <sheetViews>
    <sheetView topLeftCell="A34" workbookViewId="0">
      <selection activeCell="E35" sqref="E35"/>
    </sheetView>
  </sheetViews>
  <sheetFormatPr defaultRowHeight="15" x14ac:dyDescent="0.25"/>
  <cols>
    <col min="1" max="1" width="20.7109375" style="1120" customWidth="1"/>
    <col min="2" max="2" width="32.85546875" customWidth="1"/>
    <col min="3" max="3" width="53" customWidth="1"/>
    <col min="4" max="4" width="23.85546875" customWidth="1"/>
  </cols>
  <sheetData>
    <row r="2" spans="1:3" x14ac:dyDescent="0.25">
      <c r="A2" s="1852" t="s">
        <v>1317</v>
      </c>
    </row>
    <row r="4" spans="1:3" ht="15.75" thickBot="1" x14ac:dyDescent="0.3"/>
    <row r="5" spans="1:3" ht="33.75" customHeight="1" x14ac:dyDescent="0.25">
      <c r="A5" s="1118" t="s">
        <v>1304</v>
      </c>
      <c r="B5" s="2188" t="s">
        <v>1306</v>
      </c>
      <c r="C5" s="2188" t="s">
        <v>1307</v>
      </c>
    </row>
    <row r="6" spans="1:3" ht="16.5" thickBot="1" x14ac:dyDescent="0.3">
      <c r="A6" s="1119" t="s">
        <v>1305</v>
      </c>
      <c r="B6" s="2189"/>
      <c r="C6" s="2189"/>
    </row>
    <row r="7" spans="1:3" ht="16.5" customHeight="1" x14ac:dyDescent="0.25">
      <c r="A7" s="1118">
        <v>1</v>
      </c>
      <c r="B7" s="1106">
        <v>2</v>
      </c>
      <c r="C7" s="1114">
        <v>3</v>
      </c>
    </row>
    <row r="8" spans="1:3" ht="15.75" thickBot="1" x14ac:dyDescent="0.3">
      <c r="A8" s="2190" t="s">
        <v>1308</v>
      </c>
      <c r="B8" s="2190"/>
      <c r="C8" s="2190"/>
    </row>
    <row r="9" spans="1:3" ht="48" thickBot="1" x14ac:dyDescent="0.3">
      <c r="A9" s="1120">
        <v>1</v>
      </c>
      <c r="B9" s="1107" t="s">
        <v>1309</v>
      </c>
      <c r="C9" s="1108"/>
    </row>
    <row r="10" spans="1:3" ht="142.5" thickBot="1" x14ac:dyDescent="0.3">
      <c r="A10" s="1120">
        <v>44197</v>
      </c>
      <c r="B10" s="1109" t="s">
        <v>1310</v>
      </c>
      <c r="C10" s="1110" t="s">
        <v>1311</v>
      </c>
    </row>
    <row r="11" spans="1:3" ht="189.75" thickBot="1" x14ac:dyDescent="0.3">
      <c r="A11" s="1120">
        <v>44228</v>
      </c>
      <c r="B11" s="1153" t="s">
        <v>1312</v>
      </c>
      <c r="C11" s="1154" t="s">
        <v>1313</v>
      </c>
    </row>
    <row r="12" spans="1:3" ht="32.25" thickBot="1" x14ac:dyDescent="0.3">
      <c r="A12" s="1120">
        <v>44256</v>
      </c>
      <c r="B12" s="1111" t="s">
        <v>1314</v>
      </c>
      <c r="C12" s="1113">
        <v>28303</v>
      </c>
    </row>
    <row r="13" spans="1:3" ht="32.25" thickBot="1" x14ac:dyDescent="0.3">
      <c r="A13" s="1120">
        <v>44287</v>
      </c>
      <c r="B13" s="1111" t="s">
        <v>1315</v>
      </c>
      <c r="C13" s="1112" t="s">
        <v>1316</v>
      </c>
    </row>
    <row r="14" spans="1:3" ht="31.5" x14ac:dyDescent="0.25">
      <c r="A14" s="2191">
        <v>2</v>
      </c>
      <c r="B14" s="1111" t="s">
        <v>1318</v>
      </c>
      <c r="C14" s="2192"/>
    </row>
    <row r="15" spans="1:3" ht="16.5" thickBot="1" x14ac:dyDescent="0.3">
      <c r="A15" s="2191"/>
      <c r="B15" s="1109" t="s">
        <v>1319</v>
      </c>
      <c r="C15" s="2193"/>
    </row>
    <row r="16" spans="1:3" ht="126.75" thickBot="1" x14ac:dyDescent="0.3">
      <c r="A16" s="1120">
        <v>44198</v>
      </c>
      <c r="B16" s="1107" t="s">
        <v>1320</v>
      </c>
      <c r="C16" s="1116" t="s">
        <v>1321</v>
      </c>
    </row>
    <row r="17" spans="1:3" ht="174" thickBot="1" x14ac:dyDescent="0.3">
      <c r="A17" s="1120">
        <v>44229</v>
      </c>
      <c r="B17" s="1109" t="s">
        <v>1322</v>
      </c>
      <c r="C17" s="1110" t="s">
        <v>1323</v>
      </c>
    </row>
    <row r="18" spans="1:3" ht="32.25" thickBot="1" x14ac:dyDescent="0.3">
      <c r="A18" s="1120">
        <v>44257</v>
      </c>
      <c r="B18" s="1111" t="s">
        <v>1324</v>
      </c>
      <c r="C18" s="1112" t="s">
        <v>1325</v>
      </c>
    </row>
    <row r="19" spans="1:3" ht="48" thickBot="1" x14ac:dyDescent="0.3">
      <c r="A19" s="1120">
        <v>3</v>
      </c>
      <c r="B19" s="1111" t="s">
        <v>1326</v>
      </c>
      <c r="C19" s="1115"/>
    </row>
    <row r="20" spans="1:3" ht="189.75" thickBot="1" x14ac:dyDescent="0.3">
      <c r="A20" s="1120">
        <v>4</v>
      </c>
      <c r="B20" s="1111" t="s">
        <v>1327</v>
      </c>
      <c r="C20" s="1112" t="s">
        <v>1328</v>
      </c>
    </row>
    <row r="21" spans="1:3" ht="95.25" thickBot="1" x14ac:dyDescent="0.3">
      <c r="A21" s="1120">
        <v>44200</v>
      </c>
      <c r="B21" s="1111" t="s">
        <v>1329</v>
      </c>
      <c r="C21" s="1112" t="s">
        <v>1330</v>
      </c>
    </row>
    <row r="22" spans="1:3" ht="79.5" thickBot="1" x14ac:dyDescent="0.3">
      <c r="A22" s="1120">
        <v>5</v>
      </c>
      <c r="B22" s="1111" t="s">
        <v>1331</v>
      </c>
      <c r="C22" s="1115"/>
    </row>
    <row r="23" spans="1:3" ht="79.5" thickBot="1" x14ac:dyDescent="0.3">
      <c r="A23" s="1120">
        <v>6</v>
      </c>
      <c r="B23" s="1107" t="s">
        <v>589</v>
      </c>
      <c r="C23" s="1116" t="s">
        <v>1332</v>
      </c>
    </row>
    <row r="24" spans="1:3" ht="79.5" thickBot="1" x14ac:dyDescent="0.3">
      <c r="A24" s="1120">
        <v>7</v>
      </c>
      <c r="B24" s="1109" t="s">
        <v>1052</v>
      </c>
      <c r="C24" s="1110" t="s">
        <v>1333</v>
      </c>
    </row>
    <row r="25" spans="1:3" ht="79.5" thickBot="1" x14ac:dyDescent="0.3">
      <c r="A25" s="1120">
        <v>8</v>
      </c>
      <c r="B25" s="1111" t="s">
        <v>1220</v>
      </c>
      <c r="C25" s="1112" t="s">
        <v>1334</v>
      </c>
    </row>
    <row r="26" spans="1:3" ht="63.75" thickBot="1" x14ac:dyDescent="0.3">
      <c r="A26" s="1120">
        <v>9</v>
      </c>
      <c r="B26" s="1111" t="s">
        <v>1221</v>
      </c>
      <c r="C26" s="1112" t="s">
        <v>1335</v>
      </c>
    </row>
    <row r="27" spans="1:3" ht="32.25" thickBot="1" x14ac:dyDescent="0.3">
      <c r="A27" s="1120">
        <v>10</v>
      </c>
      <c r="B27" s="1111" t="s">
        <v>590</v>
      </c>
      <c r="C27" s="1112" t="s">
        <v>1336</v>
      </c>
    </row>
    <row r="28" spans="1:3" ht="32.25" thickBot="1" x14ac:dyDescent="0.3">
      <c r="A28" s="1120">
        <v>11</v>
      </c>
      <c r="B28" s="1111" t="s">
        <v>591</v>
      </c>
      <c r="C28" s="1112" t="s">
        <v>1337</v>
      </c>
    </row>
    <row r="29" spans="1:3" ht="32.25" thickBot="1" x14ac:dyDescent="0.3">
      <c r="A29" s="1120">
        <v>12</v>
      </c>
      <c r="B29" s="1111" t="s">
        <v>1053</v>
      </c>
      <c r="C29" s="1112" t="s">
        <v>1338</v>
      </c>
    </row>
    <row r="30" spans="1:3" ht="32.25" thickBot="1" x14ac:dyDescent="0.3">
      <c r="A30" s="1120">
        <v>13</v>
      </c>
      <c r="B30" s="1111" t="s">
        <v>592</v>
      </c>
      <c r="C30" s="1112" t="s">
        <v>1339</v>
      </c>
    </row>
    <row r="31" spans="1:3" ht="16.5" thickBot="1" x14ac:dyDescent="0.3">
      <c r="A31" s="1120">
        <v>14</v>
      </c>
      <c r="B31" s="1153" t="s">
        <v>372</v>
      </c>
      <c r="C31" s="1154" t="s">
        <v>1340</v>
      </c>
    </row>
    <row r="32" spans="1:3" ht="16.5" thickBot="1" x14ac:dyDescent="0.3">
      <c r="A32" s="1120">
        <v>15</v>
      </c>
      <c r="B32" s="1111" t="s">
        <v>373</v>
      </c>
      <c r="C32" s="1112" t="s">
        <v>1341</v>
      </c>
    </row>
    <row r="33" spans="1:3" ht="126.75" thickBot="1" x14ac:dyDescent="0.3">
      <c r="A33" s="1120">
        <v>16</v>
      </c>
      <c r="B33" s="1111" t="s">
        <v>1342</v>
      </c>
      <c r="C33" s="1112" t="s">
        <v>1343</v>
      </c>
    </row>
    <row r="34" spans="1:3" ht="111" thickBot="1" x14ac:dyDescent="0.3">
      <c r="A34" s="1120">
        <v>17</v>
      </c>
      <c r="B34" s="1111" t="s">
        <v>1344</v>
      </c>
      <c r="C34" s="1112" t="s">
        <v>1345</v>
      </c>
    </row>
    <row r="35" spans="1:3" ht="32.25" thickBot="1" x14ac:dyDescent="0.3">
      <c r="A35" s="1120">
        <v>18</v>
      </c>
      <c r="B35" s="1111" t="s">
        <v>595</v>
      </c>
      <c r="C35" s="1112" t="s">
        <v>1346</v>
      </c>
    </row>
    <row r="36" spans="1:3" ht="114" thickBot="1" x14ac:dyDescent="0.3">
      <c r="A36" s="1120">
        <v>19</v>
      </c>
      <c r="B36" s="1157" t="s">
        <v>596</v>
      </c>
      <c r="C36" s="1158" t="s">
        <v>3389</v>
      </c>
    </row>
    <row r="37" spans="1:3" ht="15.75" x14ac:dyDescent="0.25">
      <c r="A37" s="2191">
        <v>20</v>
      </c>
      <c r="B37" s="1109" t="s">
        <v>597</v>
      </c>
      <c r="C37" s="2192"/>
    </row>
    <row r="38" spans="1:3" ht="79.5" thickBot="1" x14ac:dyDescent="0.3">
      <c r="A38" s="2191"/>
      <c r="B38" s="1109" t="s">
        <v>1347</v>
      </c>
      <c r="C38" s="2193"/>
    </row>
    <row r="39" spans="1:3" ht="95.25" thickBot="1" x14ac:dyDescent="0.3">
      <c r="A39" s="1120">
        <v>21</v>
      </c>
      <c r="B39" s="1153" t="s">
        <v>598</v>
      </c>
      <c r="C39" s="1154" t="s">
        <v>1466</v>
      </c>
    </row>
    <row r="40" spans="1:3" ht="48" thickBot="1" x14ac:dyDescent="0.3">
      <c r="A40" s="1120">
        <v>22</v>
      </c>
      <c r="B40" s="1111" t="s">
        <v>1348</v>
      </c>
      <c r="C40" s="1115"/>
    </row>
    <row r="41" spans="1:3" ht="32.25" thickBot="1" x14ac:dyDescent="0.3">
      <c r="A41" s="1120">
        <v>23</v>
      </c>
      <c r="B41" s="1111" t="s">
        <v>600</v>
      </c>
      <c r="C41" s="1112" t="s">
        <v>1464</v>
      </c>
    </row>
    <row r="42" spans="1:3" ht="31.5" x14ac:dyDescent="0.25">
      <c r="A42" s="2191">
        <v>24</v>
      </c>
      <c r="B42" s="1111" t="s">
        <v>1349</v>
      </c>
      <c r="C42" s="2192"/>
    </row>
    <row r="43" spans="1:3" ht="16.5" customHeight="1" thickBot="1" x14ac:dyDescent="0.3">
      <c r="A43" s="2191"/>
      <c r="B43" s="1109" t="s">
        <v>1350</v>
      </c>
      <c r="C43" s="2193"/>
    </row>
    <row r="44" spans="1:3" ht="32.25" thickBot="1" x14ac:dyDescent="0.3">
      <c r="A44" s="1120">
        <v>25</v>
      </c>
      <c r="B44" s="1111" t="s">
        <v>1055</v>
      </c>
      <c r="C44" s="1112" t="s">
        <v>1351</v>
      </c>
    </row>
    <row r="45" spans="1:3" ht="31.5" x14ac:dyDescent="0.25">
      <c r="A45" s="1120">
        <v>26</v>
      </c>
      <c r="B45" s="1111" t="s">
        <v>1352</v>
      </c>
      <c r="C45" s="1115"/>
    </row>
    <row r="46" spans="1:3" ht="15.75" thickBot="1" x14ac:dyDescent="0.3">
      <c r="A46" s="2190" t="s">
        <v>1353</v>
      </c>
      <c r="B46" s="2190"/>
      <c r="C46" s="2190"/>
    </row>
    <row r="47" spans="1:3" ht="32.25" thickBot="1" x14ac:dyDescent="0.3">
      <c r="A47" s="1120">
        <v>1</v>
      </c>
      <c r="B47" s="1111" t="s">
        <v>1056</v>
      </c>
      <c r="C47" s="1113" t="s">
        <v>1354</v>
      </c>
    </row>
    <row r="48" spans="1:3" ht="32.25" thickBot="1" x14ac:dyDescent="0.3">
      <c r="A48" s="1120">
        <v>2</v>
      </c>
      <c r="B48" s="1111" t="s">
        <v>1355</v>
      </c>
      <c r="C48" s="1117" t="s">
        <v>1356</v>
      </c>
    </row>
    <row r="49" spans="1:3" ht="63" x14ac:dyDescent="0.25">
      <c r="A49" s="2191">
        <v>3</v>
      </c>
      <c r="B49" s="1111" t="s">
        <v>1357</v>
      </c>
      <c r="C49" s="2192"/>
    </row>
    <row r="50" spans="1:3" ht="16.5" thickBot="1" x14ac:dyDescent="0.3">
      <c r="A50" s="2191"/>
      <c r="B50" s="1109" t="s">
        <v>1319</v>
      </c>
      <c r="C50" s="2193"/>
    </row>
    <row r="51" spans="1:3" ht="48" thickBot="1" x14ac:dyDescent="0.3">
      <c r="A51" s="1120">
        <v>44199</v>
      </c>
      <c r="B51" s="1111" t="s">
        <v>1358</v>
      </c>
      <c r="C51" s="1112" t="s">
        <v>1359</v>
      </c>
    </row>
    <row r="52" spans="1:3" ht="79.5" thickBot="1" x14ac:dyDescent="0.3">
      <c r="A52" s="1120">
        <v>44230</v>
      </c>
      <c r="B52" s="1111" t="s">
        <v>1360</v>
      </c>
      <c r="C52" s="1112" t="s">
        <v>1361</v>
      </c>
    </row>
    <row r="53" spans="1:3" ht="79.5" thickBot="1" x14ac:dyDescent="0.3">
      <c r="A53" s="1120">
        <v>4</v>
      </c>
      <c r="B53" s="1111" t="s">
        <v>1362</v>
      </c>
      <c r="C53" s="1112" t="s">
        <v>1363</v>
      </c>
    </row>
    <row r="54" spans="1:3" ht="95.25" thickBot="1" x14ac:dyDescent="0.3">
      <c r="A54" s="1120">
        <v>5</v>
      </c>
      <c r="B54" s="1107" t="s">
        <v>1364</v>
      </c>
      <c r="C54" s="1108"/>
    </row>
    <row r="55" spans="1:3" ht="63" x14ac:dyDescent="0.25">
      <c r="A55" s="2191">
        <v>6</v>
      </c>
      <c r="B55" s="1109" t="s">
        <v>1365</v>
      </c>
      <c r="C55" s="2192"/>
    </row>
    <row r="56" spans="1:3" ht="16.5" thickBot="1" x14ac:dyDescent="0.3">
      <c r="A56" s="2191"/>
      <c r="B56" s="1109" t="s">
        <v>1319</v>
      </c>
      <c r="C56" s="2193"/>
    </row>
    <row r="57" spans="1:3" ht="79.5" thickBot="1" x14ac:dyDescent="0.3">
      <c r="A57" s="1120">
        <v>44202</v>
      </c>
      <c r="B57" s="1111" t="s">
        <v>1366</v>
      </c>
      <c r="C57" s="1112" t="s">
        <v>1367</v>
      </c>
    </row>
    <row r="58" spans="1:3" ht="79.5" thickBot="1" x14ac:dyDescent="0.3">
      <c r="A58" s="1120">
        <v>44233</v>
      </c>
      <c r="B58" s="1111" t="s">
        <v>1368</v>
      </c>
      <c r="C58" s="1112" t="s">
        <v>1369</v>
      </c>
    </row>
    <row r="59" spans="1:3" ht="48" thickBot="1" x14ac:dyDescent="0.3">
      <c r="A59" s="1120">
        <v>44261</v>
      </c>
      <c r="B59" s="1111" t="s">
        <v>1370</v>
      </c>
      <c r="C59" s="1112" t="s">
        <v>1371</v>
      </c>
    </row>
    <row r="60" spans="1:3" ht="79.5" thickBot="1" x14ac:dyDescent="0.3">
      <c r="A60" s="1120">
        <v>7</v>
      </c>
      <c r="B60" s="1111" t="s">
        <v>1372</v>
      </c>
      <c r="C60" s="1112" t="s">
        <v>1373</v>
      </c>
    </row>
    <row r="61" spans="1:3" ht="95.25" thickBot="1" x14ac:dyDescent="0.3">
      <c r="A61" s="1120">
        <v>8</v>
      </c>
      <c r="B61" s="1111" t="s">
        <v>1374</v>
      </c>
      <c r="C61" s="1115"/>
    </row>
    <row r="62" spans="1:3" ht="48" thickBot="1" x14ac:dyDescent="0.3">
      <c r="A62" s="1120">
        <v>9</v>
      </c>
      <c r="B62" s="1111" t="s">
        <v>1375</v>
      </c>
      <c r="C62" s="1115"/>
    </row>
    <row r="63" spans="1:3" ht="48" thickBot="1" x14ac:dyDescent="0.3">
      <c r="A63" s="1120">
        <v>10</v>
      </c>
      <c r="B63" s="1107" t="s">
        <v>1376</v>
      </c>
      <c r="C63" s="1108"/>
    </row>
  </sheetData>
  <mergeCells count="14">
    <mergeCell ref="A37:A38"/>
    <mergeCell ref="C37:C38"/>
    <mergeCell ref="A55:A56"/>
    <mergeCell ref="C55:C56"/>
    <mergeCell ref="A42:A43"/>
    <mergeCell ref="C42:C43"/>
    <mergeCell ref="A46:C46"/>
    <mergeCell ref="A49:A50"/>
    <mergeCell ref="C49:C50"/>
    <mergeCell ref="B5:B6"/>
    <mergeCell ref="C5:C6"/>
    <mergeCell ref="A8:C8"/>
    <mergeCell ref="A14:A15"/>
    <mergeCell ref="C14:C15"/>
  </mergeCells>
  <hyperlinks>
    <hyperlink ref="C12" r:id="rId1" display="http://ivo.garant.ru/document?id=70732382&amp;sub=28303" xr:uid="{00000000-0004-0000-0000-000000000000}"/>
    <hyperlink ref="C47" location="sub_7672" display="sub_7672" xr:uid="{00000000-0004-0000-0000-000001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88A4F-56A3-46DD-A1C9-9A21113ED562}">
  <dimension ref="A1:F2419"/>
  <sheetViews>
    <sheetView topLeftCell="A955" workbookViewId="0">
      <selection activeCell="H24" sqref="H24"/>
    </sheetView>
  </sheetViews>
  <sheetFormatPr defaultRowHeight="15" x14ac:dyDescent="0.25"/>
  <cols>
    <col min="1" max="1" width="13.140625" bestFit="1" customWidth="1"/>
    <col min="2" max="2" width="81.140625" bestFit="1" customWidth="1"/>
    <col min="3" max="3" width="12" bestFit="1" customWidth="1"/>
    <col min="4" max="4" width="10" bestFit="1" customWidth="1"/>
    <col min="5" max="5" width="13" bestFit="1" customWidth="1"/>
    <col min="6" max="6" width="10" bestFit="1" customWidth="1"/>
  </cols>
  <sheetData>
    <row r="1" spans="1:6" x14ac:dyDescent="0.25">
      <c r="A1" t="s">
        <v>1568</v>
      </c>
      <c r="B1" t="s">
        <v>1569</v>
      </c>
      <c r="C1" t="s">
        <v>1570</v>
      </c>
      <c r="D1" t="s">
        <v>1006</v>
      </c>
      <c r="E1" t="s">
        <v>2600</v>
      </c>
      <c r="F1" t="s">
        <v>2601</v>
      </c>
    </row>
    <row r="2" spans="1:6" x14ac:dyDescent="0.25">
      <c r="B2" t="s">
        <v>1573</v>
      </c>
    </row>
    <row r="3" spans="1:6" x14ac:dyDescent="0.25">
      <c r="B3" t="s">
        <v>1574</v>
      </c>
    </row>
    <row r="4" spans="1:6" x14ac:dyDescent="0.25">
      <c r="B4" t="s">
        <v>1575</v>
      </c>
    </row>
    <row r="5" spans="1:6" x14ac:dyDescent="0.25">
      <c r="A5" t="s">
        <v>2</v>
      </c>
      <c r="B5" t="s">
        <v>1576</v>
      </c>
      <c r="C5">
        <v>11101</v>
      </c>
      <c r="D5">
        <v>0</v>
      </c>
      <c r="E5">
        <v>0</v>
      </c>
      <c r="F5">
        <v>0</v>
      </c>
    </row>
    <row r="6" spans="1:6" x14ac:dyDescent="0.25">
      <c r="A6" t="s">
        <v>15</v>
      </c>
      <c r="B6" t="s">
        <v>1577</v>
      </c>
      <c r="C6">
        <v>11102</v>
      </c>
      <c r="D6">
        <v>0</v>
      </c>
      <c r="E6">
        <v>0</v>
      </c>
      <c r="F6">
        <v>0</v>
      </c>
    </row>
    <row r="7" spans="1:6" x14ac:dyDescent="0.25">
      <c r="A7" t="s">
        <v>16</v>
      </c>
      <c r="B7" t="s">
        <v>1578</v>
      </c>
      <c r="C7">
        <v>11103</v>
      </c>
      <c r="D7">
        <v>0</v>
      </c>
      <c r="E7">
        <v>0</v>
      </c>
      <c r="F7">
        <v>0</v>
      </c>
    </row>
    <row r="8" spans="1:6" x14ac:dyDescent="0.25">
      <c r="A8" t="s">
        <v>25</v>
      </c>
      <c r="B8" t="s">
        <v>1579</v>
      </c>
      <c r="C8">
        <v>11104</v>
      </c>
      <c r="D8">
        <v>0</v>
      </c>
      <c r="E8">
        <v>0</v>
      </c>
      <c r="F8">
        <v>0</v>
      </c>
    </row>
    <row r="9" spans="1:6" x14ac:dyDescent="0.25">
      <c r="A9" t="s">
        <v>26</v>
      </c>
      <c r="B9" t="s">
        <v>1580</v>
      </c>
      <c r="C9">
        <v>11105</v>
      </c>
      <c r="D9">
        <v>56209</v>
      </c>
      <c r="E9">
        <v>0</v>
      </c>
      <c r="F9">
        <v>56209</v>
      </c>
    </row>
    <row r="10" spans="1:6" x14ac:dyDescent="0.25">
      <c r="A10" t="s">
        <v>27</v>
      </c>
      <c r="B10" t="s">
        <v>1581</v>
      </c>
      <c r="C10">
        <v>11106</v>
      </c>
      <c r="D10">
        <v>427</v>
      </c>
      <c r="E10">
        <v>0</v>
      </c>
      <c r="F10">
        <v>427</v>
      </c>
    </row>
    <row r="11" spans="1:6" x14ac:dyDescent="0.25">
      <c r="A11" t="s">
        <v>531</v>
      </c>
      <c r="B11" t="s">
        <v>1582</v>
      </c>
      <c r="C11">
        <v>11107</v>
      </c>
      <c r="D11">
        <v>0</v>
      </c>
      <c r="E11">
        <v>0</v>
      </c>
      <c r="F11">
        <v>0</v>
      </c>
    </row>
    <row r="12" spans="1:6" x14ac:dyDescent="0.25">
      <c r="A12" t="s">
        <v>1583</v>
      </c>
      <c r="B12" t="s">
        <v>1584</v>
      </c>
      <c r="C12">
        <v>11108</v>
      </c>
      <c r="D12">
        <v>3142</v>
      </c>
      <c r="E12">
        <v>0</v>
      </c>
      <c r="F12">
        <v>3142</v>
      </c>
    </row>
    <row r="13" spans="1:6" x14ac:dyDescent="0.25">
      <c r="A13" t="s">
        <v>1585</v>
      </c>
      <c r="B13" t="s">
        <v>1586</v>
      </c>
      <c r="C13">
        <v>11109</v>
      </c>
      <c r="D13">
        <v>118317</v>
      </c>
      <c r="E13">
        <v>0</v>
      </c>
      <c r="F13">
        <v>118317</v>
      </c>
    </row>
    <row r="14" spans="1:6" x14ac:dyDescent="0.25">
      <c r="A14" t="s">
        <v>1587</v>
      </c>
      <c r="B14" t="s">
        <v>1588</v>
      </c>
      <c r="C14">
        <v>11110</v>
      </c>
      <c r="D14">
        <v>0</v>
      </c>
      <c r="E14">
        <v>0</v>
      </c>
      <c r="F14">
        <v>0</v>
      </c>
    </row>
    <row r="15" spans="1:6" x14ac:dyDescent="0.25">
      <c r="A15" t="s">
        <v>1589</v>
      </c>
      <c r="B15" t="s">
        <v>1590</v>
      </c>
      <c r="C15">
        <v>11111</v>
      </c>
      <c r="D15">
        <v>570509</v>
      </c>
      <c r="E15">
        <v>0</v>
      </c>
      <c r="F15">
        <v>570509</v>
      </c>
    </row>
    <row r="16" spans="1:6" x14ac:dyDescent="0.25">
      <c r="A16" t="s">
        <v>1591</v>
      </c>
      <c r="B16" t="s">
        <v>1592</v>
      </c>
      <c r="C16">
        <v>11112</v>
      </c>
      <c r="D16">
        <v>6327635</v>
      </c>
      <c r="E16">
        <v>157628</v>
      </c>
      <c r="F16">
        <v>6485263</v>
      </c>
    </row>
    <row r="17" spans="1:6" x14ac:dyDescent="0.25">
      <c r="A17" t="s">
        <v>1593</v>
      </c>
      <c r="B17" t="s">
        <v>1594</v>
      </c>
      <c r="C17">
        <v>11113</v>
      </c>
      <c r="D17">
        <v>1020</v>
      </c>
      <c r="E17">
        <v>0</v>
      </c>
      <c r="F17">
        <v>1020</v>
      </c>
    </row>
    <row r="18" spans="1:6" x14ac:dyDescent="0.25">
      <c r="A18" t="s">
        <v>1595</v>
      </c>
      <c r="B18" t="s">
        <v>1596</v>
      </c>
      <c r="C18">
        <v>11114</v>
      </c>
      <c r="D18">
        <v>326789</v>
      </c>
      <c r="E18">
        <v>0</v>
      </c>
      <c r="F18">
        <v>326789</v>
      </c>
    </row>
    <row r="19" spans="1:6" x14ac:dyDescent="0.25">
      <c r="A19" t="s">
        <v>1597</v>
      </c>
      <c r="B19" t="s">
        <v>1598</v>
      </c>
      <c r="C19">
        <v>11115</v>
      </c>
      <c r="D19">
        <v>12735115</v>
      </c>
      <c r="E19">
        <v>3448</v>
      </c>
      <c r="F19">
        <v>12738563</v>
      </c>
    </row>
    <row r="20" spans="1:6" x14ac:dyDescent="0.25">
      <c r="A20" t="s">
        <v>1599</v>
      </c>
      <c r="B20" t="s">
        <v>1600</v>
      </c>
      <c r="C20">
        <v>11116</v>
      </c>
      <c r="D20">
        <v>0</v>
      </c>
      <c r="E20">
        <v>639604</v>
      </c>
      <c r="F20">
        <v>639604</v>
      </c>
    </row>
    <row r="21" spans="1:6" x14ac:dyDescent="0.25">
      <c r="A21" t="s">
        <v>1601</v>
      </c>
      <c r="B21" t="s">
        <v>1602</v>
      </c>
      <c r="C21">
        <v>11117</v>
      </c>
      <c r="D21">
        <v>377</v>
      </c>
      <c r="E21">
        <v>0</v>
      </c>
      <c r="F21">
        <v>377</v>
      </c>
    </row>
    <row r="22" spans="1:6" x14ac:dyDescent="0.25">
      <c r="A22" t="s">
        <v>1603</v>
      </c>
      <c r="B22" t="s">
        <v>1604</v>
      </c>
      <c r="C22">
        <v>11118</v>
      </c>
      <c r="D22">
        <v>1225210</v>
      </c>
      <c r="E22">
        <v>127</v>
      </c>
      <c r="F22">
        <v>1225337</v>
      </c>
    </row>
    <row r="23" spans="1:6" x14ac:dyDescent="0.25">
      <c r="A23" t="s">
        <v>1605</v>
      </c>
      <c r="B23" t="s">
        <v>1606</v>
      </c>
      <c r="C23">
        <v>11119</v>
      </c>
      <c r="D23">
        <v>71282</v>
      </c>
      <c r="E23">
        <v>402901</v>
      </c>
      <c r="F23">
        <v>474183</v>
      </c>
    </row>
    <row r="24" spans="1:6" x14ac:dyDescent="0.25">
      <c r="A24" t="s">
        <v>1607</v>
      </c>
      <c r="B24" t="s">
        <v>1608</v>
      </c>
      <c r="C24">
        <v>11120</v>
      </c>
      <c r="D24">
        <v>0</v>
      </c>
      <c r="E24">
        <v>0</v>
      </c>
      <c r="F24">
        <v>0</v>
      </c>
    </row>
    <row r="25" spans="1:6" x14ac:dyDescent="0.25">
      <c r="B25" t="s">
        <v>1609</v>
      </c>
      <c r="D25">
        <v>21436032</v>
      </c>
      <c r="E25">
        <v>1203708</v>
      </c>
      <c r="F25">
        <v>22639740</v>
      </c>
    </row>
    <row r="26" spans="1:6" x14ac:dyDescent="0.25">
      <c r="B26" t="s">
        <v>1656</v>
      </c>
    </row>
    <row r="27" spans="1:6" x14ac:dyDescent="0.25">
      <c r="A27" t="s">
        <v>2</v>
      </c>
      <c r="B27" t="s">
        <v>1611</v>
      </c>
      <c r="C27">
        <v>11201</v>
      </c>
      <c r="D27">
        <v>0</v>
      </c>
      <c r="E27">
        <v>0</v>
      </c>
      <c r="F27">
        <v>0</v>
      </c>
    </row>
    <row r="28" spans="1:6" x14ac:dyDescent="0.25">
      <c r="A28" t="s">
        <v>15</v>
      </c>
      <c r="B28" t="s">
        <v>1612</v>
      </c>
      <c r="C28">
        <v>11202</v>
      </c>
      <c r="D28">
        <v>0</v>
      </c>
      <c r="E28">
        <v>0</v>
      </c>
      <c r="F28">
        <v>0</v>
      </c>
    </row>
    <row r="29" spans="1:6" x14ac:dyDescent="0.25">
      <c r="A29" t="s">
        <v>16</v>
      </c>
      <c r="B29" t="s">
        <v>1613</v>
      </c>
      <c r="C29">
        <v>11203</v>
      </c>
      <c r="D29">
        <v>0</v>
      </c>
      <c r="E29">
        <v>0</v>
      </c>
      <c r="F29">
        <v>0</v>
      </c>
    </row>
    <row r="30" spans="1:6" x14ac:dyDescent="0.25">
      <c r="A30" t="s">
        <v>25</v>
      </c>
      <c r="B30" t="s">
        <v>1614</v>
      </c>
      <c r="C30">
        <v>11204</v>
      </c>
      <c r="D30">
        <v>0</v>
      </c>
      <c r="E30">
        <v>0</v>
      </c>
      <c r="F30">
        <v>0</v>
      </c>
    </row>
    <row r="31" spans="1:6" x14ac:dyDescent="0.25">
      <c r="A31" t="s">
        <v>26</v>
      </c>
      <c r="B31" t="s">
        <v>1615</v>
      </c>
      <c r="C31">
        <v>11205</v>
      </c>
      <c r="D31">
        <v>0</v>
      </c>
      <c r="E31">
        <v>0</v>
      </c>
      <c r="F31">
        <v>0</v>
      </c>
    </row>
    <row r="32" spans="1:6" x14ac:dyDescent="0.25">
      <c r="A32" t="s">
        <v>27</v>
      </c>
      <c r="B32" t="s">
        <v>1616</v>
      </c>
      <c r="C32">
        <v>11206</v>
      </c>
      <c r="D32">
        <v>0</v>
      </c>
      <c r="E32">
        <v>0</v>
      </c>
      <c r="F32">
        <v>0</v>
      </c>
    </row>
    <row r="33" spans="1:6" x14ac:dyDescent="0.25">
      <c r="A33" t="s">
        <v>531</v>
      </c>
      <c r="B33" t="s">
        <v>1617</v>
      </c>
      <c r="C33">
        <v>11207</v>
      </c>
      <c r="D33">
        <v>0</v>
      </c>
      <c r="E33">
        <v>0</v>
      </c>
      <c r="F33">
        <v>0</v>
      </c>
    </row>
    <row r="34" spans="1:6" x14ac:dyDescent="0.25">
      <c r="A34" t="s">
        <v>1583</v>
      </c>
      <c r="B34" t="s">
        <v>1618</v>
      </c>
      <c r="C34">
        <v>11208</v>
      </c>
      <c r="D34">
        <v>0</v>
      </c>
      <c r="E34">
        <v>0</v>
      </c>
      <c r="F34">
        <v>0</v>
      </c>
    </row>
    <row r="35" spans="1:6" x14ac:dyDescent="0.25">
      <c r="A35" t="s">
        <v>1585</v>
      </c>
      <c r="B35" t="s">
        <v>1619</v>
      </c>
      <c r="C35">
        <v>11209</v>
      </c>
      <c r="D35">
        <v>0</v>
      </c>
      <c r="E35">
        <v>0</v>
      </c>
      <c r="F35">
        <v>0</v>
      </c>
    </row>
    <row r="36" spans="1:6" x14ac:dyDescent="0.25">
      <c r="A36" t="s">
        <v>1587</v>
      </c>
      <c r="B36" t="s">
        <v>1620</v>
      </c>
      <c r="C36">
        <v>11210</v>
      </c>
      <c r="D36">
        <v>0</v>
      </c>
      <c r="E36">
        <v>0</v>
      </c>
      <c r="F36">
        <v>0</v>
      </c>
    </row>
    <row r="37" spans="1:6" x14ac:dyDescent="0.25">
      <c r="A37" t="s">
        <v>1589</v>
      </c>
      <c r="B37" t="s">
        <v>1621</v>
      </c>
      <c r="C37">
        <v>11211</v>
      </c>
      <c r="D37">
        <v>39320</v>
      </c>
      <c r="E37">
        <v>0</v>
      </c>
      <c r="F37">
        <v>39320</v>
      </c>
    </row>
    <row r="38" spans="1:6" x14ac:dyDescent="0.25">
      <c r="A38" t="s">
        <v>1591</v>
      </c>
      <c r="B38" t="s">
        <v>1622</v>
      </c>
      <c r="C38">
        <v>11212</v>
      </c>
      <c r="D38">
        <v>245858</v>
      </c>
      <c r="E38">
        <v>0</v>
      </c>
      <c r="F38">
        <v>245858</v>
      </c>
    </row>
    <row r="39" spans="1:6" x14ac:dyDescent="0.25">
      <c r="A39" t="s">
        <v>1593</v>
      </c>
      <c r="B39" t="s">
        <v>1623</v>
      </c>
      <c r="C39">
        <v>11213</v>
      </c>
      <c r="D39">
        <v>0</v>
      </c>
      <c r="E39">
        <v>0</v>
      </c>
      <c r="F39">
        <v>0</v>
      </c>
    </row>
    <row r="40" spans="1:6" x14ac:dyDescent="0.25">
      <c r="A40" t="s">
        <v>1595</v>
      </c>
      <c r="B40" t="s">
        <v>1624</v>
      </c>
      <c r="C40">
        <v>11214</v>
      </c>
      <c r="D40">
        <v>0</v>
      </c>
      <c r="E40">
        <v>1801</v>
      </c>
      <c r="F40">
        <v>1801</v>
      </c>
    </row>
    <row r="41" spans="1:6" x14ac:dyDescent="0.25">
      <c r="A41" t="s">
        <v>1597</v>
      </c>
      <c r="B41" t="s">
        <v>1625</v>
      </c>
      <c r="C41">
        <v>11215</v>
      </c>
      <c r="D41">
        <v>1889332</v>
      </c>
      <c r="E41">
        <v>151</v>
      </c>
      <c r="F41">
        <v>1889483</v>
      </c>
    </row>
    <row r="42" spans="1:6" x14ac:dyDescent="0.25">
      <c r="A42" t="s">
        <v>1599</v>
      </c>
      <c r="B42" t="s">
        <v>1626</v>
      </c>
      <c r="C42">
        <v>11216</v>
      </c>
      <c r="D42">
        <v>0</v>
      </c>
      <c r="E42">
        <v>134</v>
      </c>
      <c r="F42">
        <v>134</v>
      </c>
    </row>
    <row r="43" spans="1:6" x14ac:dyDescent="0.25">
      <c r="A43" t="s">
        <v>1601</v>
      </c>
      <c r="B43" t="s">
        <v>1627</v>
      </c>
      <c r="C43">
        <v>11217</v>
      </c>
      <c r="D43">
        <v>0</v>
      </c>
      <c r="E43">
        <v>0</v>
      </c>
      <c r="F43">
        <v>0</v>
      </c>
    </row>
    <row r="44" spans="1:6" x14ac:dyDescent="0.25">
      <c r="A44" t="s">
        <v>1603</v>
      </c>
      <c r="B44" t="s">
        <v>1596</v>
      </c>
      <c r="C44">
        <v>11218</v>
      </c>
      <c r="D44">
        <v>19671</v>
      </c>
      <c r="E44">
        <v>0</v>
      </c>
      <c r="F44">
        <v>19671</v>
      </c>
    </row>
    <row r="45" spans="1:6" x14ac:dyDescent="0.25">
      <c r="A45" t="s">
        <v>1605</v>
      </c>
      <c r="B45" t="s">
        <v>1598</v>
      </c>
      <c r="C45">
        <v>11219</v>
      </c>
      <c r="D45">
        <v>0</v>
      </c>
      <c r="E45">
        <v>0</v>
      </c>
      <c r="F45">
        <v>0</v>
      </c>
    </row>
    <row r="46" spans="1:6" x14ac:dyDescent="0.25">
      <c r="A46" t="s">
        <v>1607</v>
      </c>
      <c r="B46" t="s">
        <v>1602</v>
      </c>
      <c r="C46">
        <v>11220</v>
      </c>
      <c r="D46">
        <v>0</v>
      </c>
      <c r="E46">
        <v>0</v>
      </c>
      <c r="F46">
        <v>0</v>
      </c>
    </row>
    <row r="47" spans="1:6" x14ac:dyDescent="0.25">
      <c r="B47" t="s">
        <v>1628</v>
      </c>
      <c r="D47">
        <v>2194181</v>
      </c>
      <c r="E47">
        <v>2086</v>
      </c>
      <c r="F47">
        <v>2196267</v>
      </c>
    </row>
    <row r="48" spans="1:6" x14ac:dyDescent="0.25">
      <c r="B48" t="s">
        <v>1629</v>
      </c>
    </row>
    <row r="49" spans="1:6" x14ac:dyDescent="0.25">
      <c r="A49" t="s">
        <v>2</v>
      </c>
      <c r="B49" t="s">
        <v>1627</v>
      </c>
      <c r="C49">
        <v>11301</v>
      </c>
      <c r="D49">
        <v>85243</v>
      </c>
      <c r="E49">
        <v>0</v>
      </c>
      <c r="F49">
        <v>85243</v>
      </c>
    </row>
    <row r="50" spans="1:6" x14ac:dyDescent="0.25">
      <c r="A50" t="s">
        <v>15</v>
      </c>
      <c r="B50" t="s">
        <v>1625</v>
      </c>
      <c r="C50">
        <v>11302</v>
      </c>
      <c r="D50">
        <v>2</v>
      </c>
      <c r="E50">
        <v>188</v>
      </c>
      <c r="F50">
        <v>190</v>
      </c>
    </row>
    <row r="51" spans="1:6" x14ac:dyDescent="0.25">
      <c r="A51" t="s">
        <v>16</v>
      </c>
      <c r="B51" t="s">
        <v>1626</v>
      </c>
      <c r="C51">
        <v>11303</v>
      </c>
      <c r="D51">
        <v>0</v>
      </c>
      <c r="E51">
        <v>1510</v>
      </c>
      <c r="F51">
        <v>1510</v>
      </c>
    </row>
    <row r="52" spans="1:6" x14ac:dyDescent="0.25">
      <c r="B52" t="s">
        <v>1630</v>
      </c>
      <c r="D52">
        <v>85245</v>
      </c>
      <c r="E52">
        <v>1698</v>
      </c>
      <c r="F52">
        <v>86943</v>
      </c>
    </row>
    <row r="53" spans="1:6" x14ac:dyDescent="0.25">
      <c r="B53" t="s">
        <v>1631</v>
      </c>
    </row>
    <row r="54" spans="1:6" x14ac:dyDescent="0.25">
      <c r="A54" t="s">
        <v>2</v>
      </c>
      <c r="B54" t="s">
        <v>1627</v>
      </c>
      <c r="C54">
        <v>11401</v>
      </c>
      <c r="D54">
        <v>0</v>
      </c>
      <c r="E54">
        <v>0</v>
      </c>
      <c r="F54">
        <v>0</v>
      </c>
    </row>
    <row r="55" spans="1:6" x14ac:dyDescent="0.25">
      <c r="A55" t="s">
        <v>15</v>
      </c>
      <c r="B55" t="s">
        <v>1625</v>
      </c>
      <c r="C55">
        <v>11402</v>
      </c>
      <c r="D55">
        <v>0</v>
      </c>
      <c r="E55">
        <v>0</v>
      </c>
      <c r="F55">
        <v>0</v>
      </c>
    </row>
    <row r="56" spans="1:6" x14ac:dyDescent="0.25">
      <c r="A56" t="s">
        <v>16</v>
      </c>
      <c r="B56" t="s">
        <v>1626</v>
      </c>
      <c r="C56">
        <v>11403</v>
      </c>
      <c r="D56">
        <v>0</v>
      </c>
      <c r="E56">
        <v>0</v>
      </c>
      <c r="F56">
        <v>0</v>
      </c>
    </row>
    <row r="57" spans="1:6" x14ac:dyDescent="0.25">
      <c r="B57" t="s">
        <v>1632</v>
      </c>
      <c r="D57">
        <v>0</v>
      </c>
      <c r="E57">
        <v>0</v>
      </c>
      <c r="F57">
        <v>0</v>
      </c>
    </row>
    <row r="58" spans="1:6" x14ac:dyDescent="0.25">
      <c r="B58" t="s">
        <v>1633</v>
      </c>
    </row>
    <row r="59" spans="1:6" x14ac:dyDescent="0.25">
      <c r="A59" t="s">
        <v>2</v>
      </c>
      <c r="B59" t="s">
        <v>1634</v>
      </c>
      <c r="C59">
        <v>11501</v>
      </c>
      <c r="D59">
        <v>8149</v>
      </c>
      <c r="E59">
        <v>0</v>
      </c>
      <c r="F59">
        <v>8149</v>
      </c>
    </row>
    <row r="60" spans="1:6" x14ac:dyDescent="0.25">
      <c r="A60" t="s">
        <v>15</v>
      </c>
      <c r="B60" t="s">
        <v>1635</v>
      </c>
      <c r="C60">
        <v>11502</v>
      </c>
      <c r="D60">
        <v>0</v>
      </c>
      <c r="E60">
        <v>0</v>
      </c>
      <c r="F60">
        <v>0</v>
      </c>
    </row>
    <row r="61" spans="1:6" x14ac:dyDescent="0.25">
      <c r="A61" t="s">
        <v>16</v>
      </c>
      <c r="B61" t="s">
        <v>1636</v>
      </c>
      <c r="C61">
        <v>11503</v>
      </c>
      <c r="D61">
        <v>0</v>
      </c>
      <c r="E61">
        <v>0</v>
      </c>
      <c r="F61">
        <v>0</v>
      </c>
    </row>
    <row r="62" spans="1:6" x14ac:dyDescent="0.25">
      <c r="A62" t="s">
        <v>25</v>
      </c>
      <c r="B62" t="s">
        <v>1637</v>
      </c>
      <c r="C62">
        <v>11504</v>
      </c>
      <c r="D62">
        <v>0</v>
      </c>
      <c r="E62">
        <v>0</v>
      </c>
      <c r="F62">
        <v>0</v>
      </c>
    </row>
    <row r="63" spans="1:6" x14ac:dyDescent="0.25">
      <c r="A63" t="s">
        <v>26</v>
      </c>
      <c r="B63" t="s">
        <v>1638</v>
      </c>
      <c r="C63">
        <v>11505</v>
      </c>
      <c r="D63">
        <v>204806</v>
      </c>
      <c r="E63">
        <v>0</v>
      </c>
      <c r="F63">
        <v>204806</v>
      </c>
    </row>
    <row r="64" spans="1:6" x14ac:dyDescent="0.25">
      <c r="A64" t="s">
        <v>27</v>
      </c>
      <c r="B64" t="s">
        <v>1639</v>
      </c>
      <c r="C64">
        <v>11506</v>
      </c>
      <c r="D64">
        <v>0</v>
      </c>
      <c r="E64">
        <v>0</v>
      </c>
      <c r="F64">
        <v>0</v>
      </c>
    </row>
    <row r="65" spans="1:6" x14ac:dyDescent="0.25">
      <c r="A65" t="s">
        <v>531</v>
      </c>
      <c r="B65" t="s">
        <v>1640</v>
      </c>
      <c r="C65">
        <v>11507</v>
      </c>
      <c r="D65">
        <v>0</v>
      </c>
      <c r="E65">
        <v>0</v>
      </c>
      <c r="F65">
        <v>0</v>
      </c>
    </row>
    <row r="66" spans="1:6" x14ac:dyDescent="0.25">
      <c r="A66" t="s">
        <v>1583</v>
      </c>
      <c r="B66" t="s">
        <v>1641</v>
      </c>
      <c r="C66">
        <v>11508</v>
      </c>
      <c r="D66">
        <v>0</v>
      </c>
      <c r="E66">
        <v>0</v>
      </c>
      <c r="F66">
        <v>0</v>
      </c>
    </row>
    <row r="67" spans="1:6" x14ac:dyDescent="0.25">
      <c r="B67" t="s">
        <v>1642</v>
      </c>
      <c r="D67">
        <v>212955</v>
      </c>
      <c r="E67">
        <v>0</v>
      </c>
      <c r="F67">
        <v>212955</v>
      </c>
    </row>
    <row r="68" spans="1:6" x14ac:dyDescent="0.25">
      <c r="B68" t="s">
        <v>2287</v>
      </c>
    </row>
    <row r="69" spans="1:6" x14ac:dyDescent="0.25">
      <c r="A69" t="s">
        <v>2</v>
      </c>
      <c r="B69" t="s">
        <v>1634</v>
      </c>
      <c r="C69">
        <v>11601</v>
      </c>
      <c r="D69">
        <v>361746</v>
      </c>
      <c r="E69">
        <v>0</v>
      </c>
      <c r="F69">
        <v>361746</v>
      </c>
    </row>
    <row r="70" spans="1:6" x14ac:dyDescent="0.25">
      <c r="A70" t="s">
        <v>15</v>
      </c>
      <c r="B70" t="s">
        <v>1635</v>
      </c>
      <c r="C70">
        <v>11602</v>
      </c>
      <c r="D70">
        <v>0</v>
      </c>
      <c r="E70">
        <v>0</v>
      </c>
      <c r="F70">
        <v>0</v>
      </c>
    </row>
    <row r="71" spans="1:6" x14ac:dyDescent="0.25">
      <c r="A71" t="s">
        <v>16</v>
      </c>
      <c r="B71" t="s">
        <v>1636</v>
      </c>
      <c r="C71">
        <v>11603</v>
      </c>
      <c r="D71">
        <v>0</v>
      </c>
      <c r="E71">
        <v>0</v>
      </c>
      <c r="F71">
        <v>0</v>
      </c>
    </row>
    <row r="72" spans="1:6" x14ac:dyDescent="0.25">
      <c r="A72" t="s">
        <v>25</v>
      </c>
      <c r="B72" t="s">
        <v>1637</v>
      </c>
      <c r="C72">
        <v>11604</v>
      </c>
      <c r="D72">
        <v>39973</v>
      </c>
      <c r="E72">
        <v>20923</v>
      </c>
      <c r="F72">
        <v>60896</v>
      </c>
    </row>
    <row r="73" spans="1:6" x14ac:dyDescent="0.25">
      <c r="A73" t="s">
        <v>26</v>
      </c>
      <c r="B73" t="s">
        <v>1638</v>
      </c>
      <c r="C73">
        <v>11605</v>
      </c>
      <c r="D73">
        <v>150756</v>
      </c>
      <c r="E73">
        <v>0</v>
      </c>
      <c r="F73">
        <v>150756</v>
      </c>
    </row>
    <row r="74" spans="1:6" x14ac:dyDescent="0.25">
      <c r="A74" t="s">
        <v>27</v>
      </c>
      <c r="B74" t="s">
        <v>1639</v>
      </c>
      <c r="C74">
        <v>11606</v>
      </c>
      <c r="D74">
        <v>0</v>
      </c>
      <c r="E74">
        <v>0</v>
      </c>
      <c r="F74">
        <v>0</v>
      </c>
    </row>
    <row r="75" spans="1:6" x14ac:dyDescent="0.25">
      <c r="A75" t="s">
        <v>531</v>
      </c>
      <c r="B75" t="s">
        <v>1640</v>
      </c>
      <c r="C75">
        <v>11607</v>
      </c>
      <c r="D75">
        <v>0</v>
      </c>
      <c r="E75">
        <v>0</v>
      </c>
      <c r="F75">
        <v>0</v>
      </c>
    </row>
    <row r="76" spans="1:6" x14ac:dyDescent="0.25">
      <c r="A76" t="s">
        <v>1583</v>
      </c>
      <c r="B76" t="s">
        <v>1641</v>
      </c>
      <c r="C76">
        <v>11608</v>
      </c>
      <c r="D76">
        <v>15533</v>
      </c>
      <c r="E76">
        <v>3116819</v>
      </c>
      <c r="F76">
        <v>3132352</v>
      </c>
    </row>
    <row r="77" spans="1:6" x14ac:dyDescent="0.25">
      <c r="B77" t="s">
        <v>1644</v>
      </c>
      <c r="D77">
        <v>568008</v>
      </c>
      <c r="E77">
        <v>3137742</v>
      </c>
      <c r="F77">
        <v>3705750</v>
      </c>
    </row>
    <row r="78" spans="1:6" x14ac:dyDescent="0.25">
      <c r="B78" t="s">
        <v>2288</v>
      </c>
    </row>
    <row r="79" spans="1:6" x14ac:dyDescent="0.25">
      <c r="A79" t="s">
        <v>2</v>
      </c>
      <c r="B79" t="s">
        <v>1634</v>
      </c>
      <c r="C79">
        <v>11701</v>
      </c>
      <c r="D79">
        <v>42651</v>
      </c>
      <c r="E79">
        <v>0</v>
      </c>
      <c r="F79">
        <v>42651</v>
      </c>
    </row>
    <row r="80" spans="1:6" x14ac:dyDescent="0.25">
      <c r="A80" t="s">
        <v>15</v>
      </c>
      <c r="B80" t="s">
        <v>1635</v>
      </c>
      <c r="C80">
        <v>11702</v>
      </c>
      <c r="D80">
        <v>330600</v>
      </c>
      <c r="E80">
        <v>0</v>
      </c>
      <c r="F80">
        <v>330600</v>
      </c>
    </row>
    <row r="81" spans="1:6" x14ac:dyDescent="0.25">
      <c r="A81" t="s">
        <v>16</v>
      </c>
      <c r="B81" t="s">
        <v>1636</v>
      </c>
      <c r="C81">
        <v>11703</v>
      </c>
      <c r="D81">
        <v>0</v>
      </c>
      <c r="E81">
        <v>0</v>
      </c>
      <c r="F81">
        <v>0</v>
      </c>
    </row>
    <row r="82" spans="1:6" x14ac:dyDescent="0.25">
      <c r="A82" t="s">
        <v>25</v>
      </c>
      <c r="B82" t="s">
        <v>1637</v>
      </c>
      <c r="C82">
        <v>11704</v>
      </c>
      <c r="D82">
        <v>437859</v>
      </c>
      <c r="E82">
        <v>68653</v>
      </c>
      <c r="F82">
        <v>506512</v>
      </c>
    </row>
    <row r="83" spans="1:6" x14ac:dyDescent="0.25">
      <c r="A83" t="s">
        <v>26</v>
      </c>
      <c r="B83" t="s">
        <v>1638</v>
      </c>
      <c r="C83">
        <v>11705</v>
      </c>
      <c r="D83">
        <v>5440952</v>
      </c>
      <c r="E83">
        <v>0</v>
      </c>
      <c r="F83">
        <v>5440952</v>
      </c>
    </row>
    <row r="84" spans="1:6" x14ac:dyDescent="0.25">
      <c r="A84" t="s">
        <v>27</v>
      </c>
      <c r="B84" t="s">
        <v>1639</v>
      </c>
      <c r="C84">
        <v>11706</v>
      </c>
      <c r="D84">
        <v>0</v>
      </c>
      <c r="E84">
        <v>57562</v>
      </c>
      <c r="F84">
        <v>57562</v>
      </c>
    </row>
    <row r="85" spans="1:6" x14ac:dyDescent="0.25">
      <c r="A85" t="s">
        <v>531</v>
      </c>
      <c r="B85" t="s">
        <v>1640</v>
      </c>
      <c r="C85">
        <v>11707</v>
      </c>
      <c r="D85">
        <v>0</v>
      </c>
      <c r="E85">
        <v>0</v>
      </c>
      <c r="F85">
        <v>0</v>
      </c>
    </row>
    <row r="86" spans="1:6" x14ac:dyDescent="0.25">
      <c r="A86" t="s">
        <v>1583</v>
      </c>
      <c r="B86" t="s">
        <v>1641</v>
      </c>
      <c r="C86">
        <v>11708</v>
      </c>
      <c r="D86">
        <v>680036</v>
      </c>
      <c r="E86">
        <v>1435347</v>
      </c>
      <c r="F86">
        <v>2115383</v>
      </c>
    </row>
    <row r="87" spans="1:6" x14ac:dyDescent="0.25">
      <c r="B87" t="s">
        <v>1646</v>
      </c>
      <c r="D87">
        <v>6932098</v>
      </c>
      <c r="E87">
        <v>1561562</v>
      </c>
      <c r="F87">
        <v>8493660</v>
      </c>
    </row>
    <row r="88" spans="1:6" x14ac:dyDescent="0.25">
      <c r="B88" t="s">
        <v>1647</v>
      </c>
    </row>
    <row r="89" spans="1:6" x14ac:dyDescent="0.25">
      <c r="A89" t="s">
        <v>2</v>
      </c>
      <c r="B89" t="s">
        <v>1648</v>
      </c>
      <c r="C89">
        <v>11801</v>
      </c>
      <c r="D89">
        <v>0</v>
      </c>
      <c r="E89">
        <v>0</v>
      </c>
      <c r="F89">
        <v>0</v>
      </c>
    </row>
    <row r="90" spans="1:6" x14ac:dyDescent="0.25">
      <c r="A90" t="s">
        <v>15</v>
      </c>
      <c r="B90" t="s">
        <v>1649</v>
      </c>
      <c r="C90">
        <v>11802</v>
      </c>
      <c r="D90">
        <v>0</v>
      </c>
      <c r="E90">
        <v>0</v>
      </c>
      <c r="F90">
        <v>0</v>
      </c>
    </row>
    <row r="91" spans="1:6" x14ac:dyDescent="0.25">
      <c r="A91" t="s">
        <v>16</v>
      </c>
      <c r="B91" t="s">
        <v>1637</v>
      </c>
      <c r="C91">
        <v>11803</v>
      </c>
      <c r="D91">
        <v>0</v>
      </c>
      <c r="E91">
        <v>0</v>
      </c>
      <c r="F91">
        <v>0</v>
      </c>
    </row>
    <row r="92" spans="1:6" x14ac:dyDescent="0.25">
      <c r="A92" t="s">
        <v>25</v>
      </c>
      <c r="B92" t="s">
        <v>1638</v>
      </c>
      <c r="C92">
        <v>11804</v>
      </c>
      <c r="D92">
        <v>98</v>
      </c>
      <c r="E92">
        <v>0</v>
      </c>
      <c r="F92">
        <v>98</v>
      </c>
    </row>
    <row r="93" spans="1:6" x14ac:dyDescent="0.25">
      <c r="A93" t="s">
        <v>26</v>
      </c>
      <c r="B93" t="s">
        <v>1650</v>
      </c>
      <c r="C93">
        <v>11805</v>
      </c>
      <c r="D93">
        <v>0</v>
      </c>
      <c r="E93">
        <v>0</v>
      </c>
      <c r="F93">
        <v>0</v>
      </c>
    </row>
    <row r="94" spans="1:6" x14ac:dyDescent="0.25">
      <c r="A94" t="s">
        <v>27</v>
      </c>
      <c r="B94" t="s">
        <v>1651</v>
      </c>
      <c r="C94">
        <v>11806</v>
      </c>
      <c r="D94">
        <v>0</v>
      </c>
      <c r="E94">
        <v>0</v>
      </c>
      <c r="F94">
        <v>0</v>
      </c>
    </row>
    <row r="95" spans="1:6" x14ac:dyDescent="0.25">
      <c r="A95" t="s">
        <v>531</v>
      </c>
      <c r="B95" t="s">
        <v>1640</v>
      </c>
      <c r="C95">
        <v>11807</v>
      </c>
      <c r="D95">
        <v>0</v>
      </c>
      <c r="E95">
        <v>0</v>
      </c>
      <c r="F95">
        <v>0</v>
      </c>
    </row>
    <row r="96" spans="1:6" x14ac:dyDescent="0.25">
      <c r="A96" t="s">
        <v>1583</v>
      </c>
      <c r="B96" t="s">
        <v>1641</v>
      </c>
      <c r="C96">
        <v>11808</v>
      </c>
      <c r="D96">
        <v>0</v>
      </c>
      <c r="E96">
        <v>0</v>
      </c>
      <c r="F96">
        <v>0</v>
      </c>
    </row>
    <row r="97" spans="1:6" x14ac:dyDescent="0.25">
      <c r="B97" t="s">
        <v>1652</v>
      </c>
      <c r="D97">
        <v>98</v>
      </c>
      <c r="E97">
        <v>0</v>
      </c>
      <c r="F97">
        <v>98</v>
      </c>
    </row>
    <row r="98" spans="1:6" x14ac:dyDescent="0.25">
      <c r="B98" t="s">
        <v>1653</v>
      </c>
      <c r="D98">
        <v>31428617</v>
      </c>
      <c r="E98">
        <v>5906796</v>
      </c>
      <c r="F98">
        <v>37335413</v>
      </c>
    </row>
    <row r="99" spans="1:6" x14ac:dyDescent="0.25">
      <c r="B99" t="s">
        <v>1654</v>
      </c>
    </row>
    <row r="100" spans="1:6" x14ac:dyDescent="0.25">
      <c r="B100" t="s">
        <v>1575</v>
      </c>
    </row>
    <row r="101" spans="1:6" x14ac:dyDescent="0.25">
      <c r="A101" t="s">
        <v>2</v>
      </c>
      <c r="B101" t="s">
        <v>1576</v>
      </c>
      <c r="C101">
        <v>12101</v>
      </c>
      <c r="D101">
        <v>0</v>
      </c>
      <c r="E101">
        <v>0</v>
      </c>
      <c r="F101">
        <v>0</v>
      </c>
    </row>
    <row r="102" spans="1:6" x14ac:dyDescent="0.25">
      <c r="A102" t="s">
        <v>15</v>
      </c>
      <c r="B102" t="s">
        <v>1577</v>
      </c>
      <c r="C102">
        <v>12102</v>
      </c>
      <c r="D102">
        <v>0</v>
      </c>
      <c r="E102">
        <v>0</v>
      </c>
      <c r="F102">
        <v>0</v>
      </c>
    </row>
    <row r="103" spans="1:6" x14ac:dyDescent="0.25">
      <c r="A103" t="s">
        <v>16</v>
      </c>
      <c r="B103" t="s">
        <v>1578</v>
      </c>
      <c r="C103">
        <v>12103</v>
      </c>
      <c r="D103">
        <v>0</v>
      </c>
      <c r="E103">
        <v>0</v>
      </c>
      <c r="F103">
        <v>0</v>
      </c>
    </row>
    <row r="104" spans="1:6" x14ac:dyDescent="0.25">
      <c r="A104" t="s">
        <v>25</v>
      </c>
      <c r="B104" t="s">
        <v>1579</v>
      </c>
      <c r="C104">
        <v>12104</v>
      </c>
      <c r="D104">
        <v>0</v>
      </c>
      <c r="E104">
        <v>0</v>
      </c>
      <c r="F104">
        <v>0</v>
      </c>
    </row>
    <row r="105" spans="1:6" x14ac:dyDescent="0.25">
      <c r="A105" t="s">
        <v>26</v>
      </c>
      <c r="B105" t="s">
        <v>1580</v>
      </c>
      <c r="C105">
        <v>12105</v>
      </c>
      <c r="D105">
        <v>0</v>
      </c>
      <c r="E105">
        <v>0</v>
      </c>
      <c r="F105">
        <v>0</v>
      </c>
    </row>
    <row r="106" spans="1:6" x14ac:dyDescent="0.25">
      <c r="A106" t="s">
        <v>27</v>
      </c>
      <c r="B106" t="s">
        <v>1581</v>
      </c>
      <c r="C106">
        <v>12106</v>
      </c>
      <c r="D106">
        <v>0</v>
      </c>
      <c r="E106">
        <v>0</v>
      </c>
      <c r="F106">
        <v>0</v>
      </c>
    </row>
    <row r="107" spans="1:6" x14ac:dyDescent="0.25">
      <c r="A107" t="s">
        <v>531</v>
      </c>
      <c r="B107" t="s">
        <v>1582</v>
      </c>
      <c r="C107">
        <v>12107</v>
      </c>
      <c r="D107">
        <v>0</v>
      </c>
      <c r="E107">
        <v>0</v>
      </c>
      <c r="F107">
        <v>0</v>
      </c>
    </row>
    <row r="108" spans="1:6" x14ac:dyDescent="0.25">
      <c r="A108" t="s">
        <v>1583</v>
      </c>
      <c r="B108" t="s">
        <v>1584</v>
      </c>
      <c r="C108">
        <v>12108</v>
      </c>
      <c r="D108">
        <v>0</v>
      </c>
      <c r="E108">
        <v>0</v>
      </c>
      <c r="F108">
        <v>0</v>
      </c>
    </row>
    <row r="109" spans="1:6" x14ac:dyDescent="0.25">
      <c r="A109" t="s">
        <v>1585</v>
      </c>
      <c r="B109" t="s">
        <v>1586</v>
      </c>
      <c r="C109">
        <v>12109</v>
      </c>
      <c r="D109">
        <v>34</v>
      </c>
      <c r="E109">
        <v>0</v>
      </c>
      <c r="F109">
        <v>34</v>
      </c>
    </row>
    <row r="110" spans="1:6" x14ac:dyDescent="0.25">
      <c r="A110" t="s">
        <v>1587</v>
      </c>
      <c r="B110" t="s">
        <v>1588</v>
      </c>
      <c r="C110">
        <v>12110</v>
      </c>
      <c r="D110">
        <v>0</v>
      </c>
      <c r="E110">
        <v>0</v>
      </c>
      <c r="F110">
        <v>0</v>
      </c>
    </row>
    <row r="111" spans="1:6" x14ac:dyDescent="0.25">
      <c r="A111" t="s">
        <v>1589</v>
      </c>
      <c r="B111" t="s">
        <v>1590</v>
      </c>
      <c r="C111">
        <v>12111</v>
      </c>
      <c r="D111">
        <v>0</v>
      </c>
      <c r="E111">
        <v>0</v>
      </c>
      <c r="F111">
        <v>0</v>
      </c>
    </row>
    <row r="112" spans="1:6" x14ac:dyDescent="0.25">
      <c r="A112" t="s">
        <v>1591</v>
      </c>
      <c r="B112" t="s">
        <v>1592</v>
      </c>
      <c r="C112">
        <v>12112</v>
      </c>
      <c r="D112">
        <v>619</v>
      </c>
      <c r="E112">
        <v>0</v>
      </c>
      <c r="F112">
        <v>619</v>
      </c>
    </row>
    <row r="113" spans="1:6" x14ac:dyDescent="0.25">
      <c r="A113" t="s">
        <v>1593</v>
      </c>
      <c r="B113" t="s">
        <v>1594</v>
      </c>
      <c r="C113">
        <v>12113</v>
      </c>
      <c r="D113">
        <v>0</v>
      </c>
      <c r="E113">
        <v>0</v>
      </c>
      <c r="F113">
        <v>0</v>
      </c>
    </row>
    <row r="114" spans="1:6" x14ac:dyDescent="0.25">
      <c r="A114" t="s">
        <v>1595</v>
      </c>
      <c r="B114" t="s">
        <v>1596</v>
      </c>
      <c r="C114">
        <v>12114</v>
      </c>
      <c r="D114">
        <v>157</v>
      </c>
      <c r="E114">
        <v>0</v>
      </c>
      <c r="F114">
        <v>157</v>
      </c>
    </row>
    <row r="115" spans="1:6" x14ac:dyDescent="0.25">
      <c r="A115" t="s">
        <v>1597</v>
      </c>
      <c r="B115" t="s">
        <v>1598</v>
      </c>
      <c r="C115">
        <v>12115</v>
      </c>
      <c r="D115">
        <v>0</v>
      </c>
      <c r="E115">
        <v>0</v>
      </c>
      <c r="F115">
        <v>0</v>
      </c>
    </row>
    <row r="116" spans="1:6" x14ac:dyDescent="0.25">
      <c r="A116" t="s">
        <v>1599</v>
      </c>
      <c r="B116" t="s">
        <v>1600</v>
      </c>
      <c r="C116">
        <v>12116</v>
      </c>
      <c r="D116">
        <v>0</v>
      </c>
      <c r="E116">
        <v>0</v>
      </c>
      <c r="F116">
        <v>0</v>
      </c>
    </row>
    <row r="117" spans="1:6" x14ac:dyDescent="0.25">
      <c r="A117" t="s">
        <v>1601</v>
      </c>
      <c r="B117" t="s">
        <v>1602</v>
      </c>
      <c r="C117">
        <v>12117</v>
      </c>
      <c r="D117">
        <v>0</v>
      </c>
      <c r="E117">
        <v>0</v>
      </c>
      <c r="F117">
        <v>0</v>
      </c>
    </row>
    <row r="118" spans="1:6" x14ac:dyDescent="0.25">
      <c r="A118" t="s">
        <v>1603</v>
      </c>
      <c r="B118" t="s">
        <v>1604</v>
      </c>
      <c r="C118">
        <v>12118</v>
      </c>
      <c r="D118">
        <v>25000</v>
      </c>
      <c r="E118">
        <v>215911</v>
      </c>
      <c r="F118">
        <v>240911</v>
      </c>
    </row>
    <row r="119" spans="1:6" x14ac:dyDescent="0.25">
      <c r="A119" t="s">
        <v>1605</v>
      </c>
      <c r="B119" t="s">
        <v>1606</v>
      </c>
      <c r="C119">
        <v>12119</v>
      </c>
      <c r="D119">
        <v>9385</v>
      </c>
      <c r="E119">
        <v>129791</v>
      </c>
      <c r="F119">
        <v>139176</v>
      </c>
    </row>
    <row r="120" spans="1:6" x14ac:dyDescent="0.25">
      <c r="A120" t="s">
        <v>1607</v>
      </c>
      <c r="B120" t="s">
        <v>1608</v>
      </c>
      <c r="C120">
        <v>12120</v>
      </c>
      <c r="D120">
        <v>0</v>
      </c>
      <c r="E120">
        <v>0</v>
      </c>
      <c r="F120">
        <v>0</v>
      </c>
    </row>
    <row r="121" spans="1:6" x14ac:dyDescent="0.25">
      <c r="B121" t="s">
        <v>1655</v>
      </c>
      <c r="D121">
        <v>35195</v>
      </c>
      <c r="E121">
        <v>345702</v>
      </c>
      <c r="F121">
        <v>380897</v>
      </c>
    </row>
    <row r="122" spans="1:6" x14ac:dyDescent="0.25">
      <c r="B122" t="s">
        <v>1656</v>
      </c>
    </row>
    <row r="123" spans="1:6" x14ac:dyDescent="0.25">
      <c r="A123" t="s">
        <v>2</v>
      </c>
      <c r="B123" t="s">
        <v>1611</v>
      </c>
      <c r="C123">
        <v>12201</v>
      </c>
      <c r="D123">
        <v>0</v>
      </c>
      <c r="E123">
        <v>0</v>
      </c>
      <c r="F123">
        <v>0</v>
      </c>
    </row>
    <row r="124" spans="1:6" x14ac:dyDescent="0.25">
      <c r="A124" t="s">
        <v>15</v>
      </c>
      <c r="B124" t="s">
        <v>1612</v>
      </c>
      <c r="C124">
        <v>12202</v>
      </c>
      <c r="D124">
        <v>0</v>
      </c>
      <c r="E124">
        <v>0</v>
      </c>
      <c r="F124">
        <v>0</v>
      </c>
    </row>
    <row r="125" spans="1:6" x14ac:dyDescent="0.25">
      <c r="A125" t="s">
        <v>16</v>
      </c>
      <c r="B125" t="s">
        <v>1613</v>
      </c>
      <c r="C125">
        <v>12203</v>
      </c>
      <c r="D125">
        <v>0</v>
      </c>
      <c r="E125">
        <v>0</v>
      </c>
      <c r="F125">
        <v>0</v>
      </c>
    </row>
    <row r="126" spans="1:6" x14ac:dyDescent="0.25">
      <c r="A126" t="s">
        <v>25</v>
      </c>
      <c r="B126" t="s">
        <v>1614</v>
      </c>
      <c r="C126">
        <v>12204</v>
      </c>
      <c r="D126">
        <v>0</v>
      </c>
      <c r="E126">
        <v>0</v>
      </c>
      <c r="F126">
        <v>0</v>
      </c>
    </row>
    <row r="127" spans="1:6" x14ac:dyDescent="0.25">
      <c r="A127" t="s">
        <v>26</v>
      </c>
      <c r="B127" t="s">
        <v>1615</v>
      </c>
      <c r="C127">
        <v>12205</v>
      </c>
      <c r="D127">
        <v>0</v>
      </c>
      <c r="E127">
        <v>0</v>
      </c>
      <c r="F127">
        <v>0</v>
      </c>
    </row>
    <row r="128" spans="1:6" x14ac:dyDescent="0.25">
      <c r="A128" t="s">
        <v>27</v>
      </c>
      <c r="B128" t="s">
        <v>1616</v>
      </c>
      <c r="C128">
        <v>12206</v>
      </c>
      <c r="D128">
        <v>0</v>
      </c>
      <c r="E128">
        <v>0</v>
      </c>
      <c r="F128">
        <v>0</v>
      </c>
    </row>
    <row r="129" spans="1:6" x14ac:dyDescent="0.25">
      <c r="A129" t="s">
        <v>531</v>
      </c>
      <c r="B129" t="s">
        <v>1617</v>
      </c>
      <c r="C129">
        <v>12207</v>
      </c>
      <c r="D129">
        <v>0</v>
      </c>
      <c r="E129">
        <v>0</v>
      </c>
      <c r="F129">
        <v>0</v>
      </c>
    </row>
    <row r="130" spans="1:6" x14ac:dyDescent="0.25">
      <c r="A130" t="s">
        <v>1583</v>
      </c>
      <c r="B130" t="s">
        <v>1618</v>
      </c>
      <c r="C130">
        <v>12208</v>
      </c>
      <c r="D130">
        <v>0</v>
      </c>
      <c r="E130">
        <v>0</v>
      </c>
      <c r="F130">
        <v>0</v>
      </c>
    </row>
    <row r="131" spans="1:6" x14ac:dyDescent="0.25">
      <c r="A131" t="s">
        <v>1585</v>
      </c>
      <c r="B131" t="s">
        <v>1619</v>
      </c>
      <c r="C131">
        <v>12209</v>
      </c>
      <c r="D131">
        <v>0</v>
      </c>
      <c r="E131">
        <v>0</v>
      </c>
      <c r="F131">
        <v>0</v>
      </c>
    </row>
    <row r="132" spans="1:6" x14ac:dyDescent="0.25">
      <c r="A132" t="s">
        <v>1587</v>
      </c>
      <c r="B132" t="s">
        <v>1620</v>
      </c>
      <c r="C132">
        <v>12210</v>
      </c>
      <c r="D132">
        <v>0</v>
      </c>
      <c r="E132">
        <v>0</v>
      </c>
      <c r="F132">
        <v>0</v>
      </c>
    </row>
    <row r="133" spans="1:6" x14ac:dyDescent="0.25">
      <c r="A133" t="s">
        <v>1589</v>
      </c>
      <c r="B133" t="s">
        <v>1621</v>
      </c>
      <c r="C133">
        <v>12211</v>
      </c>
      <c r="D133">
        <v>0</v>
      </c>
      <c r="E133">
        <v>0</v>
      </c>
      <c r="F133">
        <v>0</v>
      </c>
    </row>
    <row r="134" spans="1:6" x14ac:dyDescent="0.25">
      <c r="A134" t="s">
        <v>1591</v>
      </c>
      <c r="B134" t="s">
        <v>1622</v>
      </c>
      <c r="C134">
        <v>12212</v>
      </c>
      <c r="D134">
        <v>0</v>
      </c>
      <c r="E134">
        <v>0</v>
      </c>
      <c r="F134">
        <v>0</v>
      </c>
    </row>
    <row r="135" spans="1:6" x14ac:dyDescent="0.25">
      <c r="A135" t="s">
        <v>1593</v>
      </c>
      <c r="B135" t="s">
        <v>1623</v>
      </c>
      <c r="C135">
        <v>12213</v>
      </c>
      <c r="D135">
        <v>0</v>
      </c>
      <c r="E135">
        <v>0</v>
      </c>
      <c r="F135">
        <v>0</v>
      </c>
    </row>
    <row r="136" spans="1:6" x14ac:dyDescent="0.25">
      <c r="A136" t="s">
        <v>1595</v>
      </c>
      <c r="B136" t="s">
        <v>1624</v>
      </c>
      <c r="C136">
        <v>12214</v>
      </c>
      <c r="D136">
        <v>0</v>
      </c>
      <c r="E136">
        <v>0</v>
      </c>
      <c r="F136">
        <v>0</v>
      </c>
    </row>
    <row r="137" spans="1:6" x14ac:dyDescent="0.25">
      <c r="A137" t="s">
        <v>1597</v>
      </c>
      <c r="B137" t="s">
        <v>1625</v>
      </c>
      <c r="C137">
        <v>12215</v>
      </c>
      <c r="D137">
        <v>0</v>
      </c>
      <c r="E137">
        <v>0</v>
      </c>
      <c r="F137">
        <v>0</v>
      </c>
    </row>
    <row r="138" spans="1:6" x14ac:dyDescent="0.25">
      <c r="A138" t="s">
        <v>1599</v>
      </c>
      <c r="B138" t="s">
        <v>1626</v>
      </c>
      <c r="C138">
        <v>12216</v>
      </c>
      <c r="D138">
        <v>0</v>
      </c>
      <c r="E138">
        <v>644</v>
      </c>
      <c r="F138">
        <v>644</v>
      </c>
    </row>
    <row r="139" spans="1:6" x14ac:dyDescent="0.25">
      <c r="A139" t="s">
        <v>1601</v>
      </c>
      <c r="B139" t="s">
        <v>1627</v>
      </c>
      <c r="C139">
        <v>12217</v>
      </c>
      <c r="D139">
        <v>0</v>
      </c>
      <c r="E139">
        <v>0</v>
      </c>
      <c r="F139">
        <v>0</v>
      </c>
    </row>
    <row r="140" spans="1:6" x14ac:dyDescent="0.25">
      <c r="A140" t="s">
        <v>1603</v>
      </c>
      <c r="B140" t="s">
        <v>1596</v>
      </c>
      <c r="C140">
        <v>12218</v>
      </c>
      <c r="D140">
        <v>0</v>
      </c>
      <c r="E140">
        <v>0</v>
      </c>
      <c r="F140">
        <v>0</v>
      </c>
    </row>
    <row r="141" spans="1:6" x14ac:dyDescent="0.25">
      <c r="A141" t="s">
        <v>1605</v>
      </c>
      <c r="B141" t="s">
        <v>1598</v>
      </c>
      <c r="C141">
        <v>12219</v>
      </c>
      <c r="D141">
        <v>0</v>
      </c>
      <c r="E141">
        <v>0</v>
      </c>
      <c r="F141">
        <v>0</v>
      </c>
    </row>
    <row r="142" spans="1:6" x14ac:dyDescent="0.25">
      <c r="A142" t="s">
        <v>1607</v>
      </c>
      <c r="B142" t="s">
        <v>1602</v>
      </c>
      <c r="C142">
        <v>12220</v>
      </c>
      <c r="D142">
        <v>0</v>
      </c>
      <c r="E142">
        <v>0</v>
      </c>
      <c r="F142">
        <v>0</v>
      </c>
    </row>
    <row r="143" spans="1:6" x14ac:dyDescent="0.25">
      <c r="B143" t="s">
        <v>1657</v>
      </c>
      <c r="D143">
        <v>0</v>
      </c>
      <c r="E143">
        <v>644</v>
      </c>
      <c r="F143">
        <v>644</v>
      </c>
    </row>
    <row r="144" spans="1:6" x14ac:dyDescent="0.25">
      <c r="B144" t="s">
        <v>1658</v>
      </c>
    </row>
    <row r="145" spans="1:6" x14ac:dyDescent="0.25">
      <c r="A145" t="s">
        <v>2</v>
      </c>
      <c r="B145" t="s">
        <v>1627</v>
      </c>
      <c r="C145">
        <v>12301</v>
      </c>
      <c r="D145">
        <v>0</v>
      </c>
      <c r="E145">
        <v>0</v>
      </c>
      <c r="F145">
        <v>0</v>
      </c>
    </row>
    <row r="146" spans="1:6" x14ac:dyDescent="0.25">
      <c r="A146" t="s">
        <v>15</v>
      </c>
      <c r="B146" t="s">
        <v>1625</v>
      </c>
      <c r="C146">
        <v>12302</v>
      </c>
      <c r="D146">
        <v>0</v>
      </c>
      <c r="E146">
        <v>0</v>
      </c>
      <c r="F146">
        <v>0</v>
      </c>
    </row>
    <row r="147" spans="1:6" x14ac:dyDescent="0.25">
      <c r="A147" t="s">
        <v>16</v>
      </c>
      <c r="B147" t="s">
        <v>1626</v>
      </c>
      <c r="C147">
        <v>12303</v>
      </c>
      <c r="D147">
        <v>0</v>
      </c>
      <c r="E147">
        <v>0</v>
      </c>
      <c r="F147">
        <v>0</v>
      </c>
    </row>
    <row r="148" spans="1:6" x14ac:dyDescent="0.25">
      <c r="B148" t="s">
        <v>1659</v>
      </c>
      <c r="D148">
        <v>0</v>
      </c>
      <c r="E148">
        <v>0</v>
      </c>
      <c r="F148">
        <v>0</v>
      </c>
    </row>
    <row r="149" spans="1:6" x14ac:dyDescent="0.25">
      <c r="B149" t="s">
        <v>1660</v>
      </c>
      <c r="D149">
        <v>35195</v>
      </c>
      <c r="E149">
        <v>346346</v>
      </c>
      <c r="F149">
        <v>381541</v>
      </c>
    </row>
    <row r="150" spans="1:6" x14ac:dyDescent="0.25">
      <c r="B150" t="s">
        <v>2289</v>
      </c>
    </row>
    <row r="151" spans="1:6" x14ac:dyDescent="0.25">
      <c r="B151" t="s">
        <v>1575</v>
      </c>
    </row>
    <row r="152" spans="1:6" x14ac:dyDescent="0.25">
      <c r="A152" t="s">
        <v>2</v>
      </c>
      <c r="B152" t="s">
        <v>1576</v>
      </c>
      <c r="C152">
        <v>13101</v>
      </c>
      <c r="D152">
        <v>0</v>
      </c>
      <c r="E152">
        <v>0</v>
      </c>
      <c r="F152">
        <v>0</v>
      </c>
    </row>
    <row r="153" spans="1:6" x14ac:dyDescent="0.25">
      <c r="A153" t="s">
        <v>15</v>
      </c>
      <c r="B153" t="s">
        <v>1577</v>
      </c>
      <c r="C153">
        <v>13102</v>
      </c>
      <c r="D153">
        <v>0</v>
      </c>
      <c r="E153">
        <v>0</v>
      </c>
      <c r="F153">
        <v>0</v>
      </c>
    </row>
    <row r="154" spans="1:6" x14ac:dyDescent="0.25">
      <c r="A154" t="s">
        <v>16</v>
      </c>
      <c r="B154" t="s">
        <v>1578</v>
      </c>
      <c r="C154">
        <v>13103</v>
      </c>
      <c r="D154">
        <v>0</v>
      </c>
      <c r="E154">
        <v>0</v>
      </c>
      <c r="F154">
        <v>0</v>
      </c>
    </row>
    <row r="155" spans="1:6" x14ac:dyDescent="0.25">
      <c r="A155" t="s">
        <v>25</v>
      </c>
      <c r="B155" t="s">
        <v>1579</v>
      </c>
      <c r="C155">
        <v>13104</v>
      </c>
      <c r="D155">
        <v>0</v>
      </c>
      <c r="E155">
        <v>0</v>
      </c>
      <c r="F155">
        <v>0</v>
      </c>
    </row>
    <row r="156" spans="1:6" x14ac:dyDescent="0.25">
      <c r="A156" t="s">
        <v>26</v>
      </c>
      <c r="B156" t="s">
        <v>1580</v>
      </c>
      <c r="C156">
        <v>13105</v>
      </c>
      <c r="D156">
        <v>0</v>
      </c>
      <c r="E156">
        <v>0</v>
      </c>
      <c r="F156">
        <v>0</v>
      </c>
    </row>
    <row r="157" spans="1:6" x14ac:dyDescent="0.25">
      <c r="A157" t="s">
        <v>27</v>
      </c>
      <c r="B157" t="s">
        <v>1581</v>
      </c>
      <c r="C157">
        <v>13106</v>
      </c>
      <c r="D157">
        <v>0</v>
      </c>
      <c r="E157">
        <v>0</v>
      </c>
      <c r="F157">
        <v>0</v>
      </c>
    </row>
    <row r="158" spans="1:6" x14ac:dyDescent="0.25">
      <c r="A158" t="s">
        <v>531</v>
      </c>
      <c r="B158" t="s">
        <v>1582</v>
      </c>
      <c r="C158">
        <v>13107</v>
      </c>
      <c r="D158">
        <v>0</v>
      </c>
      <c r="E158">
        <v>0</v>
      </c>
      <c r="F158">
        <v>0</v>
      </c>
    </row>
    <row r="159" spans="1:6" x14ac:dyDescent="0.25">
      <c r="A159" t="s">
        <v>1583</v>
      </c>
      <c r="B159" t="s">
        <v>1584</v>
      </c>
      <c r="C159">
        <v>13108</v>
      </c>
      <c r="D159">
        <v>0</v>
      </c>
      <c r="E159">
        <v>0</v>
      </c>
      <c r="F159">
        <v>0</v>
      </c>
    </row>
    <row r="160" spans="1:6" x14ac:dyDescent="0.25">
      <c r="A160" t="s">
        <v>1585</v>
      </c>
      <c r="B160" t="s">
        <v>1586</v>
      </c>
      <c r="C160">
        <v>13109</v>
      </c>
      <c r="D160">
        <v>0</v>
      </c>
      <c r="E160">
        <v>0</v>
      </c>
      <c r="F160">
        <v>0</v>
      </c>
    </row>
    <row r="161" spans="1:6" x14ac:dyDescent="0.25">
      <c r="A161" t="s">
        <v>1587</v>
      </c>
      <c r="B161" t="s">
        <v>1588</v>
      </c>
      <c r="C161">
        <v>13110</v>
      </c>
      <c r="D161">
        <v>0</v>
      </c>
      <c r="E161">
        <v>0</v>
      </c>
      <c r="F161">
        <v>0</v>
      </c>
    </row>
    <row r="162" spans="1:6" x14ac:dyDescent="0.25">
      <c r="A162" t="s">
        <v>1589</v>
      </c>
      <c r="B162" t="s">
        <v>1590</v>
      </c>
      <c r="C162">
        <v>13111</v>
      </c>
      <c r="D162">
        <v>439</v>
      </c>
      <c r="E162">
        <v>0</v>
      </c>
      <c r="F162">
        <v>439</v>
      </c>
    </row>
    <row r="163" spans="1:6" x14ac:dyDescent="0.25">
      <c r="A163" t="s">
        <v>1591</v>
      </c>
      <c r="B163" t="s">
        <v>1592</v>
      </c>
      <c r="C163">
        <v>13112</v>
      </c>
      <c r="D163">
        <v>524026</v>
      </c>
      <c r="E163">
        <v>0</v>
      </c>
      <c r="F163">
        <v>524026</v>
      </c>
    </row>
    <row r="164" spans="1:6" x14ac:dyDescent="0.25">
      <c r="A164" t="s">
        <v>1593</v>
      </c>
      <c r="B164" t="s">
        <v>1594</v>
      </c>
      <c r="C164">
        <v>13113</v>
      </c>
      <c r="D164">
        <v>0</v>
      </c>
      <c r="E164">
        <v>0</v>
      </c>
      <c r="F164">
        <v>0</v>
      </c>
    </row>
    <row r="165" spans="1:6" x14ac:dyDescent="0.25">
      <c r="A165" t="s">
        <v>1595</v>
      </c>
      <c r="B165" t="s">
        <v>1596</v>
      </c>
      <c r="C165">
        <v>13114</v>
      </c>
      <c r="D165">
        <v>68490</v>
      </c>
      <c r="E165">
        <v>0</v>
      </c>
      <c r="F165">
        <v>68490</v>
      </c>
    </row>
    <row r="166" spans="1:6" x14ac:dyDescent="0.25">
      <c r="A166" t="s">
        <v>1597</v>
      </c>
      <c r="B166" t="s">
        <v>1598</v>
      </c>
      <c r="C166">
        <v>13115</v>
      </c>
      <c r="D166">
        <v>128018</v>
      </c>
      <c r="E166">
        <v>0</v>
      </c>
      <c r="F166">
        <v>128018</v>
      </c>
    </row>
    <row r="167" spans="1:6" x14ac:dyDescent="0.25">
      <c r="A167" t="s">
        <v>1599</v>
      </c>
      <c r="B167" t="s">
        <v>1600</v>
      </c>
      <c r="C167">
        <v>13116</v>
      </c>
      <c r="D167">
        <v>0</v>
      </c>
      <c r="E167">
        <v>0</v>
      </c>
      <c r="F167">
        <v>0</v>
      </c>
    </row>
    <row r="168" spans="1:6" x14ac:dyDescent="0.25">
      <c r="A168" t="s">
        <v>1601</v>
      </c>
      <c r="B168" t="s">
        <v>1602</v>
      </c>
      <c r="C168">
        <v>13117</v>
      </c>
      <c r="D168">
        <v>0</v>
      </c>
      <c r="E168">
        <v>0</v>
      </c>
      <c r="F168">
        <v>0</v>
      </c>
    </row>
    <row r="169" spans="1:6" x14ac:dyDescent="0.25">
      <c r="A169" t="s">
        <v>1603</v>
      </c>
      <c r="B169" t="s">
        <v>1604</v>
      </c>
      <c r="C169">
        <v>13118</v>
      </c>
      <c r="D169">
        <v>171</v>
      </c>
      <c r="E169">
        <v>0</v>
      </c>
      <c r="F169">
        <v>171</v>
      </c>
    </row>
    <row r="170" spans="1:6" x14ac:dyDescent="0.25">
      <c r="A170" t="s">
        <v>1605</v>
      </c>
      <c r="B170" t="s">
        <v>1606</v>
      </c>
      <c r="C170">
        <v>13119</v>
      </c>
      <c r="D170">
        <v>8444</v>
      </c>
      <c r="E170">
        <v>0</v>
      </c>
      <c r="F170">
        <v>8444</v>
      </c>
    </row>
    <row r="171" spans="1:6" x14ac:dyDescent="0.25">
      <c r="A171" t="s">
        <v>1607</v>
      </c>
      <c r="B171" t="s">
        <v>1608</v>
      </c>
      <c r="C171">
        <v>13120</v>
      </c>
      <c r="D171">
        <v>0</v>
      </c>
      <c r="E171">
        <v>0</v>
      </c>
      <c r="F171">
        <v>0</v>
      </c>
    </row>
    <row r="172" spans="1:6" x14ac:dyDescent="0.25">
      <c r="B172" t="s">
        <v>1662</v>
      </c>
      <c r="D172">
        <v>729588</v>
      </c>
      <c r="E172">
        <v>0</v>
      </c>
      <c r="F172">
        <v>729588</v>
      </c>
    </row>
    <row r="173" spans="1:6" x14ac:dyDescent="0.25">
      <c r="B173" t="s">
        <v>1656</v>
      </c>
    </row>
    <row r="174" spans="1:6" x14ac:dyDescent="0.25">
      <c r="A174" t="s">
        <v>2</v>
      </c>
      <c r="B174" t="s">
        <v>1611</v>
      </c>
      <c r="C174">
        <v>13201</v>
      </c>
      <c r="D174">
        <v>0</v>
      </c>
      <c r="E174">
        <v>0</v>
      </c>
      <c r="F174">
        <v>0</v>
      </c>
    </row>
    <row r="175" spans="1:6" x14ac:dyDescent="0.25">
      <c r="A175" t="s">
        <v>15</v>
      </c>
      <c r="B175" t="s">
        <v>1612</v>
      </c>
      <c r="C175">
        <v>13202</v>
      </c>
      <c r="D175">
        <v>0</v>
      </c>
      <c r="E175">
        <v>0</v>
      </c>
      <c r="F175">
        <v>0</v>
      </c>
    </row>
    <row r="176" spans="1:6" x14ac:dyDescent="0.25">
      <c r="A176" t="s">
        <v>16</v>
      </c>
      <c r="B176" t="s">
        <v>1613</v>
      </c>
      <c r="C176">
        <v>13203</v>
      </c>
      <c r="D176">
        <v>0</v>
      </c>
      <c r="E176">
        <v>0</v>
      </c>
      <c r="F176">
        <v>0</v>
      </c>
    </row>
    <row r="177" spans="1:6" x14ac:dyDescent="0.25">
      <c r="A177" t="s">
        <v>25</v>
      </c>
      <c r="B177" t="s">
        <v>1614</v>
      </c>
      <c r="C177">
        <v>13204</v>
      </c>
      <c r="D177">
        <v>0</v>
      </c>
      <c r="E177">
        <v>0</v>
      </c>
      <c r="F177">
        <v>0</v>
      </c>
    </row>
    <row r="178" spans="1:6" x14ac:dyDescent="0.25">
      <c r="A178" t="s">
        <v>26</v>
      </c>
      <c r="B178" t="s">
        <v>1615</v>
      </c>
      <c r="C178">
        <v>13205</v>
      </c>
      <c r="D178">
        <v>0</v>
      </c>
      <c r="E178">
        <v>0</v>
      </c>
      <c r="F178">
        <v>0</v>
      </c>
    </row>
    <row r="179" spans="1:6" x14ac:dyDescent="0.25">
      <c r="A179" t="s">
        <v>27</v>
      </c>
      <c r="B179" t="s">
        <v>1616</v>
      </c>
      <c r="C179">
        <v>13206</v>
      </c>
      <c r="D179">
        <v>0</v>
      </c>
      <c r="E179">
        <v>0</v>
      </c>
      <c r="F179">
        <v>0</v>
      </c>
    </row>
    <row r="180" spans="1:6" x14ac:dyDescent="0.25">
      <c r="A180" t="s">
        <v>531</v>
      </c>
      <c r="B180" t="s">
        <v>1617</v>
      </c>
      <c r="C180">
        <v>13207</v>
      </c>
      <c r="D180">
        <v>0</v>
      </c>
      <c r="E180">
        <v>0</v>
      </c>
      <c r="F180">
        <v>0</v>
      </c>
    </row>
    <row r="181" spans="1:6" x14ac:dyDescent="0.25">
      <c r="A181" t="s">
        <v>1583</v>
      </c>
      <c r="B181" t="s">
        <v>1618</v>
      </c>
      <c r="C181">
        <v>13208</v>
      </c>
      <c r="D181">
        <v>0</v>
      </c>
      <c r="E181">
        <v>0</v>
      </c>
      <c r="F181">
        <v>0</v>
      </c>
    </row>
    <row r="182" spans="1:6" x14ac:dyDescent="0.25">
      <c r="A182" t="s">
        <v>1585</v>
      </c>
      <c r="B182" t="s">
        <v>1619</v>
      </c>
      <c r="C182">
        <v>13209</v>
      </c>
      <c r="D182">
        <v>0</v>
      </c>
      <c r="E182">
        <v>0</v>
      </c>
      <c r="F182">
        <v>0</v>
      </c>
    </row>
    <row r="183" spans="1:6" x14ac:dyDescent="0.25">
      <c r="A183" t="s">
        <v>1587</v>
      </c>
      <c r="B183" t="s">
        <v>1620</v>
      </c>
      <c r="C183">
        <v>13210</v>
      </c>
      <c r="D183">
        <v>0</v>
      </c>
      <c r="E183">
        <v>0</v>
      </c>
      <c r="F183">
        <v>0</v>
      </c>
    </row>
    <row r="184" spans="1:6" x14ac:dyDescent="0.25">
      <c r="A184" t="s">
        <v>1589</v>
      </c>
      <c r="B184" t="s">
        <v>1621</v>
      </c>
      <c r="C184">
        <v>13211</v>
      </c>
      <c r="D184">
        <v>0</v>
      </c>
      <c r="E184">
        <v>0</v>
      </c>
      <c r="F184">
        <v>0</v>
      </c>
    </row>
    <row r="185" spans="1:6" x14ac:dyDescent="0.25">
      <c r="A185" t="s">
        <v>1591</v>
      </c>
      <c r="B185" t="s">
        <v>1622</v>
      </c>
      <c r="C185">
        <v>13212</v>
      </c>
      <c r="D185">
        <v>1097</v>
      </c>
      <c r="E185">
        <v>0</v>
      </c>
      <c r="F185">
        <v>1097</v>
      </c>
    </row>
    <row r="186" spans="1:6" x14ac:dyDescent="0.25">
      <c r="A186" t="s">
        <v>1593</v>
      </c>
      <c r="B186" t="s">
        <v>1623</v>
      </c>
      <c r="C186">
        <v>13213</v>
      </c>
      <c r="D186">
        <v>0</v>
      </c>
      <c r="E186">
        <v>0</v>
      </c>
      <c r="F186">
        <v>0</v>
      </c>
    </row>
    <row r="187" spans="1:6" x14ac:dyDescent="0.25">
      <c r="A187" t="s">
        <v>1595</v>
      </c>
      <c r="B187" t="s">
        <v>1624</v>
      </c>
      <c r="C187">
        <v>13214</v>
      </c>
      <c r="D187">
        <v>0</v>
      </c>
      <c r="E187">
        <v>0</v>
      </c>
      <c r="F187">
        <v>0</v>
      </c>
    </row>
    <row r="188" spans="1:6" x14ac:dyDescent="0.25">
      <c r="A188" t="s">
        <v>1597</v>
      </c>
      <c r="B188" t="s">
        <v>1625</v>
      </c>
      <c r="C188">
        <v>13215</v>
      </c>
      <c r="D188">
        <v>0</v>
      </c>
      <c r="E188">
        <v>0</v>
      </c>
      <c r="F188">
        <v>0</v>
      </c>
    </row>
    <row r="189" spans="1:6" x14ac:dyDescent="0.25">
      <c r="A189" t="s">
        <v>1599</v>
      </c>
      <c r="B189" t="s">
        <v>1626</v>
      </c>
      <c r="C189">
        <v>13216</v>
      </c>
      <c r="D189">
        <v>0</v>
      </c>
      <c r="E189">
        <v>0</v>
      </c>
      <c r="F189">
        <v>0</v>
      </c>
    </row>
    <row r="190" spans="1:6" x14ac:dyDescent="0.25">
      <c r="A190" t="s">
        <v>1601</v>
      </c>
      <c r="B190" t="s">
        <v>1627</v>
      </c>
      <c r="C190">
        <v>13217</v>
      </c>
      <c r="D190">
        <v>0</v>
      </c>
      <c r="E190">
        <v>0</v>
      </c>
      <c r="F190">
        <v>0</v>
      </c>
    </row>
    <row r="191" spans="1:6" x14ac:dyDescent="0.25">
      <c r="A191" t="s">
        <v>1603</v>
      </c>
      <c r="B191" t="s">
        <v>1596</v>
      </c>
      <c r="C191">
        <v>13218</v>
      </c>
      <c r="D191">
        <v>0</v>
      </c>
      <c r="E191">
        <v>0</v>
      </c>
      <c r="F191">
        <v>0</v>
      </c>
    </row>
    <row r="192" spans="1:6" x14ac:dyDescent="0.25">
      <c r="A192" t="s">
        <v>1605</v>
      </c>
      <c r="B192" t="s">
        <v>1598</v>
      </c>
      <c r="C192">
        <v>13219</v>
      </c>
      <c r="D192">
        <v>0</v>
      </c>
      <c r="E192">
        <v>0</v>
      </c>
      <c r="F192">
        <v>0</v>
      </c>
    </row>
    <row r="193" spans="1:6" x14ac:dyDescent="0.25">
      <c r="A193" t="s">
        <v>1607</v>
      </c>
      <c r="B193" t="s">
        <v>1602</v>
      </c>
      <c r="C193">
        <v>13220</v>
      </c>
      <c r="D193">
        <v>0</v>
      </c>
      <c r="E193">
        <v>0</v>
      </c>
      <c r="F193">
        <v>0</v>
      </c>
    </row>
    <row r="194" spans="1:6" x14ac:dyDescent="0.25">
      <c r="B194" t="s">
        <v>1663</v>
      </c>
      <c r="D194">
        <v>1097</v>
      </c>
      <c r="E194">
        <v>0</v>
      </c>
      <c r="F194">
        <v>1097</v>
      </c>
    </row>
    <row r="195" spans="1:6" x14ac:dyDescent="0.25">
      <c r="B195" t="s">
        <v>1629</v>
      </c>
    </row>
    <row r="196" spans="1:6" x14ac:dyDescent="0.25">
      <c r="A196" t="s">
        <v>2</v>
      </c>
      <c r="B196" t="s">
        <v>1627</v>
      </c>
      <c r="C196">
        <v>13301</v>
      </c>
      <c r="D196">
        <v>0</v>
      </c>
      <c r="E196">
        <v>0</v>
      </c>
      <c r="F196">
        <v>0</v>
      </c>
    </row>
    <row r="197" spans="1:6" x14ac:dyDescent="0.25">
      <c r="A197" t="s">
        <v>15</v>
      </c>
      <c r="B197" t="s">
        <v>1625</v>
      </c>
      <c r="C197">
        <v>13302</v>
      </c>
      <c r="D197">
        <v>0</v>
      </c>
      <c r="E197">
        <v>0</v>
      </c>
      <c r="F197">
        <v>0</v>
      </c>
    </row>
    <row r="198" spans="1:6" x14ac:dyDescent="0.25">
      <c r="A198" t="s">
        <v>16</v>
      </c>
      <c r="B198" t="s">
        <v>1626</v>
      </c>
      <c r="C198">
        <v>13303</v>
      </c>
      <c r="D198">
        <v>0</v>
      </c>
      <c r="E198">
        <v>0</v>
      </c>
      <c r="F198">
        <v>0</v>
      </c>
    </row>
    <row r="199" spans="1:6" x14ac:dyDescent="0.25">
      <c r="B199" t="s">
        <v>1664</v>
      </c>
      <c r="D199">
        <v>0</v>
      </c>
      <c r="E199">
        <v>0</v>
      </c>
      <c r="F199">
        <v>0</v>
      </c>
    </row>
    <row r="200" spans="1:6" x14ac:dyDescent="0.25">
      <c r="B200" t="s">
        <v>1631</v>
      </c>
    </row>
    <row r="201" spans="1:6" x14ac:dyDescent="0.25">
      <c r="A201" t="s">
        <v>2</v>
      </c>
      <c r="B201" t="s">
        <v>1627</v>
      </c>
      <c r="C201">
        <v>13401</v>
      </c>
      <c r="D201">
        <v>0</v>
      </c>
      <c r="E201">
        <v>0</v>
      </c>
      <c r="F201">
        <v>0</v>
      </c>
    </row>
    <row r="202" spans="1:6" x14ac:dyDescent="0.25">
      <c r="A202" t="s">
        <v>15</v>
      </c>
      <c r="B202" t="s">
        <v>1625</v>
      </c>
      <c r="C202">
        <v>13402</v>
      </c>
      <c r="D202">
        <v>0</v>
      </c>
      <c r="E202">
        <v>0</v>
      </c>
      <c r="F202">
        <v>0</v>
      </c>
    </row>
    <row r="203" spans="1:6" x14ac:dyDescent="0.25">
      <c r="A203" t="s">
        <v>16</v>
      </c>
      <c r="B203" t="s">
        <v>1626</v>
      </c>
      <c r="C203">
        <v>13403</v>
      </c>
      <c r="D203">
        <v>0</v>
      </c>
      <c r="E203">
        <v>0</v>
      </c>
      <c r="F203">
        <v>0</v>
      </c>
    </row>
    <row r="204" spans="1:6" x14ac:dyDescent="0.25">
      <c r="B204" t="s">
        <v>1665</v>
      </c>
      <c r="D204">
        <v>0</v>
      </c>
      <c r="E204">
        <v>0</v>
      </c>
      <c r="F204">
        <v>0</v>
      </c>
    </row>
    <row r="205" spans="1:6" x14ac:dyDescent="0.25">
      <c r="B205" t="s">
        <v>1633</v>
      </c>
    </row>
    <row r="206" spans="1:6" x14ac:dyDescent="0.25">
      <c r="A206" t="s">
        <v>2</v>
      </c>
      <c r="B206" t="s">
        <v>1634</v>
      </c>
      <c r="C206">
        <v>13501</v>
      </c>
      <c r="D206">
        <v>0</v>
      </c>
      <c r="E206">
        <v>0</v>
      </c>
      <c r="F206">
        <v>0</v>
      </c>
    </row>
    <row r="207" spans="1:6" x14ac:dyDescent="0.25">
      <c r="A207" t="s">
        <v>15</v>
      </c>
      <c r="B207" t="s">
        <v>1635</v>
      </c>
      <c r="C207">
        <v>13502</v>
      </c>
      <c r="D207">
        <v>0</v>
      </c>
      <c r="E207">
        <v>0</v>
      </c>
      <c r="F207">
        <v>0</v>
      </c>
    </row>
    <row r="208" spans="1:6" x14ac:dyDescent="0.25">
      <c r="A208" t="s">
        <v>16</v>
      </c>
      <c r="B208" t="s">
        <v>1636</v>
      </c>
      <c r="C208">
        <v>13503</v>
      </c>
      <c r="D208">
        <v>0</v>
      </c>
      <c r="E208">
        <v>0</v>
      </c>
      <c r="F208">
        <v>0</v>
      </c>
    </row>
    <row r="209" spans="1:6" x14ac:dyDescent="0.25">
      <c r="A209" t="s">
        <v>25</v>
      </c>
      <c r="B209" t="s">
        <v>1637</v>
      </c>
      <c r="C209">
        <v>13504</v>
      </c>
      <c r="D209">
        <v>0</v>
      </c>
      <c r="E209">
        <v>0</v>
      </c>
      <c r="F209">
        <v>0</v>
      </c>
    </row>
    <row r="210" spans="1:6" x14ac:dyDescent="0.25">
      <c r="A210" t="s">
        <v>26</v>
      </c>
      <c r="B210" t="s">
        <v>1638</v>
      </c>
      <c r="C210">
        <v>13505</v>
      </c>
      <c r="D210">
        <v>0</v>
      </c>
      <c r="E210">
        <v>0</v>
      </c>
      <c r="F210">
        <v>0</v>
      </c>
    </row>
    <row r="211" spans="1:6" x14ac:dyDescent="0.25">
      <c r="A211" t="s">
        <v>27</v>
      </c>
      <c r="B211" t="s">
        <v>1639</v>
      </c>
      <c r="C211">
        <v>13506</v>
      </c>
      <c r="D211">
        <v>0</v>
      </c>
      <c r="E211">
        <v>0</v>
      </c>
      <c r="F211">
        <v>0</v>
      </c>
    </row>
    <row r="212" spans="1:6" x14ac:dyDescent="0.25">
      <c r="A212" t="s">
        <v>531</v>
      </c>
      <c r="B212" t="s">
        <v>1640</v>
      </c>
      <c r="C212">
        <v>13507</v>
      </c>
      <c r="D212">
        <v>0</v>
      </c>
      <c r="E212">
        <v>0</v>
      </c>
      <c r="F212">
        <v>0</v>
      </c>
    </row>
    <row r="213" spans="1:6" x14ac:dyDescent="0.25">
      <c r="A213" t="s">
        <v>1583</v>
      </c>
      <c r="B213" t="s">
        <v>1641</v>
      </c>
      <c r="C213">
        <v>13508</v>
      </c>
      <c r="D213">
        <v>11444</v>
      </c>
      <c r="E213">
        <v>0</v>
      </c>
      <c r="F213">
        <v>11444</v>
      </c>
    </row>
    <row r="214" spans="1:6" x14ac:dyDescent="0.25">
      <c r="B214" t="s">
        <v>1666</v>
      </c>
      <c r="D214">
        <v>11444</v>
      </c>
      <c r="E214">
        <v>0</v>
      </c>
      <c r="F214">
        <v>11444</v>
      </c>
    </row>
    <row r="215" spans="1:6" x14ac:dyDescent="0.25">
      <c r="B215" t="s">
        <v>2287</v>
      </c>
    </row>
    <row r="216" spans="1:6" x14ac:dyDescent="0.25">
      <c r="A216" t="s">
        <v>2</v>
      </c>
      <c r="B216" t="s">
        <v>1634</v>
      </c>
      <c r="C216">
        <v>13601</v>
      </c>
      <c r="D216">
        <v>0</v>
      </c>
      <c r="E216">
        <v>0</v>
      </c>
      <c r="F216">
        <v>0</v>
      </c>
    </row>
    <row r="217" spans="1:6" x14ac:dyDescent="0.25">
      <c r="A217" t="s">
        <v>15</v>
      </c>
      <c r="B217" t="s">
        <v>1635</v>
      </c>
      <c r="C217">
        <v>13602</v>
      </c>
      <c r="D217">
        <v>0</v>
      </c>
      <c r="E217">
        <v>0</v>
      </c>
      <c r="F217">
        <v>0</v>
      </c>
    </row>
    <row r="218" spans="1:6" x14ac:dyDescent="0.25">
      <c r="A218" t="s">
        <v>16</v>
      </c>
      <c r="B218" t="s">
        <v>1636</v>
      </c>
      <c r="C218">
        <v>13603</v>
      </c>
      <c r="D218">
        <v>0</v>
      </c>
      <c r="E218">
        <v>0</v>
      </c>
      <c r="F218">
        <v>0</v>
      </c>
    </row>
    <row r="219" spans="1:6" x14ac:dyDescent="0.25">
      <c r="A219" t="s">
        <v>25</v>
      </c>
      <c r="B219" t="s">
        <v>1637</v>
      </c>
      <c r="C219">
        <v>13604</v>
      </c>
      <c r="D219">
        <v>0</v>
      </c>
      <c r="E219">
        <v>0</v>
      </c>
      <c r="F219">
        <v>0</v>
      </c>
    </row>
    <row r="220" spans="1:6" x14ac:dyDescent="0.25">
      <c r="A220" t="s">
        <v>26</v>
      </c>
      <c r="B220" t="s">
        <v>1638</v>
      </c>
      <c r="C220">
        <v>13605</v>
      </c>
      <c r="D220">
        <v>0</v>
      </c>
      <c r="E220">
        <v>0</v>
      </c>
      <c r="F220">
        <v>0</v>
      </c>
    </row>
    <row r="221" spans="1:6" x14ac:dyDescent="0.25">
      <c r="A221" t="s">
        <v>27</v>
      </c>
      <c r="B221" t="s">
        <v>1639</v>
      </c>
      <c r="C221">
        <v>13606</v>
      </c>
      <c r="D221">
        <v>0</v>
      </c>
      <c r="E221">
        <v>0</v>
      </c>
      <c r="F221">
        <v>0</v>
      </c>
    </row>
    <row r="222" spans="1:6" x14ac:dyDescent="0.25">
      <c r="A222" t="s">
        <v>531</v>
      </c>
      <c r="B222" t="s">
        <v>1640</v>
      </c>
      <c r="C222">
        <v>13607</v>
      </c>
      <c r="D222">
        <v>0</v>
      </c>
      <c r="E222">
        <v>0</v>
      </c>
      <c r="F222">
        <v>0</v>
      </c>
    </row>
    <row r="223" spans="1:6" x14ac:dyDescent="0.25">
      <c r="A223" t="s">
        <v>1583</v>
      </c>
      <c r="B223" t="s">
        <v>1641</v>
      </c>
      <c r="C223">
        <v>13608</v>
      </c>
      <c r="D223">
        <v>0</v>
      </c>
      <c r="E223">
        <v>0</v>
      </c>
      <c r="F223">
        <v>0</v>
      </c>
    </row>
    <row r="224" spans="1:6" x14ac:dyDescent="0.25">
      <c r="B224" t="s">
        <v>1667</v>
      </c>
      <c r="D224">
        <v>0</v>
      </c>
      <c r="E224">
        <v>0</v>
      </c>
      <c r="F224">
        <v>0</v>
      </c>
    </row>
    <row r="225" spans="1:6" x14ac:dyDescent="0.25">
      <c r="B225" t="s">
        <v>2288</v>
      </c>
    </row>
    <row r="226" spans="1:6" x14ac:dyDescent="0.25">
      <c r="A226" t="s">
        <v>2</v>
      </c>
      <c r="B226" t="s">
        <v>1634</v>
      </c>
      <c r="C226">
        <v>13701</v>
      </c>
      <c r="D226">
        <v>0</v>
      </c>
      <c r="E226">
        <v>0</v>
      </c>
      <c r="F226">
        <v>0</v>
      </c>
    </row>
    <row r="227" spans="1:6" x14ac:dyDescent="0.25">
      <c r="A227" t="s">
        <v>15</v>
      </c>
      <c r="B227" t="s">
        <v>1635</v>
      </c>
      <c r="C227">
        <v>13702</v>
      </c>
      <c r="D227">
        <v>0</v>
      </c>
      <c r="E227">
        <v>0</v>
      </c>
      <c r="F227">
        <v>0</v>
      </c>
    </row>
    <row r="228" spans="1:6" x14ac:dyDescent="0.25">
      <c r="A228" t="s">
        <v>16</v>
      </c>
      <c r="B228" t="s">
        <v>1636</v>
      </c>
      <c r="C228">
        <v>13703</v>
      </c>
      <c r="D228">
        <v>0</v>
      </c>
      <c r="E228">
        <v>0</v>
      </c>
      <c r="F228">
        <v>0</v>
      </c>
    </row>
    <row r="229" spans="1:6" x14ac:dyDescent="0.25">
      <c r="A229" t="s">
        <v>25</v>
      </c>
      <c r="B229" t="s">
        <v>1637</v>
      </c>
      <c r="C229">
        <v>13704</v>
      </c>
      <c r="D229">
        <v>0</v>
      </c>
      <c r="E229">
        <v>0</v>
      </c>
      <c r="F229">
        <v>0</v>
      </c>
    </row>
    <row r="230" spans="1:6" x14ac:dyDescent="0.25">
      <c r="A230" t="s">
        <v>26</v>
      </c>
      <c r="B230" t="s">
        <v>1638</v>
      </c>
      <c r="C230">
        <v>13705</v>
      </c>
      <c r="D230">
        <v>0</v>
      </c>
      <c r="E230">
        <v>0</v>
      </c>
      <c r="F230">
        <v>0</v>
      </c>
    </row>
    <row r="231" spans="1:6" x14ac:dyDescent="0.25">
      <c r="A231" t="s">
        <v>27</v>
      </c>
      <c r="B231" t="s">
        <v>1639</v>
      </c>
      <c r="C231">
        <v>13706</v>
      </c>
      <c r="D231">
        <v>0</v>
      </c>
      <c r="E231">
        <v>0</v>
      </c>
      <c r="F231">
        <v>0</v>
      </c>
    </row>
    <row r="232" spans="1:6" x14ac:dyDescent="0.25">
      <c r="A232" t="s">
        <v>531</v>
      </c>
      <c r="B232" t="s">
        <v>1640</v>
      </c>
      <c r="C232">
        <v>13707</v>
      </c>
      <c r="D232">
        <v>0</v>
      </c>
      <c r="E232">
        <v>0</v>
      </c>
      <c r="F232">
        <v>0</v>
      </c>
    </row>
    <row r="233" spans="1:6" x14ac:dyDescent="0.25">
      <c r="A233" t="s">
        <v>1583</v>
      </c>
      <c r="B233" t="s">
        <v>1641</v>
      </c>
      <c r="C233">
        <v>13708</v>
      </c>
      <c r="D233">
        <v>0</v>
      </c>
      <c r="E233">
        <v>0</v>
      </c>
      <c r="F233">
        <v>0</v>
      </c>
    </row>
    <row r="234" spans="1:6" x14ac:dyDescent="0.25">
      <c r="B234" t="s">
        <v>1668</v>
      </c>
      <c r="D234">
        <v>0</v>
      </c>
      <c r="E234">
        <v>0</v>
      </c>
      <c r="F234">
        <v>0</v>
      </c>
    </row>
    <row r="235" spans="1:6" x14ac:dyDescent="0.25">
      <c r="B235" t="s">
        <v>1647</v>
      </c>
    </row>
    <row r="236" spans="1:6" x14ac:dyDescent="0.25">
      <c r="A236" t="s">
        <v>2</v>
      </c>
      <c r="B236" t="s">
        <v>1648</v>
      </c>
      <c r="C236">
        <v>13801</v>
      </c>
      <c r="D236">
        <v>0</v>
      </c>
      <c r="E236">
        <v>0</v>
      </c>
      <c r="F236">
        <v>0</v>
      </c>
    </row>
    <row r="237" spans="1:6" x14ac:dyDescent="0.25">
      <c r="A237" t="s">
        <v>15</v>
      </c>
      <c r="B237" t="s">
        <v>1649</v>
      </c>
      <c r="C237">
        <v>13802</v>
      </c>
      <c r="D237">
        <v>0</v>
      </c>
      <c r="E237">
        <v>0</v>
      </c>
      <c r="F237">
        <v>0</v>
      </c>
    </row>
    <row r="238" spans="1:6" x14ac:dyDescent="0.25">
      <c r="A238" t="s">
        <v>16</v>
      </c>
      <c r="B238" t="s">
        <v>1637</v>
      </c>
      <c r="C238">
        <v>13803</v>
      </c>
      <c r="D238">
        <v>0</v>
      </c>
      <c r="E238">
        <v>0</v>
      </c>
      <c r="F238">
        <v>0</v>
      </c>
    </row>
    <row r="239" spans="1:6" x14ac:dyDescent="0.25">
      <c r="A239" t="s">
        <v>25</v>
      </c>
      <c r="B239" t="s">
        <v>1638</v>
      </c>
      <c r="C239">
        <v>13804</v>
      </c>
      <c r="D239">
        <v>6906</v>
      </c>
      <c r="E239">
        <v>0</v>
      </c>
      <c r="F239">
        <v>6906</v>
      </c>
    </row>
    <row r="240" spans="1:6" x14ac:dyDescent="0.25">
      <c r="A240" t="s">
        <v>26</v>
      </c>
      <c r="B240" t="s">
        <v>1650</v>
      </c>
      <c r="C240">
        <v>13805</v>
      </c>
      <c r="D240">
        <v>0</v>
      </c>
      <c r="E240">
        <v>0</v>
      </c>
      <c r="F240">
        <v>0</v>
      </c>
    </row>
    <row r="241" spans="1:6" x14ac:dyDescent="0.25">
      <c r="A241" t="s">
        <v>27</v>
      </c>
      <c r="B241" t="s">
        <v>1651</v>
      </c>
      <c r="C241">
        <v>13806</v>
      </c>
      <c r="D241">
        <v>0</v>
      </c>
      <c r="E241">
        <v>0</v>
      </c>
      <c r="F241">
        <v>0</v>
      </c>
    </row>
    <row r="242" spans="1:6" x14ac:dyDescent="0.25">
      <c r="A242" t="s">
        <v>531</v>
      </c>
      <c r="B242" t="s">
        <v>1640</v>
      </c>
      <c r="C242">
        <v>13807</v>
      </c>
      <c r="D242">
        <v>0</v>
      </c>
      <c r="E242">
        <v>0</v>
      </c>
      <c r="F242">
        <v>0</v>
      </c>
    </row>
    <row r="243" spans="1:6" x14ac:dyDescent="0.25">
      <c r="A243" t="s">
        <v>1583</v>
      </c>
      <c r="B243" t="s">
        <v>1641</v>
      </c>
      <c r="C243">
        <v>13808</v>
      </c>
      <c r="D243">
        <v>0</v>
      </c>
      <c r="E243">
        <v>0</v>
      </c>
      <c r="F243">
        <v>0</v>
      </c>
    </row>
    <row r="244" spans="1:6" x14ac:dyDescent="0.25">
      <c r="B244" t="s">
        <v>1669</v>
      </c>
      <c r="D244">
        <v>6906</v>
      </c>
      <c r="E244">
        <v>0</v>
      </c>
      <c r="F244">
        <v>6906</v>
      </c>
    </row>
    <row r="245" spans="1:6" x14ac:dyDescent="0.25">
      <c r="B245" t="s">
        <v>1670</v>
      </c>
      <c r="D245">
        <v>749035</v>
      </c>
      <c r="E245">
        <v>0</v>
      </c>
      <c r="F245">
        <v>749035</v>
      </c>
    </row>
    <row r="246" spans="1:6" x14ac:dyDescent="0.25">
      <c r="B246" t="s">
        <v>2290</v>
      </c>
    </row>
    <row r="247" spans="1:6" x14ac:dyDescent="0.25">
      <c r="B247" t="s">
        <v>1672</v>
      </c>
    </row>
    <row r="248" spans="1:6" x14ac:dyDescent="0.25">
      <c r="A248" t="s">
        <v>2</v>
      </c>
      <c r="B248" t="s">
        <v>1673</v>
      </c>
      <c r="C248">
        <v>14101</v>
      </c>
      <c r="D248">
        <v>5336</v>
      </c>
      <c r="E248">
        <v>0</v>
      </c>
      <c r="F248">
        <v>5336</v>
      </c>
    </row>
    <row r="249" spans="1:6" x14ac:dyDescent="0.25">
      <c r="A249" t="s">
        <v>15</v>
      </c>
      <c r="B249" t="s">
        <v>1674</v>
      </c>
      <c r="C249">
        <v>14102</v>
      </c>
      <c r="D249">
        <v>1209</v>
      </c>
      <c r="E249">
        <v>0</v>
      </c>
      <c r="F249">
        <v>1209</v>
      </c>
    </row>
    <row r="250" spans="1:6" x14ac:dyDescent="0.25">
      <c r="A250" t="s">
        <v>16</v>
      </c>
      <c r="B250" t="s">
        <v>1675</v>
      </c>
      <c r="C250">
        <v>14103</v>
      </c>
      <c r="D250">
        <v>183</v>
      </c>
      <c r="E250">
        <v>0</v>
      </c>
      <c r="F250">
        <v>183</v>
      </c>
    </row>
    <row r="251" spans="1:6" x14ac:dyDescent="0.25">
      <c r="A251" t="s">
        <v>25</v>
      </c>
      <c r="B251" t="s">
        <v>1676</v>
      </c>
      <c r="C251">
        <v>14104</v>
      </c>
      <c r="D251">
        <v>0</v>
      </c>
      <c r="E251">
        <v>0</v>
      </c>
      <c r="F251">
        <v>0</v>
      </c>
    </row>
    <row r="252" spans="1:6" x14ac:dyDescent="0.25">
      <c r="A252" t="s">
        <v>26</v>
      </c>
      <c r="B252" t="s">
        <v>1677</v>
      </c>
      <c r="C252">
        <v>14105</v>
      </c>
      <c r="D252">
        <v>0</v>
      </c>
      <c r="E252">
        <v>0</v>
      </c>
      <c r="F252">
        <v>0</v>
      </c>
    </row>
    <row r="253" spans="1:6" x14ac:dyDescent="0.25">
      <c r="B253" t="s">
        <v>1678</v>
      </c>
      <c r="D253">
        <v>6728</v>
      </c>
      <c r="E253">
        <v>0</v>
      </c>
      <c r="F253">
        <v>6728</v>
      </c>
    </row>
    <row r="254" spans="1:6" x14ac:dyDescent="0.25">
      <c r="B254" t="s">
        <v>1679</v>
      </c>
    </row>
    <row r="255" spans="1:6" x14ac:dyDescent="0.25">
      <c r="A255" t="s">
        <v>2</v>
      </c>
      <c r="B255" t="s">
        <v>1680</v>
      </c>
      <c r="C255">
        <v>14201</v>
      </c>
      <c r="D255">
        <v>0</v>
      </c>
      <c r="E255">
        <v>0</v>
      </c>
      <c r="F255">
        <v>0</v>
      </c>
    </row>
    <row r="256" spans="1:6" x14ac:dyDescent="0.25">
      <c r="A256" t="s">
        <v>15</v>
      </c>
      <c r="B256" t="s">
        <v>1681</v>
      </c>
      <c r="C256">
        <v>14202</v>
      </c>
      <c r="D256">
        <v>0</v>
      </c>
      <c r="E256">
        <v>0</v>
      </c>
      <c r="F256">
        <v>0</v>
      </c>
    </row>
    <row r="257" spans="1:6" x14ac:dyDescent="0.25">
      <c r="A257" t="s">
        <v>16</v>
      </c>
      <c r="B257" t="s">
        <v>1682</v>
      </c>
      <c r="C257">
        <v>14203</v>
      </c>
      <c r="D257">
        <v>0</v>
      </c>
      <c r="E257">
        <v>0</v>
      </c>
      <c r="F257">
        <v>0</v>
      </c>
    </row>
    <row r="258" spans="1:6" x14ac:dyDescent="0.25">
      <c r="A258" t="s">
        <v>25</v>
      </c>
      <c r="B258" t="s">
        <v>1683</v>
      </c>
      <c r="C258">
        <v>14204</v>
      </c>
      <c r="D258">
        <v>0</v>
      </c>
      <c r="E258">
        <v>0</v>
      </c>
      <c r="F258">
        <v>0</v>
      </c>
    </row>
    <row r="259" spans="1:6" x14ac:dyDescent="0.25">
      <c r="A259" t="s">
        <v>26</v>
      </c>
      <c r="B259" t="s">
        <v>1684</v>
      </c>
      <c r="C259">
        <v>14205</v>
      </c>
      <c r="D259">
        <v>0</v>
      </c>
      <c r="E259">
        <v>0</v>
      </c>
      <c r="F259">
        <v>0</v>
      </c>
    </row>
    <row r="260" spans="1:6" x14ac:dyDescent="0.25">
      <c r="A260" t="s">
        <v>27</v>
      </c>
      <c r="B260" t="s">
        <v>1685</v>
      </c>
      <c r="C260">
        <v>14206</v>
      </c>
      <c r="D260">
        <v>0</v>
      </c>
      <c r="E260">
        <v>0</v>
      </c>
      <c r="F260">
        <v>0</v>
      </c>
    </row>
    <row r="261" spans="1:6" x14ac:dyDescent="0.25">
      <c r="A261" t="s">
        <v>531</v>
      </c>
      <c r="B261" t="s">
        <v>1686</v>
      </c>
      <c r="C261">
        <v>14207</v>
      </c>
      <c r="D261">
        <v>0</v>
      </c>
      <c r="E261">
        <v>0</v>
      </c>
      <c r="F261">
        <v>0</v>
      </c>
    </row>
    <row r="262" spans="1:6" x14ac:dyDescent="0.25">
      <c r="A262" t="s">
        <v>1583</v>
      </c>
      <c r="B262" t="s">
        <v>1687</v>
      </c>
      <c r="C262">
        <v>14208</v>
      </c>
      <c r="D262">
        <v>0</v>
      </c>
      <c r="E262">
        <v>0</v>
      </c>
      <c r="F262">
        <v>0</v>
      </c>
    </row>
    <row r="263" spans="1:6" x14ac:dyDescent="0.25">
      <c r="A263" t="s">
        <v>1585</v>
      </c>
      <c r="B263" t="s">
        <v>1688</v>
      </c>
      <c r="C263">
        <v>14209</v>
      </c>
      <c r="D263">
        <v>0</v>
      </c>
      <c r="E263">
        <v>0</v>
      </c>
      <c r="F263">
        <v>0</v>
      </c>
    </row>
    <row r="264" spans="1:6" x14ac:dyDescent="0.25">
      <c r="A264" t="s">
        <v>1587</v>
      </c>
      <c r="B264" t="s">
        <v>1637</v>
      </c>
      <c r="C264">
        <v>14210</v>
      </c>
      <c r="D264">
        <v>0</v>
      </c>
      <c r="E264">
        <v>0</v>
      </c>
      <c r="F264">
        <v>0</v>
      </c>
    </row>
    <row r="265" spans="1:6" x14ac:dyDescent="0.25">
      <c r="A265" t="s">
        <v>1589</v>
      </c>
      <c r="B265" t="s">
        <v>1640</v>
      </c>
      <c r="C265">
        <v>14211</v>
      </c>
      <c r="D265">
        <v>0</v>
      </c>
      <c r="E265">
        <v>0</v>
      </c>
      <c r="F265">
        <v>0</v>
      </c>
    </row>
    <row r="266" spans="1:6" x14ac:dyDescent="0.25">
      <c r="A266" t="s">
        <v>1591</v>
      </c>
      <c r="B266" t="s">
        <v>1689</v>
      </c>
      <c r="C266">
        <v>14212</v>
      </c>
      <c r="D266">
        <v>0</v>
      </c>
      <c r="E266">
        <v>0</v>
      </c>
      <c r="F266">
        <v>0</v>
      </c>
    </row>
    <row r="267" spans="1:6" x14ac:dyDescent="0.25">
      <c r="A267" t="s">
        <v>1593</v>
      </c>
      <c r="B267" t="s">
        <v>1690</v>
      </c>
      <c r="C267">
        <v>14213</v>
      </c>
      <c r="D267">
        <v>0</v>
      </c>
      <c r="E267">
        <v>0</v>
      </c>
      <c r="F267">
        <v>0</v>
      </c>
    </row>
    <row r="268" spans="1:6" x14ac:dyDescent="0.25">
      <c r="B268" t="s">
        <v>1691</v>
      </c>
      <c r="D268">
        <v>0</v>
      </c>
      <c r="E268">
        <v>0</v>
      </c>
      <c r="F268">
        <v>0</v>
      </c>
    </row>
    <row r="269" spans="1:6" x14ac:dyDescent="0.25">
      <c r="B269" t="s">
        <v>1692</v>
      </c>
    </row>
    <row r="270" spans="1:6" x14ac:dyDescent="0.25">
      <c r="A270" t="s">
        <v>2</v>
      </c>
      <c r="B270" t="s">
        <v>1693</v>
      </c>
      <c r="C270">
        <v>14301</v>
      </c>
      <c r="D270">
        <v>0</v>
      </c>
      <c r="E270">
        <v>0</v>
      </c>
      <c r="F270">
        <v>0</v>
      </c>
    </row>
    <row r="271" spans="1:6" x14ac:dyDescent="0.25">
      <c r="A271" t="s">
        <v>15</v>
      </c>
      <c r="B271" t="s">
        <v>1694</v>
      </c>
      <c r="C271">
        <v>14302</v>
      </c>
      <c r="D271">
        <v>0</v>
      </c>
      <c r="E271">
        <v>0</v>
      </c>
      <c r="F271">
        <v>0</v>
      </c>
    </row>
    <row r="272" spans="1:6" x14ac:dyDescent="0.25">
      <c r="A272" t="s">
        <v>16</v>
      </c>
      <c r="B272" t="s">
        <v>1695</v>
      </c>
      <c r="C272">
        <v>14303</v>
      </c>
      <c r="D272">
        <v>0</v>
      </c>
      <c r="E272">
        <v>0</v>
      </c>
      <c r="F272">
        <v>0</v>
      </c>
    </row>
    <row r="273" spans="1:6" x14ac:dyDescent="0.25">
      <c r="A273" t="s">
        <v>25</v>
      </c>
      <c r="B273" t="s">
        <v>1696</v>
      </c>
      <c r="C273">
        <v>14304</v>
      </c>
      <c r="D273">
        <v>0</v>
      </c>
      <c r="E273">
        <v>0</v>
      </c>
      <c r="F273">
        <v>0</v>
      </c>
    </row>
    <row r="274" spans="1:6" x14ac:dyDescent="0.25">
      <c r="A274" t="s">
        <v>26</v>
      </c>
      <c r="B274" t="s">
        <v>1680</v>
      </c>
      <c r="C274">
        <v>14305</v>
      </c>
      <c r="D274">
        <v>0</v>
      </c>
      <c r="E274">
        <v>0</v>
      </c>
      <c r="F274">
        <v>0</v>
      </c>
    </row>
    <row r="275" spans="1:6" x14ac:dyDescent="0.25">
      <c r="A275" t="s">
        <v>27</v>
      </c>
      <c r="B275" t="s">
        <v>1681</v>
      </c>
      <c r="C275">
        <v>14306</v>
      </c>
      <c r="D275">
        <v>0</v>
      </c>
      <c r="E275">
        <v>0</v>
      </c>
      <c r="F275">
        <v>0</v>
      </c>
    </row>
    <row r="276" spans="1:6" x14ac:dyDescent="0.25">
      <c r="A276" t="s">
        <v>531</v>
      </c>
      <c r="B276" t="s">
        <v>1682</v>
      </c>
      <c r="C276">
        <v>14307</v>
      </c>
      <c r="D276">
        <v>0</v>
      </c>
      <c r="E276">
        <v>0</v>
      </c>
      <c r="F276">
        <v>0</v>
      </c>
    </row>
    <row r="277" spans="1:6" x14ac:dyDescent="0.25">
      <c r="A277" t="s">
        <v>1583</v>
      </c>
      <c r="B277" t="s">
        <v>1683</v>
      </c>
      <c r="C277">
        <v>14308</v>
      </c>
      <c r="D277">
        <v>0</v>
      </c>
      <c r="E277">
        <v>0</v>
      </c>
      <c r="F277">
        <v>0</v>
      </c>
    </row>
    <row r="278" spans="1:6" x14ac:dyDescent="0.25">
      <c r="A278" t="s">
        <v>1585</v>
      </c>
      <c r="B278" t="s">
        <v>1684</v>
      </c>
      <c r="C278">
        <v>14309</v>
      </c>
      <c r="D278">
        <v>0</v>
      </c>
      <c r="E278">
        <v>0</v>
      </c>
      <c r="F278">
        <v>0</v>
      </c>
    </row>
    <row r="279" spans="1:6" x14ac:dyDescent="0.25">
      <c r="A279" t="s">
        <v>1587</v>
      </c>
      <c r="B279" t="s">
        <v>1685</v>
      </c>
      <c r="C279">
        <v>14310</v>
      </c>
      <c r="D279">
        <v>77309</v>
      </c>
      <c r="E279">
        <v>0</v>
      </c>
      <c r="F279">
        <v>77309</v>
      </c>
    </row>
    <row r="280" spans="1:6" x14ac:dyDescent="0.25">
      <c r="A280" t="s">
        <v>1589</v>
      </c>
      <c r="B280" t="s">
        <v>1686</v>
      </c>
      <c r="C280">
        <v>14311</v>
      </c>
      <c r="D280">
        <v>5003</v>
      </c>
      <c r="E280">
        <v>0</v>
      </c>
      <c r="F280">
        <v>5003</v>
      </c>
    </row>
    <row r="281" spans="1:6" x14ac:dyDescent="0.25">
      <c r="A281" t="s">
        <v>1591</v>
      </c>
      <c r="B281" t="s">
        <v>1687</v>
      </c>
      <c r="C281">
        <v>14312</v>
      </c>
      <c r="D281">
        <v>177</v>
      </c>
      <c r="E281">
        <v>0</v>
      </c>
      <c r="F281">
        <v>177</v>
      </c>
    </row>
    <row r="282" spans="1:6" x14ac:dyDescent="0.25">
      <c r="A282" t="s">
        <v>1593</v>
      </c>
      <c r="B282" t="s">
        <v>1688</v>
      </c>
      <c r="C282">
        <v>14313</v>
      </c>
      <c r="D282">
        <v>257415</v>
      </c>
      <c r="E282">
        <v>0</v>
      </c>
      <c r="F282">
        <v>257415</v>
      </c>
    </row>
    <row r="283" spans="1:6" x14ac:dyDescent="0.25">
      <c r="A283" t="s">
        <v>1595</v>
      </c>
      <c r="B283" t="s">
        <v>1690</v>
      </c>
      <c r="C283">
        <v>14314</v>
      </c>
      <c r="D283">
        <v>0</v>
      </c>
      <c r="E283">
        <v>0</v>
      </c>
      <c r="F283">
        <v>0</v>
      </c>
    </row>
    <row r="284" spans="1:6" x14ac:dyDescent="0.25">
      <c r="A284" t="s">
        <v>1597</v>
      </c>
      <c r="B284" t="s">
        <v>1637</v>
      </c>
      <c r="C284">
        <v>14315</v>
      </c>
      <c r="D284">
        <v>0</v>
      </c>
      <c r="E284">
        <v>0</v>
      </c>
      <c r="F284">
        <v>0</v>
      </c>
    </row>
    <row r="285" spans="1:6" x14ac:dyDescent="0.25">
      <c r="A285" t="s">
        <v>1599</v>
      </c>
      <c r="B285" t="s">
        <v>1640</v>
      </c>
      <c r="C285">
        <v>14316</v>
      </c>
      <c r="D285">
        <v>0</v>
      </c>
      <c r="E285">
        <v>0</v>
      </c>
      <c r="F285">
        <v>0</v>
      </c>
    </row>
    <row r="286" spans="1:6" x14ac:dyDescent="0.25">
      <c r="A286" t="s">
        <v>1601</v>
      </c>
      <c r="B286" t="s">
        <v>1636</v>
      </c>
      <c r="C286">
        <v>14317</v>
      </c>
      <c r="D286">
        <v>0</v>
      </c>
      <c r="E286">
        <v>0</v>
      </c>
      <c r="F286">
        <v>0</v>
      </c>
    </row>
    <row r="287" spans="1:6" x14ac:dyDescent="0.25">
      <c r="A287" t="s">
        <v>1603</v>
      </c>
      <c r="B287" t="s">
        <v>1689</v>
      </c>
      <c r="C287">
        <v>14318</v>
      </c>
      <c r="D287">
        <v>2</v>
      </c>
      <c r="E287">
        <v>0</v>
      </c>
      <c r="F287">
        <v>2</v>
      </c>
    </row>
    <row r="288" spans="1:6" x14ac:dyDescent="0.25">
      <c r="B288" t="s">
        <v>1697</v>
      </c>
      <c r="D288">
        <v>339906</v>
      </c>
      <c r="E288">
        <v>0</v>
      </c>
      <c r="F288">
        <v>339906</v>
      </c>
    </row>
    <row r="289" spans="1:6" x14ac:dyDescent="0.25">
      <c r="B289" t="s">
        <v>1698</v>
      </c>
    </row>
    <row r="290" spans="1:6" x14ac:dyDescent="0.25">
      <c r="A290" t="s">
        <v>2</v>
      </c>
      <c r="B290" t="s">
        <v>1699</v>
      </c>
      <c r="C290">
        <v>14401</v>
      </c>
      <c r="D290">
        <v>0</v>
      </c>
      <c r="E290">
        <v>0</v>
      </c>
      <c r="F290">
        <v>0</v>
      </c>
    </row>
    <row r="291" spans="1:6" x14ac:dyDescent="0.25">
      <c r="A291" t="s">
        <v>15</v>
      </c>
      <c r="B291" t="s">
        <v>1694</v>
      </c>
      <c r="C291">
        <v>14402</v>
      </c>
      <c r="D291">
        <v>0</v>
      </c>
      <c r="E291">
        <v>0</v>
      </c>
      <c r="F291">
        <v>0</v>
      </c>
    </row>
    <row r="292" spans="1:6" x14ac:dyDescent="0.25">
      <c r="A292" t="s">
        <v>16</v>
      </c>
      <c r="B292" t="s">
        <v>1695</v>
      </c>
      <c r="C292">
        <v>14403</v>
      </c>
      <c r="D292">
        <v>0</v>
      </c>
      <c r="E292">
        <v>0</v>
      </c>
      <c r="F292">
        <v>0</v>
      </c>
    </row>
    <row r="293" spans="1:6" x14ac:dyDescent="0.25">
      <c r="A293" t="s">
        <v>25</v>
      </c>
      <c r="B293" t="s">
        <v>1696</v>
      </c>
      <c r="C293">
        <v>14404</v>
      </c>
      <c r="D293">
        <v>0</v>
      </c>
      <c r="E293">
        <v>0</v>
      </c>
      <c r="F293">
        <v>0</v>
      </c>
    </row>
    <row r="294" spans="1:6" x14ac:dyDescent="0.25">
      <c r="A294" t="s">
        <v>26</v>
      </c>
      <c r="B294" t="s">
        <v>1680</v>
      </c>
      <c r="C294">
        <v>14405</v>
      </c>
      <c r="D294">
        <v>0</v>
      </c>
      <c r="E294">
        <v>0</v>
      </c>
      <c r="F294">
        <v>0</v>
      </c>
    </row>
    <row r="295" spans="1:6" x14ac:dyDescent="0.25">
      <c r="A295" t="s">
        <v>27</v>
      </c>
      <c r="B295" t="s">
        <v>1681</v>
      </c>
      <c r="C295">
        <v>14406</v>
      </c>
      <c r="D295">
        <v>0</v>
      </c>
      <c r="E295">
        <v>0</v>
      </c>
      <c r="F295">
        <v>0</v>
      </c>
    </row>
    <row r="296" spans="1:6" x14ac:dyDescent="0.25">
      <c r="A296" t="s">
        <v>531</v>
      </c>
      <c r="B296" t="s">
        <v>1682</v>
      </c>
      <c r="C296">
        <v>14407</v>
      </c>
      <c r="D296">
        <v>0</v>
      </c>
      <c r="E296">
        <v>0</v>
      </c>
      <c r="F296">
        <v>0</v>
      </c>
    </row>
    <row r="297" spans="1:6" x14ac:dyDescent="0.25">
      <c r="A297" t="s">
        <v>1583</v>
      </c>
      <c r="B297" t="s">
        <v>1683</v>
      </c>
      <c r="C297">
        <v>14408</v>
      </c>
      <c r="D297">
        <v>0</v>
      </c>
      <c r="E297">
        <v>0</v>
      </c>
      <c r="F297">
        <v>0</v>
      </c>
    </row>
    <row r="298" spans="1:6" x14ac:dyDescent="0.25">
      <c r="A298" t="s">
        <v>1585</v>
      </c>
      <c r="B298" t="s">
        <v>1684</v>
      </c>
      <c r="C298">
        <v>14409</v>
      </c>
      <c r="D298">
        <v>0</v>
      </c>
      <c r="E298">
        <v>0</v>
      </c>
      <c r="F298">
        <v>0</v>
      </c>
    </row>
    <row r="299" spans="1:6" x14ac:dyDescent="0.25">
      <c r="A299" t="s">
        <v>1587</v>
      </c>
      <c r="B299" t="s">
        <v>1685</v>
      </c>
      <c r="C299">
        <v>14410</v>
      </c>
      <c r="D299">
        <v>0</v>
      </c>
      <c r="E299">
        <v>0</v>
      </c>
      <c r="F299">
        <v>0</v>
      </c>
    </row>
    <row r="300" spans="1:6" x14ac:dyDescent="0.25">
      <c r="A300" t="s">
        <v>1589</v>
      </c>
      <c r="B300" t="s">
        <v>1686</v>
      </c>
      <c r="C300">
        <v>14411</v>
      </c>
      <c r="D300">
        <v>0</v>
      </c>
      <c r="E300">
        <v>0</v>
      </c>
      <c r="F300">
        <v>0</v>
      </c>
    </row>
    <row r="301" spans="1:6" x14ac:dyDescent="0.25">
      <c r="A301" t="s">
        <v>1591</v>
      </c>
      <c r="B301" t="s">
        <v>1687</v>
      </c>
      <c r="C301">
        <v>14412</v>
      </c>
      <c r="D301">
        <v>0</v>
      </c>
      <c r="E301">
        <v>0</v>
      </c>
      <c r="F301">
        <v>0</v>
      </c>
    </row>
    <row r="302" spans="1:6" x14ac:dyDescent="0.25">
      <c r="A302" t="s">
        <v>1593</v>
      </c>
      <c r="B302" t="s">
        <v>1688</v>
      </c>
      <c r="C302">
        <v>14413</v>
      </c>
      <c r="D302">
        <v>0</v>
      </c>
      <c r="E302">
        <v>0</v>
      </c>
      <c r="F302">
        <v>0</v>
      </c>
    </row>
    <row r="303" spans="1:6" x14ac:dyDescent="0.25">
      <c r="A303" t="s">
        <v>1595</v>
      </c>
      <c r="B303" t="s">
        <v>1690</v>
      </c>
      <c r="C303">
        <v>14414</v>
      </c>
      <c r="D303">
        <v>0</v>
      </c>
      <c r="E303">
        <v>0</v>
      </c>
      <c r="F303">
        <v>0</v>
      </c>
    </row>
    <row r="304" spans="1:6" x14ac:dyDescent="0.25">
      <c r="A304" t="s">
        <v>1597</v>
      </c>
      <c r="B304" t="s">
        <v>1637</v>
      </c>
      <c r="C304">
        <v>14415</v>
      </c>
      <c r="D304">
        <v>0</v>
      </c>
      <c r="E304">
        <v>0</v>
      </c>
      <c r="F304">
        <v>0</v>
      </c>
    </row>
    <row r="305" spans="1:6" x14ac:dyDescent="0.25">
      <c r="A305" t="s">
        <v>1599</v>
      </c>
      <c r="B305" t="s">
        <v>1640</v>
      </c>
      <c r="C305">
        <v>14416</v>
      </c>
      <c r="D305">
        <v>0</v>
      </c>
      <c r="E305">
        <v>0</v>
      </c>
      <c r="F305">
        <v>0</v>
      </c>
    </row>
    <row r="306" spans="1:6" x14ac:dyDescent="0.25">
      <c r="A306" t="s">
        <v>1601</v>
      </c>
      <c r="B306" t="s">
        <v>1636</v>
      </c>
      <c r="C306">
        <v>14417</v>
      </c>
      <c r="D306">
        <v>0</v>
      </c>
      <c r="E306">
        <v>0</v>
      </c>
      <c r="F306">
        <v>0</v>
      </c>
    </row>
    <row r="307" spans="1:6" x14ac:dyDescent="0.25">
      <c r="A307" t="s">
        <v>1603</v>
      </c>
      <c r="B307" t="s">
        <v>1689</v>
      </c>
      <c r="C307">
        <v>14418</v>
      </c>
      <c r="D307">
        <v>0</v>
      </c>
      <c r="E307">
        <v>0</v>
      </c>
      <c r="F307">
        <v>0</v>
      </c>
    </row>
    <row r="308" spans="1:6" x14ac:dyDescent="0.25">
      <c r="B308" t="s">
        <v>1700</v>
      </c>
      <c r="D308">
        <v>0</v>
      </c>
      <c r="E308">
        <v>0</v>
      </c>
      <c r="F308">
        <v>0</v>
      </c>
    </row>
    <row r="309" spans="1:6" x14ac:dyDescent="0.25">
      <c r="B309" t="s">
        <v>1701</v>
      </c>
    </row>
    <row r="310" spans="1:6" x14ac:dyDescent="0.25">
      <c r="A310" t="s">
        <v>2</v>
      </c>
      <c r="B310" t="s">
        <v>1702</v>
      </c>
      <c r="C310">
        <v>14501</v>
      </c>
      <c r="D310">
        <v>0</v>
      </c>
      <c r="E310">
        <v>0</v>
      </c>
      <c r="F310">
        <v>0</v>
      </c>
    </row>
    <row r="311" spans="1:6" x14ac:dyDescent="0.25">
      <c r="A311" t="s">
        <v>15</v>
      </c>
      <c r="B311" t="s">
        <v>1703</v>
      </c>
      <c r="C311">
        <v>14502</v>
      </c>
      <c r="D311">
        <v>0</v>
      </c>
      <c r="E311">
        <v>0</v>
      </c>
      <c r="F311">
        <v>0</v>
      </c>
    </row>
    <row r="312" spans="1:6" x14ac:dyDescent="0.25">
      <c r="B312" t="s">
        <v>1704</v>
      </c>
      <c r="D312">
        <v>0</v>
      </c>
      <c r="E312">
        <v>0</v>
      </c>
      <c r="F312">
        <v>0</v>
      </c>
    </row>
    <row r="313" spans="1:6" x14ac:dyDescent="0.25">
      <c r="B313" t="s">
        <v>1705</v>
      </c>
    </row>
    <row r="314" spans="1:6" x14ac:dyDescent="0.25">
      <c r="A314" t="s">
        <v>2</v>
      </c>
      <c r="B314" t="s">
        <v>1702</v>
      </c>
      <c r="C314">
        <v>14601</v>
      </c>
      <c r="D314">
        <v>0</v>
      </c>
      <c r="E314">
        <v>0</v>
      </c>
      <c r="F314">
        <v>0</v>
      </c>
    </row>
    <row r="315" spans="1:6" x14ac:dyDescent="0.25">
      <c r="A315" t="s">
        <v>15</v>
      </c>
      <c r="B315" t="s">
        <v>1703</v>
      </c>
      <c r="C315">
        <v>14602</v>
      </c>
      <c r="D315">
        <v>0</v>
      </c>
      <c r="E315">
        <v>0</v>
      </c>
      <c r="F315">
        <v>0</v>
      </c>
    </row>
    <row r="316" spans="1:6" x14ac:dyDescent="0.25">
      <c r="B316" t="s">
        <v>1706</v>
      </c>
      <c r="D316">
        <v>0</v>
      </c>
      <c r="E316">
        <v>0</v>
      </c>
      <c r="F316">
        <v>0</v>
      </c>
    </row>
    <row r="317" spans="1:6" x14ac:dyDescent="0.25">
      <c r="B317" t="s">
        <v>1707</v>
      </c>
    </row>
    <row r="318" spans="1:6" x14ac:dyDescent="0.25">
      <c r="A318" t="s">
        <v>2</v>
      </c>
      <c r="B318" t="s">
        <v>1702</v>
      </c>
      <c r="C318">
        <v>14701</v>
      </c>
      <c r="D318">
        <v>0</v>
      </c>
      <c r="E318">
        <v>0</v>
      </c>
      <c r="F318">
        <v>0</v>
      </c>
    </row>
    <row r="319" spans="1:6" x14ac:dyDescent="0.25">
      <c r="A319" t="s">
        <v>15</v>
      </c>
      <c r="B319" t="s">
        <v>1703</v>
      </c>
      <c r="C319">
        <v>14702</v>
      </c>
      <c r="D319">
        <v>0</v>
      </c>
      <c r="E319">
        <v>0</v>
      </c>
      <c r="F319">
        <v>0</v>
      </c>
    </row>
    <row r="320" spans="1:6" x14ac:dyDescent="0.25">
      <c r="B320" t="s">
        <v>1708</v>
      </c>
      <c r="D320">
        <v>0</v>
      </c>
      <c r="E320">
        <v>0</v>
      </c>
      <c r="F320">
        <v>0</v>
      </c>
    </row>
    <row r="321" spans="1:6" x14ac:dyDescent="0.25">
      <c r="B321" t="s">
        <v>1709</v>
      </c>
    </row>
    <row r="322" spans="1:6" x14ac:dyDescent="0.25">
      <c r="A322" t="s">
        <v>2</v>
      </c>
      <c r="B322" t="s">
        <v>1710</v>
      </c>
      <c r="C322">
        <v>14801</v>
      </c>
      <c r="D322">
        <v>0</v>
      </c>
      <c r="E322">
        <v>0</v>
      </c>
      <c r="F322">
        <v>0</v>
      </c>
    </row>
    <row r="323" spans="1:6" x14ac:dyDescent="0.25">
      <c r="A323" t="s">
        <v>15</v>
      </c>
      <c r="B323" t="s">
        <v>1711</v>
      </c>
      <c r="C323">
        <v>14802</v>
      </c>
      <c r="D323">
        <v>0</v>
      </c>
      <c r="E323">
        <v>0</v>
      </c>
      <c r="F323">
        <v>0</v>
      </c>
    </row>
    <row r="324" spans="1:6" x14ac:dyDescent="0.25">
      <c r="A324" t="s">
        <v>16</v>
      </c>
      <c r="B324" t="s">
        <v>1712</v>
      </c>
      <c r="C324">
        <v>14803</v>
      </c>
      <c r="D324">
        <v>0</v>
      </c>
      <c r="E324">
        <v>0</v>
      </c>
      <c r="F324">
        <v>0</v>
      </c>
    </row>
    <row r="325" spans="1:6" x14ac:dyDescent="0.25">
      <c r="A325" t="s">
        <v>25</v>
      </c>
      <c r="B325" t="s">
        <v>1713</v>
      </c>
      <c r="C325">
        <v>14804</v>
      </c>
      <c r="D325">
        <v>51</v>
      </c>
      <c r="E325">
        <v>0</v>
      </c>
      <c r="F325">
        <v>51</v>
      </c>
    </row>
    <row r="326" spans="1:6" x14ac:dyDescent="0.25">
      <c r="A326" t="s">
        <v>26</v>
      </c>
      <c r="B326" t="s">
        <v>1714</v>
      </c>
      <c r="C326">
        <v>14805</v>
      </c>
      <c r="D326">
        <v>0</v>
      </c>
      <c r="E326">
        <v>0</v>
      </c>
      <c r="F326">
        <v>0</v>
      </c>
    </row>
    <row r="327" spans="1:6" x14ac:dyDescent="0.25">
      <c r="B327" t="s">
        <v>1715</v>
      </c>
      <c r="D327">
        <v>51</v>
      </c>
      <c r="E327">
        <v>0</v>
      </c>
      <c r="F327">
        <v>51</v>
      </c>
    </row>
    <row r="328" spans="1:6" x14ac:dyDescent="0.25">
      <c r="B328" t="s">
        <v>1716</v>
      </c>
      <c r="D328">
        <v>346685</v>
      </c>
      <c r="E328">
        <v>0</v>
      </c>
      <c r="F328">
        <v>346685</v>
      </c>
    </row>
    <row r="329" spans="1:6" x14ac:dyDescent="0.25">
      <c r="B329" t="s">
        <v>1717</v>
      </c>
    </row>
    <row r="330" spans="1:6" x14ac:dyDescent="0.25">
      <c r="B330" t="s">
        <v>1575</v>
      </c>
    </row>
    <row r="331" spans="1:6" x14ac:dyDescent="0.25">
      <c r="A331" t="s">
        <v>2</v>
      </c>
      <c r="B331" t="s">
        <v>1576</v>
      </c>
      <c r="C331">
        <v>15101</v>
      </c>
      <c r="D331">
        <v>0</v>
      </c>
      <c r="F331">
        <v>0</v>
      </c>
    </row>
    <row r="332" spans="1:6" x14ac:dyDescent="0.25">
      <c r="A332" t="s">
        <v>15</v>
      </c>
      <c r="B332" t="s">
        <v>1577</v>
      </c>
      <c r="C332">
        <v>15102</v>
      </c>
      <c r="D332">
        <v>0</v>
      </c>
      <c r="F332">
        <v>0</v>
      </c>
    </row>
    <row r="333" spans="1:6" x14ac:dyDescent="0.25">
      <c r="A333" t="s">
        <v>16</v>
      </c>
      <c r="B333" t="s">
        <v>1578</v>
      </c>
      <c r="C333">
        <v>15103</v>
      </c>
      <c r="D333">
        <v>0</v>
      </c>
      <c r="F333">
        <v>0</v>
      </c>
    </row>
    <row r="334" spans="1:6" x14ac:dyDescent="0.25">
      <c r="A334" t="s">
        <v>25</v>
      </c>
      <c r="B334" t="s">
        <v>1579</v>
      </c>
      <c r="C334">
        <v>15104</v>
      </c>
      <c r="D334">
        <v>0</v>
      </c>
      <c r="F334">
        <v>0</v>
      </c>
    </row>
    <row r="335" spans="1:6" x14ac:dyDescent="0.25">
      <c r="A335" t="s">
        <v>26</v>
      </c>
      <c r="B335" t="s">
        <v>1580</v>
      </c>
      <c r="C335">
        <v>15105</v>
      </c>
      <c r="D335">
        <v>0</v>
      </c>
      <c r="F335">
        <v>0</v>
      </c>
    </row>
    <row r="336" spans="1:6" x14ac:dyDescent="0.25">
      <c r="A336" t="s">
        <v>27</v>
      </c>
      <c r="B336" t="s">
        <v>1581</v>
      </c>
      <c r="C336">
        <v>15106</v>
      </c>
      <c r="D336">
        <v>349</v>
      </c>
      <c r="F336">
        <v>349</v>
      </c>
    </row>
    <row r="337" spans="1:6" x14ac:dyDescent="0.25">
      <c r="A337" t="s">
        <v>531</v>
      </c>
      <c r="B337" t="s">
        <v>1582</v>
      </c>
      <c r="C337">
        <v>15107</v>
      </c>
      <c r="D337">
        <v>0</v>
      </c>
      <c r="F337">
        <v>0</v>
      </c>
    </row>
    <row r="338" spans="1:6" x14ac:dyDescent="0.25">
      <c r="A338" t="s">
        <v>1583</v>
      </c>
      <c r="B338" t="s">
        <v>1584</v>
      </c>
      <c r="C338">
        <v>15108</v>
      </c>
      <c r="D338">
        <v>0</v>
      </c>
      <c r="F338">
        <v>0</v>
      </c>
    </row>
    <row r="339" spans="1:6" x14ac:dyDescent="0.25">
      <c r="A339" t="s">
        <v>1585</v>
      </c>
      <c r="B339" t="s">
        <v>1586</v>
      </c>
      <c r="C339">
        <v>15109</v>
      </c>
      <c r="D339">
        <v>10315</v>
      </c>
      <c r="F339">
        <v>10315</v>
      </c>
    </row>
    <row r="340" spans="1:6" x14ac:dyDescent="0.25">
      <c r="A340" t="s">
        <v>1587</v>
      </c>
      <c r="B340" t="s">
        <v>1588</v>
      </c>
      <c r="C340">
        <v>15110</v>
      </c>
      <c r="D340">
        <v>0</v>
      </c>
      <c r="F340">
        <v>0</v>
      </c>
    </row>
    <row r="341" spans="1:6" x14ac:dyDescent="0.25">
      <c r="A341" t="s">
        <v>1589</v>
      </c>
      <c r="B341" t="s">
        <v>1590</v>
      </c>
      <c r="C341">
        <v>15111</v>
      </c>
      <c r="D341">
        <v>213817</v>
      </c>
      <c r="F341">
        <v>213817</v>
      </c>
    </row>
    <row r="342" spans="1:6" x14ac:dyDescent="0.25">
      <c r="A342" t="s">
        <v>1591</v>
      </c>
      <c r="B342" t="s">
        <v>1592</v>
      </c>
      <c r="C342">
        <v>15112</v>
      </c>
      <c r="D342">
        <v>7542674</v>
      </c>
      <c r="F342">
        <v>7542674</v>
      </c>
    </row>
    <row r="343" spans="1:6" x14ac:dyDescent="0.25">
      <c r="A343" t="s">
        <v>1593</v>
      </c>
      <c r="B343" t="s">
        <v>1594</v>
      </c>
      <c r="C343">
        <v>15113</v>
      </c>
      <c r="D343">
        <v>2140</v>
      </c>
      <c r="F343">
        <v>2140</v>
      </c>
    </row>
    <row r="344" spans="1:6" x14ac:dyDescent="0.25">
      <c r="A344" t="s">
        <v>1595</v>
      </c>
      <c r="B344" t="s">
        <v>1596</v>
      </c>
      <c r="C344">
        <v>15114</v>
      </c>
      <c r="D344">
        <v>291211</v>
      </c>
      <c r="F344">
        <v>291211</v>
      </c>
    </row>
    <row r="345" spans="1:6" x14ac:dyDescent="0.25">
      <c r="A345" t="s">
        <v>1597</v>
      </c>
      <c r="B345" t="s">
        <v>1598</v>
      </c>
      <c r="C345">
        <v>15115</v>
      </c>
      <c r="D345">
        <v>3915188</v>
      </c>
      <c r="F345">
        <v>3915188</v>
      </c>
    </row>
    <row r="346" spans="1:6" x14ac:dyDescent="0.25">
      <c r="A346" t="s">
        <v>1599</v>
      </c>
      <c r="B346" t="s">
        <v>1600</v>
      </c>
      <c r="C346">
        <v>15116</v>
      </c>
      <c r="D346">
        <v>1607202</v>
      </c>
      <c r="F346">
        <v>1607202</v>
      </c>
    </row>
    <row r="347" spans="1:6" x14ac:dyDescent="0.25">
      <c r="A347" t="s">
        <v>1601</v>
      </c>
      <c r="B347" t="s">
        <v>1602</v>
      </c>
      <c r="C347">
        <v>15117</v>
      </c>
      <c r="D347">
        <v>0</v>
      </c>
      <c r="F347">
        <v>0</v>
      </c>
    </row>
    <row r="348" spans="1:6" x14ac:dyDescent="0.25">
      <c r="A348" t="s">
        <v>1603</v>
      </c>
      <c r="B348" t="s">
        <v>1604</v>
      </c>
      <c r="C348">
        <v>15118</v>
      </c>
      <c r="D348">
        <v>242417</v>
      </c>
      <c r="F348">
        <v>242417</v>
      </c>
    </row>
    <row r="349" spans="1:6" x14ac:dyDescent="0.25">
      <c r="A349" t="s">
        <v>1605</v>
      </c>
      <c r="B349" t="s">
        <v>1606</v>
      </c>
      <c r="C349">
        <v>15119</v>
      </c>
      <c r="D349">
        <v>38382</v>
      </c>
      <c r="F349">
        <v>38382</v>
      </c>
    </row>
    <row r="350" spans="1:6" x14ac:dyDescent="0.25">
      <c r="A350" t="s">
        <v>1607</v>
      </c>
      <c r="B350" t="s">
        <v>1608</v>
      </c>
      <c r="C350">
        <v>15120</v>
      </c>
      <c r="D350">
        <v>0</v>
      </c>
      <c r="F350">
        <v>0</v>
      </c>
    </row>
    <row r="351" spans="1:6" x14ac:dyDescent="0.25">
      <c r="B351" t="s">
        <v>1718</v>
      </c>
      <c r="D351">
        <v>13863695</v>
      </c>
      <c r="F351">
        <v>13863695</v>
      </c>
    </row>
    <row r="352" spans="1:6" x14ac:dyDescent="0.25">
      <c r="B352" t="s">
        <v>1656</v>
      </c>
    </row>
    <row r="353" spans="1:6" x14ac:dyDescent="0.25">
      <c r="A353" t="s">
        <v>2</v>
      </c>
      <c r="B353" t="s">
        <v>1611</v>
      </c>
      <c r="C353">
        <v>15201</v>
      </c>
      <c r="D353">
        <v>0</v>
      </c>
      <c r="F353">
        <v>0</v>
      </c>
    </row>
    <row r="354" spans="1:6" x14ac:dyDescent="0.25">
      <c r="A354" t="s">
        <v>15</v>
      </c>
      <c r="B354" t="s">
        <v>1612</v>
      </c>
      <c r="C354">
        <v>15202</v>
      </c>
      <c r="D354">
        <v>91400</v>
      </c>
      <c r="F354">
        <v>91400</v>
      </c>
    </row>
    <row r="355" spans="1:6" x14ac:dyDescent="0.25">
      <c r="A355" t="s">
        <v>16</v>
      </c>
      <c r="B355" t="s">
        <v>1613</v>
      </c>
      <c r="C355">
        <v>15203</v>
      </c>
      <c r="D355">
        <v>0</v>
      </c>
      <c r="F355">
        <v>0</v>
      </c>
    </row>
    <row r="356" spans="1:6" x14ac:dyDescent="0.25">
      <c r="A356" t="s">
        <v>25</v>
      </c>
      <c r="B356" t="s">
        <v>1614</v>
      </c>
      <c r="C356">
        <v>15204</v>
      </c>
      <c r="D356">
        <v>120455</v>
      </c>
      <c r="F356">
        <v>120455</v>
      </c>
    </row>
    <row r="357" spans="1:6" x14ac:dyDescent="0.25">
      <c r="A357" t="s">
        <v>26</v>
      </c>
      <c r="B357" t="s">
        <v>1615</v>
      </c>
      <c r="C357">
        <v>15205</v>
      </c>
      <c r="D357">
        <v>0</v>
      </c>
      <c r="F357">
        <v>0</v>
      </c>
    </row>
    <row r="358" spans="1:6" x14ac:dyDescent="0.25">
      <c r="A358" t="s">
        <v>27</v>
      </c>
      <c r="B358" t="s">
        <v>1616</v>
      </c>
      <c r="C358">
        <v>15206</v>
      </c>
      <c r="D358">
        <v>0</v>
      </c>
      <c r="F358">
        <v>0</v>
      </c>
    </row>
    <row r="359" spans="1:6" x14ac:dyDescent="0.25">
      <c r="A359" t="s">
        <v>531</v>
      </c>
      <c r="B359" t="s">
        <v>1617</v>
      </c>
      <c r="C359">
        <v>15207</v>
      </c>
      <c r="D359">
        <v>0</v>
      </c>
      <c r="F359">
        <v>0</v>
      </c>
    </row>
    <row r="360" spans="1:6" x14ac:dyDescent="0.25">
      <c r="A360" t="s">
        <v>1583</v>
      </c>
      <c r="B360" t="s">
        <v>1618</v>
      </c>
      <c r="C360">
        <v>15208</v>
      </c>
      <c r="D360">
        <v>0</v>
      </c>
      <c r="F360">
        <v>0</v>
      </c>
    </row>
    <row r="361" spans="1:6" x14ac:dyDescent="0.25">
      <c r="A361" t="s">
        <v>1585</v>
      </c>
      <c r="B361" t="s">
        <v>1619</v>
      </c>
      <c r="C361">
        <v>15209</v>
      </c>
      <c r="D361">
        <v>0</v>
      </c>
      <c r="F361">
        <v>0</v>
      </c>
    </row>
    <row r="362" spans="1:6" x14ac:dyDescent="0.25">
      <c r="A362" t="s">
        <v>1587</v>
      </c>
      <c r="B362" t="s">
        <v>1620</v>
      </c>
      <c r="C362">
        <v>15210</v>
      </c>
      <c r="D362">
        <v>0</v>
      </c>
      <c r="F362">
        <v>0</v>
      </c>
    </row>
    <row r="363" spans="1:6" x14ac:dyDescent="0.25">
      <c r="A363" t="s">
        <v>1589</v>
      </c>
      <c r="B363" t="s">
        <v>1621</v>
      </c>
      <c r="C363">
        <v>15211</v>
      </c>
      <c r="D363">
        <v>921</v>
      </c>
      <c r="F363">
        <v>921</v>
      </c>
    </row>
    <row r="364" spans="1:6" x14ac:dyDescent="0.25">
      <c r="A364" t="s">
        <v>1591</v>
      </c>
      <c r="B364" t="s">
        <v>1622</v>
      </c>
      <c r="C364">
        <v>15212</v>
      </c>
      <c r="D364">
        <v>169894</v>
      </c>
      <c r="F364">
        <v>169894</v>
      </c>
    </row>
    <row r="365" spans="1:6" x14ac:dyDescent="0.25">
      <c r="A365" t="s">
        <v>1593</v>
      </c>
      <c r="B365" t="s">
        <v>1623</v>
      </c>
      <c r="C365">
        <v>15213</v>
      </c>
      <c r="D365">
        <v>0</v>
      </c>
      <c r="F365">
        <v>0</v>
      </c>
    </row>
    <row r="366" spans="1:6" x14ac:dyDescent="0.25">
      <c r="A366" t="s">
        <v>1595</v>
      </c>
      <c r="B366" t="s">
        <v>1624</v>
      </c>
      <c r="C366">
        <v>15214</v>
      </c>
      <c r="D366">
        <v>0</v>
      </c>
      <c r="F366">
        <v>0</v>
      </c>
    </row>
    <row r="367" spans="1:6" x14ac:dyDescent="0.25">
      <c r="A367" t="s">
        <v>1597</v>
      </c>
      <c r="B367" t="s">
        <v>1625</v>
      </c>
      <c r="C367">
        <v>15215</v>
      </c>
      <c r="D367">
        <v>135</v>
      </c>
      <c r="F367">
        <v>135</v>
      </c>
    </row>
    <row r="368" spans="1:6" x14ac:dyDescent="0.25">
      <c r="A368" t="s">
        <v>1599</v>
      </c>
      <c r="B368" t="s">
        <v>1626</v>
      </c>
      <c r="C368">
        <v>15216</v>
      </c>
      <c r="D368">
        <v>0</v>
      </c>
      <c r="F368">
        <v>0</v>
      </c>
    </row>
    <row r="369" spans="1:6" x14ac:dyDescent="0.25">
      <c r="A369" t="s">
        <v>1601</v>
      </c>
      <c r="B369" t="s">
        <v>1627</v>
      </c>
      <c r="C369">
        <v>15217</v>
      </c>
      <c r="D369">
        <v>0</v>
      </c>
      <c r="F369">
        <v>0</v>
      </c>
    </row>
    <row r="370" spans="1:6" x14ac:dyDescent="0.25">
      <c r="A370" t="s">
        <v>1603</v>
      </c>
      <c r="B370" t="s">
        <v>1596</v>
      </c>
      <c r="C370">
        <v>15218</v>
      </c>
      <c r="D370">
        <v>148</v>
      </c>
      <c r="F370">
        <v>148</v>
      </c>
    </row>
    <row r="371" spans="1:6" x14ac:dyDescent="0.25">
      <c r="A371" t="s">
        <v>1605</v>
      </c>
      <c r="B371" t="s">
        <v>1598</v>
      </c>
      <c r="C371">
        <v>15219</v>
      </c>
      <c r="D371">
        <v>114435</v>
      </c>
      <c r="F371">
        <v>114435</v>
      </c>
    </row>
    <row r="372" spans="1:6" x14ac:dyDescent="0.25">
      <c r="A372" t="s">
        <v>1607</v>
      </c>
      <c r="B372" t="s">
        <v>1602</v>
      </c>
      <c r="C372">
        <v>15220</v>
      </c>
      <c r="D372">
        <v>0</v>
      </c>
      <c r="F372">
        <v>0</v>
      </c>
    </row>
    <row r="373" spans="1:6" x14ac:dyDescent="0.25">
      <c r="B373" t="s">
        <v>1719</v>
      </c>
      <c r="D373">
        <v>497388</v>
      </c>
      <c r="F373">
        <v>497388</v>
      </c>
    </row>
    <row r="374" spans="1:6" x14ac:dyDescent="0.25">
      <c r="B374" t="s">
        <v>1629</v>
      </c>
    </row>
    <row r="375" spans="1:6" x14ac:dyDescent="0.25">
      <c r="A375" t="s">
        <v>2</v>
      </c>
      <c r="B375" t="s">
        <v>1627</v>
      </c>
      <c r="C375">
        <v>15301</v>
      </c>
      <c r="D375">
        <v>0</v>
      </c>
      <c r="F375">
        <v>0</v>
      </c>
    </row>
    <row r="376" spans="1:6" x14ac:dyDescent="0.25">
      <c r="A376" t="s">
        <v>15</v>
      </c>
      <c r="B376" t="s">
        <v>1625</v>
      </c>
      <c r="C376">
        <v>15302</v>
      </c>
      <c r="D376">
        <v>290462</v>
      </c>
      <c r="F376">
        <v>290462</v>
      </c>
    </row>
    <row r="377" spans="1:6" x14ac:dyDescent="0.25">
      <c r="A377" t="s">
        <v>16</v>
      </c>
      <c r="B377" t="s">
        <v>1626</v>
      </c>
      <c r="C377">
        <v>15303</v>
      </c>
      <c r="D377">
        <v>0</v>
      </c>
      <c r="F377">
        <v>0</v>
      </c>
    </row>
    <row r="378" spans="1:6" x14ac:dyDescent="0.25">
      <c r="B378" t="s">
        <v>1720</v>
      </c>
      <c r="D378">
        <v>290462</v>
      </c>
      <c r="F378">
        <v>290462</v>
      </c>
    </row>
    <row r="379" spans="1:6" x14ac:dyDescent="0.25">
      <c r="B379" t="s">
        <v>1631</v>
      </c>
    </row>
    <row r="380" spans="1:6" x14ac:dyDescent="0.25">
      <c r="A380" t="s">
        <v>2</v>
      </c>
      <c r="B380" t="s">
        <v>1627</v>
      </c>
      <c r="C380">
        <v>15401</v>
      </c>
      <c r="D380">
        <v>0</v>
      </c>
      <c r="F380">
        <v>0</v>
      </c>
    </row>
    <row r="381" spans="1:6" x14ac:dyDescent="0.25">
      <c r="A381" t="s">
        <v>15</v>
      </c>
      <c r="B381" t="s">
        <v>1625</v>
      </c>
      <c r="C381">
        <v>15402</v>
      </c>
      <c r="D381">
        <v>0</v>
      </c>
      <c r="F381">
        <v>0</v>
      </c>
    </row>
    <row r="382" spans="1:6" x14ac:dyDescent="0.25">
      <c r="A382" t="s">
        <v>16</v>
      </c>
      <c r="B382" t="s">
        <v>1626</v>
      </c>
      <c r="C382">
        <v>15403</v>
      </c>
      <c r="D382">
        <v>0</v>
      </c>
      <c r="F382">
        <v>0</v>
      </c>
    </row>
    <row r="383" spans="1:6" x14ac:dyDescent="0.25">
      <c r="B383" t="s">
        <v>1721</v>
      </c>
      <c r="D383">
        <v>0</v>
      </c>
      <c r="F383">
        <v>0</v>
      </c>
    </row>
    <row r="384" spans="1:6" x14ac:dyDescent="0.25">
      <c r="B384" t="s">
        <v>2291</v>
      </c>
    </row>
    <row r="385" spans="1:6" x14ac:dyDescent="0.25">
      <c r="A385" t="s">
        <v>2</v>
      </c>
      <c r="B385" t="s">
        <v>1634</v>
      </c>
      <c r="C385">
        <v>15501</v>
      </c>
      <c r="D385">
        <v>0</v>
      </c>
      <c r="F385">
        <v>0</v>
      </c>
    </row>
    <row r="386" spans="1:6" x14ac:dyDescent="0.25">
      <c r="A386" t="s">
        <v>15</v>
      </c>
      <c r="B386" t="s">
        <v>1635</v>
      </c>
      <c r="C386">
        <v>15502</v>
      </c>
      <c r="D386">
        <v>0</v>
      </c>
      <c r="F386">
        <v>0</v>
      </c>
    </row>
    <row r="387" spans="1:6" x14ac:dyDescent="0.25">
      <c r="A387" t="s">
        <v>16</v>
      </c>
      <c r="B387" t="s">
        <v>1636</v>
      </c>
      <c r="C387">
        <v>15503</v>
      </c>
      <c r="D387">
        <v>0</v>
      </c>
      <c r="F387">
        <v>0</v>
      </c>
    </row>
    <row r="388" spans="1:6" x14ac:dyDescent="0.25">
      <c r="A388" t="s">
        <v>25</v>
      </c>
      <c r="B388" t="s">
        <v>1637</v>
      </c>
      <c r="C388">
        <v>15504</v>
      </c>
      <c r="D388">
        <v>0</v>
      </c>
      <c r="F388">
        <v>0</v>
      </c>
    </row>
    <row r="389" spans="1:6" x14ac:dyDescent="0.25">
      <c r="A389" t="s">
        <v>26</v>
      </c>
      <c r="B389" t="s">
        <v>1638</v>
      </c>
      <c r="C389">
        <v>15505</v>
      </c>
      <c r="D389">
        <v>7315</v>
      </c>
      <c r="F389">
        <v>7315</v>
      </c>
    </row>
    <row r="390" spans="1:6" x14ac:dyDescent="0.25">
      <c r="A390" t="s">
        <v>27</v>
      </c>
      <c r="B390" t="s">
        <v>1639</v>
      </c>
      <c r="C390">
        <v>15506</v>
      </c>
      <c r="D390">
        <v>0</v>
      </c>
      <c r="F390">
        <v>0</v>
      </c>
    </row>
    <row r="391" spans="1:6" x14ac:dyDescent="0.25">
      <c r="A391" t="s">
        <v>531</v>
      </c>
      <c r="B391" t="s">
        <v>1640</v>
      </c>
      <c r="C391">
        <v>15507</v>
      </c>
      <c r="D391">
        <v>0</v>
      </c>
      <c r="F391">
        <v>0</v>
      </c>
    </row>
    <row r="392" spans="1:6" x14ac:dyDescent="0.25">
      <c r="A392" t="s">
        <v>1583</v>
      </c>
      <c r="B392" t="s">
        <v>1641</v>
      </c>
      <c r="C392">
        <v>15508</v>
      </c>
      <c r="D392">
        <v>27719</v>
      </c>
      <c r="F392">
        <v>27719</v>
      </c>
    </row>
    <row r="393" spans="1:6" x14ac:dyDescent="0.25">
      <c r="B393" t="s">
        <v>1723</v>
      </c>
      <c r="D393">
        <v>35034</v>
      </c>
      <c r="F393">
        <v>35034</v>
      </c>
    </row>
    <row r="394" spans="1:6" x14ac:dyDescent="0.25">
      <c r="B394" t="s">
        <v>2292</v>
      </c>
    </row>
    <row r="395" spans="1:6" x14ac:dyDescent="0.25">
      <c r="A395" t="s">
        <v>2</v>
      </c>
      <c r="B395" t="s">
        <v>1634</v>
      </c>
      <c r="C395">
        <v>15601</v>
      </c>
      <c r="D395">
        <v>0</v>
      </c>
      <c r="F395">
        <v>0</v>
      </c>
    </row>
    <row r="396" spans="1:6" x14ac:dyDescent="0.25">
      <c r="A396" t="s">
        <v>15</v>
      </c>
      <c r="B396" t="s">
        <v>1635</v>
      </c>
      <c r="C396">
        <v>15602</v>
      </c>
      <c r="D396">
        <v>0</v>
      </c>
      <c r="F396">
        <v>0</v>
      </c>
    </row>
    <row r="397" spans="1:6" x14ac:dyDescent="0.25">
      <c r="A397" t="s">
        <v>16</v>
      </c>
      <c r="B397" t="s">
        <v>1636</v>
      </c>
      <c r="C397">
        <v>15603</v>
      </c>
      <c r="D397">
        <v>0</v>
      </c>
      <c r="F397">
        <v>0</v>
      </c>
    </row>
    <row r="398" spans="1:6" x14ac:dyDescent="0.25">
      <c r="A398" t="s">
        <v>25</v>
      </c>
      <c r="B398" t="s">
        <v>1637</v>
      </c>
      <c r="C398">
        <v>15604</v>
      </c>
      <c r="D398">
        <v>2600</v>
      </c>
      <c r="F398">
        <v>2600</v>
      </c>
    </row>
    <row r="399" spans="1:6" x14ac:dyDescent="0.25">
      <c r="A399" t="s">
        <v>26</v>
      </c>
      <c r="B399" t="s">
        <v>1638</v>
      </c>
      <c r="C399">
        <v>15605</v>
      </c>
      <c r="D399">
        <v>80117</v>
      </c>
      <c r="F399">
        <v>80117</v>
      </c>
    </row>
    <row r="400" spans="1:6" x14ac:dyDescent="0.25">
      <c r="A400" t="s">
        <v>27</v>
      </c>
      <c r="B400" t="s">
        <v>1639</v>
      </c>
      <c r="C400">
        <v>15606</v>
      </c>
      <c r="D400">
        <v>0</v>
      </c>
      <c r="F400">
        <v>0</v>
      </c>
    </row>
    <row r="401" spans="1:6" x14ac:dyDescent="0.25">
      <c r="A401" t="s">
        <v>531</v>
      </c>
      <c r="B401" t="s">
        <v>1640</v>
      </c>
      <c r="C401">
        <v>15607</v>
      </c>
      <c r="D401">
        <v>0</v>
      </c>
      <c r="F401">
        <v>0</v>
      </c>
    </row>
    <row r="402" spans="1:6" x14ac:dyDescent="0.25">
      <c r="A402" t="s">
        <v>1583</v>
      </c>
      <c r="B402" t="s">
        <v>1641</v>
      </c>
      <c r="C402">
        <v>15608</v>
      </c>
      <c r="D402">
        <v>134205</v>
      </c>
      <c r="F402">
        <v>134205</v>
      </c>
    </row>
    <row r="403" spans="1:6" x14ac:dyDescent="0.25">
      <c r="B403" t="s">
        <v>1725</v>
      </c>
      <c r="D403">
        <v>216922</v>
      </c>
      <c r="F403">
        <v>216922</v>
      </c>
    </row>
    <row r="404" spans="1:6" x14ac:dyDescent="0.25">
      <c r="B404" t="s">
        <v>1726</v>
      </c>
    </row>
    <row r="405" spans="1:6" x14ac:dyDescent="0.25">
      <c r="A405" t="s">
        <v>2</v>
      </c>
      <c r="B405" t="s">
        <v>1648</v>
      </c>
      <c r="C405">
        <v>15701</v>
      </c>
      <c r="D405">
        <v>0</v>
      </c>
      <c r="F405">
        <v>0</v>
      </c>
    </row>
    <row r="406" spans="1:6" x14ac:dyDescent="0.25">
      <c r="A406" t="s">
        <v>15</v>
      </c>
      <c r="B406" t="s">
        <v>1649</v>
      </c>
      <c r="C406">
        <v>15702</v>
      </c>
      <c r="D406">
        <v>0</v>
      </c>
      <c r="F406">
        <v>0</v>
      </c>
    </row>
    <row r="407" spans="1:6" x14ac:dyDescent="0.25">
      <c r="A407" t="s">
        <v>16</v>
      </c>
      <c r="B407" t="s">
        <v>1637</v>
      </c>
      <c r="C407">
        <v>15703</v>
      </c>
      <c r="D407">
        <v>0</v>
      </c>
      <c r="F407">
        <v>0</v>
      </c>
    </row>
    <row r="408" spans="1:6" x14ac:dyDescent="0.25">
      <c r="A408" t="s">
        <v>25</v>
      </c>
      <c r="B408" t="s">
        <v>1638</v>
      </c>
      <c r="C408">
        <v>15704</v>
      </c>
      <c r="D408">
        <v>0</v>
      </c>
      <c r="F408">
        <v>0</v>
      </c>
    </row>
    <row r="409" spans="1:6" x14ac:dyDescent="0.25">
      <c r="A409" t="s">
        <v>26</v>
      </c>
      <c r="B409" t="s">
        <v>1650</v>
      </c>
      <c r="C409">
        <v>15705</v>
      </c>
      <c r="D409">
        <v>0</v>
      </c>
      <c r="F409">
        <v>0</v>
      </c>
    </row>
    <row r="410" spans="1:6" x14ac:dyDescent="0.25">
      <c r="A410" t="s">
        <v>27</v>
      </c>
      <c r="B410" t="s">
        <v>1651</v>
      </c>
      <c r="C410">
        <v>15706</v>
      </c>
      <c r="D410">
        <v>0</v>
      </c>
      <c r="F410">
        <v>0</v>
      </c>
    </row>
    <row r="411" spans="1:6" x14ac:dyDescent="0.25">
      <c r="A411" t="s">
        <v>531</v>
      </c>
      <c r="B411" t="s">
        <v>1640</v>
      </c>
      <c r="C411">
        <v>15707</v>
      </c>
      <c r="D411">
        <v>0</v>
      </c>
      <c r="F411">
        <v>0</v>
      </c>
    </row>
    <row r="412" spans="1:6" x14ac:dyDescent="0.25">
      <c r="A412" t="s">
        <v>1583</v>
      </c>
      <c r="B412" t="s">
        <v>1641</v>
      </c>
      <c r="C412">
        <v>15708</v>
      </c>
      <c r="D412">
        <v>0</v>
      </c>
      <c r="F412">
        <v>0</v>
      </c>
    </row>
    <row r="413" spans="1:6" x14ac:dyDescent="0.25">
      <c r="B413" t="s">
        <v>1727</v>
      </c>
      <c r="D413">
        <v>0</v>
      </c>
      <c r="F413">
        <v>0</v>
      </c>
    </row>
    <row r="414" spans="1:6" x14ac:dyDescent="0.25">
      <c r="B414" t="s">
        <v>1728</v>
      </c>
      <c r="D414">
        <v>14903501</v>
      </c>
      <c r="F414">
        <v>14903501</v>
      </c>
    </row>
    <row r="415" spans="1:6" x14ac:dyDescent="0.25">
      <c r="B415" t="s">
        <v>1729</v>
      </c>
    </row>
    <row r="416" spans="1:6" x14ac:dyDescent="0.25">
      <c r="B416" t="s">
        <v>1730</v>
      </c>
    </row>
    <row r="417" spans="1:6" x14ac:dyDescent="0.25">
      <c r="A417" t="s">
        <v>2</v>
      </c>
      <c r="B417" t="s">
        <v>1710</v>
      </c>
      <c r="C417">
        <v>16101</v>
      </c>
      <c r="D417">
        <v>0</v>
      </c>
      <c r="E417">
        <v>0</v>
      </c>
      <c r="F417">
        <v>0</v>
      </c>
    </row>
    <row r="418" spans="1:6" x14ac:dyDescent="0.25">
      <c r="A418" t="s">
        <v>15</v>
      </c>
      <c r="B418" t="s">
        <v>1711</v>
      </c>
      <c r="C418">
        <v>16102</v>
      </c>
      <c r="D418">
        <v>0</v>
      </c>
      <c r="E418">
        <v>0</v>
      </c>
      <c r="F418">
        <v>0</v>
      </c>
    </row>
    <row r="419" spans="1:6" x14ac:dyDescent="0.25">
      <c r="A419" t="s">
        <v>16</v>
      </c>
      <c r="B419" t="s">
        <v>1712</v>
      </c>
      <c r="C419">
        <v>16103</v>
      </c>
      <c r="D419">
        <v>0</v>
      </c>
      <c r="E419">
        <v>0</v>
      </c>
      <c r="F419">
        <v>0</v>
      </c>
    </row>
    <row r="420" spans="1:6" x14ac:dyDescent="0.25">
      <c r="A420" t="s">
        <v>25</v>
      </c>
      <c r="B420" t="s">
        <v>1713</v>
      </c>
      <c r="C420">
        <v>16104</v>
      </c>
      <c r="D420">
        <v>0</v>
      </c>
      <c r="E420">
        <v>0</v>
      </c>
      <c r="F420">
        <v>0</v>
      </c>
    </row>
    <row r="421" spans="1:6" x14ac:dyDescent="0.25">
      <c r="A421" t="s">
        <v>26</v>
      </c>
      <c r="B421" t="s">
        <v>1714</v>
      </c>
      <c r="C421">
        <v>16105</v>
      </c>
      <c r="D421">
        <v>0</v>
      </c>
      <c r="E421">
        <v>0</v>
      </c>
      <c r="F421">
        <v>0</v>
      </c>
    </row>
    <row r="422" spans="1:6" x14ac:dyDescent="0.25">
      <c r="B422" t="s">
        <v>1731</v>
      </c>
      <c r="D422">
        <v>0</v>
      </c>
      <c r="E422">
        <v>0</v>
      </c>
      <c r="F422">
        <v>0</v>
      </c>
    </row>
    <row r="423" spans="1:6" x14ac:dyDescent="0.25">
      <c r="B423" t="s">
        <v>1732</v>
      </c>
      <c r="D423">
        <v>0</v>
      </c>
      <c r="E423">
        <v>0</v>
      </c>
      <c r="F423">
        <v>0</v>
      </c>
    </row>
    <row r="424" spans="1:6" x14ac:dyDescent="0.25">
      <c r="B424" t="s">
        <v>2293</v>
      </c>
    </row>
    <row r="425" spans="1:6" x14ac:dyDescent="0.25">
      <c r="B425" t="s">
        <v>1575</v>
      </c>
    </row>
    <row r="426" spans="1:6" x14ac:dyDescent="0.25">
      <c r="A426" t="s">
        <v>2</v>
      </c>
      <c r="B426" t="s">
        <v>1576</v>
      </c>
      <c r="C426">
        <v>17101</v>
      </c>
      <c r="D426">
        <v>0</v>
      </c>
      <c r="F426">
        <v>0</v>
      </c>
    </row>
    <row r="427" spans="1:6" x14ac:dyDescent="0.25">
      <c r="A427" t="s">
        <v>15</v>
      </c>
      <c r="B427" t="s">
        <v>1577</v>
      </c>
      <c r="C427">
        <v>17102</v>
      </c>
      <c r="D427">
        <v>0</v>
      </c>
      <c r="F427">
        <v>0</v>
      </c>
    </row>
    <row r="428" spans="1:6" x14ac:dyDescent="0.25">
      <c r="A428" t="s">
        <v>16</v>
      </c>
      <c r="B428" t="s">
        <v>1578</v>
      </c>
      <c r="C428">
        <v>17103</v>
      </c>
      <c r="D428">
        <v>0</v>
      </c>
      <c r="F428">
        <v>0</v>
      </c>
    </row>
    <row r="429" spans="1:6" x14ac:dyDescent="0.25">
      <c r="A429" t="s">
        <v>25</v>
      </c>
      <c r="B429" t="s">
        <v>1579</v>
      </c>
      <c r="C429">
        <v>17104</v>
      </c>
      <c r="D429">
        <v>0</v>
      </c>
      <c r="F429">
        <v>0</v>
      </c>
    </row>
    <row r="430" spans="1:6" x14ac:dyDescent="0.25">
      <c r="A430" t="s">
        <v>26</v>
      </c>
      <c r="B430" t="s">
        <v>1580</v>
      </c>
      <c r="C430">
        <v>17105</v>
      </c>
      <c r="D430">
        <v>863</v>
      </c>
      <c r="F430">
        <v>863</v>
      </c>
    </row>
    <row r="431" spans="1:6" x14ac:dyDescent="0.25">
      <c r="A431" t="s">
        <v>27</v>
      </c>
      <c r="B431" t="s">
        <v>1581</v>
      </c>
      <c r="C431">
        <v>17106</v>
      </c>
      <c r="D431">
        <v>15952</v>
      </c>
      <c r="F431">
        <v>15952</v>
      </c>
    </row>
    <row r="432" spans="1:6" x14ac:dyDescent="0.25">
      <c r="A432" t="s">
        <v>531</v>
      </c>
      <c r="B432" t="s">
        <v>1582</v>
      </c>
      <c r="C432">
        <v>17107</v>
      </c>
      <c r="D432">
        <v>0</v>
      </c>
      <c r="F432">
        <v>0</v>
      </c>
    </row>
    <row r="433" spans="1:6" x14ac:dyDescent="0.25">
      <c r="A433" t="s">
        <v>1583</v>
      </c>
      <c r="B433" t="s">
        <v>1584</v>
      </c>
      <c r="C433">
        <v>17108</v>
      </c>
      <c r="D433">
        <v>1661</v>
      </c>
      <c r="F433">
        <v>1661</v>
      </c>
    </row>
    <row r="434" spans="1:6" x14ac:dyDescent="0.25">
      <c r="A434" t="s">
        <v>1585</v>
      </c>
      <c r="B434" t="s">
        <v>1586</v>
      </c>
      <c r="C434">
        <v>17109</v>
      </c>
      <c r="D434">
        <v>353339</v>
      </c>
      <c r="F434">
        <v>353339</v>
      </c>
    </row>
    <row r="435" spans="1:6" x14ac:dyDescent="0.25">
      <c r="A435" t="s">
        <v>1587</v>
      </c>
      <c r="B435" t="s">
        <v>1588</v>
      </c>
      <c r="C435">
        <v>17110</v>
      </c>
      <c r="D435">
        <v>0</v>
      </c>
      <c r="F435">
        <v>0</v>
      </c>
    </row>
    <row r="436" spans="1:6" x14ac:dyDescent="0.25">
      <c r="A436" t="s">
        <v>1589</v>
      </c>
      <c r="B436" t="s">
        <v>1590</v>
      </c>
      <c r="C436">
        <v>17111</v>
      </c>
      <c r="D436">
        <v>1833016</v>
      </c>
      <c r="F436">
        <v>1833016</v>
      </c>
    </row>
    <row r="437" spans="1:6" x14ac:dyDescent="0.25">
      <c r="A437" t="s">
        <v>1591</v>
      </c>
      <c r="B437" t="s">
        <v>1592</v>
      </c>
      <c r="C437">
        <v>17112</v>
      </c>
      <c r="D437">
        <v>17263241</v>
      </c>
      <c r="F437">
        <v>17263241</v>
      </c>
    </row>
    <row r="438" spans="1:6" x14ac:dyDescent="0.25">
      <c r="A438" t="s">
        <v>1593</v>
      </c>
      <c r="B438" t="s">
        <v>1594</v>
      </c>
      <c r="C438">
        <v>17113</v>
      </c>
      <c r="D438">
        <v>1383</v>
      </c>
      <c r="F438">
        <v>1383</v>
      </c>
    </row>
    <row r="439" spans="1:6" x14ac:dyDescent="0.25">
      <c r="A439" t="s">
        <v>1595</v>
      </c>
      <c r="B439" t="s">
        <v>1596</v>
      </c>
      <c r="C439">
        <v>17114</v>
      </c>
      <c r="D439">
        <v>370793</v>
      </c>
      <c r="F439">
        <v>370793</v>
      </c>
    </row>
    <row r="440" spans="1:6" x14ac:dyDescent="0.25">
      <c r="A440" t="s">
        <v>1597</v>
      </c>
      <c r="B440" t="s">
        <v>1598</v>
      </c>
      <c r="C440">
        <v>17115</v>
      </c>
      <c r="D440">
        <v>5551497</v>
      </c>
      <c r="F440">
        <v>5551497</v>
      </c>
    </row>
    <row r="441" spans="1:6" x14ac:dyDescent="0.25">
      <c r="A441" t="s">
        <v>1599</v>
      </c>
      <c r="B441" t="s">
        <v>1600</v>
      </c>
      <c r="C441">
        <v>17116</v>
      </c>
      <c r="D441">
        <v>1991344</v>
      </c>
      <c r="F441">
        <v>1991344</v>
      </c>
    </row>
    <row r="442" spans="1:6" x14ac:dyDescent="0.25">
      <c r="A442" t="s">
        <v>1601</v>
      </c>
      <c r="B442" t="s">
        <v>1602</v>
      </c>
      <c r="C442">
        <v>17117</v>
      </c>
      <c r="D442">
        <v>0</v>
      </c>
      <c r="F442">
        <v>0</v>
      </c>
    </row>
    <row r="443" spans="1:6" x14ac:dyDescent="0.25">
      <c r="A443" t="s">
        <v>1603</v>
      </c>
      <c r="B443" t="s">
        <v>1604</v>
      </c>
      <c r="C443">
        <v>17118</v>
      </c>
      <c r="D443">
        <v>320161</v>
      </c>
      <c r="F443">
        <v>320161</v>
      </c>
    </row>
    <row r="444" spans="1:6" x14ac:dyDescent="0.25">
      <c r="A444" t="s">
        <v>1605</v>
      </c>
      <c r="B444" t="s">
        <v>1606</v>
      </c>
      <c r="C444">
        <v>17119</v>
      </c>
      <c r="D444">
        <v>410681</v>
      </c>
      <c r="F444">
        <v>410681</v>
      </c>
    </row>
    <row r="445" spans="1:6" x14ac:dyDescent="0.25">
      <c r="A445" t="s">
        <v>1607</v>
      </c>
      <c r="B445" t="s">
        <v>1608</v>
      </c>
      <c r="C445">
        <v>17120</v>
      </c>
      <c r="D445">
        <v>0</v>
      </c>
      <c r="F445">
        <v>0</v>
      </c>
    </row>
    <row r="446" spans="1:6" x14ac:dyDescent="0.25">
      <c r="B446" t="s">
        <v>2294</v>
      </c>
      <c r="D446">
        <v>28113931</v>
      </c>
      <c r="F446">
        <v>28113931</v>
      </c>
    </row>
    <row r="447" spans="1:6" x14ac:dyDescent="0.25">
      <c r="B447" t="s">
        <v>1656</v>
      </c>
    </row>
    <row r="448" spans="1:6" x14ac:dyDescent="0.25">
      <c r="A448" t="s">
        <v>2</v>
      </c>
      <c r="B448" t="s">
        <v>1611</v>
      </c>
      <c r="C448">
        <v>17201</v>
      </c>
      <c r="D448">
        <v>0</v>
      </c>
      <c r="F448">
        <v>0</v>
      </c>
    </row>
    <row r="449" spans="1:6" x14ac:dyDescent="0.25">
      <c r="A449" t="s">
        <v>15</v>
      </c>
      <c r="B449" t="s">
        <v>1612</v>
      </c>
      <c r="C449">
        <v>17202</v>
      </c>
      <c r="D449">
        <v>0</v>
      </c>
      <c r="F449">
        <v>0</v>
      </c>
    </row>
    <row r="450" spans="1:6" x14ac:dyDescent="0.25">
      <c r="A450" t="s">
        <v>16</v>
      </c>
      <c r="B450" t="s">
        <v>1613</v>
      </c>
      <c r="C450">
        <v>17203</v>
      </c>
      <c r="D450">
        <v>0</v>
      </c>
      <c r="F450">
        <v>0</v>
      </c>
    </row>
    <row r="451" spans="1:6" x14ac:dyDescent="0.25">
      <c r="A451" t="s">
        <v>25</v>
      </c>
      <c r="B451" t="s">
        <v>1614</v>
      </c>
      <c r="C451">
        <v>17204</v>
      </c>
      <c r="D451">
        <v>0</v>
      </c>
      <c r="F451">
        <v>0</v>
      </c>
    </row>
    <row r="452" spans="1:6" x14ac:dyDescent="0.25">
      <c r="A452" t="s">
        <v>26</v>
      </c>
      <c r="B452" t="s">
        <v>1615</v>
      </c>
      <c r="C452">
        <v>17205</v>
      </c>
      <c r="D452">
        <v>0</v>
      </c>
      <c r="F452">
        <v>0</v>
      </c>
    </row>
    <row r="453" spans="1:6" x14ac:dyDescent="0.25">
      <c r="A453" t="s">
        <v>27</v>
      </c>
      <c r="B453" t="s">
        <v>1616</v>
      </c>
      <c r="C453">
        <v>17206</v>
      </c>
      <c r="D453">
        <v>32965</v>
      </c>
      <c r="F453">
        <v>32965</v>
      </c>
    </row>
    <row r="454" spans="1:6" x14ac:dyDescent="0.25">
      <c r="A454" t="s">
        <v>531</v>
      </c>
      <c r="B454" t="s">
        <v>1617</v>
      </c>
      <c r="C454">
        <v>17207</v>
      </c>
      <c r="D454">
        <v>0</v>
      </c>
      <c r="F454">
        <v>0</v>
      </c>
    </row>
    <row r="455" spans="1:6" x14ac:dyDescent="0.25">
      <c r="A455" t="s">
        <v>1583</v>
      </c>
      <c r="B455" t="s">
        <v>1618</v>
      </c>
      <c r="C455">
        <v>17208</v>
      </c>
      <c r="D455">
        <v>0</v>
      </c>
      <c r="F455">
        <v>0</v>
      </c>
    </row>
    <row r="456" spans="1:6" x14ac:dyDescent="0.25">
      <c r="A456" t="s">
        <v>1585</v>
      </c>
      <c r="B456" t="s">
        <v>1619</v>
      </c>
      <c r="C456">
        <v>17209</v>
      </c>
      <c r="D456">
        <v>0</v>
      </c>
      <c r="F456">
        <v>0</v>
      </c>
    </row>
    <row r="457" spans="1:6" x14ac:dyDescent="0.25">
      <c r="A457" t="s">
        <v>1587</v>
      </c>
      <c r="B457" t="s">
        <v>1620</v>
      </c>
      <c r="C457">
        <v>17210</v>
      </c>
      <c r="D457">
        <v>0</v>
      </c>
      <c r="F457">
        <v>0</v>
      </c>
    </row>
    <row r="458" spans="1:6" x14ac:dyDescent="0.25">
      <c r="A458" t="s">
        <v>1589</v>
      </c>
      <c r="B458" t="s">
        <v>1621</v>
      </c>
      <c r="C458">
        <v>17211</v>
      </c>
      <c r="D458">
        <v>0</v>
      </c>
      <c r="F458">
        <v>0</v>
      </c>
    </row>
    <row r="459" spans="1:6" x14ac:dyDescent="0.25">
      <c r="A459" t="s">
        <v>1591</v>
      </c>
      <c r="B459" t="s">
        <v>1622</v>
      </c>
      <c r="C459">
        <v>17212</v>
      </c>
      <c r="D459">
        <v>423625</v>
      </c>
      <c r="F459">
        <v>423625</v>
      </c>
    </row>
    <row r="460" spans="1:6" x14ac:dyDescent="0.25">
      <c r="A460" t="s">
        <v>1593</v>
      </c>
      <c r="B460" t="s">
        <v>1623</v>
      </c>
      <c r="C460">
        <v>17213</v>
      </c>
      <c r="D460">
        <v>137510</v>
      </c>
      <c r="F460">
        <v>137510</v>
      </c>
    </row>
    <row r="461" spans="1:6" x14ac:dyDescent="0.25">
      <c r="A461" t="s">
        <v>1595</v>
      </c>
      <c r="B461" t="s">
        <v>1624</v>
      </c>
      <c r="C461">
        <v>17214</v>
      </c>
      <c r="D461">
        <v>0</v>
      </c>
      <c r="F461">
        <v>0</v>
      </c>
    </row>
    <row r="462" spans="1:6" x14ac:dyDescent="0.25">
      <c r="A462" t="s">
        <v>1597</v>
      </c>
      <c r="B462" t="s">
        <v>1625</v>
      </c>
      <c r="C462">
        <v>17215</v>
      </c>
      <c r="D462">
        <v>6920</v>
      </c>
      <c r="F462">
        <v>6920</v>
      </c>
    </row>
    <row r="463" spans="1:6" x14ac:dyDescent="0.25">
      <c r="A463" t="s">
        <v>1599</v>
      </c>
      <c r="B463" t="s">
        <v>1626</v>
      </c>
      <c r="C463">
        <v>17216</v>
      </c>
      <c r="D463">
        <v>0</v>
      </c>
      <c r="F463">
        <v>0</v>
      </c>
    </row>
    <row r="464" spans="1:6" x14ac:dyDescent="0.25">
      <c r="A464" t="s">
        <v>1601</v>
      </c>
      <c r="B464" t="s">
        <v>1627</v>
      </c>
      <c r="C464">
        <v>17217</v>
      </c>
      <c r="D464">
        <v>0</v>
      </c>
      <c r="F464">
        <v>0</v>
      </c>
    </row>
    <row r="465" spans="1:6" x14ac:dyDescent="0.25">
      <c r="A465" t="s">
        <v>1603</v>
      </c>
      <c r="B465" t="s">
        <v>1596</v>
      </c>
      <c r="C465">
        <v>17218</v>
      </c>
      <c r="D465">
        <v>24368</v>
      </c>
      <c r="F465">
        <v>24368</v>
      </c>
    </row>
    <row r="466" spans="1:6" x14ac:dyDescent="0.25">
      <c r="A466" t="s">
        <v>1605</v>
      </c>
      <c r="B466" t="s">
        <v>1598</v>
      </c>
      <c r="C466">
        <v>17219</v>
      </c>
      <c r="D466">
        <v>0</v>
      </c>
      <c r="F466">
        <v>0</v>
      </c>
    </row>
    <row r="467" spans="1:6" x14ac:dyDescent="0.25">
      <c r="A467" t="s">
        <v>1607</v>
      </c>
      <c r="B467" t="s">
        <v>1602</v>
      </c>
      <c r="C467">
        <v>17220</v>
      </c>
      <c r="D467">
        <v>0</v>
      </c>
      <c r="F467">
        <v>0</v>
      </c>
    </row>
    <row r="468" spans="1:6" x14ac:dyDescent="0.25">
      <c r="B468" t="s">
        <v>2295</v>
      </c>
      <c r="D468">
        <v>625388</v>
      </c>
      <c r="F468">
        <v>625388</v>
      </c>
    </row>
    <row r="469" spans="1:6" x14ac:dyDescent="0.25">
      <c r="B469" t="s">
        <v>1629</v>
      </c>
    </row>
    <row r="470" spans="1:6" x14ac:dyDescent="0.25">
      <c r="A470" t="s">
        <v>2</v>
      </c>
      <c r="B470" t="s">
        <v>1627</v>
      </c>
      <c r="C470">
        <v>17301</v>
      </c>
      <c r="D470">
        <v>0</v>
      </c>
      <c r="F470">
        <v>0</v>
      </c>
    </row>
    <row r="471" spans="1:6" x14ac:dyDescent="0.25">
      <c r="A471" t="s">
        <v>15</v>
      </c>
      <c r="B471" t="s">
        <v>1625</v>
      </c>
      <c r="C471">
        <v>17302</v>
      </c>
      <c r="D471">
        <v>0</v>
      </c>
      <c r="F471">
        <v>0</v>
      </c>
    </row>
    <row r="472" spans="1:6" x14ac:dyDescent="0.25">
      <c r="B472" t="s">
        <v>1626</v>
      </c>
      <c r="C472">
        <v>17303</v>
      </c>
      <c r="D472">
        <v>0</v>
      </c>
      <c r="F472">
        <v>0</v>
      </c>
    </row>
    <row r="473" spans="1:6" x14ac:dyDescent="0.25">
      <c r="B473" t="s">
        <v>2296</v>
      </c>
      <c r="D473">
        <v>0</v>
      </c>
      <c r="F473">
        <v>0</v>
      </c>
    </row>
    <row r="474" spans="1:6" x14ac:dyDescent="0.25">
      <c r="B474" t="s">
        <v>1631</v>
      </c>
    </row>
    <row r="475" spans="1:6" x14ac:dyDescent="0.25">
      <c r="A475" t="s">
        <v>2</v>
      </c>
      <c r="B475" t="s">
        <v>1627</v>
      </c>
      <c r="C475">
        <v>17401</v>
      </c>
      <c r="D475">
        <v>0</v>
      </c>
      <c r="F475">
        <v>0</v>
      </c>
    </row>
    <row r="476" spans="1:6" x14ac:dyDescent="0.25">
      <c r="A476" t="s">
        <v>15</v>
      </c>
      <c r="B476" t="s">
        <v>1625</v>
      </c>
      <c r="C476">
        <v>17402</v>
      </c>
      <c r="D476">
        <v>0</v>
      </c>
      <c r="F476">
        <v>0</v>
      </c>
    </row>
    <row r="477" spans="1:6" x14ac:dyDescent="0.25">
      <c r="A477" t="s">
        <v>16</v>
      </c>
      <c r="B477" t="s">
        <v>1626</v>
      </c>
      <c r="C477">
        <v>17403</v>
      </c>
      <c r="D477">
        <v>0</v>
      </c>
      <c r="F477">
        <v>0</v>
      </c>
    </row>
    <row r="478" spans="1:6" x14ac:dyDescent="0.25">
      <c r="B478" t="s">
        <v>2297</v>
      </c>
      <c r="D478">
        <v>0</v>
      </c>
      <c r="F478">
        <v>0</v>
      </c>
    </row>
    <row r="479" spans="1:6" x14ac:dyDescent="0.25">
      <c r="B479" t="s">
        <v>2291</v>
      </c>
    </row>
    <row r="480" spans="1:6" x14ac:dyDescent="0.25">
      <c r="A480" t="s">
        <v>2</v>
      </c>
      <c r="B480" t="s">
        <v>1634</v>
      </c>
      <c r="C480">
        <v>17501</v>
      </c>
      <c r="D480">
        <v>2211</v>
      </c>
      <c r="F480">
        <v>2211</v>
      </c>
    </row>
    <row r="481" spans="1:6" x14ac:dyDescent="0.25">
      <c r="A481" t="s">
        <v>15</v>
      </c>
      <c r="B481" t="s">
        <v>1635</v>
      </c>
      <c r="C481">
        <v>17502</v>
      </c>
      <c r="D481">
        <v>0</v>
      </c>
      <c r="F481">
        <v>0</v>
      </c>
    </row>
    <row r="482" spans="1:6" x14ac:dyDescent="0.25">
      <c r="A482" t="s">
        <v>16</v>
      </c>
      <c r="B482" t="s">
        <v>1636</v>
      </c>
      <c r="C482">
        <v>17503</v>
      </c>
      <c r="D482">
        <v>0</v>
      </c>
      <c r="F482">
        <v>0</v>
      </c>
    </row>
    <row r="483" spans="1:6" x14ac:dyDescent="0.25">
      <c r="A483" t="s">
        <v>25</v>
      </c>
      <c r="B483" t="s">
        <v>1637</v>
      </c>
      <c r="C483">
        <v>17504</v>
      </c>
      <c r="D483">
        <v>1353</v>
      </c>
      <c r="F483">
        <v>1353</v>
      </c>
    </row>
    <row r="484" spans="1:6" x14ac:dyDescent="0.25">
      <c r="A484" t="s">
        <v>26</v>
      </c>
      <c r="B484" t="s">
        <v>1638</v>
      </c>
      <c r="C484">
        <v>17505</v>
      </c>
      <c r="D484">
        <v>15667</v>
      </c>
      <c r="F484">
        <v>15667</v>
      </c>
    </row>
    <row r="485" spans="1:6" x14ac:dyDescent="0.25">
      <c r="A485" t="s">
        <v>27</v>
      </c>
      <c r="B485" t="s">
        <v>1639</v>
      </c>
      <c r="C485">
        <v>17506</v>
      </c>
      <c r="D485">
        <v>0</v>
      </c>
      <c r="F485">
        <v>0</v>
      </c>
    </row>
    <row r="486" spans="1:6" x14ac:dyDescent="0.25">
      <c r="A486" t="s">
        <v>531</v>
      </c>
      <c r="B486" t="s">
        <v>1640</v>
      </c>
      <c r="C486">
        <v>17507</v>
      </c>
      <c r="D486">
        <v>0</v>
      </c>
      <c r="F486">
        <v>0</v>
      </c>
    </row>
    <row r="487" spans="1:6" x14ac:dyDescent="0.25">
      <c r="A487" t="s">
        <v>1583</v>
      </c>
      <c r="B487" t="s">
        <v>1641</v>
      </c>
      <c r="C487">
        <v>17508</v>
      </c>
      <c r="D487">
        <v>28847</v>
      </c>
      <c r="F487">
        <v>28847</v>
      </c>
    </row>
    <row r="488" spans="1:6" x14ac:dyDescent="0.25">
      <c r="B488" t="s">
        <v>2298</v>
      </c>
      <c r="D488">
        <v>48078</v>
      </c>
      <c r="F488">
        <v>48078</v>
      </c>
    </row>
    <row r="489" spans="1:6" x14ac:dyDescent="0.25">
      <c r="B489" t="s">
        <v>2292</v>
      </c>
    </row>
    <row r="490" spans="1:6" x14ac:dyDescent="0.25">
      <c r="A490" t="s">
        <v>2</v>
      </c>
      <c r="B490" t="s">
        <v>1634</v>
      </c>
      <c r="C490">
        <v>17601</v>
      </c>
      <c r="D490">
        <v>260</v>
      </c>
      <c r="F490">
        <v>260</v>
      </c>
    </row>
    <row r="491" spans="1:6" x14ac:dyDescent="0.25">
      <c r="A491" t="s">
        <v>15</v>
      </c>
      <c r="B491" t="s">
        <v>1635</v>
      </c>
      <c r="C491">
        <v>17602</v>
      </c>
      <c r="D491">
        <v>199</v>
      </c>
      <c r="F491">
        <v>199</v>
      </c>
    </row>
    <row r="492" spans="1:6" x14ac:dyDescent="0.25">
      <c r="A492" t="s">
        <v>16</v>
      </c>
      <c r="B492" t="s">
        <v>1636</v>
      </c>
      <c r="C492">
        <v>17603</v>
      </c>
      <c r="D492">
        <v>0</v>
      </c>
      <c r="F492">
        <v>0</v>
      </c>
    </row>
    <row r="493" spans="1:6" x14ac:dyDescent="0.25">
      <c r="A493" t="s">
        <v>25</v>
      </c>
      <c r="B493" t="s">
        <v>1637</v>
      </c>
      <c r="C493">
        <v>17604</v>
      </c>
      <c r="D493">
        <v>258329</v>
      </c>
      <c r="F493">
        <v>258329</v>
      </c>
    </row>
    <row r="494" spans="1:6" x14ac:dyDescent="0.25">
      <c r="A494" t="s">
        <v>26</v>
      </c>
      <c r="B494" t="s">
        <v>1638</v>
      </c>
      <c r="C494">
        <v>17605</v>
      </c>
      <c r="D494">
        <v>114454</v>
      </c>
      <c r="F494">
        <v>114454</v>
      </c>
    </row>
    <row r="495" spans="1:6" x14ac:dyDescent="0.25">
      <c r="A495" t="s">
        <v>27</v>
      </c>
      <c r="B495" t="s">
        <v>1639</v>
      </c>
      <c r="C495">
        <v>17606</v>
      </c>
      <c r="D495">
        <v>10208</v>
      </c>
      <c r="F495">
        <v>10208</v>
      </c>
    </row>
    <row r="496" spans="1:6" x14ac:dyDescent="0.25">
      <c r="A496" t="s">
        <v>531</v>
      </c>
      <c r="B496" t="s">
        <v>1640</v>
      </c>
      <c r="C496">
        <v>17607</v>
      </c>
      <c r="D496">
        <v>695</v>
      </c>
      <c r="F496">
        <v>695</v>
      </c>
    </row>
    <row r="497" spans="1:6" x14ac:dyDescent="0.25">
      <c r="A497" t="s">
        <v>1583</v>
      </c>
      <c r="B497" t="s">
        <v>1641</v>
      </c>
      <c r="C497">
        <v>17608</v>
      </c>
      <c r="D497">
        <v>86336</v>
      </c>
      <c r="F497">
        <v>86336</v>
      </c>
    </row>
    <row r="498" spans="1:6" x14ac:dyDescent="0.25">
      <c r="B498" t="s">
        <v>2299</v>
      </c>
      <c r="D498">
        <v>470481</v>
      </c>
      <c r="F498">
        <v>470481</v>
      </c>
    </row>
    <row r="499" spans="1:6" x14ac:dyDescent="0.25">
      <c r="B499" t="s">
        <v>1726</v>
      </c>
    </row>
    <row r="500" spans="1:6" x14ac:dyDescent="0.25">
      <c r="A500" t="s">
        <v>2</v>
      </c>
      <c r="B500" t="s">
        <v>1648</v>
      </c>
      <c r="C500">
        <v>17701</v>
      </c>
      <c r="D500">
        <v>0</v>
      </c>
      <c r="F500">
        <v>0</v>
      </c>
    </row>
    <row r="501" spans="1:6" x14ac:dyDescent="0.25">
      <c r="A501" t="s">
        <v>15</v>
      </c>
      <c r="B501" t="s">
        <v>1649</v>
      </c>
      <c r="C501">
        <v>17702</v>
      </c>
      <c r="D501">
        <v>0</v>
      </c>
      <c r="F501">
        <v>0</v>
      </c>
    </row>
    <row r="502" spans="1:6" x14ac:dyDescent="0.25">
      <c r="A502" t="s">
        <v>16</v>
      </c>
      <c r="B502" t="s">
        <v>1637</v>
      </c>
      <c r="C502">
        <v>17703</v>
      </c>
      <c r="D502">
        <v>0</v>
      </c>
      <c r="F502">
        <v>0</v>
      </c>
    </row>
    <row r="503" spans="1:6" x14ac:dyDescent="0.25">
      <c r="A503" t="s">
        <v>25</v>
      </c>
      <c r="B503" t="s">
        <v>1638</v>
      </c>
      <c r="C503">
        <v>17704</v>
      </c>
      <c r="D503">
        <v>31628</v>
      </c>
      <c r="F503">
        <v>31628</v>
      </c>
    </row>
    <row r="504" spans="1:6" x14ac:dyDescent="0.25">
      <c r="A504" t="s">
        <v>26</v>
      </c>
      <c r="B504" t="s">
        <v>1650</v>
      </c>
      <c r="C504">
        <v>17705</v>
      </c>
      <c r="D504">
        <v>0</v>
      </c>
      <c r="F504">
        <v>0</v>
      </c>
    </row>
    <row r="505" spans="1:6" x14ac:dyDescent="0.25">
      <c r="A505" t="s">
        <v>27</v>
      </c>
      <c r="B505" t="s">
        <v>1651</v>
      </c>
      <c r="C505">
        <v>17706</v>
      </c>
      <c r="D505">
        <v>0</v>
      </c>
      <c r="F505">
        <v>0</v>
      </c>
    </row>
    <row r="506" spans="1:6" x14ac:dyDescent="0.25">
      <c r="A506" t="s">
        <v>531</v>
      </c>
      <c r="B506" t="s">
        <v>1640</v>
      </c>
      <c r="C506">
        <v>17707</v>
      </c>
      <c r="D506">
        <v>0</v>
      </c>
      <c r="F506">
        <v>0</v>
      </c>
    </row>
    <row r="507" spans="1:6" x14ac:dyDescent="0.25">
      <c r="A507" t="s">
        <v>1583</v>
      </c>
      <c r="B507" t="s">
        <v>1641</v>
      </c>
      <c r="C507">
        <v>17708</v>
      </c>
      <c r="D507">
        <v>0</v>
      </c>
      <c r="F507">
        <v>0</v>
      </c>
    </row>
    <row r="508" spans="1:6" x14ac:dyDescent="0.25">
      <c r="B508" t="s">
        <v>2300</v>
      </c>
      <c r="D508">
        <v>31628</v>
      </c>
      <c r="F508">
        <v>31628</v>
      </c>
    </row>
    <row r="509" spans="1:6" x14ac:dyDescent="0.25">
      <c r="B509" t="s">
        <v>1866</v>
      </c>
      <c r="D509">
        <v>29289506</v>
      </c>
      <c r="F509">
        <v>29289506</v>
      </c>
    </row>
    <row r="510" spans="1:6" x14ac:dyDescent="0.25">
      <c r="B510" t="s">
        <v>2301</v>
      </c>
      <c r="D510">
        <v>76752539</v>
      </c>
      <c r="E510">
        <v>6253142</v>
      </c>
      <c r="F510">
        <v>83005681</v>
      </c>
    </row>
    <row r="511" spans="1:6" x14ac:dyDescent="0.25">
      <c r="B511" t="s">
        <v>1734</v>
      </c>
    </row>
    <row r="512" spans="1:6" x14ac:dyDescent="0.25">
      <c r="B512" t="s">
        <v>1735</v>
      </c>
    </row>
    <row r="513" spans="1:6" x14ac:dyDescent="0.25">
      <c r="B513" t="s">
        <v>1736</v>
      </c>
    </row>
    <row r="514" spans="1:6" x14ac:dyDescent="0.25">
      <c r="A514" t="s">
        <v>2</v>
      </c>
      <c r="B514" t="s">
        <v>1576</v>
      </c>
      <c r="C514">
        <v>21101</v>
      </c>
      <c r="D514">
        <v>0</v>
      </c>
      <c r="E514">
        <v>0</v>
      </c>
      <c r="F514">
        <v>0</v>
      </c>
    </row>
    <row r="515" spans="1:6" x14ac:dyDescent="0.25">
      <c r="A515" t="s">
        <v>15</v>
      </c>
      <c r="B515" t="s">
        <v>1577</v>
      </c>
      <c r="C515">
        <v>21102</v>
      </c>
      <c r="D515">
        <v>0</v>
      </c>
      <c r="E515">
        <v>0</v>
      </c>
      <c r="F515">
        <v>0</v>
      </c>
    </row>
    <row r="516" spans="1:6" x14ac:dyDescent="0.25">
      <c r="A516" t="s">
        <v>16</v>
      </c>
      <c r="B516" t="s">
        <v>1578</v>
      </c>
      <c r="C516">
        <v>21103</v>
      </c>
      <c r="D516">
        <v>0</v>
      </c>
      <c r="E516">
        <v>0</v>
      </c>
      <c r="F516">
        <v>0</v>
      </c>
    </row>
    <row r="517" spans="1:6" x14ac:dyDescent="0.25">
      <c r="A517" t="s">
        <v>25</v>
      </c>
      <c r="B517" t="s">
        <v>1579</v>
      </c>
      <c r="C517">
        <v>21104</v>
      </c>
      <c r="D517">
        <v>0</v>
      </c>
      <c r="E517">
        <v>0</v>
      </c>
      <c r="F517">
        <v>0</v>
      </c>
    </row>
    <row r="518" spans="1:6" x14ac:dyDescent="0.25">
      <c r="A518" t="s">
        <v>26</v>
      </c>
      <c r="B518" t="s">
        <v>1580</v>
      </c>
      <c r="C518">
        <v>21105</v>
      </c>
      <c r="D518">
        <v>0</v>
      </c>
      <c r="E518">
        <v>0</v>
      </c>
      <c r="F518">
        <v>0</v>
      </c>
    </row>
    <row r="519" spans="1:6" x14ac:dyDescent="0.25">
      <c r="A519" t="s">
        <v>27</v>
      </c>
      <c r="B519" t="s">
        <v>1581</v>
      </c>
      <c r="C519">
        <v>21106</v>
      </c>
      <c r="D519">
        <v>0</v>
      </c>
      <c r="E519">
        <v>0</v>
      </c>
      <c r="F519">
        <v>0</v>
      </c>
    </row>
    <row r="520" spans="1:6" x14ac:dyDescent="0.25">
      <c r="A520" t="s">
        <v>531</v>
      </c>
      <c r="B520" t="s">
        <v>1582</v>
      </c>
      <c r="C520">
        <v>21107</v>
      </c>
      <c r="D520">
        <v>0</v>
      </c>
      <c r="E520">
        <v>0</v>
      </c>
      <c r="F520">
        <v>0</v>
      </c>
    </row>
    <row r="521" spans="1:6" x14ac:dyDescent="0.25">
      <c r="A521" t="s">
        <v>1583</v>
      </c>
      <c r="B521" t="s">
        <v>1584</v>
      </c>
      <c r="C521">
        <v>21108</v>
      </c>
      <c r="D521">
        <v>0</v>
      </c>
      <c r="E521">
        <v>0</v>
      </c>
      <c r="F521">
        <v>0</v>
      </c>
    </row>
    <row r="522" spans="1:6" x14ac:dyDescent="0.25">
      <c r="A522" t="s">
        <v>1585</v>
      </c>
      <c r="B522" t="s">
        <v>1586</v>
      </c>
      <c r="C522">
        <v>21109</v>
      </c>
      <c r="D522">
        <v>0</v>
      </c>
      <c r="E522">
        <v>0</v>
      </c>
      <c r="F522">
        <v>0</v>
      </c>
    </row>
    <row r="523" spans="1:6" x14ac:dyDescent="0.25">
      <c r="A523" t="s">
        <v>1587</v>
      </c>
      <c r="B523" t="s">
        <v>1588</v>
      </c>
      <c r="C523">
        <v>21110</v>
      </c>
      <c r="D523">
        <v>0</v>
      </c>
      <c r="E523">
        <v>0</v>
      </c>
      <c r="F523">
        <v>0</v>
      </c>
    </row>
    <row r="524" spans="1:6" x14ac:dyDescent="0.25">
      <c r="A524" t="s">
        <v>1589</v>
      </c>
      <c r="B524" t="s">
        <v>1590</v>
      </c>
      <c r="C524">
        <v>21111</v>
      </c>
      <c r="D524">
        <v>51222</v>
      </c>
      <c r="E524">
        <v>0</v>
      </c>
      <c r="F524">
        <v>51222</v>
      </c>
    </row>
    <row r="525" spans="1:6" x14ac:dyDescent="0.25">
      <c r="A525" t="s">
        <v>1591</v>
      </c>
      <c r="B525" t="s">
        <v>1592</v>
      </c>
      <c r="C525">
        <v>21112</v>
      </c>
      <c r="D525">
        <v>6988631</v>
      </c>
      <c r="E525">
        <v>0</v>
      </c>
      <c r="F525">
        <v>6988631</v>
      </c>
    </row>
    <row r="526" spans="1:6" x14ac:dyDescent="0.25">
      <c r="A526" t="s">
        <v>1593</v>
      </c>
      <c r="B526" t="s">
        <v>1594</v>
      </c>
      <c r="C526">
        <v>21113</v>
      </c>
      <c r="D526">
        <v>0</v>
      </c>
      <c r="E526">
        <v>0</v>
      </c>
      <c r="F526">
        <v>0</v>
      </c>
    </row>
    <row r="527" spans="1:6" x14ac:dyDescent="0.25">
      <c r="A527" t="s">
        <v>1595</v>
      </c>
      <c r="B527" t="s">
        <v>1596</v>
      </c>
      <c r="C527">
        <v>21114</v>
      </c>
      <c r="D527">
        <v>50358</v>
      </c>
      <c r="E527">
        <v>0</v>
      </c>
      <c r="F527">
        <v>50358</v>
      </c>
    </row>
    <row r="528" spans="1:6" x14ac:dyDescent="0.25">
      <c r="A528" t="s">
        <v>1597</v>
      </c>
      <c r="B528" t="s">
        <v>1598</v>
      </c>
      <c r="C528">
        <v>21115</v>
      </c>
      <c r="D528">
        <v>617019</v>
      </c>
      <c r="E528">
        <v>0</v>
      </c>
      <c r="F528">
        <v>617019</v>
      </c>
    </row>
    <row r="529" spans="1:6" x14ac:dyDescent="0.25">
      <c r="A529" t="s">
        <v>1599</v>
      </c>
      <c r="B529" t="s">
        <v>1600</v>
      </c>
      <c r="C529">
        <v>21116</v>
      </c>
      <c r="D529">
        <v>0</v>
      </c>
      <c r="E529">
        <v>0</v>
      </c>
      <c r="F529">
        <v>0</v>
      </c>
    </row>
    <row r="530" spans="1:6" x14ac:dyDescent="0.25">
      <c r="A530" t="s">
        <v>1601</v>
      </c>
      <c r="B530" t="s">
        <v>1602</v>
      </c>
      <c r="C530">
        <v>21117</v>
      </c>
      <c r="D530">
        <v>0</v>
      </c>
      <c r="E530">
        <v>0</v>
      </c>
      <c r="F530">
        <v>0</v>
      </c>
    </row>
    <row r="531" spans="1:6" x14ac:dyDescent="0.25">
      <c r="A531" t="s">
        <v>1603</v>
      </c>
      <c r="B531" t="s">
        <v>1604</v>
      </c>
      <c r="C531">
        <v>21118</v>
      </c>
      <c r="D531">
        <v>108</v>
      </c>
      <c r="E531">
        <v>0</v>
      </c>
      <c r="F531">
        <v>108</v>
      </c>
    </row>
    <row r="532" spans="1:6" x14ac:dyDescent="0.25">
      <c r="A532" t="s">
        <v>1605</v>
      </c>
      <c r="B532" t="s">
        <v>1606</v>
      </c>
      <c r="C532">
        <v>21119</v>
      </c>
      <c r="D532">
        <v>642051</v>
      </c>
      <c r="E532">
        <v>0</v>
      </c>
      <c r="F532">
        <v>642051</v>
      </c>
    </row>
    <row r="533" spans="1:6" x14ac:dyDescent="0.25">
      <c r="A533" t="s">
        <v>1607</v>
      </c>
      <c r="B533" t="s">
        <v>1608</v>
      </c>
      <c r="C533">
        <v>21120</v>
      </c>
      <c r="D533">
        <v>0</v>
      </c>
      <c r="E533">
        <v>0</v>
      </c>
      <c r="F533">
        <v>0</v>
      </c>
    </row>
    <row r="534" spans="1:6" x14ac:dyDescent="0.25">
      <c r="B534" t="s">
        <v>1737</v>
      </c>
      <c r="D534">
        <v>8349389</v>
      </c>
      <c r="E534">
        <v>0</v>
      </c>
      <c r="F534">
        <v>8349389</v>
      </c>
    </row>
    <row r="535" spans="1:6" x14ac:dyDescent="0.25">
      <c r="B535" t="s">
        <v>1738</v>
      </c>
    </row>
    <row r="536" spans="1:6" x14ac:dyDescent="0.25">
      <c r="A536" t="s">
        <v>2</v>
      </c>
      <c r="B536" t="s">
        <v>1611</v>
      </c>
      <c r="C536">
        <v>21201</v>
      </c>
      <c r="D536">
        <v>0</v>
      </c>
      <c r="E536">
        <v>0</v>
      </c>
      <c r="F536">
        <v>0</v>
      </c>
    </row>
    <row r="537" spans="1:6" x14ac:dyDescent="0.25">
      <c r="A537" t="s">
        <v>15</v>
      </c>
      <c r="B537" t="s">
        <v>1612</v>
      </c>
      <c r="C537">
        <v>21202</v>
      </c>
      <c r="D537">
        <v>0</v>
      </c>
      <c r="E537">
        <v>0</v>
      </c>
      <c r="F537">
        <v>0</v>
      </c>
    </row>
    <row r="538" spans="1:6" x14ac:dyDescent="0.25">
      <c r="A538" t="s">
        <v>16</v>
      </c>
      <c r="B538" t="s">
        <v>1613</v>
      </c>
      <c r="C538">
        <v>21203</v>
      </c>
      <c r="D538">
        <v>0</v>
      </c>
      <c r="E538">
        <v>0</v>
      </c>
      <c r="F538">
        <v>0</v>
      </c>
    </row>
    <row r="539" spans="1:6" x14ac:dyDescent="0.25">
      <c r="A539" t="s">
        <v>25</v>
      </c>
      <c r="B539" t="s">
        <v>1614</v>
      </c>
      <c r="C539">
        <v>21204</v>
      </c>
      <c r="D539">
        <v>24350</v>
      </c>
      <c r="E539">
        <v>0</v>
      </c>
      <c r="F539">
        <v>24350</v>
      </c>
    </row>
    <row r="540" spans="1:6" x14ac:dyDescent="0.25">
      <c r="A540" t="s">
        <v>26</v>
      </c>
      <c r="B540" t="s">
        <v>1615</v>
      </c>
      <c r="C540">
        <v>21205</v>
      </c>
      <c r="D540">
        <v>0</v>
      </c>
      <c r="E540">
        <v>0</v>
      </c>
      <c r="F540">
        <v>0</v>
      </c>
    </row>
    <row r="541" spans="1:6" x14ac:dyDescent="0.25">
      <c r="A541" t="s">
        <v>27</v>
      </c>
      <c r="B541" t="s">
        <v>1616</v>
      </c>
      <c r="C541">
        <v>21206</v>
      </c>
      <c r="D541">
        <v>0</v>
      </c>
      <c r="E541">
        <v>0</v>
      </c>
      <c r="F541">
        <v>0</v>
      </c>
    </row>
    <row r="542" spans="1:6" x14ac:dyDescent="0.25">
      <c r="A542" t="s">
        <v>531</v>
      </c>
      <c r="B542" t="s">
        <v>1617</v>
      </c>
      <c r="C542">
        <v>21207</v>
      </c>
      <c r="D542">
        <v>0</v>
      </c>
      <c r="E542">
        <v>0</v>
      </c>
      <c r="F542">
        <v>0</v>
      </c>
    </row>
    <row r="543" spans="1:6" x14ac:dyDescent="0.25">
      <c r="A543" t="s">
        <v>1583</v>
      </c>
      <c r="B543" t="s">
        <v>1618</v>
      </c>
      <c r="C543">
        <v>21208</v>
      </c>
      <c r="D543">
        <v>0</v>
      </c>
      <c r="E543">
        <v>0</v>
      </c>
      <c r="F543">
        <v>0</v>
      </c>
    </row>
    <row r="544" spans="1:6" x14ac:dyDescent="0.25">
      <c r="A544" t="s">
        <v>1585</v>
      </c>
      <c r="B544" t="s">
        <v>1619</v>
      </c>
      <c r="C544">
        <v>21209</v>
      </c>
      <c r="D544">
        <v>0</v>
      </c>
      <c r="E544">
        <v>0</v>
      </c>
      <c r="F544">
        <v>0</v>
      </c>
    </row>
    <row r="545" spans="1:6" x14ac:dyDescent="0.25">
      <c r="A545" t="s">
        <v>1587</v>
      </c>
      <c r="B545" t="s">
        <v>1620</v>
      </c>
      <c r="C545">
        <v>21210</v>
      </c>
      <c r="D545">
        <v>0</v>
      </c>
      <c r="E545">
        <v>0</v>
      </c>
      <c r="F545">
        <v>0</v>
      </c>
    </row>
    <row r="546" spans="1:6" x14ac:dyDescent="0.25">
      <c r="A546" t="s">
        <v>1589</v>
      </c>
      <c r="B546" t="s">
        <v>1621</v>
      </c>
      <c r="C546">
        <v>21211</v>
      </c>
      <c r="D546">
        <v>0</v>
      </c>
      <c r="E546">
        <v>0</v>
      </c>
      <c r="F546">
        <v>0</v>
      </c>
    </row>
    <row r="547" spans="1:6" x14ac:dyDescent="0.25">
      <c r="A547" t="s">
        <v>1591</v>
      </c>
      <c r="B547" t="s">
        <v>1622</v>
      </c>
      <c r="C547">
        <v>21212</v>
      </c>
      <c r="D547">
        <v>40127</v>
      </c>
      <c r="E547">
        <v>0</v>
      </c>
      <c r="F547">
        <v>40127</v>
      </c>
    </row>
    <row r="548" spans="1:6" x14ac:dyDescent="0.25">
      <c r="A548" t="s">
        <v>1593</v>
      </c>
      <c r="B548" t="s">
        <v>1623</v>
      </c>
      <c r="C548">
        <v>21213</v>
      </c>
      <c r="D548">
        <v>30</v>
      </c>
      <c r="E548">
        <v>0</v>
      </c>
      <c r="F548">
        <v>30</v>
      </c>
    </row>
    <row r="549" spans="1:6" x14ac:dyDescent="0.25">
      <c r="A549" t="s">
        <v>1595</v>
      </c>
      <c r="B549" t="s">
        <v>1624</v>
      </c>
      <c r="C549">
        <v>21214</v>
      </c>
      <c r="D549">
        <v>0</v>
      </c>
      <c r="E549">
        <v>0</v>
      </c>
      <c r="F549">
        <v>0</v>
      </c>
    </row>
    <row r="550" spans="1:6" x14ac:dyDescent="0.25">
      <c r="A550" t="s">
        <v>1597</v>
      </c>
      <c r="B550" t="s">
        <v>1625</v>
      </c>
      <c r="C550">
        <v>21215</v>
      </c>
      <c r="D550">
        <v>148840</v>
      </c>
      <c r="E550">
        <v>0</v>
      </c>
      <c r="F550">
        <v>148840</v>
      </c>
    </row>
    <row r="551" spans="1:6" x14ac:dyDescent="0.25">
      <c r="A551" t="s">
        <v>1599</v>
      </c>
      <c r="B551" t="s">
        <v>1626</v>
      </c>
      <c r="C551">
        <v>21216</v>
      </c>
      <c r="D551">
        <v>0</v>
      </c>
      <c r="E551">
        <v>0</v>
      </c>
      <c r="F551">
        <v>0</v>
      </c>
    </row>
    <row r="552" spans="1:6" x14ac:dyDescent="0.25">
      <c r="A552" t="s">
        <v>1601</v>
      </c>
      <c r="B552" t="s">
        <v>1627</v>
      </c>
      <c r="C552">
        <v>21217</v>
      </c>
      <c r="D552">
        <v>0</v>
      </c>
      <c r="E552">
        <v>0</v>
      </c>
      <c r="F552">
        <v>0</v>
      </c>
    </row>
    <row r="553" spans="1:6" x14ac:dyDescent="0.25">
      <c r="A553" t="s">
        <v>1603</v>
      </c>
      <c r="B553" t="s">
        <v>1596</v>
      </c>
      <c r="C553">
        <v>21218</v>
      </c>
      <c r="D553">
        <v>1</v>
      </c>
      <c r="E553">
        <v>0</v>
      </c>
      <c r="F553">
        <v>1</v>
      </c>
    </row>
    <row r="554" spans="1:6" x14ac:dyDescent="0.25">
      <c r="A554" t="s">
        <v>1605</v>
      </c>
      <c r="B554" t="s">
        <v>1598</v>
      </c>
      <c r="C554">
        <v>21219</v>
      </c>
      <c r="D554">
        <v>0</v>
      </c>
      <c r="E554">
        <v>0</v>
      </c>
      <c r="F554">
        <v>0</v>
      </c>
    </row>
    <row r="555" spans="1:6" x14ac:dyDescent="0.25">
      <c r="A555" t="s">
        <v>1607</v>
      </c>
      <c r="B555" t="s">
        <v>1602</v>
      </c>
      <c r="C555">
        <v>21220</v>
      </c>
      <c r="D555">
        <v>0</v>
      </c>
      <c r="E555">
        <v>0</v>
      </c>
      <c r="F555">
        <v>0</v>
      </c>
    </row>
    <row r="556" spans="1:6" x14ac:dyDescent="0.25">
      <c r="B556" t="s">
        <v>1739</v>
      </c>
      <c r="D556">
        <v>213348</v>
      </c>
      <c r="E556">
        <v>0</v>
      </c>
      <c r="F556">
        <v>213348</v>
      </c>
    </row>
    <row r="557" spans="1:6" x14ac:dyDescent="0.25">
      <c r="B557" t="s">
        <v>1740</v>
      </c>
    </row>
    <row r="558" spans="1:6" x14ac:dyDescent="0.25">
      <c r="A558" t="s">
        <v>2</v>
      </c>
      <c r="B558" t="s">
        <v>1627</v>
      </c>
      <c r="C558">
        <v>21301</v>
      </c>
      <c r="D558">
        <v>0</v>
      </c>
      <c r="E558">
        <v>0</v>
      </c>
      <c r="F558">
        <v>0</v>
      </c>
    </row>
    <row r="559" spans="1:6" x14ac:dyDescent="0.25">
      <c r="A559" t="s">
        <v>15</v>
      </c>
      <c r="B559" t="s">
        <v>1625</v>
      </c>
      <c r="C559">
        <v>21302</v>
      </c>
      <c r="D559">
        <v>0</v>
      </c>
      <c r="E559">
        <v>0</v>
      </c>
      <c r="F559">
        <v>0</v>
      </c>
    </row>
    <row r="560" spans="1:6" x14ac:dyDescent="0.25">
      <c r="A560" t="s">
        <v>16</v>
      </c>
      <c r="B560" t="s">
        <v>1626</v>
      </c>
      <c r="C560">
        <v>21303</v>
      </c>
      <c r="D560">
        <v>0</v>
      </c>
      <c r="E560">
        <v>0</v>
      </c>
      <c r="F560">
        <v>0</v>
      </c>
    </row>
    <row r="561" spans="1:6" x14ac:dyDescent="0.25">
      <c r="B561" t="s">
        <v>1741</v>
      </c>
      <c r="D561">
        <v>0</v>
      </c>
      <c r="E561">
        <v>0</v>
      </c>
      <c r="F561">
        <v>0</v>
      </c>
    </row>
    <row r="562" spans="1:6" x14ac:dyDescent="0.25">
      <c r="B562" t="s">
        <v>2302</v>
      </c>
    </row>
    <row r="563" spans="1:6" x14ac:dyDescent="0.25">
      <c r="A563" t="s">
        <v>2</v>
      </c>
      <c r="B563" t="s">
        <v>1576</v>
      </c>
      <c r="C563">
        <v>21401</v>
      </c>
      <c r="D563">
        <v>0</v>
      </c>
      <c r="F563">
        <v>0</v>
      </c>
    </row>
    <row r="564" spans="1:6" x14ac:dyDescent="0.25">
      <c r="A564" t="s">
        <v>15</v>
      </c>
      <c r="B564" t="s">
        <v>1577</v>
      </c>
      <c r="C564">
        <v>21402</v>
      </c>
      <c r="D564">
        <v>0</v>
      </c>
      <c r="F564">
        <v>0</v>
      </c>
    </row>
    <row r="565" spans="1:6" x14ac:dyDescent="0.25">
      <c r="A565" t="s">
        <v>16</v>
      </c>
      <c r="B565" t="s">
        <v>1578</v>
      </c>
      <c r="C565">
        <v>21403</v>
      </c>
      <c r="D565">
        <v>0</v>
      </c>
      <c r="F565">
        <v>0</v>
      </c>
    </row>
    <row r="566" spans="1:6" x14ac:dyDescent="0.25">
      <c r="A566" t="s">
        <v>25</v>
      </c>
      <c r="B566" t="s">
        <v>1579</v>
      </c>
      <c r="C566">
        <v>21404</v>
      </c>
      <c r="D566">
        <v>0</v>
      </c>
      <c r="F566">
        <v>0</v>
      </c>
    </row>
    <row r="567" spans="1:6" x14ac:dyDescent="0.25">
      <c r="A567" t="s">
        <v>26</v>
      </c>
      <c r="B567" t="s">
        <v>1580</v>
      </c>
      <c r="C567">
        <v>21405</v>
      </c>
      <c r="D567">
        <v>0</v>
      </c>
      <c r="F567">
        <v>0</v>
      </c>
    </row>
    <row r="568" spans="1:6" x14ac:dyDescent="0.25">
      <c r="A568" t="s">
        <v>27</v>
      </c>
      <c r="B568" t="s">
        <v>1581</v>
      </c>
      <c r="C568">
        <v>21406</v>
      </c>
      <c r="D568">
        <v>0</v>
      </c>
      <c r="F568">
        <v>0</v>
      </c>
    </row>
    <row r="569" spans="1:6" x14ac:dyDescent="0.25">
      <c r="A569" t="s">
        <v>531</v>
      </c>
      <c r="B569" t="s">
        <v>1582</v>
      </c>
      <c r="C569">
        <v>21407</v>
      </c>
      <c r="D569">
        <v>0</v>
      </c>
      <c r="F569">
        <v>0</v>
      </c>
    </row>
    <row r="570" spans="1:6" x14ac:dyDescent="0.25">
      <c r="A570" t="s">
        <v>1583</v>
      </c>
      <c r="B570" t="s">
        <v>1584</v>
      </c>
      <c r="C570">
        <v>21408</v>
      </c>
      <c r="D570">
        <v>0</v>
      </c>
      <c r="F570">
        <v>0</v>
      </c>
    </row>
    <row r="571" spans="1:6" x14ac:dyDescent="0.25">
      <c r="A571" t="s">
        <v>1585</v>
      </c>
      <c r="B571" t="s">
        <v>1586</v>
      </c>
      <c r="C571">
        <v>21409</v>
      </c>
      <c r="D571">
        <v>0</v>
      </c>
      <c r="F571">
        <v>0</v>
      </c>
    </row>
    <row r="572" spans="1:6" x14ac:dyDescent="0.25">
      <c r="A572" t="s">
        <v>1587</v>
      </c>
      <c r="B572" t="s">
        <v>1588</v>
      </c>
      <c r="C572">
        <v>21410</v>
      </c>
      <c r="D572">
        <v>0</v>
      </c>
      <c r="F572">
        <v>0</v>
      </c>
    </row>
    <row r="573" spans="1:6" x14ac:dyDescent="0.25">
      <c r="A573" t="s">
        <v>1589</v>
      </c>
      <c r="B573" t="s">
        <v>1590</v>
      </c>
      <c r="C573">
        <v>21411</v>
      </c>
      <c r="D573">
        <v>0</v>
      </c>
      <c r="F573">
        <v>0</v>
      </c>
    </row>
    <row r="574" spans="1:6" x14ac:dyDescent="0.25">
      <c r="A574" t="s">
        <v>1591</v>
      </c>
      <c r="B574" t="s">
        <v>1592</v>
      </c>
      <c r="C574">
        <v>21412</v>
      </c>
      <c r="D574">
        <v>0</v>
      </c>
      <c r="F574">
        <v>0</v>
      </c>
    </row>
    <row r="575" spans="1:6" x14ac:dyDescent="0.25">
      <c r="A575" t="s">
        <v>1593</v>
      </c>
      <c r="B575" t="s">
        <v>1594</v>
      </c>
      <c r="C575">
        <v>21413</v>
      </c>
      <c r="D575">
        <v>0</v>
      </c>
      <c r="F575">
        <v>0</v>
      </c>
    </row>
    <row r="576" spans="1:6" x14ac:dyDescent="0.25">
      <c r="A576" t="s">
        <v>1595</v>
      </c>
      <c r="B576" t="s">
        <v>1596</v>
      </c>
      <c r="C576">
        <v>21414</v>
      </c>
      <c r="D576">
        <v>0</v>
      </c>
      <c r="F576">
        <v>0</v>
      </c>
    </row>
    <row r="577" spans="1:6" x14ac:dyDescent="0.25">
      <c r="A577" t="s">
        <v>1597</v>
      </c>
      <c r="B577" t="s">
        <v>1598</v>
      </c>
      <c r="C577">
        <v>21415</v>
      </c>
      <c r="D577">
        <v>0</v>
      </c>
      <c r="F577">
        <v>0</v>
      </c>
    </row>
    <row r="578" spans="1:6" x14ac:dyDescent="0.25">
      <c r="A578" t="s">
        <v>1599</v>
      </c>
      <c r="B578" t="s">
        <v>1600</v>
      </c>
      <c r="C578">
        <v>21416</v>
      </c>
      <c r="D578">
        <v>0</v>
      </c>
      <c r="F578">
        <v>0</v>
      </c>
    </row>
    <row r="579" spans="1:6" x14ac:dyDescent="0.25">
      <c r="A579" t="s">
        <v>1601</v>
      </c>
      <c r="B579" t="s">
        <v>1602</v>
      </c>
      <c r="C579">
        <v>21417</v>
      </c>
      <c r="D579">
        <v>0</v>
      </c>
      <c r="F579">
        <v>0</v>
      </c>
    </row>
    <row r="580" spans="1:6" x14ac:dyDescent="0.25">
      <c r="A580" t="s">
        <v>1603</v>
      </c>
      <c r="B580" t="s">
        <v>1604</v>
      </c>
      <c r="C580">
        <v>21418</v>
      </c>
      <c r="D580">
        <v>0</v>
      </c>
      <c r="F580">
        <v>0</v>
      </c>
    </row>
    <row r="581" spans="1:6" x14ac:dyDescent="0.25">
      <c r="A581" t="s">
        <v>1605</v>
      </c>
      <c r="B581" t="s">
        <v>1606</v>
      </c>
      <c r="C581">
        <v>21419</v>
      </c>
      <c r="D581">
        <v>0</v>
      </c>
      <c r="F581">
        <v>0</v>
      </c>
    </row>
    <row r="582" spans="1:6" x14ac:dyDescent="0.25">
      <c r="A582" t="s">
        <v>1607</v>
      </c>
      <c r="B582" t="s">
        <v>1608</v>
      </c>
      <c r="C582">
        <v>21420</v>
      </c>
      <c r="D582">
        <v>0</v>
      </c>
      <c r="F582">
        <v>0</v>
      </c>
    </row>
    <row r="583" spans="1:6" x14ac:dyDescent="0.25">
      <c r="B583" t="s">
        <v>2303</v>
      </c>
      <c r="D583">
        <v>0</v>
      </c>
      <c r="F583">
        <v>0</v>
      </c>
    </row>
    <row r="584" spans="1:6" x14ac:dyDescent="0.25">
      <c r="B584" t="s">
        <v>2304</v>
      </c>
    </row>
    <row r="585" spans="1:6" x14ac:dyDescent="0.25">
      <c r="A585" t="s">
        <v>2</v>
      </c>
      <c r="B585" t="s">
        <v>1611</v>
      </c>
      <c r="C585">
        <v>21501</v>
      </c>
      <c r="D585">
        <v>0</v>
      </c>
      <c r="F585">
        <v>0</v>
      </c>
    </row>
    <row r="586" spans="1:6" x14ac:dyDescent="0.25">
      <c r="A586" t="s">
        <v>15</v>
      </c>
      <c r="B586" t="s">
        <v>1612</v>
      </c>
      <c r="C586">
        <v>21502</v>
      </c>
      <c r="D586">
        <v>0</v>
      </c>
      <c r="F586">
        <v>0</v>
      </c>
    </row>
    <row r="587" spans="1:6" x14ac:dyDescent="0.25">
      <c r="A587" t="s">
        <v>16</v>
      </c>
      <c r="B587" t="s">
        <v>1613</v>
      </c>
      <c r="C587">
        <v>21503</v>
      </c>
      <c r="D587">
        <v>0</v>
      </c>
      <c r="F587">
        <v>0</v>
      </c>
    </row>
    <row r="588" spans="1:6" x14ac:dyDescent="0.25">
      <c r="A588" t="s">
        <v>25</v>
      </c>
      <c r="B588" t="s">
        <v>1614</v>
      </c>
      <c r="C588">
        <v>21504</v>
      </c>
      <c r="D588">
        <v>0</v>
      </c>
      <c r="F588">
        <v>0</v>
      </c>
    </row>
    <row r="589" spans="1:6" x14ac:dyDescent="0.25">
      <c r="A589" t="s">
        <v>26</v>
      </c>
      <c r="B589" t="s">
        <v>1615</v>
      </c>
      <c r="C589">
        <v>21505</v>
      </c>
      <c r="D589">
        <v>0</v>
      </c>
      <c r="F589">
        <v>0</v>
      </c>
    </row>
    <row r="590" spans="1:6" x14ac:dyDescent="0.25">
      <c r="A590" t="s">
        <v>27</v>
      </c>
      <c r="B590" t="s">
        <v>1616</v>
      </c>
      <c r="C590">
        <v>21506</v>
      </c>
      <c r="D590">
        <v>0</v>
      </c>
      <c r="F590">
        <v>0</v>
      </c>
    </row>
    <row r="591" spans="1:6" x14ac:dyDescent="0.25">
      <c r="A591" t="s">
        <v>531</v>
      </c>
      <c r="B591" t="s">
        <v>1617</v>
      </c>
      <c r="C591">
        <v>21507</v>
      </c>
      <c r="D591">
        <v>0</v>
      </c>
      <c r="F591">
        <v>0</v>
      </c>
    </row>
    <row r="592" spans="1:6" x14ac:dyDescent="0.25">
      <c r="A592" t="s">
        <v>1583</v>
      </c>
      <c r="B592" t="s">
        <v>1618</v>
      </c>
      <c r="C592">
        <v>21508</v>
      </c>
      <c r="D592">
        <v>0</v>
      </c>
      <c r="F592">
        <v>0</v>
      </c>
    </row>
    <row r="593" spans="1:6" x14ac:dyDescent="0.25">
      <c r="A593" t="s">
        <v>1585</v>
      </c>
      <c r="B593" t="s">
        <v>1619</v>
      </c>
      <c r="C593">
        <v>21509</v>
      </c>
      <c r="D593">
        <v>0</v>
      </c>
      <c r="F593">
        <v>0</v>
      </c>
    </row>
    <row r="594" spans="1:6" x14ac:dyDescent="0.25">
      <c r="A594" t="s">
        <v>1587</v>
      </c>
      <c r="B594" t="s">
        <v>1620</v>
      </c>
      <c r="C594">
        <v>21510</v>
      </c>
      <c r="D594">
        <v>0</v>
      </c>
      <c r="F594">
        <v>0</v>
      </c>
    </row>
    <row r="595" spans="1:6" x14ac:dyDescent="0.25">
      <c r="A595" t="s">
        <v>1589</v>
      </c>
      <c r="B595" t="s">
        <v>1621</v>
      </c>
      <c r="C595">
        <v>21511</v>
      </c>
      <c r="D595">
        <v>0</v>
      </c>
      <c r="F595">
        <v>0</v>
      </c>
    </row>
    <row r="596" spans="1:6" x14ac:dyDescent="0.25">
      <c r="A596" t="s">
        <v>1591</v>
      </c>
      <c r="B596" t="s">
        <v>1622</v>
      </c>
      <c r="C596">
        <v>21512</v>
      </c>
      <c r="D596">
        <v>0</v>
      </c>
      <c r="F596">
        <v>0</v>
      </c>
    </row>
    <row r="597" spans="1:6" x14ac:dyDescent="0.25">
      <c r="A597" t="s">
        <v>1593</v>
      </c>
      <c r="B597" t="s">
        <v>1623</v>
      </c>
      <c r="C597">
        <v>21513</v>
      </c>
      <c r="D597">
        <v>0</v>
      </c>
      <c r="F597">
        <v>0</v>
      </c>
    </row>
    <row r="598" spans="1:6" x14ac:dyDescent="0.25">
      <c r="A598" t="s">
        <v>1595</v>
      </c>
      <c r="B598" t="s">
        <v>1624</v>
      </c>
      <c r="C598">
        <v>21514</v>
      </c>
      <c r="D598">
        <v>0</v>
      </c>
      <c r="F598">
        <v>0</v>
      </c>
    </row>
    <row r="599" spans="1:6" x14ac:dyDescent="0.25">
      <c r="A599" t="s">
        <v>1597</v>
      </c>
      <c r="B599" t="s">
        <v>1625</v>
      </c>
      <c r="C599">
        <v>21515</v>
      </c>
      <c r="D599">
        <v>0</v>
      </c>
      <c r="F599">
        <v>0</v>
      </c>
    </row>
    <row r="600" spans="1:6" x14ac:dyDescent="0.25">
      <c r="A600" t="s">
        <v>1599</v>
      </c>
      <c r="B600" t="s">
        <v>1626</v>
      </c>
      <c r="C600">
        <v>21516</v>
      </c>
      <c r="D600">
        <v>0</v>
      </c>
      <c r="F600">
        <v>0</v>
      </c>
    </row>
    <row r="601" spans="1:6" x14ac:dyDescent="0.25">
      <c r="A601" t="s">
        <v>1601</v>
      </c>
      <c r="B601" t="s">
        <v>1627</v>
      </c>
      <c r="C601">
        <v>21517</v>
      </c>
      <c r="D601">
        <v>0</v>
      </c>
      <c r="F601">
        <v>0</v>
      </c>
    </row>
    <row r="602" spans="1:6" x14ac:dyDescent="0.25">
      <c r="A602" t="s">
        <v>1603</v>
      </c>
      <c r="B602" t="s">
        <v>1596</v>
      </c>
      <c r="C602">
        <v>21518</v>
      </c>
      <c r="D602">
        <v>0</v>
      </c>
      <c r="F602">
        <v>0</v>
      </c>
    </row>
    <row r="603" spans="1:6" x14ac:dyDescent="0.25">
      <c r="A603" t="s">
        <v>1605</v>
      </c>
      <c r="B603" t="s">
        <v>1598</v>
      </c>
      <c r="C603">
        <v>21519</v>
      </c>
      <c r="D603">
        <v>0</v>
      </c>
      <c r="F603">
        <v>0</v>
      </c>
    </row>
    <row r="604" spans="1:6" x14ac:dyDescent="0.25">
      <c r="A604" t="s">
        <v>1607</v>
      </c>
      <c r="B604" t="s">
        <v>1602</v>
      </c>
      <c r="C604">
        <v>21520</v>
      </c>
      <c r="D604">
        <v>0</v>
      </c>
      <c r="F604">
        <v>0</v>
      </c>
    </row>
    <row r="605" spans="1:6" x14ac:dyDescent="0.25">
      <c r="B605" t="s">
        <v>2305</v>
      </c>
      <c r="D605">
        <v>0</v>
      </c>
      <c r="F605">
        <v>0</v>
      </c>
    </row>
    <row r="606" spans="1:6" x14ac:dyDescent="0.25">
      <c r="B606" t="s">
        <v>2306</v>
      </c>
    </row>
    <row r="607" spans="1:6" x14ac:dyDescent="0.25">
      <c r="A607" t="s">
        <v>2</v>
      </c>
      <c r="B607" t="s">
        <v>1627</v>
      </c>
      <c r="C607">
        <v>21601</v>
      </c>
      <c r="D607">
        <v>0</v>
      </c>
      <c r="F607">
        <v>0</v>
      </c>
    </row>
    <row r="608" spans="1:6" x14ac:dyDescent="0.25">
      <c r="A608" t="s">
        <v>15</v>
      </c>
      <c r="B608" t="s">
        <v>1625</v>
      </c>
      <c r="C608">
        <v>21602</v>
      </c>
      <c r="D608">
        <v>0</v>
      </c>
      <c r="F608">
        <v>0</v>
      </c>
    </row>
    <row r="609" spans="1:6" x14ac:dyDescent="0.25">
      <c r="A609" t="s">
        <v>16</v>
      </c>
      <c r="B609" t="s">
        <v>1626</v>
      </c>
      <c r="C609">
        <v>21603</v>
      </c>
      <c r="D609">
        <v>0</v>
      </c>
      <c r="F609">
        <v>0</v>
      </c>
    </row>
    <row r="610" spans="1:6" x14ac:dyDescent="0.25">
      <c r="B610" t="s">
        <v>2307</v>
      </c>
      <c r="D610">
        <v>0</v>
      </c>
      <c r="F610">
        <v>0</v>
      </c>
    </row>
    <row r="611" spans="1:6" x14ac:dyDescent="0.25">
      <c r="B611" t="s">
        <v>1653</v>
      </c>
      <c r="D611">
        <v>8562737</v>
      </c>
      <c r="E611">
        <v>0</v>
      </c>
      <c r="F611">
        <v>8562737</v>
      </c>
    </row>
    <row r="612" spans="1:6" x14ac:dyDescent="0.25">
      <c r="B612" t="s">
        <v>1742</v>
      </c>
    </row>
    <row r="613" spans="1:6" x14ac:dyDescent="0.25">
      <c r="B613" t="s">
        <v>1743</v>
      </c>
    </row>
    <row r="614" spans="1:6" x14ac:dyDescent="0.25">
      <c r="A614" t="s">
        <v>2</v>
      </c>
      <c r="B614" t="s">
        <v>1634</v>
      </c>
      <c r="C614">
        <v>22101</v>
      </c>
      <c r="D614">
        <v>0</v>
      </c>
      <c r="F614">
        <v>0</v>
      </c>
    </row>
    <row r="615" spans="1:6" x14ac:dyDescent="0.25">
      <c r="A615" t="s">
        <v>15</v>
      </c>
      <c r="B615" t="s">
        <v>1635</v>
      </c>
      <c r="C615">
        <v>22102</v>
      </c>
      <c r="D615">
        <v>0</v>
      </c>
      <c r="F615">
        <v>0</v>
      </c>
    </row>
    <row r="616" spans="1:6" x14ac:dyDescent="0.25">
      <c r="A616" t="s">
        <v>16</v>
      </c>
      <c r="B616" t="s">
        <v>1636</v>
      </c>
      <c r="C616">
        <v>22103</v>
      </c>
      <c r="D616">
        <v>0</v>
      </c>
      <c r="F616">
        <v>0</v>
      </c>
    </row>
    <row r="617" spans="1:6" x14ac:dyDescent="0.25">
      <c r="A617" t="s">
        <v>25</v>
      </c>
      <c r="B617" t="s">
        <v>1637</v>
      </c>
      <c r="C617">
        <v>22104</v>
      </c>
      <c r="D617">
        <v>0</v>
      </c>
      <c r="F617">
        <v>0</v>
      </c>
    </row>
    <row r="618" spans="1:6" x14ac:dyDescent="0.25">
      <c r="A618" t="s">
        <v>26</v>
      </c>
      <c r="B618" t="s">
        <v>1638</v>
      </c>
      <c r="C618">
        <v>22105</v>
      </c>
      <c r="D618">
        <v>12550</v>
      </c>
      <c r="F618">
        <v>12550</v>
      </c>
    </row>
    <row r="619" spans="1:6" x14ac:dyDescent="0.25">
      <c r="A619" t="s">
        <v>27</v>
      </c>
      <c r="B619" t="s">
        <v>1639</v>
      </c>
      <c r="C619">
        <v>22106</v>
      </c>
      <c r="D619">
        <v>0</v>
      </c>
      <c r="F619">
        <v>0</v>
      </c>
    </row>
    <row r="620" spans="1:6" x14ac:dyDescent="0.25">
      <c r="A620" t="s">
        <v>531</v>
      </c>
      <c r="B620" t="s">
        <v>1640</v>
      </c>
      <c r="C620">
        <v>22107</v>
      </c>
      <c r="D620">
        <v>0</v>
      </c>
      <c r="F620">
        <v>0</v>
      </c>
    </row>
    <row r="621" spans="1:6" x14ac:dyDescent="0.25">
      <c r="A621" t="s">
        <v>1583</v>
      </c>
      <c r="B621" t="s">
        <v>1641</v>
      </c>
      <c r="C621">
        <v>22108</v>
      </c>
      <c r="D621">
        <v>0</v>
      </c>
      <c r="F621">
        <v>0</v>
      </c>
    </row>
    <row r="622" spans="1:6" x14ac:dyDescent="0.25">
      <c r="B622" t="s">
        <v>1744</v>
      </c>
      <c r="D622">
        <v>12550</v>
      </c>
      <c r="F622">
        <v>12550</v>
      </c>
    </row>
    <row r="623" spans="1:6" x14ac:dyDescent="0.25">
      <c r="B623" t="s">
        <v>2308</v>
      </c>
    </row>
    <row r="624" spans="1:6" x14ac:dyDescent="0.25">
      <c r="A624" t="s">
        <v>2</v>
      </c>
      <c r="B624" t="s">
        <v>1634</v>
      </c>
      <c r="C624">
        <v>22201</v>
      </c>
      <c r="D624">
        <v>0</v>
      </c>
      <c r="F624">
        <v>0</v>
      </c>
    </row>
    <row r="625" spans="1:6" x14ac:dyDescent="0.25">
      <c r="A625" t="s">
        <v>15</v>
      </c>
      <c r="B625" t="s">
        <v>1635</v>
      </c>
      <c r="C625">
        <v>22202</v>
      </c>
      <c r="D625">
        <v>0</v>
      </c>
      <c r="F625">
        <v>0</v>
      </c>
    </row>
    <row r="626" spans="1:6" x14ac:dyDescent="0.25">
      <c r="A626" t="s">
        <v>16</v>
      </c>
      <c r="B626" t="s">
        <v>1636</v>
      </c>
      <c r="C626">
        <v>22203</v>
      </c>
      <c r="D626">
        <v>0</v>
      </c>
      <c r="F626">
        <v>0</v>
      </c>
    </row>
    <row r="627" spans="1:6" x14ac:dyDescent="0.25">
      <c r="A627" t="s">
        <v>25</v>
      </c>
      <c r="B627" t="s">
        <v>1637</v>
      </c>
      <c r="C627">
        <v>22204</v>
      </c>
      <c r="D627">
        <v>0</v>
      </c>
      <c r="F627">
        <v>0</v>
      </c>
    </row>
    <row r="628" spans="1:6" x14ac:dyDescent="0.25">
      <c r="A628" t="s">
        <v>26</v>
      </c>
      <c r="B628" t="s">
        <v>1638</v>
      </c>
      <c r="C628">
        <v>22205</v>
      </c>
      <c r="D628">
        <v>0</v>
      </c>
      <c r="F628">
        <v>0</v>
      </c>
    </row>
    <row r="629" spans="1:6" x14ac:dyDescent="0.25">
      <c r="A629" t="s">
        <v>27</v>
      </c>
      <c r="B629" t="s">
        <v>1639</v>
      </c>
      <c r="C629">
        <v>22206</v>
      </c>
      <c r="D629">
        <v>0</v>
      </c>
      <c r="F629">
        <v>0</v>
      </c>
    </row>
    <row r="630" spans="1:6" x14ac:dyDescent="0.25">
      <c r="A630" t="s">
        <v>531</v>
      </c>
      <c r="B630" t="s">
        <v>1640</v>
      </c>
      <c r="C630">
        <v>22207</v>
      </c>
      <c r="D630">
        <v>0</v>
      </c>
      <c r="F630">
        <v>0</v>
      </c>
    </row>
    <row r="631" spans="1:6" x14ac:dyDescent="0.25">
      <c r="A631" t="s">
        <v>1583</v>
      </c>
      <c r="B631" t="s">
        <v>1641</v>
      </c>
      <c r="C631">
        <v>22208</v>
      </c>
      <c r="D631">
        <v>0</v>
      </c>
      <c r="F631">
        <v>0</v>
      </c>
    </row>
    <row r="632" spans="1:6" x14ac:dyDescent="0.25">
      <c r="B632" t="s">
        <v>1746</v>
      </c>
      <c r="D632">
        <v>0</v>
      </c>
      <c r="F632">
        <v>0</v>
      </c>
    </row>
    <row r="633" spans="1:6" x14ac:dyDescent="0.25">
      <c r="B633" t="s">
        <v>2309</v>
      </c>
    </row>
    <row r="634" spans="1:6" x14ac:dyDescent="0.25">
      <c r="A634" t="s">
        <v>2</v>
      </c>
      <c r="B634" t="s">
        <v>1634</v>
      </c>
      <c r="C634">
        <v>22301</v>
      </c>
      <c r="D634">
        <v>11983</v>
      </c>
      <c r="F634">
        <v>11983</v>
      </c>
    </row>
    <row r="635" spans="1:6" x14ac:dyDescent="0.25">
      <c r="A635" t="s">
        <v>15</v>
      </c>
      <c r="B635" t="s">
        <v>1635</v>
      </c>
      <c r="C635">
        <v>22302</v>
      </c>
      <c r="D635">
        <v>0</v>
      </c>
      <c r="F635">
        <v>0</v>
      </c>
    </row>
    <row r="636" spans="1:6" x14ac:dyDescent="0.25">
      <c r="A636" t="s">
        <v>16</v>
      </c>
      <c r="B636" t="s">
        <v>1636</v>
      </c>
      <c r="C636">
        <v>22303</v>
      </c>
      <c r="D636">
        <v>0</v>
      </c>
      <c r="F636">
        <v>0</v>
      </c>
    </row>
    <row r="637" spans="1:6" x14ac:dyDescent="0.25">
      <c r="A637" t="s">
        <v>25</v>
      </c>
      <c r="B637" t="s">
        <v>1637</v>
      </c>
      <c r="C637">
        <v>22304</v>
      </c>
      <c r="D637">
        <v>358</v>
      </c>
      <c r="F637">
        <v>358</v>
      </c>
    </row>
    <row r="638" spans="1:6" x14ac:dyDescent="0.25">
      <c r="A638" t="s">
        <v>26</v>
      </c>
      <c r="B638" t="s">
        <v>1638</v>
      </c>
      <c r="C638">
        <v>22305</v>
      </c>
      <c r="D638">
        <v>5807</v>
      </c>
      <c r="F638">
        <v>5807</v>
      </c>
    </row>
    <row r="639" spans="1:6" x14ac:dyDescent="0.25">
      <c r="A639" t="s">
        <v>27</v>
      </c>
      <c r="B639" t="s">
        <v>1639</v>
      </c>
      <c r="C639">
        <v>22306</v>
      </c>
      <c r="D639">
        <v>0</v>
      </c>
      <c r="F639">
        <v>0</v>
      </c>
    </row>
    <row r="640" spans="1:6" x14ac:dyDescent="0.25">
      <c r="A640" t="s">
        <v>531</v>
      </c>
      <c r="B640" t="s">
        <v>1640</v>
      </c>
      <c r="C640">
        <v>22307</v>
      </c>
      <c r="D640">
        <v>0</v>
      </c>
      <c r="F640">
        <v>0</v>
      </c>
    </row>
    <row r="641" spans="1:6" x14ac:dyDescent="0.25">
      <c r="A641" t="s">
        <v>1583</v>
      </c>
      <c r="B641" t="s">
        <v>1641</v>
      </c>
      <c r="C641">
        <v>22308</v>
      </c>
      <c r="D641">
        <v>27207</v>
      </c>
      <c r="F641">
        <v>27207</v>
      </c>
    </row>
    <row r="642" spans="1:6" x14ac:dyDescent="0.25">
      <c r="B642" t="s">
        <v>1748</v>
      </c>
      <c r="D642">
        <v>45355</v>
      </c>
      <c r="F642">
        <v>45355</v>
      </c>
    </row>
    <row r="643" spans="1:6" x14ac:dyDescent="0.25">
      <c r="B643" t="s">
        <v>2310</v>
      </c>
    </row>
    <row r="644" spans="1:6" x14ac:dyDescent="0.25">
      <c r="A644" t="s">
        <v>2</v>
      </c>
      <c r="B644" t="s">
        <v>1634</v>
      </c>
      <c r="C644">
        <v>22401</v>
      </c>
      <c r="D644">
        <v>0</v>
      </c>
      <c r="F644">
        <v>0</v>
      </c>
    </row>
    <row r="645" spans="1:6" x14ac:dyDescent="0.25">
      <c r="A645" t="s">
        <v>15</v>
      </c>
      <c r="B645" t="s">
        <v>1635</v>
      </c>
      <c r="C645">
        <v>22402</v>
      </c>
      <c r="D645">
        <v>0</v>
      </c>
      <c r="F645">
        <v>0</v>
      </c>
    </row>
    <row r="646" spans="1:6" x14ac:dyDescent="0.25">
      <c r="A646" t="s">
        <v>16</v>
      </c>
      <c r="B646" t="s">
        <v>1636</v>
      </c>
      <c r="C646">
        <v>22403</v>
      </c>
      <c r="D646">
        <v>0</v>
      </c>
      <c r="F646">
        <v>0</v>
      </c>
    </row>
    <row r="647" spans="1:6" x14ac:dyDescent="0.25">
      <c r="A647" t="s">
        <v>25</v>
      </c>
      <c r="B647" t="s">
        <v>1637</v>
      </c>
      <c r="C647">
        <v>22404</v>
      </c>
      <c r="D647">
        <v>7591</v>
      </c>
      <c r="F647">
        <v>7591</v>
      </c>
    </row>
    <row r="648" spans="1:6" x14ac:dyDescent="0.25">
      <c r="A648" t="s">
        <v>26</v>
      </c>
      <c r="B648" t="s">
        <v>1638</v>
      </c>
      <c r="C648">
        <v>22405</v>
      </c>
      <c r="D648">
        <v>5182</v>
      </c>
      <c r="F648">
        <v>5182</v>
      </c>
    </row>
    <row r="649" spans="1:6" x14ac:dyDescent="0.25">
      <c r="A649" t="s">
        <v>27</v>
      </c>
      <c r="B649" t="s">
        <v>1639</v>
      </c>
      <c r="C649">
        <v>22406</v>
      </c>
      <c r="D649">
        <v>0</v>
      </c>
      <c r="F649">
        <v>0</v>
      </c>
    </row>
    <row r="650" spans="1:6" x14ac:dyDescent="0.25">
      <c r="A650" t="s">
        <v>531</v>
      </c>
      <c r="B650" t="s">
        <v>1640</v>
      </c>
      <c r="C650">
        <v>22407</v>
      </c>
      <c r="D650">
        <v>0</v>
      </c>
      <c r="F650">
        <v>0</v>
      </c>
    </row>
    <row r="651" spans="1:6" x14ac:dyDescent="0.25">
      <c r="A651" t="s">
        <v>1583</v>
      </c>
      <c r="B651" t="s">
        <v>1641</v>
      </c>
      <c r="C651">
        <v>22408</v>
      </c>
      <c r="D651">
        <v>4635</v>
      </c>
      <c r="F651">
        <v>4635</v>
      </c>
    </row>
    <row r="652" spans="1:6" x14ac:dyDescent="0.25">
      <c r="B652" t="s">
        <v>1750</v>
      </c>
      <c r="D652">
        <v>17408</v>
      </c>
      <c r="F652">
        <v>17408</v>
      </c>
    </row>
    <row r="653" spans="1:6" x14ac:dyDescent="0.25">
      <c r="B653" t="s">
        <v>1751</v>
      </c>
    </row>
    <row r="654" spans="1:6" x14ac:dyDescent="0.25">
      <c r="A654" t="s">
        <v>2</v>
      </c>
      <c r="B654" t="s">
        <v>1648</v>
      </c>
      <c r="C654">
        <v>22501</v>
      </c>
      <c r="D654">
        <v>0</v>
      </c>
      <c r="F654">
        <v>0</v>
      </c>
    </row>
    <row r="655" spans="1:6" x14ac:dyDescent="0.25">
      <c r="A655" t="s">
        <v>15</v>
      </c>
      <c r="B655" t="s">
        <v>1649</v>
      </c>
      <c r="C655">
        <v>22502</v>
      </c>
      <c r="D655">
        <v>0</v>
      </c>
      <c r="F655">
        <v>0</v>
      </c>
    </row>
    <row r="656" spans="1:6" x14ac:dyDescent="0.25">
      <c r="A656" t="s">
        <v>16</v>
      </c>
      <c r="B656" t="s">
        <v>1637</v>
      </c>
      <c r="C656">
        <v>22503</v>
      </c>
      <c r="D656">
        <v>0</v>
      </c>
      <c r="F656">
        <v>0</v>
      </c>
    </row>
    <row r="657" spans="1:6" x14ac:dyDescent="0.25">
      <c r="A657" t="s">
        <v>25</v>
      </c>
      <c r="B657" t="s">
        <v>1638</v>
      </c>
      <c r="C657">
        <v>22504</v>
      </c>
      <c r="D657">
        <v>56590</v>
      </c>
      <c r="F657">
        <v>56590</v>
      </c>
    </row>
    <row r="658" spans="1:6" x14ac:dyDescent="0.25">
      <c r="A658" t="s">
        <v>26</v>
      </c>
      <c r="B658" t="s">
        <v>1650</v>
      </c>
      <c r="C658">
        <v>22505</v>
      </c>
      <c r="D658">
        <v>0</v>
      </c>
      <c r="F658">
        <v>0</v>
      </c>
    </row>
    <row r="659" spans="1:6" x14ac:dyDescent="0.25">
      <c r="A659" t="s">
        <v>27</v>
      </c>
      <c r="B659" t="s">
        <v>1651</v>
      </c>
      <c r="C659">
        <v>22506</v>
      </c>
      <c r="D659">
        <v>0</v>
      </c>
      <c r="F659">
        <v>0</v>
      </c>
    </row>
    <row r="660" spans="1:6" x14ac:dyDescent="0.25">
      <c r="A660" t="s">
        <v>531</v>
      </c>
      <c r="B660" t="s">
        <v>1640</v>
      </c>
      <c r="C660">
        <v>22507</v>
      </c>
      <c r="D660">
        <v>0</v>
      </c>
      <c r="F660">
        <v>0</v>
      </c>
    </row>
    <row r="661" spans="1:6" x14ac:dyDescent="0.25">
      <c r="A661" t="s">
        <v>1583</v>
      </c>
      <c r="B661" t="s">
        <v>1641</v>
      </c>
      <c r="C661">
        <v>22508</v>
      </c>
      <c r="D661">
        <v>0</v>
      </c>
      <c r="F661">
        <v>0</v>
      </c>
    </row>
    <row r="662" spans="1:6" x14ac:dyDescent="0.25">
      <c r="B662" t="s">
        <v>1752</v>
      </c>
      <c r="D662">
        <v>56590</v>
      </c>
      <c r="F662">
        <v>56590</v>
      </c>
    </row>
    <row r="663" spans="1:6" x14ac:dyDescent="0.25">
      <c r="B663" t="s">
        <v>2311</v>
      </c>
    </row>
    <row r="664" spans="1:6" x14ac:dyDescent="0.25">
      <c r="A664" t="s">
        <v>2</v>
      </c>
      <c r="B664" t="s">
        <v>1648</v>
      </c>
      <c r="C664">
        <v>22601</v>
      </c>
      <c r="D664">
        <v>0</v>
      </c>
      <c r="F664">
        <v>0</v>
      </c>
    </row>
    <row r="665" spans="1:6" x14ac:dyDescent="0.25">
      <c r="A665" t="s">
        <v>15</v>
      </c>
      <c r="B665" t="s">
        <v>1649</v>
      </c>
      <c r="C665">
        <v>22602</v>
      </c>
      <c r="D665">
        <v>0</v>
      </c>
      <c r="F665">
        <v>0</v>
      </c>
    </row>
    <row r="666" spans="1:6" x14ac:dyDescent="0.25">
      <c r="A666" t="s">
        <v>16</v>
      </c>
      <c r="B666" t="s">
        <v>1637</v>
      </c>
      <c r="C666">
        <v>22603</v>
      </c>
      <c r="D666">
        <v>0</v>
      </c>
      <c r="F666">
        <v>0</v>
      </c>
    </row>
    <row r="667" spans="1:6" x14ac:dyDescent="0.25">
      <c r="A667" t="s">
        <v>25</v>
      </c>
      <c r="B667" t="s">
        <v>1638</v>
      </c>
      <c r="C667">
        <v>22604</v>
      </c>
      <c r="D667">
        <v>0</v>
      </c>
      <c r="F667">
        <v>0</v>
      </c>
    </row>
    <row r="668" spans="1:6" x14ac:dyDescent="0.25">
      <c r="A668" t="s">
        <v>26</v>
      </c>
      <c r="B668" t="s">
        <v>1650</v>
      </c>
      <c r="C668">
        <v>22605</v>
      </c>
      <c r="D668">
        <v>0</v>
      </c>
      <c r="F668">
        <v>0</v>
      </c>
    </row>
    <row r="669" spans="1:6" x14ac:dyDescent="0.25">
      <c r="A669" t="s">
        <v>27</v>
      </c>
      <c r="B669" t="s">
        <v>1651</v>
      </c>
      <c r="C669">
        <v>22606</v>
      </c>
      <c r="D669">
        <v>0</v>
      </c>
      <c r="F669">
        <v>0</v>
      </c>
    </row>
    <row r="670" spans="1:6" x14ac:dyDescent="0.25">
      <c r="A670" t="s">
        <v>531</v>
      </c>
      <c r="B670" t="s">
        <v>1640</v>
      </c>
      <c r="C670">
        <v>22607</v>
      </c>
      <c r="D670">
        <v>0</v>
      </c>
      <c r="F670">
        <v>0</v>
      </c>
    </row>
    <row r="671" spans="1:6" x14ac:dyDescent="0.25">
      <c r="A671" t="s">
        <v>1583</v>
      </c>
      <c r="B671" t="s">
        <v>1641</v>
      </c>
      <c r="C671">
        <v>22608</v>
      </c>
      <c r="D671">
        <v>0</v>
      </c>
      <c r="F671">
        <v>0</v>
      </c>
    </row>
    <row r="672" spans="1:6" x14ac:dyDescent="0.25">
      <c r="B672" t="s">
        <v>2312</v>
      </c>
      <c r="D672">
        <v>0</v>
      </c>
      <c r="F672">
        <v>0</v>
      </c>
    </row>
    <row r="673" spans="1:6" x14ac:dyDescent="0.25">
      <c r="B673" t="s">
        <v>1660</v>
      </c>
      <c r="D673">
        <v>131903</v>
      </c>
      <c r="F673">
        <v>131903</v>
      </c>
    </row>
    <row r="674" spans="1:6" x14ac:dyDescent="0.25">
      <c r="B674" t="s">
        <v>1753</v>
      </c>
    </row>
    <row r="675" spans="1:6" x14ac:dyDescent="0.25">
      <c r="B675" t="s">
        <v>1754</v>
      </c>
    </row>
    <row r="676" spans="1:6" x14ac:dyDescent="0.25">
      <c r="A676" t="s">
        <v>2</v>
      </c>
      <c r="B676" t="s">
        <v>1637</v>
      </c>
      <c r="C676">
        <v>23101</v>
      </c>
      <c r="D676">
        <v>1141</v>
      </c>
      <c r="F676">
        <v>1141</v>
      </c>
    </row>
    <row r="677" spans="1:6" x14ac:dyDescent="0.25">
      <c r="A677" t="s">
        <v>15</v>
      </c>
      <c r="B677" t="s">
        <v>1638</v>
      </c>
      <c r="C677">
        <v>23102</v>
      </c>
      <c r="D677">
        <v>12033</v>
      </c>
      <c r="F677">
        <v>12033</v>
      </c>
    </row>
    <row r="678" spans="1:6" x14ac:dyDescent="0.25">
      <c r="A678" t="s">
        <v>16</v>
      </c>
      <c r="B678" t="s">
        <v>1640</v>
      </c>
      <c r="C678">
        <v>23103</v>
      </c>
      <c r="D678">
        <v>0</v>
      </c>
      <c r="F678">
        <v>0</v>
      </c>
    </row>
    <row r="679" spans="1:6" x14ac:dyDescent="0.25">
      <c r="A679" t="s">
        <v>25</v>
      </c>
      <c r="B679" t="s">
        <v>1641</v>
      </c>
      <c r="C679">
        <v>23104</v>
      </c>
      <c r="D679">
        <v>0</v>
      </c>
      <c r="F679">
        <v>0</v>
      </c>
    </row>
    <row r="680" spans="1:6" x14ac:dyDescent="0.25">
      <c r="B680" t="s">
        <v>1755</v>
      </c>
      <c r="D680">
        <v>13174</v>
      </c>
      <c r="F680">
        <v>13174</v>
      </c>
    </row>
    <row r="681" spans="1:6" x14ac:dyDescent="0.25">
      <c r="B681" t="s">
        <v>2270</v>
      </c>
    </row>
    <row r="682" spans="1:6" x14ac:dyDescent="0.25">
      <c r="A682" t="s">
        <v>2</v>
      </c>
      <c r="B682" t="s">
        <v>1637</v>
      </c>
      <c r="C682">
        <v>23201</v>
      </c>
      <c r="D682">
        <v>63600</v>
      </c>
      <c r="F682">
        <v>63600</v>
      </c>
    </row>
    <row r="683" spans="1:6" x14ac:dyDescent="0.25">
      <c r="A683" t="s">
        <v>15</v>
      </c>
      <c r="B683" t="s">
        <v>1638</v>
      </c>
      <c r="C683">
        <v>23202</v>
      </c>
      <c r="D683">
        <v>378905</v>
      </c>
      <c r="F683">
        <v>378905</v>
      </c>
    </row>
    <row r="684" spans="1:6" x14ac:dyDescent="0.25">
      <c r="A684" t="s">
        <v>16</v>
      </c>
      <c r="B684" t="s">
        <v>1640</v>
      </c>
      <c r="C684">
        <v>23203</v>
      </c>
      <c r="D684">
        <v>652</v>
      </c>
      <c r="F684">
        <v>652</v>
      </c>
    </row>
    <row r="685" spans="1:6" x14ac:dyDescent="0.25">
      <c r="A685" t="s">
        <v>25</v>
      </c>
      <c r="B685" t="s">
        <v>1641</v>
      </c>
      <c r="C685">
        <v>23204</v>
      </c>
      <c r="D685">
        <v>0</v>
      </c>
      <c r="F685">
        <v>0</v>
      </c>
    </row>
    <row r="686" spans="1:6" x14ac:dyDescent="0.25">
      <c r="B686" t="s">
        <v>1757</v>
      </c>
      <c r="D686">
        <v>443157</v>
      </c>
      <c r="F686">
        <v>443157</v>
      </c>
    </row>
    <row r="687" spans="1:6" x14ac:dyDescent="0.25">
      <c r="B687" t="s">
        <v>2313</v>
      </c>
    </row>
    <row r="688" spans="1:6" x14ac:dyDescent="0.25">
      <c r="A688" t="s">
        <v>2</v>
      </c>
      <c r="B688" t="s">
        <v>1637</v>
      </c>
      <c r="C688">
        <v>23301</v>
      </c>
      <c r="D688">
        <v>0</v>
      </c>
      <c r="F688">
        <v>0</v>
      </c>
    </row>
    <row r="689" spans="1:6" x14ac:dyDescent="0.25">
      <c r="A689" t="s">
        <v>15</v>
      </c>
      <c r="B689" t="s">
        <v>1638</v>
      </c>
      <c r="C689">
        <v>23302</v>
      </c>
      <c r="D689">
        <v>0</v>
      </c>
      <c r="F689">
        <v>0</v>
      </c>
    </row>
    <row r="690" spans="1:6" x14ac:dyDescent="0.25">
      <c r="A690" t="s">
        <v>16</v>
      </c>
      <c r="B690" t="s">
        <v>1640</v>
      </c>
      <c r="C690">
        <v>23303</v>
      </c>
      <c r="D690">
        <v>0</v>
      </c>
      <c r="F690">
        <v>0</v>
      </c>
    </row>
    <row r="691" spans="1:6" x14ac:dyDescent="0.25">
      <c r="A691" t="s">
        <v>25</v>
      </c>
      <c r="B691" t="s">
        <v>1641</v>
      </c>
      <c r="C691">
        <v>23304</v>
      </c>
      <c r="D691">
        <v>0</v>
      </c>
      <c r="F691">
        <v>0</v>
      </c>
    </row>
    <row r="692" spans="1:6" x14ac:dyDescent="0.25">
      <c r="B692" t="s">
        <v>1759</v>
      </c>
      <c r="D692">
        <v>0</v>
      </c>
      <c r="F692">
        <v>0</v>
      </c>
    </row>
    <row r="693" spans="1:6" x14ac:dyDescent="0.25">
      <c r="B693" t="s">
        <v>1762</v>
      </c>
    </row>
    <row r="694" spans="1:6" x14ac:dyDescent="0.25">
      <c r="A694" t="s">
        <v>2</v>
      </c>
      <c r="B694" t="s">
        <v>1637</v>
      </c>
      <c r="C694">
        <v>23501</v>
      </c>
      <c r="D694">
        <v>7508</v>
      </c>
      <c r="E694">
        <v>0</v>
      </c>
      <c r="F694">
        <v>7508</v>
      </c>
    </row>
    <row r="695" spans="1:6" x14ac:dyDescent="0.25">
      <c r="A695" t="s">
        <v>15</v>
      </c>
      <c r="B695" t="s">
        <v>1763</v>
      </c>
      <c r="C695">
        <v>23502</v>
      </c>
      <c r="D695">
        <v>999815</v>
      </c>
      <c r="E695">
        <v>0</v>
      </c>
      <c r="F695">
        <v>999815</v>
      </c>
    </row>
    <row r="696" spans="1:6" x14ac:dyDescent="0.25">
      <c r="A696" t="s">
        <v>16</v>
      </c>
      <c r="B696" t="s">
        <v>1640</v>
      </c>
      <c r="C696">
        <v>23503</v>
      </c>
      <c r="D696">
        <v>0</v>
      </c>
      <c r="E696">
        <v>0</v>
      </c>
      <c r="F696">
        <v>0</v>
      </c>
    </row>
    <row r="697" spans="1:6" x14ac:dyDescent="0.25">
      <c r="A697" t="s">
        <v>25</v>
      </c>
      <c r="B697" t="s">
        <v>1764</v>
      </c>
      <c r="C697">
        <v>23504</v>
      </c>
      <c r="D697">
        <v>0</v>
      </c>
      <c r="E697">
        <v>0</v>
      </c>
      <c r="F697">
        <v>0</v>
      </c>
    </row>
    <row r="698" spans="1:6" x14ac:dyDescent="0.25">
      <c r="B698" t="s">
        <v>1765</v>
      </c>
      <c r="D698">
        <v>1007323</v>
      </c>
      <c r="E698">
        <v>0</v>
      </c>
      <c r="F698">
        <v>1007323</v>
      </c>
    </row>
    <row r="699" spans="1:6" x14ac:dyDescent="0.25">
      <c r="B699" t="s">
        <v>1766</v>
      </c>
    </row>
    <row r="700" spans="1:6" x14ac:dyDescent="0.25">
      <c r="A700" t="s">
        <v>2</v>
      </c>
      <c r="B700" t="s">
        <v>1637</v>
      </c>
      <c r="C700">
        <v>23601</v>
      </c>
      <c r="D700">
        <v>0</v>
      </c>
      <c r="E700">
        <v>0</v>
      </c>
      <c r="F700">
        <v>0</v>
      </c>
    </row>
    <row r="701" spans="1:6" x14ac:dyDescent="0.25">
      <c r="A701" t="s">
        <v>15</v>
      </c>
      <c r="B701" t="s">
        <v>1763</v>
      </c>
      <c r="C701">
        <v>23602</v>
      </c>
      <c r="D701">
        <v>0</v>
      </c>
      <c r="E701">
        <v>0</v>
      </c>
      <c r="F701">
        <v>0</v>
      </c>
    </row>
    <row r="702" spans="1:6" x14ac:dyDescent="0.25">
      <c r="A702" t="s">
        <v>16</v>
      </c>
      <c r="B702" t="s">
        <v>1640</v>
      </c>
      <c r="C702">
        <v>23603</v>
      </c>
      <c r="D702">
        <v>0</v>
      </c>
      <c r="E702">
        <v>0</v>
      </c>
      <c r="F702">
        <v>0</v>
      </c>
    </row>
    <row r="703" spans="1:6" x14ac:dyDescent="0.25">
      <c r="A703" t="s">
        <v>25</v>
      </c>
      <c r="B703" t="s">
        <v>1764</v>
      </c>
      <c r="C703">
        <v>23604</v>
      </c>
      <c r="D703">
        <v>0</v>
      </c>
      <c r="E703">
        <v>0</v>
      </c>
      <c r="F703">
        <v>0</v>
      </c>
    </row>
    <row r="704" spans="1:6" x14ac:dyDescent="0.25">
      <c r="B704" t="s">
        <v>1767</v>
      </c>
      <c r="D704">
        <v>0</v>
      </c>
      <c r="E704">
        <v>0</v>
      </c>
      <c r="F704">
        <v>0</v>
      </c>
    </row>
    <row r="705" spans="1:6" x14ac:dyDescent="0.25">
      <c r="B705" t="s">
        <v>1768</v>
      </c>
    </row>
    <row r="706" spans="1:6" x14ac:dyDescent="0.25">
      <c r="A706" t="s">
        <v>2</v>
      </c>
      <c r="B706" t="s">
        <v>1769</v>
      </c>
      <c r="C706">
        <v>23701</v>
      </c>
      <c r="D706">
        <v>0</v>
      </c>
      <c r="E706">
        <v>0</v>
      </c>
      <c r="F706">
        <v>0</v>
      </c>
    </row>
    <row r="707" spans="1:6" x14ac:dyDescent="0.25">
      <c r="A707" t="s">
        <v>15</v>
      </c>
      <c r="B707" t="s">
        <v>1770</v>
      </c>
      <c r="C707">
        <v>23702</v>
      </c>
      <c r="D707">
        <v>0</v>
      </c>
      <c r="E707">
        <v>0</v>
      </c>
      <c r="F707">
        <v>0</v>
      </c>
    </row>
    <row r="708" spans="1:6" x14ac:dyDescent="0.25">
      <c r="A708" t="s">
        <v>16</v>
      </c>
      <c r="B708" t="s">
        <v>1771</v>
      </c>
      <c r="C708">
        <v>23703</v>
      </c>
      <c r="D708">
        <v>0</v>
      </c>
      <c r="E708">
        <v>0</v>
      </c>
      <c r="F708">
        <v>0</v>
      </c>
    </row>
    <row r="709" spans="1:6" x14ac:dyDescent="0.25">
      <c r="A709" t="s">
        <v>25</v>
      </c>
      <c r="B709" t="s">
        <v>1772</v>
      </c>
      <c r="C709">
        <v>23704</v>
      </c>
      <c r="D709">
        <v>0</v>
      </c>
      <c r="E709">
        <v>0</v>
      </c>
      <c r="F709">
        <v>0</v>
      </c>
    </row>
    <row r="710" spans="1:6" x14ac:dyDescent="0.25">
      <c r="B710" t="s">
        <v>1773</v>
      </c>
      <c r="D710">
        <v>0</v>
      </c>
      <c r="E710">
        <v>0</v>
      </c>
      <c r="F710">
        <v>0</v>
      </c>
    </row>
    <row r="711" spans="1:6" x14ac:dyDescent="0.25">
      <c r="B711" t="s">
        <v>1774</v>
      </c>
    </row>
    <row r="712" spans="1:6" x14ac:dyDescent="0.25">
      <c r="A712" t="s">
        <v>2</v>
      </c>
      <c r="B712" t="s">
        <v>1769</v>
      </c>
      <c r="C712">
        <v>23801</v>
      </c>
      <c r="D712">
        <v>0</v>
      </c>
      <c r="E712">
        <v>0</v>
      </c>
      <c r="F712">
        <v>0</v>
      </c>
    </row>
    <row r="713" spans="1:6" x14ac:dyDescent="0.25">
      <c r="A713" t="s">
        <v>15</v>
      </c>
      <c r="B713" t="s">
        <v>1770</v>
      </c>
      <c r="C713">
        <v>23802</v>
      </c>
      <c r="D713">
        <v>0</v>
      </c>
      <c r="E713">
        <v>0</v>
      </c>
      <c r="F713">
        <v>0</v>
      </c>
    </row>
    <row r="714" spans="1:6" x14ac:dyDescent="0.25">
      <c r="A714" t="s">
        <v>16</v>
      </c>
      <c r="B714" t="s">
        <v>1771</v>
      </c>
      <c r="C714">
        <v>23803</v>
      </c>
      <c r="D714">
        <v>0</v>
      </c>
      <c r="E714">
        <v>0</v>
      </c>
      <c r="F714">
        <v>0</v>
      </c>
    </row>
    <row r="715" spans="1:6" x14ac:dyDescent="0.25">
      <c r="A715" t="s">
        <v>25</v>
      </c>
      <c r="B715" t="s">
        <v>1772</v>
      </c>
      <c r="C715">
        <v>23804</v>
      </c>
      <c r="D715">
        <v>0</v>
      </c>
      <c r="E715">
        <v>0</v>
      </c>
      <c r="F715">
        <v>0</v>
      </c>
    </row>
    <row r="716" spans="1:6" x14ac:dyDescent="0.25">
      <c r="B716" t="s">
        <v>1775</v>
      </c>
      <c r="D716">
        <v>0</v>
      </c>
      <c r="E716">
        <v>0</v>
      </c>
      <c r="F716">
        <v>0</v>
      </c>
    </row>
    <row r="717" spans="1:6" x14ac:dyDescent="0.25">
      <c r="B717" t="s">
        <v>2314</v>
      </c>
    </row>
    <row r="718" spans="1:6" x14ac:dyDescent="0.25">
      <c r="A718" t="s">
        <v>2</v>
      </c>
      <c r="B718" t="s">
        <v>1637</v>
      </c>
      <c r="C718">
        <v>23901</v>
      </c>
      <c r="D718">
        <v>0</v>
      </c>
      <c r="F718">
        <v>0</v>
      </c>
    </row>
    <row r="719" spans="1:6" x14ac:dyDescent="0.25">
      <c r="A719" t="s">
        <v>15</v>
      </c>
      <c r="B719" t="s">
        <v>1763</v>
      </c>
      <c r="C719">
        <v>23902</v>
      </c>
      <c r="D719">
        <v>0</v>
      </c>
      <c r="F719">
        <v>0</v>
      </c>
    </row>
    <row r="720" spans="1:6" x14ac:dyDescent="0.25">
      <c r="A720" t="s">
        <v>16</v>
      </c>
      <c r="B720" t="s">
        <v>1640</v>
      </c>
      <c r="C720">
        <v>23903</v>
      </c>
      <c r="D720">
        <v>0</v>
      </c>
      <c r="F720">
        <v>0</v>
      </c>
    </row>
    <row r="721" spans="1:6" x14ac:dyDescent="0.25">
      <c r="A721" t="s">
        <v>25</v>
      </c>
      <c r="B721" t="s">
        <v>1764</v>
      </c>
      <c r="C721">
        <v>23904</v>
      </c>
      <c r="D721">
        <v>0</v>
      </c>
      <c r="F721">
        <v>0</v>
      </c>
    </row>
    <row r="722" spans="1:6" x14ac:dyDescent="0.25">
      <c r="B722" t="s">
        <v>1778</v>
      </c>
      <c r="D722">
        <v>0</v>
      </c>
      <c r="F722">
        <v>0</v>
      </c>
    </row>
    <row r="723" spans="1:6" x14ac:dyDescent="0.25">
      <c r="B723" t="s">
        <v>1670</v>
      </c>
      <c r="D723">
        <v>1463654</v>
      </c>
      <c r="E723">
        <v>0</v>
      </c>
      <c r="F723">
        <v>1463654</v>
      </c>
    </row>
    <row r="724" spans="1:6" x14ac:dyDescent="0.25">
      <c r="B724" t="s">
        <v>1779</v>
      </c>
    </row>
    <row r="725" spans="1:6" x14ac:dyDescent="0.25">
      <c r="B725" t="s">
        <v>1672</v>
      </c>
    </row>
    <row r="726" spans="1:6" x14ac:dyDescent="0.25">
      <c r="A726" t="s">
        <v>2</v>
      </c>
      <c r="B726" t="s">
        <v>1673</v>
      </c>
      <c r="C726">
        <v>24101</v>
      </c>
      <c r="D726">
        <v>73878</v>
      </c>
      <c r="E726">
        <v>0</v>
      </c>
      <c r="F726">
        <v>73878</v>
      </c>
    </row>
    <row r="727" spans="1:6" x14ac:dyDescent="0.25">
      <c r="A727" t="s">
        <v>15</v>
      </c>
      <c r="B727" t="s">
        <v>1674</v>
      </c>
      <c r="C727">
        <v>24102</v>
      </c>
      <c r="D727">
        <v>106</v>
      </c>
      <c r="E727">
        <v>0</v>
      </c>
      <c r="F727">
        <v>106</v>
      </c>
    </row>
    <row r="728" spans="1:6" x14ac:dyDescent="0.25">
      <c r="A728" t="s">
        <v>16</v>
      </c>
      <c r="B728" t="s">
        <v>1675</v>
      </c>
      <c r="C728">
        <v>24103</v>
      </c>
      <c r="D728">
        <v>0</v>
      </c>
      <c r="E728">
        <v>0</v>
      </c>
      <c r="F728">
        <v>0</v>
      </c>
    </row>
    <row r="729" spans="1:6" x14ac:dyDescent="0.25">
      <c r="A729" t="s">
        <v>25</v>
      </c>
      <c r="B729" t="s">
        <v>1676</v>
      </c>
      <c r="C729">
        <v>24104</v>
      </c>
      <c r="D729">
        <v>0</v>
      </c>
      <c r="E729">
        <v>0</v>
      </c>
      <c r="F729">
        <v>0</v>
      </c>
    </row>
    <row r="730" spans="1:6" x14ac:dyDescent="0.25">
      <c r="A730" t="s">
        <v>26</v>
      </c>
      <c r="B730" t="s">
        <v>1677</v>
      </c>
      <c r="C730">
        <v>24105</v>
      </c>
      <c r="D730">
        <v>0</v>
      </c>
      <c r="E730">
        <v>0</v>
      </c>
      <c r="F730">
        <v>0</v>
      </c>
    </row>
    <row r="731" spans="1:6" x14ac:dyDescent="0.25">
      <c r="B731" t="s">
        <v>1780</v>
      </c>
      <c r="D731">
        <v>73984</v>
      </c>
      <c r="E731">
        <v>0</v>
      </c>
      <c r="F731">
        <v>73984</v>
      </c>
    </row>
    <row r="732" spans="1:6" x14ac:dyDescent="0.25">
      <c r="B732" t="s">
        <v>1781</v>
      </c>
    </row>
    <row r="733" spans="1:6" x14ac:dyDescent="0.25">
      <c r="A733" t="s">
        <v>2</v>
      </c>
      <c r="B733" t="s">
        <v>1693</v>
      </c>
      <c r="C733">
        <v>24201</v>
      </c>
      <c r="D733">
        <v>0</v>
      </c>
      <c r="E733">
        <v>0</v>
      </c>
      <c r="F733">
        <v>0</v>
      </c>
    </row>
    <row r="734" spans="1:6" x14ac:dyDescent="0.25">
      <c r="A734" t="s">
        <v>15</v>
      </c>
      <c r="B734" t="s">
        <v>1694</v>
      </c>
      <c r="C734">
        <v>24202</v>
      </c>
      <c r="D734">
        <v>0</v>
      </c>
      <c r="E734">
        <v>0</v>
      </c>
      <c r="F734">
        <v>0</v>
      </c>
    </row>
    <row r="735" spans="1:6" x14ac:dyDescent="0.25">
      <c r="A735" t="s">
        <v>16</v>
      </c>
      <c r="B735" t="s">
        <v>1695</v>
      </c>
      <c r="C735">
        <v>24203</v>
      </c>
      <c r="D735">
        <v>0</v>
      </c>
      <c r="E735">
        <v>0</v>
      </c>
      <c r="F735">
        <v>0</v>
      </c>
    </row>
    <row r="736" spans="1:6" x14ac:dyDescent="0.25">
      <c r="A736" t="s">
        <v>25</v>
      </c>
      <c r="B736" t="s">
        <v>1696</v>
      </c>
      <c r="C736">
        <v>24204</v>
      </c>
      <c r="D736">
        <v>0</v>
      </c>
      <c r="E736">
        <v>0</v>
      </c>
      <c r="F736">
        <v>0</v>
      </c>
    </row>
    <row r="737" spans="1:6" x14ac:dyDescent="0.25">
      <c r="A737" t="s">
        <v>26</v>
      </c>
      <c r="B737" t="s">
        <v>1680</v>
      </c>
      <c r="C737">
        <v>24205</v>
      </c>
      <c r="D737">
        <v>0</v>
      </c>
      <c r="E737">
        <v>0</v>
      </c>
      <c r="F737">
        <v>0</v>
      </c>
    </row>
    <row r="738" spans="1:6" x14ac:dyDescent="0.25">
      <c r="A738" t="s">
        <v>27</v>
      </c>
      <c r="B738" t="s">
        <v>1681</v>
      </c>
      <c r="C738">
        <v>24206</v>
      </c>
      <c r="D738">
        <v>0</v>
      </c>
      <c r="E738">
        <v>0</v>
      </c>
      <c r="F738">
        <v>0</v>
      </c>
    </row>
    <row r="739" spans="1:6" x14ac:dyDescent="0.25">
      <c r="A739" t="s">
        <v>531</v>
      </c>
      <c r="B739" t="s">
        <v>1682</v>
      </c>
      <c r="C739">
        <v>24207</v>
      </c>
      <c r="D739">
        <v>0</v>
      </c>
      <c r="E739">
        <v>0</v>
      </c>
      <c r="F739">
        <v>0</v>
      </c>
    </row>
    <row r="740" spans="1:6" x14ac:dyDescent="0.25">
      <c r="A740" t="s">
        <v>1583</v>
      </c>
      <c r="B740" t="s">
        <v>1683</v>
      </c>
      <c r="C740">
        <v>24208</v>
      </c>
      <c r="D740">
        <v>0</v>
      </c>
      <c r="E740">
        <v>0</v>
      </c>
      <c r="F740">
        <v>0</v>
      </c>
    </row>
    <row r="741" spans="1:6" x14ac:dyDescent="0.25">
      <c r="A741" t="s">
        <v>1585</v>
      </c>
      <c r="B741" t="s">
        <v>1684</v>
      </c>
      <c r="C741">
        <v>24209</v>
      </c>
      <c r="D741">
        <v>103</v>
      </c>
      <c r="E741">
        <v>0</v>
      </c>
      <c r="F741">
        <v>103</v>
      </c>
    </row>
    <row r="742" spans="1:6" x14ac:dyDescent="0.25">
      <c r="A742" t="s">
        <v>1587</v>
      </c>
      <c r="B742" t="s">
        <v>1685</v>
      </c>
      <c r="C742">
        <v>24210</v>
      </c>
      <c r="D742">
        <v>91660</v>
      </c>
      <c r="E742">
        <v>0</v>
      </c>
      <c r="F742">
        <v>91660</v>
      </c>
    </row>
    <row r="743" spans="1:6" x14ac:dyDescent="0.25">
      <c r="A743" t="s">
        <v>1589</v>
      </c>
      <c r="B743" t="s">
        <v>1686</v>
      </c>
      <c r="C743">
        <v>24211</v>
      </c>
      <c r="D743">
        <v>58241</v>
      </c>
      <c r="E743">
        <v>0</v>
      </c>
      <c r="F743">
        <v>58241</v>
      </c>
    </row>
    <row r="744" spans="1:6" x14ac:dyDescent="0.25">
      <c r="A744" t="s">
        <v>1591</v>
      </c>
      <c r="B744" t="s">
        <v>1687</v>
      </c>
      <c r="C744">
        <v>24212</v>
      </c>
      <c r="D744">
        <v>98905</v>
      </c>
      <c r="E744">
        <v>32</v>
      </c>
      <c r="F744">
        <v>98937</v>
      </c>
    </row>
    <row r="745" spans="1:6" x14ac:dyDescent="0.25">
      <c r="A745" t="s">
        <v>1593</v>
      </c>
      <c r="B745" t="s">
        <v>1688</v>
      </c>
      <c r="C745">
        <v>24213</v>
      </c>
      <c r="D745">
        <v>2156090</v>
      </c>
      <c r="E745">
        <v>0</v>
      </c>
      <c r="F745">
        <v>2156090</v>
      </c>
    </row>
    <row r="746" spans="1:6" x14ac:dyDescent="0.25">
      <c r="A746" t="s">
        <v>1595</v>
      </c>
      <c r="B746" t="s">
        <v>1690</v>
      </c>
      <c r="C746">
        <v>24214</v>
      </c>
      <c r="D746">
        <v>0</v>
      </c>
      <c r="E746">
        <v>0</v>
      </c>
      <c r="F746">
        <v>0</v>
      </c>
    </row>
    <row r="747" spans="1:6" x14ac:dyDescent="0.25">
      <c r="A747" t="s">
        <v>1597</v>
      </c>
      <c r="B747" t="s">
        <v>1637</v>
      </c>
      <c r="C747">
        <v>24215</v>
      </c>
      <c r="D747">
        <v>0</v>
      </c>
      <c r="E747">
        <v>0</v>
      </c>
      <c r="F747">
        <v>0</v>
      </c>
    </row>
    <row r="748" spans="1:6" x14ac:dyDescent="0.25">
      <c r="A748" t="s">
        <v>1599</v>
      </c>
      <c r="B748" t="s">
        <v>1640</v>
      </c>
      <c r="C748">
        <v>24216</v>
      </c>
      <c r="D748">
        <v>0</v>
      </c>
      <c r="E748">
        <v>0</v>
      </c>
      <c r="F748">
        <v>0</v>
      </c>
    </row>
    <row r="749" spans="1:6" x14ac:dyDescent="0.25">
      <c r="A749" t="s">
        <v>1601</v>
      </c>
      <c r="B749" t="s">
        <v>1636</v>
      </c>
      <c r="C749">
        <v>24217</v>
      </c>
      <c r="D749">
        <v>0</v>
      </c>
      <c r="E749">
        <v>0</v>
      </c>
      <c r="F749">
        <v>0</v>
      </c>
    </row>
    <row r="750" spans="1:6" x14ac:dyDescent="0.25">
      <c r="A750" t="s">
        <v>1603</v>
      </c>
      <c r="B750" t="s">
        <v>1689</v>
      </c>
      <c r="C750">
        <v>24218</v>
      </c>
      <c r="D750">
        <v>146</v>
      </c>
      <c r="E750">
        <v>0</v>
      </c>
      <c r="F750">
        <v>146</v>
      </c>
    </row>
    <row r="751" spans="1:6" x14ac:dyDescent="0.25">
      <c r="B751" t="s">
        <v>1782</v>
      </c>
      <c r="D751">
        <v>2405145</v>
      </c>
      <c r="E751">
        <v>32</v>
      </c>
      <c r="F751">
        <v>2405177</v>
      </c>
    </row>
    <row r="752" spans="1:6" x14ac:dyDescent="0.25">
      <c r="B752" t="s">
        <v>1783</v>
      </c>
    </row>
    <row r="753" spans="1:6" x14ac:dyDescent="0.25">
      <c r="A753" t="s">
        <v>2</v>
      </c>
      <c r="B753" t="s">
        <v>1699</v>
      </c>
      <c r="C753">
        <v>24301</v>
      </c>
      <c r="D753">
        <v>0</v>
      </c>
      <c r="E753">
        <v>0</v>
      </c>
      <c r="F753">
        <v>0</v>
      </c>
    </row>
    <row r="754" spans="1:6" x14ac:dyDescent="0.25">
      <c r="A754" t="s">
        <v>15</v>
      </c>
      <c r="B754" t="s">
        <v>1694</v>
      </c>
      <c r="C754">
        <v>24302</v>
      </c>
      <c r="D754">
        <v>0</v>
      </c>
      <c r="E754">
        <v>0</v>
      </c>
      <c r="F754">
        <v>0</v>
      </c>
    </row>
    <row r="755" spans="1:6" x14ac:dyDescent="0.25">
      <c r="A755" t="s">
        <v>16</v>
      </c>
      <c r="B755" t="s">
        <v>1695</v>
      </c>
      <c r="C755">
        <v>24303</v>
      </c>
      <c r="D755">
        <v>0</v>
      </c>
      <c r="E755">
        <v>0</v>
      </c>
      <c r="F755">
        <v>0</v>
      </c>
    </row>
    <row r="756" spans="1:6" x14ac:dyDescent="0.25">
      <c r="A756" t="s">
        <v>25</v>
      </c>
      <c r="B756" t="s">
        <v>1696</v>
      </c>
      <c r="C756">
        <v>24304</v>
      </c>
      <c r="D756">
        <v>0</v>
      </c>
      <c r="E756">
        <v>0</v>
      </c>
      <c r="F756">
        <v>0</v>
      </c>
    </row>
    <row r="757" spans="1:6" x14ac:dyDescent="0.25">
      <c r="A757" t="s">
        <v>26</v>
      </c>
      <c r="B757" t="s">
        <v>1680</v>
      </c>
      <c r="C757">
        <v>24305</v>
      </c>
      <c r="D757">
        <v>0</v>
      </c>
      <c r="E757">
        <v>0</v>
      </c>
      <c r="F757">
        <v>0</v>
      </c>
    </row>
    <row r="758" spans="1:6" x14ac:dyDescent="0.25">
      <c r="A758" t="s">
        <v>27</v>
      </c>
      <c r="B758" t="s">
        <v>1681</v>
      </c>
      <c r="C758">
        <v>24306</v>
      </c>
      <c r="D758">
        <v>0</v>
      </c>
      <c r="E758">
        <v>0</v>
      </c>
      <c r="F758">
        <v>0</v>
      </c>
    </row>
    <row r="759" spans="1:6" x14ac:dyDescent="0.25">
      <c r="A759" t="s">
        <v>531</v>
      </c>
      <c r="B759" t="s">
        <v>1682</v>
      </c>
      <c r="C759">
        <v>24307</v>
      </c>
      <c r="D759">
        <v>0</v>
      </c>
      <c r="E759">
        <v>0</v>
      </c>
      <c r="F759">
        <v>0</v>
      </c>
    </row>
    <row r="760" spans="1:6" x14ac:dyDescent="0.25">
      <c r="A760" t="s">
        <v>1583</v>
      </c>
      <c r="B760" t="s">
        <v>1683</v>
      </c>
      <c r="C760">
        <v>24308</v>
      </c>
      <c r="D760">
        <v>0</v>
      </c>
      <c r="E760">
        <v>0</v>
      </c>
      <c r="F760">
        <v>0</v>
      </c>
    </row>
    <row r="761" spans="1:6" x14ac:dyDescent="0.25">
      <c r="A761" t="s">
        <v>1585</v>
      </c>
      <c r="B761" t="s">
        <v>1684</v>
      </c>
      <c r="C761">
        <v>24309</v>
      </c>
      <c r="D761">
        <v>0</v>
      </c>
      <c r="E761">
        <v>0</v>
      </c>
      <c r="F761">
        <v>0</v>
      </c>
    </row>
    <row r="762" spans="1:6" x14ac:dyDescent="0.25">
      <c r="A762" t="s">
        <v>1587</v>
      </c>
      <c r="B762" t="s">
        <v>1685</v>
      </c>
      <c r="C762">
        <v>24310</v>
      </c>
      <c r="D762">
        <v>0</v>
      </c>
      <c r="E762">
        <v>0</v>
      </c>
      <c r="F762">
        <v>0</v>
      </c>
    </row>
    <row r="763" spans="1:6" x14ac:dyDescent="0.25">
      <c r="A763" t="s">
        <v>1589</v>
      </c>
      <c r="B763" t="s">
        <v>1686</v>
      </c>
      <c r="C763">
        <v>24311</v>
      </c>
      <c r="D763">
        <v>0</v>
      </c>
      <c r="E763">
        <v>0</v>
      </c>
      <c r="F763">
        <v>0</v>
      </c>
    </row>
    <row r="764" spans="1:6" x14ac:dyDescent="0.25">
      <c r="A764" t="s">
        <v>1591</v>
      </c>
      <c r="B764" t="s">
        <v>1687</v>
      </c>
      <c r="C764">
        <v>24312</v>
      </c>
      <c r="D764">
        <v>182</v>
      </c>
      <c r="E764">
        <v>0</v>
      </c>
      <c r="F764">
        <v>182</v>
      </c>
    </row>
    <row r="765" spans="1:6" x14ac:dyDescent="0.25">
      <c r="A765" t="s">
        <v>1593</v>
      </c>
      <c r="B765" t="s">
        <v>1688</v>
      </c>
      <c r="C765">
        <v>24313</v>
      </c>
      <c r="D765">
        <v>12</v>
      </c>
      <c r="E765">
        <v>0</v>
      </c>
      <c r="F765">
        <v>12</v>
      </c>
    </row>
    <row r="766" spans="1:6" x14ac:dyDescent="0.25">
      <c r="A766" t="s">
        <v>1595</v>
      </c>
      <c r="B766" t="s">
        <v>1690</v>
      </c>
      <c r="C766">
        <v>24314</v>
      </c>
      <c r="D766">
        <v>0</v>
      </c>
      <c r="E766">
        <v>0</v>
      </c>
      <c r="F766">
        <v>0</v>
      </c>
    </row>
    <row r="767" spans="1:6" x14ac:dyDescent="0.25">
      <c r="A767" t="s">
        <v>1597</v>
      </c>
      <c r="B767" t="s">
        <v>1637</v>
      </c>
      <c r="C767">
        <v>24315</v>
      </c>
      <c r="D767">
        <v>0</v>
      </c>
      <c r="E767">
        <v>0</v>
      </c>
      <c r="F767">
        <v>0</v>
      </c>
    </row>
    <row r="768" spans="1:6" x14ac:dyDescent="0.25">
      <c r="A768" t="s">
        <v>1599</v>
      </c>
      <c r="B768" t="s">
        <v>1640</v>
      </c>
      <c r="C768">
        <v>24316</v>
      </c>
      <c r="D768">
        <v>0</v>
      </c>
      <c r="E768">
        <v>0</v>
      </c>
      <c r="F768">
        <v>0</v>
      </c>
    </row>
    <row r="769" spans="1:6" x14ac:dyDescent="0.25">
      <c r="A769" t="s">
        <v>1601</v>
      </c>
      <c r="B769" t="s">
        <v>1636</v>
      </c>
      <c r="C769">
        <v>24317</v>
      </c>
      <c r="D769">
        <v>0</v>
      </c>
      <c r="E769">
        <v>0</v>
      </c>
      <c r="F769">
        <v>0</v>
      </c>
    </row>
    <row r="770" spans="1:6" x14ac:dyDescent="0.25">
      <c r="A770" t="s">
        <v>1603</v>
      </c>
      <c r="B770" t="s">
        <v>1689</v>
      </c>
      <c r="C770">
        <v>24318</v>
      </c>
      <c r="D770">
        <v>48</v>
      </c>
      <c r="E770">
        <v>0</v>
      </c>
      <c r="F770">
        <v>48</v>
      </c>
    </row>
    <row r="771" spans="1:6" x14ac:dyDescent="0.25">
      <c r="B771" t="s">
        <v>1784</v>
      </c>
      <c r="D771">
        <v>242</v>
      </c>
      <c r="E771">
        <v>0</v>
      </c>
      <c r="F771">
        <v>242</v>
      </c>
    </row>
    <row r="772" spans="1:6" x14ac:dyDescent="0.25">
      <c r="B772" t="s">
        <v>1785</v>
      </c>
    </row>
    <row r="773" spans="1:6" x14ac:dyDescent="0.25">
      <c r="A773" t="s">
        <v>2</v>
      </c>
      <c r="B773" t="s">
        <v>1702</v>
      </c>
      <c r="C773">
        <v>24401</v>
      </c>
      <c r="D773">
        <v>120709</v>
      </c>
      <c r="E773">
        <v>702</v>
      </c>
      <c r="F773">
        <v>121411</v>
      </c>
    </row>
    <row r="774" spans="1:6" x14ac:dyDescent="0.25">
      <c r="A774" t="s">
        <v>15</v>
      </c>
      <c r="B774" t="s">
        <v>1703</v>
      </c>
      <c r="C774">
        <v>24402</v>
      </c>
      <c r="D774">
        <v>320</v>
      </c>
      <c r="E774">
        <v>14</v>
      </c>
      <c r="F774">
        <v>334</v>
      </c>
    </row>
    <row r="775" spans="1:6" x14ac:dyDescent="0.25">
      <c r="B775" t="s">
        <v>1786</v>
      </c>
      <c r="D775">
        <v>121029</v>
      </c>
      <c r="E775">
        <v>716</v>
      </c>
      <c r="F775">
        <v>121745</v>
      </c>
    </row>
    <row r="776" spans="1:6" x14ac:dyDescent="0.25">
      <c r="B776" t="s">
        <v>1787</v>
      </c>
    </row>
    <row r="777" spans="1:6" x14ac:dyDescent="0.25">
      <c r="A777" t="s">
        <v>2</v>
      </c>
      <c r="B777" t="s">
        <v>1702</v>
      </c>
      <c r="C777">
        <v>24501</v>
      </c>
      <c r="D777">
        <v>0</v>
      </c>
      <c r="E777">
        <v>0</v>
      </c>
      <c r="F777">
        <v>0</v>
      </c>
    </row>
    <row r="778" spans="1:6" x14ac:dyDescent="0.25">
      <c r="A778" t="s">
        <v>15</v>
      </c>
      <c r="B778" t="s">
        <v>1703</v>
      </c>
      <c r="C778">
        <v>24502</v>
      </c>
      <c r="D778">
        <v>0</v>
      </c>
      <c r="E778">
        <v>0</v>
      </c>
      <c r="F778">
        <v>0</v>
      </c>
    </row>
    <row r="779" spans="1:6" x14ac:dyDescent="0.25">
      <c r="B779" t="s">
        <v>1788</v>
      </c>
      <c r="D779">
        <v>0</v>
      </c>
      <c r="E779">
        <v>0</v>
      </c>
      <c r="F779">
        <v>0</v>
      </c>
    </row>
    <row r="780" spans="1:6" x14ac:dyDescent="0.25">
      <c r="B780" t="s">
        <v>1789</v>
      </c>
    </row>
    <row r="781" spans="1:6" x14ac:dyDescent="0.25">
      <c r="A781" t="s">
        <v>2</v>
      </c>
      <c r="B781" t="s">
        <v>1710</v>
      </c>
      <c r="C781">
        <v>24601</v>
      </c>
      <c r="D781">
        <v>0</v>
      </c>
      <c r="E781">
        <v>0</v>
      </c>
      <c r="F781">
        <v>0</v>
      </c>
    </row>
    <row r="782" spans="1:6" x14ac:dyDescent="0.25">
      <c r="A782" t="s">
        <v>15</v>
      </c>
      <c r="B782" t="s">
        <v>1711</v>
      </c>
      <c r="C782">
        <v>24602</v>
      </c>
      <c r="D782">
        <v>0</v>
      </c>
      <c r="E782">
        <v>0</v>
      </c>
      <c r="F782">
        <v>0</v>
      </c>
    </row>
    <row r="783" spans="1:6" x14ac:dyDescent="0.25">
      <c r="A783" t="s">
        <v>16</v>
      </c>
      <c r="B783" t="s">
        <v>1712</v>
      </c>
      <c r="C783">
        <v>24603</v>
      </c>
      <c r="D783">
        <v>0</v>
      </c>
      <c r="E783">
        <v>0</v>
      </c>
      <c r="F783">
        <v>0</v>
      </c>
    </row>
    <row r="784" spans="1:6" x14ac:dyDescent="0.25">
      <c r="A784" t="s">
        <v>25</v>
      </c>
      <c r="B784" t="s">
        <v>1713</v>
      </c>
      <c r="C784">
        <v>24604</v>
      </c>
      <c r="D784">
        <v>0</v>
      </c>
      <c r="E784">
        <v>0</v>
      </c>
      <c r="F784">
        <v>0</v>
      </c>
    </row>
    <row r="785" spans="1:6" x14ac:dyDescent="0.25">
      <c r="A785" t="s">
        <v>26</v>
      </c>
      <c r="B785" t="s">
        <v>1714</v>
      </c>
      <c r="C785">
        <v>24605</v>
      </c>
      <c r="D785">
        <v>0</v>
      </c>
      <c r="E785">
        <v>0</v>
      </c>
      <c r="F785">
        <v>0</v>
      </c>
    </row>
    <row r="786" spans="1:6" x14ac:dyDescent="0.25">
      <c r="B786" t="s">
        <v>1790</v>
      </c>
      <c r="D786">
        <v>0</v>
      </c>
      <c r="E786">
        <v>0</v>
      </c>
      <c r="F786">
        <v>0</v>
      </c>
    </row>
    <row r="787" spans="1:6" x14ac:dyDescent="0.25">
      <c r="B787" t="s">
        <v>2315</v>
      </c>
    </row>
    <row r="788" spans="1:6" x14ac:dyDescent="0.25">
      <c r="A788" t="s">
        <v>2</v>
      </c>
      <c r="B788" t="s">
        <v>2316</v>
      </c>
      <c r="C788">
        <v>24701</v>
      </c>
      <c r="D788">
        <v>0</v>
      </c>
      <c r="F788">
        <v>0</v>
      </c>
    </row>
    <row r="789" spans="1:6" x14ac:dyDescent="0.25">
      <c r="A789" t="s">
        <v>15</v>
      </c>
      <c r="B789" t="s">
        <v>2317</v>
      </c>
      <c r="C789">
        <v>24702</v>
      </c>
      <c r="D789">
        <v>0</v>
      </c>
      <c r="F789">
        <v>0</v>
      </c>
    </row>
    <row r="790" spans="1:6" x14ac:dyDescent="0.25">
      <c r="A790" t="s">
        <v>16</v>
      </c>
      <c r="B790" t="s">
        <v>2318</v>
      </c>
      <c r="C790">
        <v>24703</v>
      </c>
      <c r="D790">
        <v>0</v>
      </c>
      <c r="F790">
        <v>0</v>
      </c>
    </row>
    <row r="791" spans="1:6" x14ac:dyDescent="0.25">
      <c r="A791" t="s">
        <v>25</v>
      </c>
      <c r="B791" t="s">
        <v>2319</v>
      </c>
      <c r="C791">
        <v>24704</v>
      </c>
      <c r="D791">
        <v>0</v>
      </c>
      <c r="F791">
        <v>0</v>
      </c>
    </row>
    <row r="792" spans="1:6" x14ac:dyDescent="0.25">
      <c r="A792" t="s">
        <v>26</v>
      </c>
      <c r="B792" t="s">
        <v>2320</v>
      </c>
      <c r="C792">
        <v>24705</v>
      </c>
      <c r="D792">
        <v>0</v>
      </c>
      <c r="F792">
        <v>0</v>
      </c>
    </row>
    <row r="793" spans="1:6" x14ac:dyDescent="0.25">
      <c r="A793" t="s">
        <v>27</v>
      </c>
      <c r="B793" t="s">
        <v>2321</v>
      </c>
      <c r="C793">
        <v>24706</v>
      </c>
      <c r="D793">
        <v>0</v>
      </c>
      <c r="F793">
        <v>0</v>
      </c>
    </row>
    <row r="794" spans="1:6" x14ac:dyDescent="0.25">
      <c r="A794" t="s">
        <v>531</v>
      </c>
      <c r="B794" t="s">
        <v>2322</v>
      </c>
      <c r="C794">
        <v>24707</v>
      </c>
      <c r="D794">
        <v>0</v>
      </c>
      <c r="F794">
        <v>0</v>
      </c>
    </row>
    <row r="795" spans="1:6" x14ac:dyDescent="0.25">
      <c r="A795" t="s">
        <v>1583</v>
      </c>
      <c r="B795" t="s">
        <v>2323</v>
      </c>
      <c r="C795">
        <v>24708</v>
      </c>
      <c r="D795">
        <v>0</v>
      </c>
      <c r="F795">
        <v>0</v>
      </c>
    </row>
    <row r="796" spans="1:6" x14ac:dyDescent="0.25">
      <c r="A796" t="s">
        <v>1585</v>
      </c>
      <c r="B796" t="s">
        <v>2324</v>
      </c>
      <c r="C796">
        <v>24709</v>
      </c>
      <c r="D796">
        <v>0</v>
      </c>
      <c r="F796">
        <v>0</v>
      </c>
    </row>
    <row r="797" spans="1:6" x14ac:dyDescent="0.25">
      <c r="A797" t="s">
        <v>1587</v>
      </c>
      <c r="B797" t="s">
        <v>2325</v>
      </c>
      <c r="C797">
        <v>24710</v>
      </c>
      <c r="D797">
        <v>0</v>
      </c>
      <c r="F797">
        <v>0</v>
      </c>
    </row>
    <row r="798" spans="1:6" x14ac:dyDescent="0.25">
      <c r="A798" t="s">
        <v>1589</v>
      </c>
      <c r="B798" t="s">
        <v>2326</v>
      </c>
      <c r="C798">
        <v>24711</v>
      </c>
      <c r="D798">
        <v>0</v>
      </c>
      <c r="F798">
        <v>0</v>
      </c>
    </row>
    <row r="799" spans="1:6" x14ac:dyDescent="0.25">
      <c r="A799" t="s">
        <v>1591</v>
      </c>
      <c r="B799" t="s">
        <v>2327</v>
      </c>
      <c r="C799">
        <v>24712</v>
      </c>
      <c r="D799">
        <v>0</v>
      </c>
      <c r="F799">
        <v>0</v>
      </c>
    </row>
    <row r="800" spans="1:6" x14ac:dyDescent="0.25">
      <c r="A800" t="s">
        <v>1593</v>
      </c>
      <c r="B800" t="s">
        <v>2328</v>
      </c>
      <c r="C800">
        <v>24713</v>
      </c>
      <c r="D800">
        <v>0</v>
      </c>
      <c r="F800">
        <v>0</v>
      </c>
    </row>
    <row r="801" spans="1:6" x14ac:dyDescent="0.25">
      <c r="A801" t="s">
        <v>1595</v>
      </c>
      <c r="B801" t="s">
        <v>2329</v>
      </c>
      <c r="C801">
        <v>24714</v>
      </c>
      <c r="D801">
        <v>0</v>
      </c>
      <c r="F801">
        <v>0</v>
      </c>
    </row>
    <row r="802" spans="1:6" x14ac:dyDescent="0.25">
      <c r="A802" t="s">
        <v>1597</v>
      </c>
      <c r="B802" t="s">
        <v>2330</v>
      </c>
      <c r="C802">
        <v>24715</v>
      </c>
      <c r="D802">
        <v>0</v>
      </c>
      <c r="F802">
        <v>0</v>
      </c>
    </row>
    <row r="803" spans="1:6" x14ac:dyDescent="0.25">
      <c r="A803" t="s">
        <v>1599</v>
      </c>
      <c r="B803" t="s">
        <v>2331</v>
      </c>
      <c r="C803">
        <v>24716</v>
      </c>
      <c r="D803">
        <v>0</v>
      </c>
      <c r="F803">
        <v>0</v>
      </c>
    </row>
    <row r="804" spans="1:6" x14ac:dyDescent="0.25">
      <c r="A804" t="s">
        <v>1601</v>
      </c>
      <c r="B804" t="s">
        <v>2332</v>
      </c>
      <c r="C804">
        <v>24717</v>
      </c>
      <c r="D804">
        <v>0</v>
      </c>
      <c r="F804">
        <v>0</v>
      </c>
    </row>
    <row r="805" spans="1:6" x14ac:dyDescent="0.25">
      <c r="A805" t="s">
        <v>1603</v>
      </c>
      <c r="B805" t="s">
        <v>2333</v>
      </c>
      <c r="C805">
        <v>24718</v>
      </c>
      <c r="D805">
        <v>0</v>
      </c>
      <c r="F805">
        <v>0</v>
      </c>
    </row>
    <row r="806" spans="1:6" x14ac:dyDescent="0.25">
      <c r="A806" t="s">
        <v>1605</v>
      </c>
      <c r="B806" t="s">
        <v>2334</v>
      </c>
      <c r="C806">
        <v>24719</v>
      </c>
      <c r="D806">
        <v>0</v>
      </c>
      <c r="F806">
        <v>0</v>
      </c>
    </row>
    <row r="807" spans="1:6" x14ac:dyDescent="0.25">
      <c r="A807" t="s">
        <v>1607</v>
      </c>
      <c r="B807" t="s">
        <v>2335</v>
      </c>
      <c r="C807">
        <v>24720</v>
      </c>
      <c r="D807">
        <v>0</v>
      </c>
      <c r="F807">
        <v>0</v>
      </c>
    </row>
    <row r="808" spans="1:6" x14ac:dyDescent="0.25">
      <c r="A808" t="s">
        <v>2336</v>
      </c>
      <c r="B808" t="s">
        <v>2337</v>
      </c>
      <c r="C808">
        <v>24721</v>
      </c>
      <c r="D808">
        <v>0</v>
      </c>
      <c r="F808">
        <v>0</v>
      </c>
    </row>
    <row r="809" spans="1:6" x14ac:dyDescent="0.25">
      <c r="A809" t="s">
        <v>2338</v>
      </c>
      <c r="B809" t="s">
        <v>2339</v>
      </c>
      <c r="C809">
        <v>24722</v>
      </c>
      <c r="D809">
        <v>0</v>
      </c>
      <c r="F809">
        <v>0</v>
      </c>
    </row>
    <row r="810" spans="1:6" x14ac:dyDescent="0.25">
      <c r="A810" t="s">
        <v>2340</v>
      </c>
      <c r="B810" t="s">
        <v>2341</v>
      </c>
      <c r="C810">
        <v>24723</v>
      </c>
      <c r="D810">
        <v>0</v>
      </c>
      <c r="F810">
        <v>0</v>
      </c>
    </row>
    <row r="811" spans="1:6" x14ac:dyDescent="0.25">
      <c r="A811" t="s">
        <v>2342</v>
      </c>
      <c r="B811" t="s">
        <v>2343</v>
      </c>
      <c r="C811">
        <v>24724</v>
      </c>
      <c r="D811">
        <v>0</v>
      </c>
      <c r="F811">
        <v>0</v>
      </c>
    </row>
    <row r="812" spans="1:6" x14ac:dyDescent="0.25">
      <c r="A812" t="s">
        <v>2344</v>
      </c>
      <c r="B812" t="s">
        <v>2345</v>
      </c>
      <c r="C812">
        <v>24725</v>
      </c>
      <c r="D812">
        <v>0</v>
      </c>
      <c r="F812">
        <v>0</v>
      </c>
    </row>
    <row r="813" spans="1:6" x14ac:dyDescent="0.25">
      <c r="A813" t="s">
        <v>2346</v>
      </c>
      <c r="B813" t="s">
        <v>2347</v>
      </c>
      <c r="C813">
        <v>24726</v>
      </c>
      <c r="D813">
        <v>0</v>
      </c>
      <c r="F813">
        <v>0</v>
      </c>
    </row>
    <row r="814" spans="1:6" x14ac:dyDescent="0.25">
      <c r="A814" t="s">
        <v>2348</v>
      </c>
      <c r="B814" t="s">
        <v>2349</v>
      </c>
      <c r="C814">
        <v>24727</v>
      </c>
      <c r="D814">
        <v>0</v>
      </c>
      <c r="F814">
        <v>0</v>
      </c>
    </row>
    <row r="815" spans="1:6" x14ac:dyDescent="0.25">
      <c r="A815" t="s">
        <v>2350</v>
      </c>
      <c r="B815" t="s">
        <v>2351</v>
      </c>
      <c r="C815">
        <v>24728</v>
      </c>
      <c r="D815">
        <v>0</v>
      </c>
      <c r="F815">
        <v>0</v>
      </c>
    </row>
    <row r="816" spans="1:6" x14ac:dyDescent="0.25">
      <c r="A816" t="s">
        <v>2352</v>
      </c>
      <c r="B816" t="s">
        <v>2353</v>
      </c>
      <c r="C816">
        <v>24729</v>
      </c>
      <c r="D816">
        <v>0</v>
      </c>
      <c r="F816">
        <v>0</v>
      </c>
    </row>
    <row r="817" spans="1:6" x14ac:dyDescent="0.25">
      <c r="A817" t="s">
        <v>2354</v>
      </c>
      <c r="B817" t="s">
        <v>2355</v>
      </c>
      <c r="C817">
        <v>24730</v>
      </c>
      <c r="D817">
        <v>0</v>
      </c>
      <c r="F817">
        <v>0</v>
      </c>
    </row>
    <row r="818" spans="1:6" x14ac:dyDescent="0.25">
      <c r="A818" t="s">
        <v>2356</v>
      </c>
      <c r="B818" t="s">
        <v>2357</v>
      </c>
      <c r="C818">
        <v>24731</v>
      </c>
      <c r="D818">
        <v>0</v>
      </c>
      <c r="F818">
        <v>0</v>
      </c>
    </row>
    <row r="819" spans="1:6" x14ac:dyDescent="0.25">
      <c r="A819" t="s">
        <v>2358</v>
      </c>
      <c r="B819" t="s">
        <v>2359</v>
      </c>
      <c r="C819">
        <v>24732</v>
      </c>
      <c r="D819">
        <v>0</v>
      </c>
      <c r="F819">
        <v>0</v>
      </c>
    </row>
    <row r="820" spans="1:6" x14ac:dyDescent="0.25">
      <c r="A820" t="s">
        <v>2360</v>
      </c>
      <c r="B820" t="s">
        <v>2361</v>
      </c>
      <c r="C820">
        <v>24733</v>
      </c>
      <c r="D820">
        <v>0</v>
      </c>
      <c r="F820">
        <v>0</v>
      </c>
    </row>
    <row r="821" spans="1:6" x14ac:dyDescent="0.25">
      <c r="A821" t="s">
        <v>2362</v>
      </c>
      <c r="B821" t="s">
        <v>2363</v>
      </c>
      <c r="C821">
        <v>24734</v>
      </c>
      <c r="D821">
        <v>0</v>
      </c>
      <c r="F821">
        <v>0</v>
      </c>
    </row>
    <row r="822" spans="1:6" x14ac:dyDescent="0.25">
      <c r="A822" t="s">
        <v>2364</v>
      </c>
      <c r="B822" t="s">
        <v>2365</v>
      </c>
      <c r="C822">
        <v>24735</v>
      </c>
      <c r="D822">
        <v>0</v>
      </c>
      <c r="F822">
        <v>0</v>
      </c>
    </row>
    <row r="823" spans="1:6" x14ac:dyDescent="0.25">
      <c r="A823" t="s">
        <v>2366</v>
      </c>
      <c r="B823" t="s">
        <v>2367</v>
      </c>
      <c r="C823">
        <v>24736</v>
      </c>
      <c r="D823">
        <v>0</v>
      </c>
      <c r="F823">
        <v>0</v>
      </c>
    </row>
    <row r="824" spans="1:6" x14ac:dyDescent="0.25">
      <c r="A824" t="s">
        <v>2368</v>
      </c>
      <c r="B824" t="s">
        <v>2369</v>
      </c>
      <c r="C824">
        <v>24737</v>
      </c>
      <c r="D824">
        <v>0</v>
      </c>
      <c r="F824">
        <v>0</v>
      </c>
    </row>
    <row r="825" spans="1:6" x14ac:dyDescent="0.25">
      <c r="A825" t="s">
        <v>2370</v>
      </c>
      <c r="B825" t="s">
        <v>2371</v>
      </c>
      <c r="C825">
        <v>24738</v>
      </c>
      <c r="D825">
        <v>0</v>
      </c>
      <c r="F825">
        <v>0</v>
      </c>
    </row>
    <row r="826" spans="1:6" x14ac:dyDescent="0.25">
      <c r="A826" t="s">
        <v>2372</v>
      </c>
      <c r="B826" t="s">
        <v>2373</v>
      </c>
      <c r="C826">
        <v>24739</v>
      </c>
      <c r="D826">
        <v>0</v>
      </c>
      <c r="F826">
        <v>0</v>
      </c>
    </row>
    <row r="827" spans="1:6" x14ac:dyDescent="0.25">
      <c r="A827" t="s">
        <v>2374</v>
      </c>
      <c r="B827" t="s">
        <v>2375</v>
      </c>
      <c r="C827">
        <v>24740</v>
      </c>
      <c r="D827">
        <v>0</v>
      </c>
      <c r="F827">
        <v>0</v>
      </c>
    </row>
    <row r="828" spans="1:6" x14ac:dyDescent="0.25">
      <c r="A828" t="s">
        <v>2376</v>
      </c>
      <c r="B828" t="s">
        <v>2377</v>
      </c>
      <c r="C828">
        <v>24741</v>
      </c>
      <c r="D828">
        <v>0</v>
      </c>
      <c r="F828">
        <v>0</v>
      </c>
    </row>
    <row r="829" spans="1:6" x14ac:dyDescent="0.25">
      <c r="B829" t="s">
        <v>2378</v>
      </c>
      <c r="D829">
        <v>0</v>
      </c>
      <c r="F829">
        <v>0</v>
      </c>
    </row>
    <row r="830" spans="1:6" x14ac:dyDescent="0.25">
      <c r="B830" t="s">
        <v>2379</v>
      </c>
    </row>
    <row r="831" spans="1:6" x14ac:dyDescent="0.25">
      <c r="A831" t="s">
        <v>2</v>
      </c>
      <c r="B831" t="s">
        <v>2380</v>
      </c>
      <c r="C831">
        <v>24801</v>
      </c>
      <c r="D831">
        <v>0</v>
      </c>
      <c r="F831">
        <v>0</v>
      </c>
    </row>
    <row r="832" spans="1:6" x14ac:dyDescent="0.25">
      <c r="A832" t="s">
        <v>15</v>
      </c>
      <c r="B832" t="s">
        <v>2381</v>
      </c>
      <c r="C832">
        <v>24802</v>
      </c>
      <c r="D832">
        <v>0</v>
      </c>
      <c r="F832">
        <v>0</v>
      </c>
    </row>
    <row r="833" spans="1:6" x14ac:dyDescent="0.25">
      <c r="A833" t="s">
        <v>16</v>
      </c>
      <c r="B833" t="s">
        <v>2382</v>
      </c>
      <c r="C833">
        <v>24803</v>
      </c>
      <c r="D833">
        <v>0</v>
      </c>
      <c r="F833">
        <v>0</v>
      </c>
    </row>
    <row r="834" spans="1:6" x14ac:dyDescent="0.25">
      <c r="A834" t="s">
        <v>25</v>
      </c>
      <c r="B834" t="s">
        <v>2383</v>
      </c>
      <c r="C834">
        <v>24804</v>
      </c>
      <c r="D834">
        <v>0</v>
      </c>
      <c r="F834">
        <v>0</v>
      </c>
    </row>
    <row r="835" spans="1:6" x14ac:dyDescent="0.25">
      <c r="B835" t="s">
        <v>2384</v>
      </c>
      <c r="D835">
        <v>0</v>
      </c>
      <c r="F835">
        <v>0</v>
      </c>
    </row>
    <row r="836" spans="1:6" x14ac:dyDescent="0.25">
      <c r="B836" t="s">
        <v>2385</v>
      </c>
    </row>
    <row r="837" spans="1:6" x14ac:dyDescent="0.25">
      <c r="A837" t="s">
        <v>2</v>
      </c>
      <c r="B837" t="s">
        <v>1710</v>
      </c>
      <c r="C837">
        <v>24901</v>
      </c>
      <c r="D837">
        <v>0</v>
      </c>
      <c r="F837">
        <v>0</v>
      </c>
    </row>
    <row r="838" spans="1:6" x14ac:dyDescent="0.25">
      <c r="A838" t="s">
        <v>15</v>
      </c>
      <c r="B838" t="s">
        <v>1711</v>
      </c>
      <c r="C838">
        <v>24902</v>
      </c>
      <c r="D838">
        <v>0</v>
      </c>
      <c r="F838">
        <v>0</v>
      </c>
    </row>
    <row r="839" spans="1:6" x14ac:dyDescent="0.25">
      <c r="A839" t="s">
        <v>16</v>
      </c>
      <c r="B839" t="s">
        <v>1712</v>
      </c>
      <c r="C839">
        <v>24903</v>
      </c>
      <c r="D839">
        <v>0</v>
      </c>
      <c r="F839">
        <v>0</v>
      </c>
    </row>
    <row r="840" spans="1:6" x14ac:dyDescent="0.25">
      <c r="A840" t="s">
        <v>25</v>
      </c>
      <c r="B840" t="s">
        <v>1713</v>
      </c>
      <c r="C840">
        <v>24904</v>
      </c>
      <c r="D840">
        <v>0</v>
      </c>
      <c r="F840">
        <v>0</v>
      </c>
    </row>
    <row r="841" spans="1:6" x14ac:dyDescent="0.25">
      <c r="A841" t="s">
        <v>26</v>
      </c>
      <c r="B841" t="s">
        <v>1714</v>
      </c>
      <c r="C841">
        <v>24905</v>
      </c>
      <c r="D841">
        <v>0</v>
      </c>
      <c r="F841">
        <v>0</v>
      </c>
    </row>
    <row r="842" spans="1:6" x14ac:dyDescent="0.25">
      <c r="B842" t="s">
        <v>2386</v>
      </c>
      <c r="D842">
        <v>0</v>
      </c>
      <c r="F842">
        <v>0</v>
      </c>
    </row>
    <row r="843" spans="1:6" x14ac:dyDescent="0.25">
      <c r="B843" t="s">
        <v>1716</v>
      </c>
      <c r="D843">
        <v>2600400</v>
      </c>
      <c r="E843">
        <v>748</v>
      </c>
      <c r="F843">
        <v>2601148</v>
      </c>
    </row>
    <row r="844" spans="1:6" x14ac:dyDescent="0.25">
      <c r="B844" t="s">
        <v>2387</v>
      </c>
    </row>
    <row r="845" spans="1:6" x14ac:dyDescent="0.25">
      <c r="B845" t="s">
        <v>2388</v>
      </c>
    </row>
    <row r="846" spans="1:6" x14ac:dyDescent="0.25">
      <c r="A846" t="s">
        <v>2</v>
      </c>
      <c r="B846" t="s">
        <v>1793</v>
      </c>
      <c r="C846">
        <v>25101</v>
      </c>
      <c r="D846">
        <v>31705749</v>
      </c>
      <c r="F846">
        <v>31705749</v>
      </c>
    </row>
    <row r="847" spans="1:6" x14ac:dyDescent="0.25">
      <c r="A847" t="s">
        <v>15</v>
      </c>
      <c r="B847" t="s">
        <v>1794</v>
      </c>
      <c r="C847">
        <v>25102</v>
      </c>
      <c r="D847">
        <v>5042387</v>
      </c>
      <c r="F847">
        <v>5042387</v>
      </c>
    </row>
    <row r="848" spans="1:6" x14ac:dyDescent="0.25">
      <c r="A848" t="s">
        <v>16</v>
      </c>
      <c r="B848" t="s">
        <v>1795</v>
      </c>
      <c r="C848">
        <v>25103</v>
      </c>
      <c r="D848">
        <v>251399</v>
      </c>
      <c r="F848">
        <v>251399</v>
      </c>
    </row>
    <row r="849" spans="1:6" x14ac:dyDescent="0.25">
      <c r="A849" t="s">
        <v>25</v>
      </c>
      <c r="B849" t="s">
        <v>1796</v>
      </c>
      <c r="C849">
        <v>25104</v>
      </c>
      <c r="D849">
        <v>110002834</v>
      </c>
      <c r="F849">
        <v>110002834</v>
      </c>
    </row>
    <row r="850" spans="1:6" x14ac:dyDescent="0.25">
      <c r="A850" t="s">
        <v>26</v>
      </c>
      <c r="B850" t="s">
        <v>1797</v>
      </c>
      <c r="C850">
        <v>25105</v>
      </c>
      <c r="D850">
        <v>0</v>
      </c>
      <c r="F850">
        <v>0</v>
      </c>
    </row>
    <row r="851" spans="1:6" x14ac:dyDescent="0.25">
      <c r="B851" t="s">
        <v>1798</v>
      </c>
      <c r="D851">
        <v>147002369</v>
      </c>
      <c r="F851">
        <v>147002369</v>
      </c>
    </row>
    <row r="852" spans="1:6" x14ac:dyDescent="0.25">
      <c r="B852" t="s">
        <v>2389</v>
      </c>
    </row>
    <row r="853" spans="1:6" x14ac:dyDescent="0.25">
      <c r="A853" t="s">
        <v>2</v>
      </c>
      <c r="B853" t="s">
        <v>1793</v>
      </c>
      <c r="C853">
        <v>25201</v>
      </c>
      <c r="D853">
        <v>0</v>
      </c>
      <c r="F853">
        <v>0</v>
      </c>
    </row>
    <row r="854" spans="1:6" x14ac:dyDescent="0.25">
      <c r="A854" t="s">
        <v>15</v>
      </c>
      <c r="B854" t="s">
        <v>1794</v>
      </c>
      <c r="C854">
        <v>25202</v>
      </c>
      <c r="D854">
        <v>0</v>
      </c>
      <c r="F854">
        <v>0</v>
      </c>
    </row>
    <row r="855" spans="1:6" x14ac:dyDescent="0.25">
      <c r="A855" t="s">
        <v>16</v>
      </c>
      <c r="B855" t="s">
        <v>1795</v>
      </c>
      <c r="C855">
        <v>25203</v>
      </c>
      <c r="D855">
        <v>0</v>
      </c>
      <c r="F855">
        <v>0</v>
      </c>
    </row>
    <row r="856" spans="1:6" x14ac:dyDescent="0.25">
      <c r="A856" t="s">
        <v>25</v>
      </c>
      <c r="B856" t="s">
        <v>1796</v>
      </c>
      <c r="C856">
        <v>25204</v>
      </c>
      <c r="D856">
        <v>0</v>
      </c>
      <c r="F856">
        <v>0</v>
      </c>
    </row>
    <row r="857" spans="1:6" x14ac:dyDescent="0.25">
      <c r="A857" t="s">
        <v>26</v>
      </c>
      <c r="B857" t="s">
        <v>1797</v>
      </c>
      <c r="C857">
        <v>25205</v>
      </c>
      <c r="D857">
        <v>0</v>
      </c>
      <c r="F857">
        <v>0</v>
      </c>
    </row>
    <row r="858" spans="1:6" x14ac:dyDescent="0.25">
      <c r="B858" t="s">
        <v>1800</v>
      </c>
      <c r="D858">
        <v>0</v>
      </c>
      <c r="F858">
        <v>0</v>
      </c>
    </row>
    <row r="859" spans="1:6" x14ac:dyDescent="0.25">
      <c r="B859" t="s">
        <v>2390</v>
      </c>
    </row>
    <row r="860" spans="1:6" x14ac:dyDescent="0.25">
      <c r="A860" t="s">
        <v>2</v>
      </c>
      <c r="B860" t="s">
        <v>1793</v>
      </c>
      <c r="C860">
        <v>25301</v>
      </c>
      <c r="D860">
        <v>11544</v>
      </c>
      <c r="F860">
        <v>11544</v>
      </c>
    </row>
    <row r="861" spans="1:6" x14ac:dyDescent="0.25">
      <c r="A861" t="s">
        <v>15</v>
      </c>
      <c r="B861" t="s">
        <v>1794</v>
      </c>
      <c r="C861">
        <v>25302</v>
      </c>
      <c r="D861">
        <v>0</v>
      </c>
      <c r="F861">
        <v>0</v>
      </c>
    </row>
    <row r="862" spans="1:6" x14ac:dyDescent="0.25">
      <c r="A862" t="s">
        <v>16</v>
      </c>
      <c r="B862" t="s">
        <v>1795</v>
      </c>
      <c r="C862">
        <v>25303</v>
      </c>
      <c r="D862">
        <v>13168</v>
      </c>
      <c r="F862">
        <v>13168</v>
      </c>
    </row>
    <row r="863" spans="1:6" x14ac:dyDescent="0.25">
      <c r="A863" t="s">
        <v>25</v>
      </c>
      <c r="B863" t="s">
        <v>1796</v>
      </c>
      <c r="C863">
        <v>25304</v>
      </c>
      <c r="D863">
        <v>0</v>
      </c>
      <c r="F863">
        <v>0</v>
      </c>
    </row>
    <row r="864" spans="1:6" x14ac:dyDescent="0.25">
      <c r="A864" t="s">
        <v>26</v>
      </c>
      <c r="B864" t="s">
        <v>1797</v>
      </c>
      <c r="C864">
        <v>25305</v>
      </c>
      <c r="D864">
        <v>0</v>
      </c>
      <c r="F864">
        <v>0</v>
      </c>
    </row>
    <row r="865" spans="1:6" x14ac:dyDescent="0.25">
      <c r="B865" t="s">
        <v>1802</v>
      </c>
      <c r="D865">
        <v>24712</v>
      </c>
      <c r="F865">
        <v>24712</v>
      </c>
    </row>
    <row r="866" spans="1:6" x14ac:dyDescent="0.25">
      <c r="B866" t="s">
        <v>2391</v>
      </c>
    </row>
    <row r="867" spans="1:6" x14ac:dyDescent="0.25">
      <c r="A867" t="s">
        <v>2</v>
      </c>
      <c r="B867" t="s">
        <v>1793</v>
      </c>
      <c r="C867">
        <v>25401</v>
      </c>
      <c r="D867">
        <v>0</v>
      </c>
      <c r="F867">
        <v>0</v>
      </c>
    </row>
    <row r="868" spans="1:6" x14ac:dyDescent="0.25">
      <c r="A868" t="s">
        <v>15</v>
      </c>
      <c r="B868" t="s">
        <v>1794</v>
      </c>
      <c r="C868">
        <v>25402</v>
      </c>
      <c r="D868">
        <v>0</v>
      </c>
      <c r="F868">
        <v>0</v>
      </c>
    </row>
    <row r="869" spans="1:6" x14ac:dyDescent="0.25">
      <c r="A869" t="s">
        <v>16</v>
      </c>
      <c r="B869" t="s">
        <v>1795</v>
      </c>
      <c r="C869">
        <v>25403</v>
      </c>
      <c r="D869">
        <v>0</v>
      </c>
      <c r="F869">
        <v>0</v>
      </c>
    </row>
    <row r="870" spans="1:6" x14ac:dyDescent="0.25">
      <c r="A870" t="s">
        <v>25</v>
      </c>
      <c r="B870" t="s">
        <v>1796</v>
      </c>
      <c r="C870">
        <v>25404</v>
      </c>
      <c r="D870">
        <v>0</v>
      </c>
      <c r="F870">
        <v>0</v>
      </c>
    </row>
    <row r="871" spans="1:6" x14ac:dyDescent="0.25">
      <c r="A871" t="s">
        <v>26</v>
      </c>
      <c r="B871" t="s">
        <v>1797</v>
      </c>
      <c r="C871">
        <v>25405</v>
      </c>
      <c r="D871">
        <v>0</v>
      </c>
      <c r="F871">
        <v>0</v>
      </c>
    </row>
    <row r="872" spans="1:6" x14ac:dyDescent="0.25">
      <c r="B872" t="s">
        <v>1804</v>
      </c>
      <c r="D872">
        <v>0</v>
      </c>
      <c r="F872">
        <v>0</v>
      </c>
    </row>
    <row r="873" spans="1:6" x14ac:dyDescent="0.25">
      <c r="B873" t="s">
        <v>2392</v>
      </c>
    </row>
    <row r="874" spans="1:6" x14ac:dyDescent="0.25">
      <c r="A874" t="s">
        <v>2</v>
      </c>
      <c r="B874" t="s">
        <v>1793</v>
      </c>
      <c r="C874">
        <v>25501</v>
      </c>
      <c r="D874">
        <v>273669</v>
      </c>
      <c r="F874">
        <v>273669</v>
      </c>
    </row>
    <row r="875" spans="1:6" x14ac:dyDescent="0.25">
      <c r="A875" t="s">
        <v>15</v>
      </c>
      <c r="B875" t="s">
        <v>1794</v>
      </c>
      <c r="C875">
        <v>25502</v>
      </c>
      <c r="D875">
        <v>0</v>
      </c>
      <c r="F875">
        <v>0</v>
      </c>
    </row>
    <row r="876" spans="1:6" x14ac:dyDescent="0.25">
      <c r="A876" t="s">
        <v>16</v>
      </c>
      <c r="B876" t="s">
        <v>1795</v>
      </c>
      <c r="C876">
        <v>25503</v>
      </c>
      <c r="D876">
        <v>112248</v>
      </c>
      <c r="F876">
        <v>112248</v>
      </c>
    </row>
    <row r="877" spans="1:6" x14ac:dyDescent="0.25">
      <c r="A877" t="s">
        <v>25</v>
      </c>
      <c r="B877" t="s">
        <v>1796</v>
      </c>
      <c r="C877">
        <v>25504</v>
      </c>
      <c r="D877">
        <v>0</v>
      </c>
      <c r="F877">
        <v>0</v>
      </c>
    </row>
    <row r="878" spans="1:6" x14ac:dyDescent="0.25">
      <c r="A878" t="s">
        <v>26</v>
      </c>
      <c r="B878" t="s">
        <v>1797</v>
      </c>
      <c r="C878">
        <v>25505</v>
      </c>
      <c r="D878">
        <v>0</v>
      </c>
      <c r="F878">
        <v>0</v>
      </c>
    </row>
    <row r="879" spans="1:6" x14ac:dyDescent="0.25">
      <c r="B879" t="s">
        <v>1806</v>
      </c>
      <c r="D879">
        <v>385917</v>
      </c>
      <c r="F879">
        <v>385917</v>
      </c>
    </row>
    <row r="880" spans="1:6" x14ac:dyDescent="0.25">
      <c r="B880" t="s">
        <v>2393</v>
      </c>
    </row>
    <row r="881" spans="1:6" x14ac:dyDescent="0.25">
      <c r="A881" t="s">
        <v>2</v>
      </c>
      <c r="B881" t="s">
        <v>2394</v>
      </c>
      <c r="C881">
        <v>25601</v>
      </c>
      <c r="D881">
        <v>0</v>
      </c>
      <c r="F881">
        <v>0</v>
      </c>
    </row>
    <row r="882" spans="1:6" x14ac:dyDescent="0.25">
      <c r="A882" t="s">
        <v>15</v>
      </c>
      <c r="B882" t="s">
        <v>2395</v>
      </c>
      <c r="C882">
        <v>25602</v>
      </c>
      <c r="D882">
        <v>0</v>
      </c>
      <c r="F882">
        <v>0</v>
      </c>
    </row>
    <row r="883" spans="1:6" x14ac:dyDescent="0.25">
      <c r="A883" t="s">
        <v>16</v>
      </c>
      <c r="B883" t="s">
        <v>2396</v>
      </c>
      <c r="C883">
        <v>25603</v>
      </c>
      <c r="D883">
        <v>0</v>
      </c>
      <c r="F883">
        <v>0</v>
      </c>
    </row>
    <row r="884" spans="1:6" x14ac:dyDescent="0.25">
      <c r="A884" t="s">
        <v>25</v>
      </c>
      <c r="B884" t="s">
        <v>2397</v>
      </c>
      <c r="C884">
        <v>25604</v>
      </c>
      <c r="D884">
        <v>0</v>
      </c>
      <c r="F884">
        <v>0</v>
      </c>
    </row>
    <row r="885" spans="1:6" x14ac:dyDescent="0.25">
      <c r="A885" t="s">
        <v>26</v>
      </c>
      <c r="B885" t="s">
        <v>2398</v>
      </c>
      <c r="C885">
        <v>25605</v>
      </c>
      <c r="D885">
        <v>0</v>
      </c>
      <c r="F885">
        <v>0</v>
      </c>
    </row>
    <row r="886" spans="1:6" x14ac:dyDescent="0.25">
      <c r="A886" t="s">
        <v>27</v>
      </c>
      <c r="B886" t="s">
        <v>2399</v>
      </c>
      <c r="C886">
        <v>25606</v>
      </c>
      <c r="D886">
        <v>0</v>
      </c>
      <c r="F886">
        <v>0</v>
      </c>
    </row>
    <row r="887" spans="1:6" x14ac:dyDescent="0.25">
      <c r="A887" t="s">
        <v>531</v>
      </c>
      <c r="B887" t="s">
        <v>2400</v>
      </c>
      <c r="C887">
        <v>25607</v>
      </c>
      <c r="D887">
        <v>0</v>
      </c>
      <c r="F887">
        <v>0</v>
      </c>
    </row>
    <row r="888" spans="1:6" x14ac:dyDescent="0.25">
      <c r="A888" t="s">
        <v>1583</v>
      </c>
      <c r="B888" t="s">
        <v>2401</v>
      </c>
      <c r="C888">
        <v>25608</v>
      </c>
      <c r="D888">
        <v>0</v>
      </c>
      <c r="F888">
        <v>0</v>
      </c>
    </row>
    <row r="889" spans="1:6" x14ac:dyDescent="0.25">
      <c r="A889" t="s">
        <v>1585</v>
      </c>
      <c r="B889" t="s">
        <v>2402</v>
      </c>
      <c r="C889">
        <v>25609</v>
      </c>
      <c r="D889">
        <v>0</v>
      </c>
      <c r="F889">
        <v>0</v>
      </c>
    </row>
    <row r="890" spans="1:6" x14ac:dyDescent="0.25">
      <c r="A890" t="s">
        <v>1587</v>
      </c>
      <c r="B890" t="s">
        <v>2403</v>
      </c>
      <c r="C890">
        <v>25610</v>
      </c>
      <c r="D890">
        <v>0</v>
      </c>
      <c r="F890">
        <v>0</v>
      </c>
    </row>
    <row r="891" spans="1:6" x14ac:dyDescent="0.25">
      <c r="A891" t="s">
        <v>1589</v>
      </c>
      <c r="B891" t="s">
        <v>2404</v>
      </c>
      <c r="C891">
        <v>25611</v>
      </c>
      <c r="D891">
        <v>0</v>
      </c>
      <c r="F891">
        <v>0</v>
      </c>
    </row>
    <row r="892" spans="1:6" x14ac:dyDescent="0.25">
      <c r="A892" t="s">
        <v>1591</v>
      </c>
      <c r="B892" t="s">
        <v>2405</v>
      </c>
      <c r="C892">
        <v>25612</v>
      </c>
      <c r="D892">
        <v>0</v>
      </c>
      <c r="F892">
        <v>0</v>
      </c>
    </row>
    <row r="893" spans="1:6" x14ac:dyDescent="0.25">
      <c r="A893" t="s">
        <v>1593</v>
      </c>
      <c r="B893" t="s">
        <v>2406</v>
      </c>
      <c r="C893">
        <v>25613</v>
      </c>
      <c r="D893">
        <v>0</v>
      </c>
      <c r="F893">
        <v>0</v>
      </c>
    </row>
    <row r="894" spans="1:6" x14ac:dyDescent="0.25">
      <c r="A894" t="s">
        <v>1595</v>
      </c>
      <c r="B894" t="s">
        <v>2407</v>
      </c>
      <c r="C894">
        <v>25614</v>
      </c>
      <c r="D894">
        <v>0</v>
      </c>
      <c r="F894">
        <v>0</v>
      </c>
    </row>
    <row r="895" spans="1:6" x14ac:dyDescent="0.25">
      <c r="A895" t="s">
        <v>1597</v>
      </c>
      <c r="B895" t="s">
        <v>2408</v>
      </c>
      <c r="C895">
        <v>25615</v>
      </c>
      <c r="D895">
        <v>0</v>
      </c>
      <c r="F895">
        <v>0</v>
      </c>
    </row>
    <row r="896" spans="1:6" x14ac:dyDescent="0.25">
      <c r="A896" t="s">
        <v>1599</v>
      </c>
      <c r="B896" t="s">
        <v>2409</v>
      </c>
      <c r="C896">
        <v>25616</v>
      </c>
      <c r="D896">
        <v>0</v>
      </c>
      <c r="F896">
        <v>0</v>
      </c>
    </row>
    <row r="897" spans="1:6" x14ac:dyDescent="0.25">
      <c r="A897" t="s">
        <v>1601</v>
      </c>
      <c r="B897" t="s">
        <v>2410</v>
      </c>
      <c r="C897">
        <v>25617</v>
      </c>
      <c r="D897">
        <v>0</v>
      </c>
      <c r="F897">
        <v>0</v>
      </c>
    </row>
    <row r="898" spans="1:6" x14ac:dyDescent="0.25">
      <c r="A898" t="s">
        <v>1603</v>
      </c>
      <c r="B898" t="s">
        <v>2411</v>
      </c>
      <c r="C898">
        <v>25618</v>
      </c>
      <c r="D898">
        <v>0</v>
      </c>
      <c r="F898">
        <v>0</v>
      </c>
    </row>
    <row r="899" spans="1:6" x14ac:dyDescent="0.25">
      <c r="A899" t="s">
        <v>1605</v>
      </c>
      <c r="B899" t="s">
        <v>2412</v>
      </c>
      <c r="C899">
        <v>25619</v>
      </c>
      <c r="D899">
        <v>0</v>
      </c>
      <c r="F899">
        <v>0</v>
      </c>
    </row>
    <row r="900" spans="1:6" x14ac:dyDescent="0.25">
      <c r="A900" t="s">
        <v>1607</v>
      </c>
      <c r="B900" t="s">
        <v>2413</v>
      </c>
      <c r="C900">
        <v>25620</v>
      </c>
      <c r="D900">
        <v>0</v>
      </c>
      <c r="F900">
        <v>0</v>
      </c>
    </row>
    <row r="901" spans="1:6" x14ac:dyDescent="0.25">
      <c r="A901" t="s">
        <v>2336</v>
      </c>
      <c r="B901" t="s">
        <v>2414</v>
      </c>
      <c r="C901">
        <v>25621</v>
      </c>
      <c r="D901">
        <v>0</v>
      </c>
      <c r="F901">
        <v>0</v>
      </c>
    </row>
    <row r="902" spans="1:6" x14ac:dyDescent="0.25">
      <c r="A902" t="s">
        <v>2338</v>
      </c>
      <c r="B902" t="s">
        <v>2415</v>
      </c>
      <c r="C902">
        <v>25622</v>
      </c>
      <c r="D902">
        <v>0</v>
      </c>
      <c r="F902">
        <v>0</v>
      </c>
    </row>
    <row r="903" spans="1:6" x14ac:dyDescent="0.25">
      <c r="A903" t="s">
        <v>2340</v>
      </c>
      <c r="B903" t="s">
        <v>2416</v>
      </c>
      <c r="C903">
        <v>25623</v>
      </c>
      <c r="D903">
        <v>0</v>
      </c>
      <c r="F903">
        <v>0</v>
      </c>
    </row>
    <row r="904" spans="1:6" x14ac:dyDescent="0.25">
      <c r="A904" t="s">
        <v>2342</v>
      </c>
      <c r="B904" t="s">
        <v>2417</v>
      </c>
      <c r="C904">
        <v>25624</v>
      </c>
      <c r="D904">
        <v>0</v>
      </c>
      <c r="F904">
        <v>0</v>
      </c>
    </row>
    <row r="905" spans="1:6" x14ac:dyDescent="0.25">
      <c r="A905" t="s">
        <v>2344</v>
      </c>
      <c r="B905" t="s">
        <v>2418</v>
      </c>
      <c r="C905">
        <v>25625</v>
      </c>
      <c r="D905">
        <v>0</v>
      </c>
      <c r="F905">
        <v>0</v>
      </c>
    </row>
    <row r="906" spans="1:6" x14ac:dyDescent="0.25">
      <c r="A906" t="s">
        <v>2346</v>
      </c>
      <c r="B906" t="s">
        <v>2419</v>
      </c>
      <c r="C906">
        <v>25626</v>
      </c>
      <c r="D906">
        <v>0</v>
      </c>
      <c r="F906">
        <v>0</v>
      </c>
    </row>
    <row r="907" spans="1:6" x14ac:dyDescent="0.25">
      <c r="A907" t="s">
        <v>2348</v>
      </c>
      <c r="B907" t="s">
        <v>2420</v>
      </c>
      <c r="C907">
        <v>25627</v>
      </c>
      <c r="D907">
        <v>0</v>
      </c>
      <c r="F907">
        <v>0</v>
      </c>
    </row>
    <row r="908" spans="1:6" x14ac:dyDescent="0.25">
      <c r="B908" t="s">
        <v>2421</v>
      </c>
      <c r="D908">
        <v>0</v>
      </c>
      <c r="F908">
        <v>0</v>
      </c>
    </row>
    <row r="909" spans="1:6" x14ac:dyDescent="0.25">
      <c r="B909" t="s">
        <v>1728</v>
      </c>
      <c r="D909">
        <v>147412998</v>
      </c>
      <c r="F909">
        <v>147412998</v>
      </c>
    </row>
    <row r="910" spans="1:6" x14ac:dyDescent="0.25">
      <c r="B910" t="s">
        <v>1809</v>
      </c>
    </row>
    <row r="911" spans="1:6" x14ac:dyDescent="0.25">
      <c r="B911" t="s">
        <v>1810</v>
      </c>
    </row>
    <row r="912" spans="1:6" x14ac:dyDescent="0.25">
      <c r="A912" t="s">
        <v>2</v>
      </c>
      <c r="B912" t="s">
        <v>2422</v>
      </c>
      <c r="C912">
        <v>26101</v>
      </c>
      <c r="D912">
        <v>240860</v>
      </c>
      <c r="F912">
        <v>240860</v>
      </c>
    </row>
    <row r="913" spans="1:6" x14ac:dyDescent="0.25">
      <c r="B913" t="s">
        <v>1817</v>
      </c>
    </row>
    <row r="914" spans="1:6" x14ac:dyDescent="0.25">
      <c r="A914" t="s">
        <v>2</v>
      </c>
      <c r="B914" t="s">
        <v>2423</v>
      </c>
      <c r="C914">
        <v>26201</v>
      </c>
      <c r="D914">
        <v>63934622</v>
      </c>
      <c r="F914">
        <v>63934622</v>
      </c>
    </row>
    <row r="915" spans="1:6" x14ac:dyDescent="0.25">
      <c r="B915" t="s">
        <v>2602</v>
      </c>
    </row>
    <row r="916" spans="1:6" x14ac:dyDescent="0.25">
      <c r="A916" t="s">
        <v>2</v>
      </c>
      <c r="B916" t="s">
        <v>2425</v>
      </c>
      <c r="C916">
        <v>26301</v>
      </c>
      <c r="D916">
        <v>104259474</v>
      </c>
      <c r="F916">
        <v>104259474</v>
      </c>
    </row>
    <row r="917" spans="1:6" x14ac:dyDescent="0.25">
      <c r="B917" t="s">
        <v>1827</v>
      </c>
    </row>
    <row r="918" spans="1:6" x14ac:dyDescent="0.25">
      <c r="A918" t="s">
        <v>2</v>
      </c>
      <c r="B918" t="s">
        <v>2426</v>
      </c>
      <c r="C918">
        <v>26401</v>
      </c>
      <c r="D918">
        <v>34546</v>
      </c>
      <c r="F918">
        <v>34546</v>
      </c>
    </row>
    <row r="919" spans="1:6" x14ac:dyDescent="0.25">
      <c r="B919" t="s">
        <v>2273</v>
      </c>
    </row>
    <row r="920" spans="1:6" x14ac:dyDescent="0.25">
      <c r="A920" t="s">
        <v>2</v>
      </c>
      <c r="B920" t="s">
        <v>2427</v>
      </c>
      <c r="C920">
        <v>26501</v>
      </c>
      <c r="D920">
        <v>1045610</v>
      </c>
      <c r="F920">
        <v>1045610</v>
      </c>
    </row>
    <row r="921" spans="1:6" x14ac:dyDescent="0.25">
      <c r="B921" t="s">
        <v>1732</v>
      </c>
      <c r="D921">
        <v>169515112</v>
      </c>
      <c r="F921">
        <v>169515112</v>
      </c>
    </row>
    <row r="922" spans="1:6" x14ac:dyDescent="0.25">
      <c r="B922" t="s">
        <v>1836</v>
      </c>
    </row>
    <row r="923" spans="1:6" x14ac:dyDescent="0.25">
      <c r="B923" t="s">
        <v>1385</v>
      </c>
    </row>
    <row r="924" spans="1:6" x14ac:dyDescent="0.25">
      <c r="A924" t="s">
        <v>2</v>
      </c>
      <c r="B924" t="s">
        <v>1837</v>
      </c>
      <c r="C924">
        <v>27101</v>
      </c>
      <c r="D924">
        <v>0</v>
      </c>
      <c r="E924">
        <v>0</v>
      </c>
      <c r="F924">
        <v>0</v>
      </c>
    </row>
    <row r="925" spans="1:6" x14ac:dyDescent="0.25">
      <c r="A925" t="s">
        <v>15</v>
      </c>
      <c r="B925" t="s">
        <v>1838</v>
      </c>
      <c r="C925">
        <v>27102</v>
      </c>
      <c r="D925">
        <v>95895</v>
      </c>
      <c r="E925">
        <v>1276</v>
      </c>
      <c r="F925">
        <v>97171</v>
      </c>
    </row>
    <row r="926" spans="1:6" x14ac:dyDescent="0.25">
      <c r="A926" t="s">
        <v>16</v>
      </c>
      <c r="B926" t="s">
        <v>1689</v>
      </c>
      <c r="C926">
        <v>27103</v>
      </c>
      <c r="D926">
        <v>33063</v>
      </c>
      <c r="E926">
        <v>73</v>
      </c>
      <c r="F926">
        <v>33136</v>
      </c>
    </row>
    <row r="927" spans="1:6" x14ac:dyDescent="0.25">
      <c r="A927" t="s">
        <v>25</v>
      </c>
      <c r="B927" t="s">
        <v>1839</v>
      </c>
      <c r="C927">
        <v>27104</v>
      </c>
      <c r="D927">
        <v>5195</v>
      </c>
      <c r="E927">
        <v>196</v>
      </c>
      <c r="F927">
        <v>5391</v>
      </c>
    </row>
    <row r="928" spans="1:6" x14ac:dyDescent="0.25">
      <c r="B928" t="s">
        <v>1840</v>
      </c>
      <c r="D928">
        <v>134153</v>
      </c>
      <c r="E928">
        <v>1545</v>
      </c>
      <c r="F928">
        <v>135698</v>
      </c>
    </row>
    <row r="929" spans="1:6" x14ac:dyDescent="0.25">
      <c r="B929" t="s">
        <v>1386</v>
      </c>
    </row>
    <row r="930" spans="1:6" x14ac:dyDescent="0.25">
      <c r="A930" t="s">
        <v>2</v>
      </c>
      <c r="B930" t="s">
        <v>1837</v>
      </c>
      <c r="C930">
        <v>27201</v>
      </c>
      <c r="D930">
        <v>9</v>
      </c>
      <c r="E930">
        <v>0</v>
      </c>
      <c r="F930">
        <v>9</v>
      </c>
    </row>
    <row r="931" spans="1:6" x14ac:dyDescent="0.25">
      <c r="A931" t="s">
        <v>15</v>
      </c>
      <c r="B931" t="s">
        <v>1838</v>
      </c>
      <c r="C931">
        <v>27202</v>
      </c>
      <c r="D931">
        <v>551211</v>
      </c>
      <c r="E931">
        <v>17627</v>
      </c>
      <c r="F931">
        <v>568838</v>
      </c>
    </row>
    <row r="932" spans="1:6" x14ac:dyDescent="0.25">
      <c r="A932" t="s">
        <v>16</v>
      </c>
      <c r="B932" t="s">
        <v>1689</v>
      </c>
      <c r="C932">
        <v>27203</v>
      </c>
      <c r="D932">
        <v>273064</v>
      </c>
      <c r="E932">
        <v>325</v>
      </c>
      <c r="F932">
        <v>273389</v>
      </c>
    </row>
    <row r="933" spans="1:6" x14ac:dyDescent="0.25">
      <c r="A933" t="s">
        <v>25</v>
      </c>
      <c r="B933" t="s">
        <v>1839</v>
      </c>
      <c r="C933">
        <v>27204</v>
      </c>
      <c r="D933">
        <v>4484232</v>
      </c>
      <c r="E933">
        <v>71129</v>
      </c>
      <c r="F933">
        <v>4555361</v>
      </c>
    </row>
    <row r="934" spans="1:6" x14ac:dyDescent="0.25">
      <c r="B934" t="s">
        <v>1841</v>
      </c>
      <c r="D934">
        <v>5308516</v>
      </c>
      <c r="E934">
        <v>89081</v>
      </c>
      <c r="F934">
        <v>5397597</v>
      </c>
    </row>
    <row r="935" spans="1:6" x14ac:dyDescent="0.25">
      <c r="B935" t="s">
        <v>1387</v>
      </c>
    </row>
    <row r="936" spans="1:6" x14ac:dyDescent="0.25">
      <c r="A936" t="s">
        <v>2</v>
      </c>
      <c r="B936" t="s">
        <v>1842</v>
      </c>
      <c r="C936">
        <v>27301</v>
      </c>
      <c r="D936">
        <v>33</v>
      </c>
      <c r="E936">
        <v>18408</v>
      </c>
      <c r="F936">
        <v>18441</v>
      </c>
    </row>
    <row r="937" spans="1:6" x14ac:dyDescent="0.25">
      <c r="A937" t="s">
        <v>15</v>
      </c>
      <c r="B937" t="s">
        <v>1843</v>
      </c>
      <c r="C937">
        <v>27302</v>
      </c>
      <c r="D937">
        <v>0</v>
      </c>
      <c r="E937">
        <v>0</v>
      </c>
      <c r="F937">
        <v>0</v>
      </c>
    </row>
    <row r="938" spans="1:6" x14ac:dyDescent="0.25">
      <c r="A938" t="s">
        <v>16</v>
      </c>
      <c r="B938" t="s">
        <v>1844</v>
      </c>
      <c r="C938">
        <v>27303</v>
      </c>
      <c r="D938">
        <v>0</v>
      </c>
      <c r="E938">
        <v>0</v>
      </c>
      <c r="F938">
        <v>0</v>
      </c>
    </row>
    <row r="939" spans="1:6" x14ac:dyDescent="0.25">
      <c r="A939" t="s">
        <v>25</v>
      </c>
      <c r="B939" t="s">
        <v>1845</v>
      </c>
      <c r="C939">
        <v>27304</v>
      </c>
      <c r="D939">
        <v>69391</v>
      </c>
      <c r="E939">
        <v>15354</v>
      </c>
      <c r="F939">
        <v>84745</v>
      </c>
    </row>
    <row r="940" spans="1:6" x14ac:dyDescent="0.25">
      <c r="B940" t="s">
        <v>1846</v>
      </c>
      <c r="D940">
        <v>69424</v>
      </c>
      <c r="E940">
        <v>33762</v>
      </c>
      <c r="F940">
        <v>103186</v>
      </c>
    </row>
    <row r="941" spans="1:6" x14ac:dyDescent="0.25">
      <c r="B941" t="s">
        <v>1388</v>
      </c>
    </row>
    <row r="942" spans="1:6" x14ac:dyDescent="0.25">
      <c r="A942" t="s">
        <v>2</v>
      </c>
      <c r="B942" t="s">
        <v>1847</v>
      </c>
      <c r="C942">
        <v>27401</v>
      </c>
      <c r="D942">
        <v>2</v>
      </c>
      <c r="E942">
        <v>0</v>
      </c>
      <c r="F942">
        <v>2</v>
      </c>
    </row>
    <row r="943" spans="1:6" x14ac:dyDescent="0.25">
      <c r="A943" t="s">
        <v>15</v>
      </c>
      <c r="B943" t="s">
        <v>1848</v>
      </c>
      <c r="C943">
        <v>27402</v>
      </c>
      <c r="D943">
        <v>338651</v>
      </c>
      <c r="E943">
        <v>19456</v>
      </c>
      <c r="F943">
        <v>358107</v>
      </c>
    </row>
    <row r="944" spans="1:6" x14ac:dyDescent="0.25">
      <c r="A944" t="s">
        <v>16</v>
      </c>
      <c r="B944" t="s">
        <v>1849</v>
      </c>
      <c r="C944">
        <v>27403</v>
      </c>
      <c r="D944">
        <v>152280</v>
      </c>
      <c r="E944">
        <v>441</v>
      </c>
      <c r="F944">
        <v>152721</v>
      </c>
    </row>
    <row r="945" spans="1:6" x14ac:dyDescent="0.25">
      <c r="A945" t="s">
        <v>25</v>
      </c>
      <c r="B945" t="s">
        <v>1850</v>
      </c>
      <c r="C945">
        <v>27404</v>
      </c>
      <c r="D945">
        <v>242071</v>
      </c>
      <c r="E945">
        <v>7738</v>
      </c>
      <c r="F945">
        <v>249809</v>
      </c>
    </row>
    <row r="946" spans="1:6" x14ac:dyDescent="0.25">
      <c r="A946" t="s">
        <v>26</v>
      </c>
      <c r="B946" t="s">
        <v>1851</v>
      </c>
      <c r="C946">
        <v>27405</v>
      </c>
      <c r="D946">
        <v>0</v>
      </c>
      <c r="E946">
        <v>0</v>
      </c>
      <c r="F946">
        <v>0</v>
      </c>
    </row>
    <row r="947" spans="1:6" x14ac:dyDescent="0.25">
      <c r="A947" t="s">
        <v>27</v>
      </c>
      <c r="B947" t="s">
        <v>1852</v>
      </c>
      <c r="C947">
        <v>27406</v>
      </c>
      <c r="D947">
        <v>0</v>
      </c>
      <c r="E947">
        <v>0</v>
      </c>
      <c r="F947">
        <v>0</v>
      </c>
    </row>
    <row r="948" spans="1:6" x14ac:dyDescent="0.25">
      <c r="A948" t="s">
        <v>531</v>
      </c>
      <c r="B948" t="s">
        <v>1853</v>
      </c>
      <c r="C948">
        <v>27407</v>
      </c>
      <c r="D948">
        <v>0</v>
      </c>
      <c r="E948">
        <v>0</v>
      </c>
      <c r="F948">
        <v>0</v>
      </c>
    </row>
    <row r="949" spans="1:6" x14ac:dyDescent="0.25">
      <c r="A949" t="s">
        <v>1583</v>
      </c>
      <c r="B949" t="s">
        <v>1854</v>
      </c>
      <c r="C949">
        <v>27408</v>
      </c>
      <c r="D949">
        <v>76065</v>
      </c>
      <c r="E949">
        <v>16708</v>
      </c>
      <c r="F949">
        <v>92773</v>
      </c>
    </row>
    <row r="950" spans="1:6" x14ac:dyDescent="0.25">
      <c r="A950" t="s">
        <v>1585</v>
      </c>
      <c r="B950" t="s">
        <v>1855</v>
      </c>
      <c r="C950">
        <v>27409</v>
      </c>
      <c r="D950">
        <v>43029</v>
      </c>
      <c r="E950">
        <v>42435</v>
      </c>
      <c r="F950">
        <v>85464</v>
      </c>
    </row>
    <row r="951" spans="1:6" x14ac:dyDescent="0.25">
      <c r="B951" t="s">
        <v>1856</v>
      </c>
      <c r="D951">
        <v>852098</v>
      </c>
      <c r="E951">
        <v>86778</v>
      </c>
      <c r="F951">
        <v>938876</v>
      </c>
    </row>
    <row r="952" spans="1:6" x14ac:dyDescent="0.25">
      <c r="B952" t="s">
        <v>2603</v>
      </c>
    </row>
    <row r="953" spans="1:6" x14ac:dyDescent="0.25">
      <c r="A953" t="s">
        <v>2</v>
      </c>
      <c r="B953" t="s">
        <v>1842</v>
      </c>
      <c r="C953">
        <v>27501</v>
      </c>
      <c r="D953">
        <v>0</v>
      </c>
      <c r="E953">
        <v>0</v>
      </c>
      <c r="F953">
        <v>0</v>
      </c>
    </row>
    <row r="954" spans="1:6" x14ac:dyDescent="0.25">
      <c r="A954" t="s">
        <v>15</v>
      </c>
      <c r="B954" t="s">
        <v>1843</v>
      </c>
      <c r="C954">
        <v>27502</v>
      </c>
      <c r="D954">
        <v>1743944</v>
      </c>
      <c r="E954">
        <v>105972</v>
      </c>
      <c r="F954">
        <v>1849916</v>
      </c>
    </row>
    <row r="955" spans="1:6" x14ac:dyDescent="0.25">
      <c r="A955" t="s">
        <v>16</v>
      </c>
      <c r="B955" t="s">
        <v>1844</v>
      </c>
      <c r="C955">
        <v>27503</v>
      </c>
      <c r="D955">
        <v>701</v>
      </c>
      <c r="E955">
        <v>0</v>
      </c>
      <c r="F955">
        <v>701</v>
      </c>
    </row>
    <row r="956" spans="1:6" x14ac:dyDescent="0.25">
      <c r="A956" t="s">
        <v>25</v>
      </c>
      <c r="B956" t="s">
        <v>1845</v>
      </c>
      <c r="C956">
        <v>27504</v>
      </c>
      <c r="D956">
        <v>8325</v>
      </c>
      <c r="E956">
        <v>0</v>
      </c>
      <c r="F956">
        <v>8325</v>
      </c>
    </row>
    <row r="957" spans="1:6" x14ac:dyDescent="0.25">
      <c r="B957" t="s">
        <v>1858</v>
      </c>
      <c r="D957">
        <v>1752970</v>
      </c>
      <c r="E957">
        <v>105972</v>
      </c>
      <c r="F957">
        <v>1858942</v>
      </c>
    </row>
    <row r="958" spans="1:6" x14ac:dyDescent="0.25">
      <c r="B958" t="s">
        <v>1390</v>
      </c>
    </row>
    <row r="959" spans="1:6" x14ac:dyDescent="0.25">
      <c r="A959" t="s">
        <v>2</v>
      </c>
      <c r="B959" t="s">
        <v>1859</v>
      </c>
      <c r="C959">
        <v>27601</v>
      </c>
      <c r="D959">
        <v>0</v>
      </c>
      <c r="E959">
        <v>0</v>
      </c>
      <c r="F959">
        <v>0</v>
      </c>
    </row>
    <row r="960" spans="1:6" x14ac:dyDescent="0.25">
      <c r="A960" t="s">
        <v>15</v>
      </c>
      <c r="B960" t="s">
        <v>1860</v>
      </c>
      <c r="C960">
        <v>27602</v>
      </c>
      <c r="D960">
        <v>249587</v>
      </c>
      <c r="E960">
        <v>0</v>
      </c>
      <c r="F960">
        <v>249587</v>
      </c>
    </row>
    <row r="961" spans="1:6" x14ac:dyDescent="0.25">
      <c r="A961" t="s">
        <v>16</v>
      </c>
      <c r="B961" t="s">
        <v>1596</v>
      </c>
      <c r="C961">
        <v>27603</v>
      </c>
      <c r="D961">
        <v>0</v>
      </c>
      <c r="E961">
        <v>0</v>
      </c>
      <c r="F961">
        <v>0</v>
      </c>
    </row>
    <row r="962" spans="1:6" x14ac:dyDescent="0.25">
      <c r="A962" t="s">
        <v>25</v>
      </c>
      <c r="B962" t="s">
        <v>1861</v>
      </c>
      <c r="C962">
        <v>27604</v>
      </c>
      <c r="D962">
        <v>1172</v>
      </c>
      <c r="E962">
        <v>0</v>
      </c>
      <c r="F962">
        <v>1172</v>
      </c>
    </row>
    <row r="963" spans="1:6" x14ac:dyDescent="0.25">
      <c r="B963" t="s">
        <v>1862</v>
      </c>
      <c r="D963">
        <v>250759</v>
      </c>
      <c r="E963">
        <v>0</v>
      </c>
      <c r="F963">
        <v>250759</v>
      </c>
    </row>
    <row r="964" spans="1:6" x14ac:dyDescent="0.25">
      <c r="B964" t="s">
        <v>1391</v>
      </c>
    </row>
    <row r="965" spans="1:6" x14ac:dyDescent="0.25">
      <c r="A965" t="s">
        <v>2</v>
      </c>
      <c r="B965" t="s">
        <v>1837</v>
      </c>
      <c r="C965">
        <v>27701</v>
      </c>
      <c r="D965">
        <v>0</v>
      </c>
      <c r="E965">
        <v>0</v>
      </c>
      <c r="F965">
        <v>0</v>
      </c>
    </row>
    <row r="966" spans="1:6" x14ac:dyDescent="0.25">
      <c r="A966" t="s">
        <v>15</v>
      </c>
      <c r="B966" t="s">
        <v>1838</v>
      </c>
      <c r="C966">
        <v>27702</v>
      </c>
      <c r="D966">
        <v>0</v>
      </c>
      <c r="E966">
        <v>0</v>
      </c>
      <c r="F966">
        <v>0</v>
      </c>
    </row>
    <row r="967" spans="1:6" x14ac:dyDescent="0.25">
      <c r="A967" t="s">
        <v>16</v>
      </c>
      <c r="B967" t="s">
        <v>1689</v>
      </c>
      <c r="C967">
        <v>27703</v>
      </c>
      <c r="D967">
        <v>0</v>
      </c>
      <c r="E967">
        <v>0</v>
      </c>
      <c r="F967">
        <v>0</v>
      </c>
    </row>
    <row r="968" spans="1:6" x14ac:dyDescent="0.25">
      <c r="A968" t="s">
        <v>25</v>
      </c>
      <c r="B968" t="s">
        <v>1839</v>
      </c>
      <c r="C968">
        <v>27704</v>
      </c>
      <c r="D968">
        <v>77</v>
      </c>
      <c r="E968">
        <v>0</v>
      </c>
      <c r="F968">
        <v>77</v>
      </c>
    </row>
    <row r="969" spans="1:6" x14ac:dyDescent="0.25">
      <c r="B969" t="s">
        <v>1863</v>
      </c>
      <c r="D969">
        <v>77</v>
      </c>
      <c r="E969">
        <v>0</v>
      </c>
      <c r="F969">
        <v>77</v>
      </c>
    </row>
    <row r="970" spans="1:6" x14ac:dyDescent="0.25">
      <c r="B970" t="s">
        <v>1392</v>
      </c>
    </row>
    <row r="971" spans="1:6" x14ac:dyDescent="0.25">
      <c r="A971" t="s">
        <v>2</v>
      </c>
      <c r="B971" t="s">
        <v>1859</v>
      </c>
      <c r="C971">
        <v>27801</v>
      </c>
      <c r="D971">
        <v>0</v>
      </c>
      <c r="E971">
        <v>0</v>
      </c>
      <c r="F971">
        <v>0</v>
      </c>
    </row>
    <row r="972" spans="1:6" x14ac:dyDescent="0.25">
      <c r="A972" t="s">
        <v>15</v>
      </c>
      <c r="B972" t="s">
        <v>1860</v>
      </c>
      <c r="C972">
        <v>27802</v>
      </c>
      <c r="D972">
        <v>382913</v>
      </c>
      <c r="E972">
        <v>0</v>
      </c>
      <c r="F972">
        <v>382913</v>
      </c>
    </row>
    <row r="973" spans="1:6" x14ac:dyDescent="0.25">
      <c r="A973" t="s">
        <v>16</v>
      </c>
      <c r="B973" t="s">
        <v>1596</v>
      </c>
      <c r="C973">
        <v>27803</v>
      </c>
      <c r="D973">
        <v>3225</v>
      </c>
      <c r="E973">
        <v>0</v>
      </c>
      <c r="F973">
        <v>3225</v>
      </c>
    </row>
    <row r="974" spans="1:6" x14ac:dyDescent="0.25">
      <c r="A974" t="s">
        <v>25</v>
      </c>
      <c r="B974" t="s">
        <v>1861</v>
      </c>
      <c r="C974">
        <v>27804</v>
      </c>
      <c r="D974">
        <v>0</v>
      </c>
      <c r="E974">
        <v>0</v>
      </c>
      <c r="F974">
        <v>0</v>
      </c>
    </row>
    <row r="975" spans="1:6" x14ac:dyDescent="0.25">
      <c r="B975" t="s">
        <v>1864</v>
      </c>
      <c r="D975">
        <v>386138</v>
      </c>
      <c r="E975">
        <v>0</v>
      </c>
      <c r="F975">
        <v>386138</v>
      </c>
    </row>
    <row r="976" spans="1:6" x14ac:dyDescent="0.25">
      <c r="B976" t="s">
        <v>1393</v>
      </c>
    </row>
    <row r="977" spans="1:6" x14ac:dyDescent="0.25">
      <c r="A977" t="s">
        <v>2</v>
      </c>
      <c r="B977" t="s">
        <v>1842</v>
      </c>
      <c r="C977">
        <v>27901</v>
      </c>
      <c r="D977">
        <v>10001</v>
      </c>
      <c r="E977">
        <v>75863</v>
      </c>
      <c r="F977">
        <v>85864</v>
      </c>
    </row>
    <row r="978" spans="1:6" x14ac:dyDescent="0.25">
      <c r="A978" t="s">
        <v>15</v>
      </c>
      <c r="B978" t="s">
        <v>1843</v>
      </c>
      <c r="C978">
        <v>27902</v>
      </c>
      <c r="D978">
        <v>41711</v>
      </c>
      <c r="E978">
        <v>1472</v>
      </c>
      <c r="F978">
        <v>43183</v>
      </c>
    </row>
    <row r="979" spans="1:6" x14ac:dyDescent="0.25">
      <c r="A979" t="s">
        <v>16</v>
      </c>
      <c r="B979" t="s">
        <v>1844</v>
      </c>
      <c r="C979">
        <v>27903</v>
      </c>
      <c r="D979">
        <v>7524</v>
      </c>
      <c r="E979">
        <v>0</v>
      </c>
      <c r="F979">
        <v>7524</v>
      </c>
    </row>
    <row r="980" spans="1:6" x14ac:dyDescent="0.25">
      <c r="A980" t="s">
        <v>25</v>
      </c>
      <c r="B980" t="s">
        <v>1845</v>
      </c>
      <c r="C980">
        <v>27904</v>
      </c>
      <c r="D980">
        <v>3166</v>
      </c>
      <c r="E980">
        <v>0</v>
      </c>
      <c r="F980">
        <v>3166</v>
      </c>
    </row>
    <row r="981" spans="1:6" x14ac:dyDescent="0.25">
      <c r="B981" t="s">
        <v>1865</v>
      </c>
      <c r="D981">
        <v>62402</v>
      </c>
      <c r="E981">
        <v>77335</v>
      </c>
      <c r="F981">
        <v>139737</v>
      </c>
    </row>
    <row r="982" spans="1:6" x14ac:dyDescent="0.25">
      <c r="B982" t="s">
        <v>1866</v>
      </c>
      <c r="D982">
        <v>8816537</v>
      </c>
      <c r="E982">
        <v>394473</v>
      </c>
      <c r="F982">
        <v>9211010</v>
      </c>
    </row>
    <row r="983" spans="1:6" x14ac:dyDescent="0.25">
      <c r="B983" t="s">
        <v>1867</v>
      </c>
    </row>
    <row r="984" spans="1:6" x14ac:dyDescent="0.25">
      <c r="B984" t="s">
        <v>1868</v>
      </c>
    </row>
    <row r="985" spans="1:6" x14ac:dyDescent="0.25">
      <c r="A985" t="s">
        <v>2</v>
      </c>
      <c r="B985" t="s">
        <v>1869</v>
      </c>
      <c r="C985">
        <v>28101</v>
      </c>
      <c r="D985">
        <v>0</v>
      </c>
      <c r="F985">
        <v>0</v>
      </c>
    </row>
    <row r="986" spans="1:6" x14ac:dyDescent="0.25">
      <c r="A986" t="s">
        <v>15</v>
      </c>
      <c r="B986" t="s">
        <v>1870</v>
      </c>
      <c r="C986">
        <v>28102</v>
      </c>
      <c r="D986">
        <v>0</v>
      </c>
      <c r="F986">
        <v>0</v>
      </c>
    </row>
    <row r="987" spans="1:6" x14ac:dyDescent="0.25">
      <c r="A987" t="s">
        <v>16</v>
      </c>
      <c r="B987" t="s">
        <v>1871</v>
      </c>
      <c r="C987">
        <v>28103</v>
      </c>
      <c r="D987">
        <v>0</v>
      </c>
      <c r="F987">
        <v>0</v>
      </c>
    </row>
    <row r="988" spans="1:6" x14ac:dyDescent="0.25">
      <c r="A988" t="s">
        <v>25</v>
      </c>
      <c r="B988" t="s">
        <v>1872</v>
      </c>
      <c r="C988">
        <v>28104</v>
      </c>
      <c r="D988">
        <v>0</v>
      </c>
      <c r="F988">
        <v>0</v>
      </c>
    </row>
    <row r="989" spans="1:6" x14ac:dyDescent="0.25">
      <c r="B989" t="s">
        <v>1873</v>
      </c>
      <c r="D989">
        <v>0</v>
      </c>
      <c r="F989">
        <v>0</v>
      </c>
    </row>
    <row r="990" spans="1:6" x14ac:dyDescent="0.25">
      <c r="B990" t="s">
        <v>2428</v>
      </c>
    </row>
    <row r="991" spans="1:6" x14ac:dyDescent="0.25">
      <c r="A991" t="s">
        <v>2</v>
      </c>
      <c r="B991" t="s">
        <v>1875</v>
      </c>
      <c r="C991">
        <v>28201</v>
      </c>
      <c r="D991">
        <v>133205</v>
      </c>
      <c r="F991">
        <v>133205</v>
      </c>
    </row>
    <row r="992" spans="1:6" x14ac:dyDescent="0.25">
      <c r="A992" t="s">
        <v>15</v>
      </c>
      <c r="B992" t="s">
        <v>1876</v>
      </c>
      <c r="C992">
        <v>28202</v>
      </c>
      <c r="D992">
        <v>9105972</v>
      </c>
      <c r="F992">
        <v>9105972</v>
      </c>
    </row>
    <row r="993" spans="1:6" x14ac:dyDescent="0.25">
      <c r="A993" t="s">
        <v>16</v>
      </c>
      <c r="B993" t="s">
        <v>2542</v>
      </c>
      <c r="C993">
        <v>28203</v>
      </c>
      <c r="D993">
        <v>0</v>
      </c>
      <c r="F993">
        <v>0</v>
      </c>
    </row>
    <row r="994" spans="1:6" x14ac:dyDescent="0.25">
      <c r="A994" t="s">
        <v>25</v>
      </c>
      <c r="B994" t="s">
        <v>1878</v>
      </c>
      <c r="C994">
        <v>28204</v>
      </c>
      <c r="D994">
        <v>4517949</v>
      </c>
      <c r="F994">
        <v>4517949</v>
      </c>
    </row>
    <row r="995" spans="1:6" x14ac:dyDescent="0.25">
      <c r="A995" t="s">
        <v>26</v>
      </c>
      <c r="B995" t="s">
        <v>2429</v>
      </c>
      <c r="C995">
        <v>28205</v>
      </c>
      <c r="D995">
        <v>9597570</v>
      </c>
      <c r="F995">
        <v>9597570</v>
      </c>
    </row>
    <row r="996" spans="1:6" x14ac:dyDescent="0.25">
      <c r="B996" t="s">
        <v>2430</v>
      </c>
      <c r="D996">
        <v>23354696</v>
      </c>
      <c r="F996">
        <v>23354696</v>
      </c>
    </row>
    <row r="997" spans="1:6" x14ac:dyDescent="0.25">
      <c r="B997" t="s">
        <v>1880</v>
      </c>
    </row>
    <row r="998" spans="1:6" x14ac:dyDescent="0.25">
      <c r="A998" t="s">
        <v>2</v>
      </c>
      <c r="B998" t="s">
        <v>1881</v>
      </c>
      <c r="C998">
        <v>28301</v>
      </c>
      <c r="D998">
        <v>5371</v>
      </c>
      <c r="E998">
        <v>0</v>
      </c>
      <c r="F998">
        <v>5371</v>
      </c>
    </row>
    <row r="999" spans="1:6" x14ac:dyDescent="0.25">
      <c r="A999" t="s">
        <v>15</v>
      </c>
      <c r="B999" t="s">
        <v>2543</v>
      </c>
      <c r="C999">
        <v>28302</v>
      </c>
      <c r="D999">
        <v>18930</v>
      </c>
      <c r="E999">
        <v>0</v>
      </c>
      <c r="F999">
        <v>18930</v>
      </c>
    </row>
    <row r="1000" spans="1:6" x14ac:dyDescent="0.25">
      <c r="A1000" t="s">
        <v>16</v>
      </c>
      <c r="B1000" t="s">
        <v>2544</v>
      </c>
      <c r="C1000">
        <v>28303</v>
      </c>
      <c r="D1000">
        <v>0</v>
      </c>
      <c r="E1000">
        <v>0</v>
      </c>
      <c r="F1000">
        <v>0</v>
      </c>
    </row>
    <row r="1001" spans="1:6" x14ac:dyDescent="0.25">
      <c r="A1001" t="s">
        <v>25</v>
      </c>
      <c r="B1001" t="s">
        <v>2545</v>
      </c>
      <c r="C1001">
        <v>28304</v>
      </c>
      <c r="D1001">
        <v>0</v>
      </c>
      <c r="E1001">
        <v>0</v>
      </c>
      <c r="F1001">
        <v>0</v>
      </c>
    </row>
    <row r="1002" spans="1:6" x14ac:dyDescent="0.25">
      <c r="A1002" t="s">
        <v>26</v>
      </c>
      <c r="B1002" t="s">
        <v>2546</v>
      </c>
      <c r="C1002">
        <v>28305</v>
      </c>
      <c r="D1002">
        <v>2039</v>
      </c>
      <c r="E1002">
        <v>0</v>
      </c>
      <c r="F1002">
        <v>2039</v>
      </c>
    </row>
    <row r="1003" spans="1:6" x14ac:dyDescent="0.25">
      <c r="B1003" t="s">
        <v>2547</v>
      </c>
      <c r="D1003">
        <v>26340</v>
      </c>
      <c r="E1003">
        <v>0</v>
      </c>
      <c r="F1003">
        <v>26340</v>
      </c>
    </row>
    <row r="1004" spans="1:6" x14ac:dyDescent="0.25">
      <c r="B1004" t="s">
        <v>1885</v>
      </c>
    </row>
    <row r="1005" spans="1:6" x14ac:dyDescent="0.25">
      <c r="A1005" t="s">
        <v>2</v>
      </c>
      <c r="B1005" t="s">
        <v>1886</v>
      </c>
      <c r="C1005">
        <v>28401</v>
      </c>
      <c r="D1005">
        <v>68757</v>
      </c>
      <c r="E1005">
        <v>0</v>
      </c>
      <c r="F1005">
        <v>68757</v>
      </c>
    </row>
    <row r="1006" spans="1:6" x14ac:dyDescent="0.25">
      <c r="A1006" t="s">
        <v>15</v>
      </c>
      <c r="B1006" t="s">
        <v>1887</v>
      </c>
      <c r="C1006">
        <v>28402</v>
      </c>
      <c r="D1006">
        <v>16416</v>
      </c>
      <c r="E1006">
        <v>900</v>
      </c>
      <c r="F1006">
        <v>17316</v>
      </c>
    </row>
    <row r="1007" spans="1:6" x14ac:dyDescent="0.25">
      <c r="B1007" t="s">
        <v>1888</v>
      </c>
      <c r="D1007">
        <v>85173</v>
      </c>
      <c r="E1007">
        <v>900</v>
      </c>
      <c r="F1007">
        <v>86073</v>
      </c>
    </row>
    <row r="1008" spans="1:6" x14ac:dyDescent="0.25">
      <c r="B1008" t="s">
        <v>2548</v>
      </c>
    </row>
    <row r="1009" spans="1:6" x14ac:dyDescent="0.25">
      <c r="A1009" t="s">
        <v>2</v>
      </c>
      <c r="B1009" t="s">
        <v>1890</v>
      </c>
      <c r="C1009">
        <v>28501</v>
      </c>
      <c r="D1009">
        <v>0</v>
      </c>
      <c r="F1009">
        <v>0</v>
      </c>
    </row>
    <row r="1010" spans="1:6" x14ac:dyDescent="0.25">
      <c r="A1010" t="s">
        <v>15</v>
      </c>
      <c r="B1010" t="s">
        <v>1891</v>
      </c>
      <c r="C1010">
        <v>28502</v>
      </c>
      <c r="D1010">
        <v>2667</v>
      </c>
      <c r="E1010">
        <v>0</v>
      </c>
      <c r="F1010">
        <v>2667</v>
      </c>
    </row>
    <row r="1011" spans="1:6" x14ac:dyDescent="0.25">
      <c r="A1011" t="s">
        <v>16</v>
      </c>
      <c r="B1011" t="s">
        <v>1892</v>
      </c>
      <c r="C1011">
        <v>28503</v>
      </c>
      <c r="D1011">
        <v>0</v>
      </c>
      <c r="F1011">
        <v>0</v>
      </c>
    </row>
    <row r="1012" spans="1:6" x14ac:dyDescent="0.25">
      <c r="A1012" t="s">
        <v>25</v>
      </c>
      <c r="B1012" t="s">
        <v>1893</v>
      </c>
      <c r="C1012">
        <v>28504</v>
      </c>
      <c r="D1012">
        <v>0</v>
      </c>
      <c r="F1012">
        <v>0</v>
      </c>
    </row>
    <row r="1013" spans="1:6" x14ac:dyDescent="0.25">
      <c r="B1013" t="s">
        <v>1894</v>
      </c>
      <c r="D1013">
        <v>2667</v>
      </c>
      <c r="E1013">
        <v>0</v>
      </c>
      <c r="F1013">
        <v>2667</v>
      </c>
    </row>
    <row r="1014" spans="1:6" x14ac:dyDescent="0.25">
      <c r="B1014" t="s">
        <v>1895</v>
      </c>
    </row>
    <row r="1015" spans="1:6" x14ac:dyDescent="0.25">
      <c r="A1015" t="s">
        <v>2</v>
      </c>
      <c r="B1015" t="s">
        <v>1896</v>
      </c>
      <c r="C1015">
        <v>28601</v>
      </c>
      <c r="D1015">
        <v>183350</v>
      </c>
      <c r="F1015">
        <v>183350</v>
      </c>
    </row>
    <row r="1016" spans="1:6" x14ac:dyDescent="0.25">
      <c r="A1016" t="s">
        <v>15</v>
      </c>
      <c r="B1016" t="s">
        <v>1897</v>
      </c>
      <c r="C1016">
        <v>28602</v>
      </c>
      <c r="D1016">
        <v>44698</v>
      </c>
      <c r="F1016">
        <v>44698</v>
      </c>
    </row>
    <row r="1017" spans="1:6" x14ac:dyDescent="0.25">
      <c r="B1017" t="s">
        <v>1898</v>
      </c>
      <c r="D1017">
        <v>228048</v>
      </c>
      <c r="F1017">
        <v>228048</v>
      </c>
    </row>
    <row r="1018" spans="1:6" x14ac:dyDescent="0.25">
      <c r="B1018" t="s">
        <v>1899</v>
      </c>
    </row>
    <row r="1019" spans="1:6" x14ac:dyDescent="0.25">
      <c r="A1019" t="s">
        <v>2</v>
      </c>
      <c r="B1019" t="s">
        <v>1900</v>
      </c>
      <c r="C1019">
        <v>28701</v>
      </c>
      <c r="D1019">
        <v>0</v>
      </c>
      <c r="F1019">
        <v>0</v>
      </c>
    </row>
    <row r="1020" spans="1:6" x14ac:dyDescent="0.25">
      <c r="A1020" t="s">
        <v>15</v>
      </c>
      <c r="B1020" t="s">
        <v>1901</v>
      </c>
      <c r="C1020">
        <v>28702</v>
      </c>
      <c r="D1020">
        <v>0</v>
      </c>
      <c r="F1020">
        <v>0</v>
      </c>
    </row>
    <row r="1021" spans="1:6" x14ac:dyDescent="0.25">
      <c r="A1021" t="s">
        <v>16</v>
      </c>
      <c r="B1021" t="s">
        <v>1902</v>
      </c>
      <c r="C1021">
        <v>28703</v>
      </c>
      <c r="D1021">
        <v>0</v>
      </c>
      <c r="F1021">
        <v>0</v>
      </c>
    </row>
    <row r="1022" spans="1:6" x14ac:dyDescent="0.25">
      <c r="A1022" t="s">
        <v>25</v>
      </c>
      <c r="B1022" t="s">
        <v>1903</v>
      </c>
      <c r="C1022">
        <v>28704</v>
      </c>
      <c r="D1022">
        <v>0</v>
      </c>
      <c r="F1022">
        <v>0</v>
      </c>
    </row>
    <row r="1023" spans="1:6" x14ac:dyDescent="0.25">
      <c r="B1023" t="s">
        <v>1904</v>
      </c>
      <c r="D1023">
        <v>0</v>
      </c>
      <c r="F1023">
        <v>0</v>
      </c>
    </row>
    <row r="1024" spans="1:6" x14ac:dyDescent="0.25">
      <c r="B1024" t="s">
        <v>1905</v>
      </c>
    </row>
    <row r="1025" spans="1:6" x14ac:dyDescent="0.25">
      <c r="A1025" t="s">
        <v>2</v>
      </c>
      <c r="B1025" t="s">
        <v>1906</v>
      </c>
      <c r="C1025">
        <v>28801</v>
      </c>
      <c r="D1025">
        <v>1576573</v>
      </c>
      <c r="E1025">
        <v>0</v>
      </c>
      <c r="F1025">
        <v>1576573</v>
      </c>
    </row>
    <row r="1026" spans="1:6" x14ac:dyDescent="0.25">
      <c r="A1026" t="s">
        <v>15</v>
      </c>
      <c r="B1026" t="s">
        <v>1908</v>
      </c>
      <c r="C1026">
        <v>28803</v>
      </c>
      <c r="D1026">
        <v>222673</v>
      </c>
      <c r="E1026">
        <v>313</v>
      </c>
      <c r="F1026">
        <v>222986</v>
      </c>
    </row>
    <row r="1027" spans="1:6" x14ac:dyDescent="0.25">
      <c r="B1027" t="s">
        <v>1909</v>
      </c>
      <c r="D1027">
        <v>1799246</v>
      </c>
      <c r="E1027">
        <v>313</v>
      </c>
      <c r="F1027">
        <v>1799559</v>
      </c>
    </row>
    <row r="1028" spans="1:6" x14ac:dyDescent="0.25">
      <c r="B1028" t="s">
        <v>1910</v>
      </c>
      <c r="D1028">
        <v>25496170</v>
      </c>
      <c r="E1028">
        <v>1213</v>
      </c>
      <c r="F1028">
        <v>25497383</v>
      </c>
    </row>
    <row r="1029" spans="1:6" x14ac:dyDescent="0.25">
      <c r="B1029" t="s">
        <v>2431</v>
      </c>
    </row>
    <row r="1030" spans="1:6" x14ac:dyDescent="0.25">
      <c r="B1030" t="s">
        <v>2549</v>
      </c>
    </row>
    <row r="1031" spans="1:6" x14ac:dyDescent="0.25">
      <c r="A1031" t="s">
        <v>2</v>
      </c>
      <c r="B1031" t="s">
        <v>1913</v>
      </c>
      <c r="C1031">
        <v>29101</v>
      </c>
      <c r="D1031">
        <v>969</v>
      </c>
      <c r="F1031">
        <v>969</v>
      </c>
    </row>
    <row r="1032" spans="1:6" x14ac:dyDescent="0.25">
      <c r="A1032" t="s">
        <v>15</v>
      </c>
      <c r="B1032" t="s">
        <v>1914</v>
      </c>
      <c r="C1032">
        <v>29102</v>
      </c>
      <c r="D1032">
        <v>0</v>
      </c>
      <c r="F1032">
        <v>0</v>
      </c>
    </row>
    <row r="1033" spans="1:6" x14ac:dyDescent="0.25">
      <c r="A1033" t="s">
        <v>16</v>
      </c>
      <c r="B1033" t="s">
        <v>1915</v>
      </c>
      <c r="C1033">
        <v>29103</v>
      </c>
      <c r="D1033">
        <v>15718</v>
      </c>
      <c r="F1033">
        <v>15718</v>
      </c>
    </row>
    <row r="1034" spans="1:6" x14ac:dyDescent="0.25">
      <c r="A1034" t="s">
        <v>25</v>
      </c>
      <c r="B1034" t="s">
        <v>1916</v>
      </c>
      <c r="C1034">
        <v>29104</v>
      </c>
      <c r="D1034">
        <v>0</v>
      </c>
      <c r="F1034">
        <v>0</v>
      </c>
    </row>
    <row r="1035" spans="1:6" x14ac:dyDescent="0.25">
      <c r="A1035" t="s">
        <v>26</v>
      </c>
      <c r="B1035" t="s">
        <v>1917</v>
      </c>
      <c r="C1035">
        <v>29105</v>
      </c>
      <c r="D1035">
        <v>0</v>
      </c>
      <c r="F1035">
        <v>0</v>
      </c>
    </row>
    <row r="1036" spans="1:6" x14ac:dyDescent="0.25">
      <c r="A1036" t="s">
        <v>27</v>
      </c>
      <c r="B1036" t="s">
        <v>1918</v>
      </c>
      <c r="C1036">
        <v>29106</v>
      </c>
      <c r="D1036">
        <v>0</v>
      </c>
      <c r="F1036">
        <v>0</v>
      </c>
    </row>
    <row r="1037" spans="1:6" x14ac:dyDescent="0.25">
      <c r="A1037" t="s">
        <v>531</v>
      </c>
      <c r="B1037" t="s">
        <v>1919</v>
      </c>
      <c r="C1037">
        <v>29107</v>
      </c>
      <c r="D1037">
        <v>0</v>
      </c>
      <c r="F1037">
        <v>0</v>
      </c>
    </row>
    <row r="1038" spans="1:6" x14ac:dyDescent="0.25">
      <c r="B1038" t="s">
        <v>1920</v>
      </c>
      <c r="D1038">
        <v>16687</v>
      </c>
      <c r="F1038">
        <v>16687</v>
      </c>
    </row>
    <row r="1039" spans="1:6" x14ac:dyDescent="0.25">
      <c r="B1039" t="s">
        <v>1921</v>
      </c>
    </row>
    <row r="1040" spans="1:6" x14ac:dyDescent="0.25">
      <c r="A1040" t="s">
        <v>2</v>
      </c>
      <c r="B1040" t="s">
        <v>1922</v>
      </c>
      <c r="C1040">
        <v>29201</v>
      </c>
      <c r="D1040">
        <v>0</v>
      </c>
      <c r="E1040">
        <v>0</v>
      </c>
      <c r="F1040">
        <v>0</v>
      </c>
    </row>
    <row r="1041" spans="1:6" x14ac:dyDescent="0.25">
      <c r="A1041" t="s">
        <v>15</v>
      </c>
      <c r="B1041" t="s">
        <v>1923</v>
      </c>
      <c r="C1041">
        <v>29202</v>
      </c>
      <c r="D1041">
        <v>0</v>
      </c>
      <c r="E1041">
        <v>0</v>
      </c>
      <c r="F1041">
        <v>0</v>
      </c>
    </row>
    <row r="1042" spans="1:6" x14ac:dyDescent="0.25">
      <c r="A1042" t="s">
        <v>16</v>
      </c>
      <c r="B1042" t="s">
        <v>1924</v>
      </c>
      <c r="C1042">
        <v>29203</v>
      </c>
      <c r="D1042">
        <v>0</v>
      </c>
      <c r="E1042">
        <v>0</v>
      </c>
      <c r="F1042">
        <v>0</v>
      </c>
    </row>
    <row r="1043" spans="1:6" x14ac:dyDescent="0.25">
      <c r="A1043" t="s">
        <v>25</v>
      </c>
      <c r="B1043" t="s">
        <v>1925</v>
      </c>
      <c r="C1043">
        <v>29204</v>
      </c>
      <c r="D1043">
        <v>0</v>
      </c>
      <c r="E1043">
        <v>0</v>
      </c>
      <c r="F1043">
        <v>0</v>
      </c>
    </row>
    <row r="1044" spans="1:6" x14ac:dyDescent="0.25">
      <c r="A1044" t="s">
        <v>26</v>
      </c>
      <c r="B1044" t="s">
        <v>1926</v>
      </c>
      <c r="C1044">
        <v>29205</v>
      </c>
      <c r="D1044">
        <v>41289</v>
      </c>
      <c r="E1044">
        <v>0</v>
      </c>
      <c r="F1044">
        <v>41289</v>
      </c>
    </row>
    <row r="1045" spans="1:6" x14ac:dyDescent="0.25">
      <c r="A1045" t="s">
        <v>27</v>
      </c>
      <c r="B1045" t="s">
        <v>1927</v>
      </c>
      <c r="C1045">
        <v>29206</v>
      </c>
      <c r="D1045">
        <v>0</v>
      </c>
      <c r="E1045">
        <v>0</v>
      </c>
      <c r="F1045">
        <v>0</v>
      </c>
    </row>
    <row r="1046" spans="1:6" x14ac:dyDescent="0.25">
      <c r="A1046" t="s">
        <v>531</v>
      </c>
      <c r="B1046" t="s">
        <v>1928</v>
      </c>
      <c r="C1046">
        <v>29207</v>
      </c>
      <c r="D1046">
        <v>0</v>
      </c>
      <c r="E1046">
        <v>0</v>
      </c>
      <c r="F1046">
        <v>0</v>
      </c>
    </row>
    <row r="1047" spans="1:6" x14ac:dyDescent="0.25">
      <c r="A1047" t="s">
        <v>1583</v>
      </c>
      <c r="B1047" t="s">
        <v>1929</v>
      </c>
      <c r="C1047">
        <v>29208</v>
      </c>
      <c r="D1047">
        <v>12361</v>
      </c>
      <c r="E1047">
        <v>0</v>
      </c>
      <c r="F1047">
        <v>12361</v>
      </c>
    </row>
    <row r="1048" spans="1:6" x14ac:dyDescent="0.25">
      <c r="B1048" t="s">
        <v>1930</v>
      </c>
      <c r="D1048">
        <v>53650</v>
      </c>
      <c r="E1048">
        <v>0</v>
      </c>
      <c r="F1048">
        <v>53650</v>
      </c>
    </row>
    <row r="1049" spans="1:6" x14ac:dyDescent="0.25">
      <c r="B1049" t="s">
        <v>1931</v>
      </c>
    </row>
    <row r="1050" spans="1:6" x14ac:dyDescent="0.25">
      <c r="A1050" t="s">
        <v>2</v>
      </c>
      <c r="B1050" t="s">
        <v>1932</v>
      </c>
      <c r="C1050">
        <v>29301</v>
      </c>
      <c r="D1050">
        <v>409</v>
      </c>
      <c r="F1050">
        <v>409</v>
      </c>
    </row>
    <row r="1051" spans="1:6" x14ac:dyDescent="0.25">
      <c r="A1051" t="s">
        <v>15</v>
      </c>
      <c r="B1051" t="s">
        <v>1933</v>
      </c>
      <c r="C1051">
        <v>29302</v>
      </c>
      <c r="D1051">
        <v>0</v>
      </c>
      <c r="F1051">
        <v>0</v>
      </c>
    </row>
    <row r="1052" spans="1:6" x14ac:dyDescent="0.25">
      <c r="A1052" t="s">
        <v>16</v>
      </c>
      <c r="B1052" t="s">
        <v>1934</v>
      </c>
      <c r="C1052">
        <v>29303</v>
      </c>
      <c r="D1052">
        <v>0</v>
      </c>
      <c r="F1052">
        <v>0</v>
      </c>
    </row>
    <row r="1053" spans="1:6" x14ac:dyDescent="0.25">
      <c r="A1053" t="s">
        <v>25</v>
      </c>
      <c r="B1053" t="s">
        <v>1935</v>
      </c>
      <c r="C1053">
        <v>29304</v>
      </c>
      <c r="D1053">
        <v>0</v>
      </c>
      <c r="F1053">
        <v>0</v>
      </c>
    </row>
    <row r="1054" spans="1:6" x14ac:dyDescent="0.25">
      <c r="B1054" t="s">
        <v>1936</v>
      </c>
      <c r="D1054">
        <v>409</v>
      </c>
      <c r="F1054">
        <v>409</v>
      </c>
    </row>
    <row r="1055" spans="1:6" x14ac:dyDescent="0.25">
      <c r="B1055" t="s">
        <v>1937</v>
      </c>
    </row>
    <row r="1056" spans="1:6" x14ac:dyDescent="0.25">
      <c r="A1056" t="s">
        <v>2</v>
      </c>
      <c r="B1056" t="s">
        <v>1938</v>
      </c>
      <c r="C1056">
        <v>29401</v>
      </c>
      <c r="D1056">
        <v>13158</v>
      </c>
      <c r="E1056">
        <v>0</v>
      </c>
      <c r="F1056">
        <v>13158</v>
      </c>
    </row>
    <row r="1057" spans="1:6" x14ac:dyDescent="0.25">
      <c r="A1057" t="s">
        <v>15</v>
      </c>
      <c r="B1057" t="s">
        <v>1939</v>
      </c>
      <c r="C1057">
        <v>29402</v>
      </c>
      <c r="D1057">
        <v>2108</v>
      </c>
      <c r="E1057">
        <v>0</v>
      </c>
      <c r="F1057">
        <v>2108</v>
      </c>
    </row>
    <row r="1058" spans="1:6" x14ac:dyDescent="0.25">
      <c r="A1058" t="s">
        <v>16</v>
      </c>
      <c r="B1058" t="s">
        <v>1940</v>
      </c>
      <c r="C1058">
        <v>29403</v>
      </c>
      <c r="D1058">
        <v>1157</v>
      </c>
      <c r="E1058">
        <v>0</v>
      </c>
      <c r="F1058">
        <v>1157</v>
      </c>
    </row>
    <row r="1059" spans="1:6" x14ac:dyDescent="0.25">
      <c r="A1059" t="s">
        <v>25</v>
      </c>
      <c r="B1059" t="s">
        <v>1941</v>
      </c>
      <c r="C1059">
        <v>29404</v>
      </c>
      <c r="D1059">
        <v>0</v>
      </c>
      <c r="E1059">
        <v>0</v>
      </c>
      <c r="F1059">
        <v>0</v>
      </c>
    </row>
    <row r="1060" spans="1:6" x14ac:dyDescent="0.25">
      <c r="A1060" t="s">
        <v>26</v>
      </c>
      <c r="B1060" t="s">
        <v>1942</v>
      </c>
      <c r="C1060">
        <v>29405</v>
      </c>
      <c r="D1060">
        <v>4343</v>
      </c>
      <c r="E1060">
        <v>0</v>
      </c>
      <c r="F1060">
        <v>4343</v>
      </c>
    </row>
    <row r="1061" spans="1:6" x14ac:dyDescent="0.25">
      <c r="A1061" t="s">
        <v>27</v>
      </c>
      <c r="B1061" t="s">
        <v>1943</v>
      </c>
      <c r="C1061">
        <v>29406</v>
      </c>
      <c r="D1061">
        <v>29095</v>
      </c>
      <c r="E1061">
        <v>497</v>
      </c>
      <c r="F1061">
        <v>29592</v>
      </c>
    </row>
    <row r="1062" spans="1:6" x14ac:dyDescent="0.25">
      <c r="A1062" t="s">
        <v>531</v>
      </c>
      <c r="B1062" t="s">
        <v>1944</v>
      </c>
      <c r="C1062">
        <v>29407</v>
      </c>
      <c r="D1062">
        <v>13829</v>
      </c>
      <c r="E1062">
        <v>0</v>
      </c>
      <c r="F1062">
        <v>13829</v>
      </c>
    </row>
    <row r="1063" spans="1:6" x14ac:dyDescent="0.25">
      <c r="B1063" t="s">
        <v>1945</v>
      </c>
      <c r="D1063">
        <v>63690</v>
      </c>
      <c r="E1063">
        <v>497</v>
      </c>
      <c r="F1063">
        <v>64187</v>
      </c>
    </row>
    <row r="1064" spans="1:6" x14ac:dyDescent="0.25">
      <c r="B1064" t="s">
        <v>1946</v>
      </c>
      <c r="D1064">
        <v>134436</v>
      </c>
      <c r="E1064">
        <v>497</v>
      </c>
      <c r="F1064">
        <v>134933</v>
      </c>
    </row>
    <row r="1065" spans="1:6" x14ac:dyDescent="0.25">
      <c r="B1065" t="s">
        <v>2274</v>
      </c>
      <c r="D1065">
        <v>364133947</v>
      </c>
      <c r="E1065">
        <v>396931</v>
      </c>
      <c r="F1065">
        <v>364530878</v>
      </c>
    </row>
    <row r="1066" spans="1:6" x14ac:dyDescent="0.25">
      <c r="B1066" t="s">
        <v>1948</v>
      </c>
      <c r="D1066">
        <v>440886486</v>
      </c>
      <c r="E1066">
        <v>6650073</v>
      </c>
      <c r="F1066">
        <v>447536559</v>
      </c>
    </row>
    <row r="1067" spans="1:6" x14ac:dyDescent="0.25">
      <c r="B1067" t="s">
        <v>1949</v>
      </c>
    </row>
    <row r="1068" spans="1:6" x14ac:dyDescent="0.25">
      <c r="B1068" t="s">
        <v>1950</v>
      </c>
    </row>
    <row r="1069" spans="1:6" x14ac:dyDescent="0.25">
      <c r="B1069" t="s">
        <v>1672</v>
      </c>
    </row>
    <row r="1070" spans="1:6" x14ac:dyDescent="0.25">
      <c r="A1070" t="s">
        <v>2</v>
      </c>
      <c r="B1070" t="s">
        <v>1673</v>
      </c>
      <c r="C1070">
        <v>31101</v>
      </c>
      <c r="D1070">
        <v>36769</v>
      </c>
      <c r="E1070">
        <v>0</v>
      </c>
      <c r="F1070">
        <v>36769</v>
      </c>
    </row>
    <row r="1071" spans="1:6" x14ac:dyDescent="0.25">
      <c r="A1071" t="s">
        <v>15</v>
      </c>
      <c r="B1071" t="s">
        <v>1674</v>
      </c>
      <c r="C1071">
        <v>31102</v>
      </c>
      <c r="D1071">
        <v>93988</v>
      </c>
      <c r="E1071">
        <v>5270</v>
      </c>
      <c r="F1071">
        <v>99258</v>
      </c>
    </row>
    <row r="1072" spans="1:6" x14ac:dyDescent="0.25">
      <c r="A1072" t="s">
        <v>16</v>
      </c>
      <c r="B1072" t="s">
        <v>1675</v>
      </c>
      <c r="C1072">
        <v>31103</v>
      </c>
      <c r="D1072">
        <v>10646</v>
      </c>
      <c r="E1072">
        <v>1308</v>
      </c>
      <c r="F1072">
        <v>11954</v>
      </c>
    </row>
    <row r="1073" spans="1:6" x14ac:dyDescent="0.25">
      <c r="A1073" t="s">
        <v>25</v>
      </c>
      <c r="B1073" t="s">
        <v>1676</v>
      </c>
      <c r="C1073">
        <v>31104</v>
      </c>
      <c r="D1073">
        <v>0</v>
      </c>
      <c r="E1073">
        <v>0</v>
      </c>
      <c r="F1073">
        <v>0</v>
      </c>
    </row>
    <row r="1074" spans="1:6" x14ac:dyDescent="0.25">
      <c r="A1074" t="s">
        <v>26</v>
      </c>
      <c r="B1074" t="s">
        <v>1677</v>
      </c>
      <c r="C1074">
        <v>31105</v>
      </c>
      <c r="D1074">
        <v>0</v>
      </c>
      <c r="E1074">
        <v>0</v>
      </c>
      <c r="F1074">
        <v>0</v>
      </c>
    </row>
    <row r="1075" spans="1:6" x14ac:dyDescent="0.25">
      <c r="B1075" t="s">
        <v>1951</v>
      </c>
      <c r="D1075">
        <v>141403</v>
      </c>
      <c r="E1075">
        <v>6578</v>
      </c>
      <c r="F1075">
        <v>147981</v>
      </c>
    </row>
    <row r="1076" spans="1:6" x14ac:dyDescent="0.25">
      <c r="B1076" t="s">
        <v>1679</v>
      </c>
    </row>
    <row r="1077" spans="1:6" x14ac:dyDescent="0.25">
      <c r="A1077" t="s">
        <v>2</v>
      </c>
      <c r="B1077" t="s">
        <v>1680</v>
      </c>
      <c r="C1077">
        <v>31201</v>
      </c>
      <c r="D1077">
        <v>0</v>
      </c>
      <c r="E1077">
        <v>0</v>
      </c>
      <c r="F1077">
        <v>0</v>
      </c>
    </row>
    <row r="1078" spans="1:6" x14ac:dyDescent="0.25">
      <c r="A1078" t="s">
        <v>15</v>
      </c>
      <c r="B1078" t="s">
        <v>1681</v>
      </c>
      <c r="C1078">
        <v>31202</v>
      </c>
      <c r="D1078">
        <v>0</v>
      </c>
      <c r="E1078">
        <v>0</v>
      </c>
      <c r="F1078">
        <v>0</v>
      </c>
    </row>
    <row r="1079" spans="1:6" x14ac:dyDescent="0.25">
      <c r="A1079" t="s">
        <v>16</v>
      </c>
      <c r="B1079" t="s">
        <v>1682</v>
      </c>
      <c r="C1079">
        <v>31203</v>
      </c>
      <c r="D1079">
        <v>20938</v>
      </c>
      <c r="E1079">
        <v>4537</v>
      </c>
      <c r="F1079">
        <v>25475</v>
      </c>
    </row>
    <row r="1080" spans="1:6" x14ac:dyDescent="0.25">
      <c r="A1080" t="s">
        <v>25</v>
      </c>
      <c r="B1080" t="s">
        <v>1683</v>
      </c>
      <c r="C1080">
        <v>31204</v>
      </c>
      <c r="D1080">
        <v>0</v>
      </c>
      <c r="E1080">
        <v>0</v>
      </c>
      <c r="F1080">
        <v>0</v>
      </c>
    </row>
    <row r="1081" spans="1:6" x14ac:dyDescent="0.25">
      <c r="A1081" t="s">
        <v>26</v>
      </c>
      <c r="B1081" t="s">
        <v>1684</v>
      </c>
      <c r="C1081">
        <v>31205</v>
      </c>
      <c r="D1081">
        <v>53314</v>
      </c>
      <c r="E1081">
        <v>0</v>
      </c>
      <c r="F1081">
        <v>53314</v>
      </c>
    </row>
    <row r="1082" spans="1:6" x14ac:dyDescent="0.25">
      <c r="A1082" t="s">
        <v>27</v>
      </c>
      <c r="B1082" t="s">
        <v>1685</v>
      </c>
      <c r="C1082">
        <v>31206</v>
      </c>
      <c r="D1082">
        <v>23</v>
      </c>
      <c r="E1082">
        <v>0</v>
      </c>
      <c r="F1082">
        <v>23</v>
      </c>
    </row>
    <row r="1083" spans="1:6" x14ac:dyDescent="0.25">
      <c r="A1083" t="s">
        <v>531</v>
      </c>
      <c r="B1083" t="s">
        <v>1686</v>
      </c>
      <c r="C1083">
        <v>31207</v>
      </c>
      <c r="D1083">
        <v>26273</v>
      </c>
      <c r="E1083">
        <v>0</v>
      </c>
      <c r="F1083">
        <v>26273</v>
      </c>
    </row>
    <row r="1084" spans="1:6" x14ac:dyDescent="0.25">
      <c r="A1084" t="s">
        <v>1583</v>
      </c>
      <c r="B1084" t="s">
        <v>1687</v>
      </c>
      <c r="C1084">
        <v>31208</v>
      </c>
      <c r="D1084">
        <v>92377</v>
      </c>
      <c r="E1084">
        <v>30</v>
      </c>
      <c r="F1084">
        <v>92407</v>
      </c>
    </row>
    <row r="1085" spans="1:6" x14ac:dyDescent="0.25">
      <c r="A1085" t="s">
        <v>1585</v>
      </c>
      <c r="B1085" t="s">
        <v>1688</v>
      </c>
      <c r="C1085">
        <v>31209</v>
      </c>
      <c r="D1085">
        <v>410120</v>
      </c>
      <c r="E1085">
        <v>0</v>
      </c>
      <c r="F1085">
        <v>410120</v>
      </c>
    </row>
    <row r="1086" spans="1:6" x14ac:dyDescent="0.25">
      <c r="A1086" t="s">
        <v>1587</v>
      </c>
      <c r="B1086" t="s">
        <v>1637</v>
      </c>
      <c r="C1086">
        <v>31210</v>
      </c>
      <c r="D1086">
        <v>0</v>
      </c>
      <c r="E1086">
        <v>0</v>
      </c>
      <c r="F1086">
        <v>0</v>
      </c>
    </row>
    <row r="1087" spans="1:6" x14ac:dyDescent="0.25">
      <c r="A1087" t="s">
        <v>1589</v>
      </c>
      <c r="B1087" t="s">
        <v>1640</v>
      </c>
      <c r="C1087">
        <v>31211</v>
      </c>
      <c r="D1087">
        <v>0</v>
      </c>
      <c r="E1087">
        <v>0</v>
      </c>
      <c r="F1087">
        <v>0</v>
      </c>
    </row>
    <row r="1088" spans="1:6" x14ac:dyDescent="0.25">
      <c r="A1088" t="s">
        <v>1591</v>
      </c>
      <c r="B1088" t="s">
        <v>1689</v>
      </c>
      <c r="C1088">
        <v>31212</v>
      </c>
      <c r="D1088">
        <v>4653</v>
      </c>
      <c r="E1088">
        <v>0</v>
      </c>
      <c r="F1088">
        <v>4653</v>
      </c>
    </row>
    <row r="1089" spans="1:6" x14ac:dyDescent="0.25">
      <c r="A1089" t="s">
        <v>1593</v>
      </c>
      <c r="B1089" t="s">
        <v>1690</v>
      </c>
      <c r="C1089">
        <v>31213</v>
      </c>
      <c r="D1089">
        <v>0</v>
      </c>
      <c r="E1089">
        <v>0</v>
      </c>
      <c r="F1089">
        <v>0</v>
      </c>
    </row>
    <row r="1090" spans="1:6" x14ac:dyDescent="0.25">
      <c r="B1090" t="s">
        <v>1952</v>
      </c>
      <c r="D1090">
        <v>607698</v>
      </c>
      <c r="E1090">
        <v>4567</v>
      </c>
      <c r="F1090">
        <v>612265</v>
      </c>
    </row>
    <row r="1091" spans="1:6" x14ac:dyDescent="0.25">
      <c r="B1091" t="s">
        <v>1692</v>
      </c>
    </row>
    <row r="1092" spans="1:6" x14ac:dyDescent="0.25">
      <c r="A1092" t="s">
        <v>2</v>
      </c>
      <c r="B1092" t="s">
        <v>1693</v>
      </c>
      <c r="C1092">
        <v>31301</v>
      </c>
      <c r="D1092">
        <v>0</v>
      </c>
      <c r="E1092">
        <v>0</v>
      </c>
      <c r="F1092">
        <v>0</v>
      </c>
    </row>
    <row r="1093" spans="1:6" x14ac:dyDescent="0.25">
      <c r="A1093" t="s">
        <v>15</v>
      </c>
      <c r="B1093" t="s">
        <v>1694</v>
      </c>
      <c r="C1093">
        <v>31302</v>
      </c>
      <c r="D1093">
        <v>769852</v>
      </c>
      <c r="E1093">
        <v>0</v>
      </c>
      <c r="F1093">
        <v>769852</v>
      </c>
    </row>
    <row r="1094" spans="1:6" x14ac:dyDescent="0.25">
      <c r="A1094" t="s">
        <v>16</v>
      </c>
      <c r="B1094" t="s">
        <v>1695</v>
      </c>
      <c r="C1094">
        <v>31303</v>
      </c>
      <c r="D1094">
        <v>0</v>
      </c>
      <c r="E1094">
        <v>0</v>
      </c>
      <c r="F1094">
        <v>0</v>
      </c>
    </row>
    <row r="1095" spans="1:6" x14ac:dyDescent="0.25">
      <c r="A1095" t="s">
        <v>25</v>
      </c>
      <c r="B1095" t="s">
        <v>1696</v>
      </c>
      <c r="C1095">
        <v>31304</v>
      </c>
      <c r="D1095">
        <v>0</v>
      </c>
      <c r="E1095">
        <v>0</v>
      </c>
      <c r="F1095">
        <v>0</v>
      </c>
    </row>
    <row r="1096" spans="1:6" x14ac:dyDescent="0.25">
      <c r="A1096" t="s">
        <v>26</v>
      </c>
      <c r="B1096" t="s">
        <v>1680</v>
      </c>
      <c r="C1096">
        <v>31305</v>
      </c>
      <c r="D1096">
        <v>0</v>
      </c>
      <c r="E1096">
        <v>0</v>
      </c>
      <c r="F1096">
        <v>0</v>
      </c>
    </row>
    <row r="1097" spans="1:6" x14ac:dyDescent="0.25">
      <c r="A1097" t="s">
        <v>27</v>
      </c>
      <c r="B1097" t="s">
        <v>1681</v>
      </c>
      <c r="C1097">
        <v>31306</v>
      </c>
      <c r="D1097">
        <v>0</v>
      </c>
      <c r="E1097">
        <v>0</v>
      </c>
      <c r="F1097">
        <v>0</v>
      </c>
    </row>
    <row r="1098" spans="1:6" x14ac:dyDescent="0.25">
      <c r="A1098" t="s">
        <v>531</v>
      </c>
      <c r="B1098" t="s">
        <v>1682</v>
      </c>
      <c r="C1098">
        <v>31307</v>
      </c>
      <c r="D1098">
        <v>503374</v>
      </c>
      <c r="E1098">
        <v>0</v>
      </c>
      <c r="F1098">
        <v>503374</v>
      </c>
    </row>
    <row r="1099" spans="1:6" x14ac:dyDescent="0.25">
      <c r="A1099" t="s">
        <v>1583</v>
      </c>
      <c r="B1099" t="s">
        <v>1683</v>
      </c>
      <c r="C1099">
        <v>31308</v>
      </c>
      <c r="D1099">
        <v>709</v>
      </c>
      <c r="E1099">
        <v>0</v>
      </c>
      <c r="F1099">
        <v>709</v>
      </c>
    </row>
    <row r="1100" spans="1:6" x14ac:dyDescent="0.25">
      <c r="A1100" t="s">
        <v>1585</v>
      </c>
      <c r="B1100" t="s">
        <v>1684</v>
      </c>
      <c r="C1100">
        <v>31309</v>
      </c>
      <c r="D1100">
        <v>169456</v>
      </c>
      <c r="E1100">
        <v>0</v>
      </c>
      <c r="F1100">
        <v>169456</v>
      </c>
    </row>
    <row r="1101" spans="1:6" x14ac:dyDescent="0.25">
      <c r="A1101" t="s">
        <v>1587</v>
      </c>
      <c r="B1101" t="s">
        <v>1685</v>
      </c>
      <c r="C1101">
        <v>31310</v>
      </c>
      <c r="D1101">
        <v>428289</v>
      </c>
      <c r="E1101">
        <v>0</v>
      </c>
      <c r="F1101">
        <v>428289</v>
      </c>
    </row>
    <row r="1102" spans="1:6" x14ac:dyDescent="0.25">
      <c r="A1102" t="s">
        <v>1589</v>
      </c>
      <c r="B1102" t="s">
        <v>1686</v>
      </c>
      <c r="C1102">
        <v>31311</v>
      </c>
      <c r="D1102">
        <v>338103</v>
      </c>
      <c r="E1102">
        <v>0</v>
      </c>
      <c r="F1102">
        <v>338103</v>
      </c>
    </row>
    <row r="1103" spans="1:6" x14ac:dyDescent="0.25">
      <c r="A1103" t="s">
        <v>1591</v>
      </c>
      <c r="B1103" t="s">
        <v>1687</v>
      </c>
      <c r="C1103">
        <v>31312</v>
      </c>
      <c r="D1103">
        <v>1847773</v>
      </c>
      <c r="E1103">
        <v>3768</v>
      </c>
      <c r="F1103">
        <v>1851541</v>
      </c>
    </row>
    <row r="1104" spans="1:6" x14ac:dyDescent="0.25">
      <c r="A1104" t="s">
        <v>1593</v>
      </c>
      <c r="B1104" t="s">
        <v>1688</v>
      </c>
      <c r="C1104">
        <v>31313</v>
      </c>
      <c r="D1104">
        <v>6166161</v>
      </c>
      <c r="E1104">
        <v>5</v>
      </c>
      <c r="F1104">
        <v>6166166</v>
      </c>
    </row>
    <row r="1105" spans="1:6" x14ac:dyDescent="0.25">
      <c r="A1105" t="s">
        <v>1595</v>
      </c>
      <c r="B1105" t="s">
        <v>1690</v>
      </c>
      <c r="C1105">
        <v>31314</v>
      </c>
      <c r="D1105">
        <v>0</v>
      </c>
      <c r="E1105">
        <v>3540791</v>
      </c>
      <c r="F1105">
        <v>3540791</v>
      </c>
    </row>
    <row r="1106" spans="1:6" x14ac:dyDescent="0.25">
      <c r="A1106" t="s">
        <v>1597</v>
      </c>
      <c r="B1106" t="s">
        <v>1637</v>
      </c>
      <c r="C1106">
        <v>31315</v>
      </c>
      <c r="D1106">
        <v>0</v>
      </c>
      <c r="E1106">
        <v>0</v>
      </c>
      <c r="F1106">
        <v>0</v>
      </c>
    </row>
    <row r="1107" spans="1:6" x14ac:dyDescent="0.25">
      <c r="A1107" t="s">
        <v>1599</v>
      </c>
      <c r="B1107" t="s">
        <v>1640</v>
      </c>
      <c r="C1107">
        <v>31316</v>
      </c>
      <c r="D1107">
        <v>0</v>
      </c>
      <c r="E1107">
        <v>0</v>
      </c>
      <c r="F1107">
        <v>0</v>
      </c>
    </row>
    <row r="1108" spans="1:6" x14ac:dyDescent="0.25">
      <c r="A1108" t="s">
        <v>1601</v>
      </c>
      <c r="B1108" t="s">
        <v>1636</v>
      </c>
      <c r="C1108">
        <v>31317</v>
      </c>
      <c r="D1108">
        <v>0</v>
      </c>
      <c r="E1108">
        <v>0</v>
      </c>
      <c r="F1108">
        <v>0</v>
      </c>
    </row>
    <row r="1109" spans="1:6" x14ac:dyDescent="0.25">
      <c r="A1109" t="s">
        <v>1603</v>
      </c>
      <c r="B1109" t="s">
        <v>1689</v>
      </c>
      <c r="C1109">
        <v>31318</v>
      </c>
      <c r="D1109">
        <v>0</v>
      </c>
      <c r="E1109">
        <v>0</v>
      </c>
      <c r="F1109">
        <v>0</v>
      </c>
    </row>
    <row r="1110" spans="1:6" x14ac:dyDescent="0.25">
      <c r="B1110" t="s">
        <v>1953</v>
      </c>
      <c r="D1110">
        <v>10223717</v>
      </c>
      <c r="E1110">
        <v>3544564</v>
      </c>
      <c r="F1110">
        <v>13768281</v>
      </c>
    </row>
    <row r="1111" spans="1:6" x14ac:dyDescent="0.25">
      <c r="B1111" t="s">
        <v>1698</v>
      </c>
    </row>
    <row r="1112" spans="1:6" x14ac:dyDescent="0.25">
      <c r="A1112" t="s">
        <v>2</v>
      </c>
      <c r="B1112" t="s">
        <v>1699</v>
      </c>
      <c r="C1112">
        <v>31401</v>
      </c>
      <c r="D1112">
        <v>0</v>
      </c>
      <c r="E1112">
        <v>0</v>
      </c>
      <c r="F1112">
        <v>0</v>
      </c>
    </row>
    <row r="1113" spans="1:6" x14ac:dyDescent="0.25">
      <c r="A1113" t="s">
        <v>15</v>
      </c>
      <c r="B1113" t="s">
        <v>1694</v>
      </c>
      <c r="C1113">
        <v>31402</v>
      </c>
      <c r="D1113">
        <v>0</v>
      </c>
      <c r="E1113">
        <v>0</v>
      </c>
      <c r="F1113">
        <v>0</v>
      </c>
    </row>
    <row r="1114" spans="1:6" x14ac:dyDescent="0.25">
      <c r="A1114" t="s">
        <v>16</v>
      </c>
      <c r="B1114" t="s">
        <v>1695</v>
      </c>
      <c r="C1114">
        <v>31403</v>
      </c>
      <c r="D1114">
        <v>0</v>
      </c>
      <c r="E1114">
        <v>0</v>
      </c>
      <c r="F1114">
        <v>0</v>
      </c>
    </row>
    <row r="1115" spans="1:6" x14ac:dyDescent="0.25">
      <c r="A1115" t="s">
        <v>25</v>
      </c>
      <c r="B1115" t="s">
        <v>1696</v>
      </c>
      <c r="C1115">
        <v>31404</v>
      </c>
      <c r="D1115">
        <v>0</v>
      </c>
      <c r="E1115">
        <v>0</v>
      </c>
      <c r="F1115">
        <v>0</v>
      </c>
    </row>
    <row r="1116" spans="1:6" x14ac:dyDescent="0.25">
      <c r="A1116" t="s">
        <v>26</v>
      </c>
      <c r="B1116" t="s">
        <v>1680</v>
      </c>
      <c r="C1116">
        <v>31405</v>
      </c>
      <c r="D1116">
        <v>0</v>
      </c>
      <c r="E1116">
        <v>0</v>
      </c>
      <c r="F1116">
        <v>0</v>
      </c>
    </row>
    <row r="1117" spans="1:6" x14ac:dyDescent="0.25">
      <c r="A1117" t="s">
        <v>27</v>
      </c>
      <c r="B1117" t="s">
        <v>1681</v>
      </c>
      <c r="C1117">
        <v>31406</v>
      </c>
      <c r="D1117">
        <v>0</v>
      </c>
      <c r="E1117">
        <v>0</v>
      </c>
      <c r="F1117">
        <v>0</v>
      </c>
    </row>
    <row r="1118" spans="1:6" x14ac:dyDescent="0.25">
      <c r="A1118" t="s">
        <v>531</v>
      </c>
      <c r="B1118" t="s">
        <v>1682</v>
      </c>
      <c r="C1118">
        <v>31407</v>
      </c>
      <c r="D1118">
        <v>123011</v>
      </c>
      <c r="E1118">
        <v>0</v>
      </c>
      <c r="F1118">
        <v>123011</v>
      </c>
    </row>
    <row r="1119" spans="1:6" x14ac:dyDescent="0.25">
      <c r="A1119" t="s">
        <v>1583</v>
      </c>
      <c r="B1119" t="s">
        <v>1683</v>
      </c>
      <c r="C1119">
        <v>31408</v>
      </c>
      <c r="D1119">
        <v>0</v>
      </c>
      <c r="E1119">
        <v>0</v>
      </c>
      <c r="F1119">
        <v>0</v>
      </c>
    </row>
    <row r="1120" spans="1:6" x14ac:dyDescent="0.25">
      <c r="A1120" t="s">
        <v>1585</v>
      </c>
      <c r="B1120" t="s">
        <v>1684</v>
      </c>
      <c r="C1120">
        <v>31409</v>
      </c>
      <c r="D1120">
        <v>0</v>
      </c>
      <c r="E1120">
        <v>0</v>
      </c>
      <c r="F1120">
        <v>0</v>
      </c>
    </row>
    <row r="1121" spans="1:6" x14ac:dyDescent="0.25">
      <c r="A1121" t="s">
        <v>1587</v>
      </c>
      <c r="B1121" t="s">
        <v>1685</v>
      </c>
      <c r="C1121">
        <v>31410</v>
      </c>
      <c r="D1121">
        <v>0</v>
      </c>
      <c r="E1121">
        <v>0</v>
      </c>
      <c r="F1121">
        <v>0</v>
      </c>
    </row>
    <row r="1122" spans="1:6" x14ac:dyDescent="0.25">
      <c r="A1122" t="s">
        <v>1589</v>
      </c>
      <c r="B1122" t="s">
        <v>1686</v>
      </c>
      <c r="C1122">
        <v>31411</v>
      </c>
      <c r="D1122">
        <v>3740</v>
      </c>
      <c r="E1122">
        <v>0</v>
      </c>
      <c r="F1122">
        <v>3740</v>
      </c>
    </row>
    <row r="1123" spans="1:6" x14ac:dyDescent="0.25">
      <c r="A1123" t="s">
        <v>1591</v>
      </c>
      <c r="B1123" t="s">
        <v>1687</v>
      </c>
      <c r="C1123">
        <v>31412</v>
      </c>
      <c r="D1123">
        <v>115879</v>
      </c>
      <c r="E1123">
        <v>0</v>
      </c>
      <c r="F1123">
        <v>115879</v>
      </c>
    </row>
    <row r="1124" spans="1:6" x14ac:dyDescent="0.25">
      <c r="A1124" t="s">
        <v>1593</v>
      </c>
      <c r="B1124" t="s">
        <v>1688</v>
      </c>
      <c r="C1124">
        <v>31413</v>
      </c>
      <c r="D1124">
        <v>0</v>
      </c>
      <c r="E1124">
        <v>0</v>
      </c>
      <c r="F1124">
        <v>0</v>
      </c>
    </row>
    <row r="1125" spans="1:6" x14ac:dyDescent="0.25">
      <c r="A1125" t="s">
        <v>1595</v>
      </c>
      <c r="B1125" t="s">
        <v>1690</v>
      </c>
      <c r="C1125">
        <v>31414</v>
      </c>
      <c r="D1125">
        <v>0</v>
      </c>
      <c r="E1125">
        <v>0</v>
      </c>
      <c r="F1125">
        <v>0</v>
      </c>
    </row>
    <row r="1126" spans="1:6" x14ac:dyDescent="0.25">
      <c r="A1126" t="s">
        <v>1597</v>
      </c>
      <c r="B1126" t="s">
        <v>1637</v>
      </c>
      <c r="C1126">
        <v>31415</v>
      </c>
      <c r="D1126">
        <v>259239</v>
      </c>
      <c r="E1126">
        <v>20</v>
      </c>
      <c r="F1126">
        <v>259259</v>
      </c>
    </row>
    <row r="1127" spans="1:6" x14ac:dyDescent="0.25">
      <c r="A1127" t="s">
        <v>1599</v>
      </c>
      <c r="B1127" t="s">
        <v>1640</v>
      </c>
      <c r="C1127">
        <v>31416</v>
      </c>
      <c r="D1127">
        <v>0</v>
      </c>
      <c r="E1127">
        <v>134</v>
      </c>
      <c r="F1127">
        <v>134</v>
      </c>
    </row>
    <row r="1128" spans="1:6" x14ac:dyDescent="0.25">
      <c r="A1128" t="s">
        <v>1601</v>
      </c>
      <c r="B1128" t="s">
        <v>1636</v>
      </c>
      <c r="C1128">
        <v>31417</v>
      </c>
      <c r="D1128">
        <v>570128</v>
      </c>
      <c r="E1128">
        <v>0</v>
      </c>
      <c r="F1128">
        <v>570128</v>
      </c>
    </row>
    <row r="1129" spans="1:6" x14ac:dyDescent="0.25">
      <c r="A1129" t="s">
        <v>1603</v>
      </c>
      <c r="B1129" t="s">
        <v>1689</v>
      </c>
      <c r="C1129">
        <v>31418</v>
      </c>
      <c r="D1129">
        <v>45244</v>
      </c>
      <c r="E1129">
        <v>0</v>
      </c>
      <c r="F1129">
        <v>45244</v>
      </c>
    </row>
    <row r="1130" spans="1:6" x14ac:dyDescent="0.25">
      <c r="B1130" t="s">
        <v>1954</v>
      </c>
      <c r="D1130">
        <v>1117241</v>
      </c>
      <c r="E1130">
        <v>154</v>
      </c>
      <c r="F1130">
        <v>1117395</v>
      </c>
    </row>
    <row r="1131" spans="1:6" x14ac:dyDescent="0.25">
      <c r="B1131" t="s">
        <v>1701</v>
      </c>
    </row>
    <row r="1132" spans="1:6" x14ac:dyDescent="0.25">
      <c r="A1132" t="s">
        <v>2</v>
      </c>
      <c r="B1132" t="s">
        <v>1702</v>
      </c>
      <c r="C1132">
        <v>31501</v>
      </c>
      <c r="D1132">
        <v>83847</v>
      </c>
      <c r="E1132">
        <v>60</v>
      </c>
      <c r="F1132">
        <v>83907</v>
      </c>
    </row>
    <row r="1133" spans="1:6" x14ac:dyDescent="0.25">
      <c r="A1133" t="s">
        <v>15</v>
      </c>
      <c r="B1133" t="s">
        <v>1703</v>
      </c>
      <c r="C1133">
        <v>31502</v>
      </c>
      <c r="D1133">
        <v>28</v>
      </c>
      <c r="E1133">
        <v>0</v>
      </c>
      <c r="F1133">
        <v>28</v>
      </c>
    </row>
    <row r="1134" spans="1:6" x14ac:dyDescent="0.25">
      <c r="B1134" t="s">
        <v>1955</v>
      </c>
      <c r="D1134">
        <v>83875</v>
      </c>
      <c r="E1134">
        <v>60</v>
      </c>
      <c r="F1134">
        <v>83935</v>
      </c>
    </row>
    <row r="1135" spans="1:6" x14ac:dyDescent="0.25">
      <c r="B1135" t="s">
        <v>1705</v>
      </c>
    </row>
    <row r="1136" spans="1:6" x14ac:dyDescent="0.25">
      <c r="A1136" t="s">
        <v>2</v>
      </c>
      <c r="B1136" t="s">
        <v>1702</v>
      </c>
      <c r="C1136">
        <v>31601</v>
      </c>
      <c r="D1136">
        <v>4255335</v>
      </c>
      <c r="E1136">
        <v>36225</v>
      </c>
      <c r="F1136">
        <v>4291560</v>
      </c>
    </row>
    <row r="1137" spans="1:6" x14ac:dyDescent="0.25">
      <c r="A1137" t="s">
        <v>15</v>
      </c>
      <c r="B1137" t="s">
        <v>1703</v>
      </c>
      <c r="C1137">
        <v>31602</v>
      </c>
      <c r="D1137">
        <v>2431</v>
      </c>
      <c r="E1137">
        <v>33</v>
      </c>
      <c r="F1137">
        <v>2464</v>
      </c>
    </row>
    <row r="1138" spans="1:6" x14ac:dyDescent="0.25">
      <c r="B1138" t="s">
        <v>1956</v>
      </c>
      <c r="D1138">
        <v>4257766</v>
      </c>
      <c r="E1138">
        <v>36258</v>
      </c>
      <c r="F1138">
        <v>4294024</v>
      </c>
    </row>
    <row r="1139" spans="1:6" x14ac:dyDescent="0.25">
      <c r="B1139" t="s">
        <v>1707</v>
      </c>
    </row>
    <row r="1140" spans="1:6" x14ac:dyDescent="0.25">
      <c r="A1140" t="s">
        <v>2</v>
      </c>
      <c r="B1140" t="s">
        <v>1702</v>
      </c>
      <c r="C1140">
        <v>31701</v>
      </c>
      <c r="D1140">
        <v>2906</v>
      </c>
      <c r="E1140">
        <v>0</v>
      </c>
      <c r="F1140">
        <v>2906</v>
      </c>
    </row>
    <row r="1141" spans="1:6" x14ac:dyDescent="0.25">
      <c r="A1141" t="s">
        <v>15</v>
      </c>
      <c r="B1141" t="s">
        <v>1703</v>
      </c>
      <c r="C1141">
        <v>31702</v>
      </c>
      <c r="D1141">
        <v>0</v>
      </c>
      <c r="E1141">
        <v>0</v>
      </c>
      <c r="F1141">
        <v>0</v>
      </c>
    </row>
    <row r="1142" spans="1:6" x14ac:dyDescent="0.25">
      <c r="B1142" t="s">
        <v>1957</v>
      </c>
      <c r="D1142">
        <v>2906</v>
      </c>
      <c r="E1142">
        <v>0</v>
      </c>
      <c r="F1142">
        <v>2906</v>
      </c>
    </row>
    <row r="1143" spans="1:6" x14ac:dyDescent="0.25">
      <c r="B1143" t="s">
        <v>1709</v>
      </c>
    </row>
    <row r="1144" spans="1:6" x14ac:dyDescent="0.25">
      <c r="A1144" t="s">
        <v>2</v>
      </c>
      <c r="B1144" t="s">
        <v>1710</v>
      </c>
      <c r="C1144">
        <v>31801</v>
      </c>
      <c r="D1144">
        <v>100</v>
      </c>
      <c r="E1144">
        <v>0</v>
      </c>
      <c r="F1144">
        <v>100</v>
      </c>
    </row>
    <row r="1145" spans="1:6" x14ac:dyDescent="0.25">
      <c r="A1145" t="s">
        <v>15</v>
      </c>
      <c r="B1145" t="s">
        <v>1711</v>
      </c>
      <c r="C1145">
        <v>31802</v>
      </c>
      <c r="D1145">
        <v>0</v>
      </c>
      <c r="E1145">
        <v>0</v>
      </c>
      <c r="F1145">
        <v>0</v>
      </c>
    </row>
    <row r="1146" spans="1:6" x14ac:dyDescent="0.25">
      <c r="A1146" t="s">
        <v>16</v>
      </c>
      <c r="B1146" t="s">
        <v>1712</v>
      </c>
      <c r="C1146">
        <v>31803</v>
      </c>
      <c r="D1146">
        <v>0</v>
      </c>
      <c r="E1146">
        <v>0</v>
      </c>
      <c r="F1146">
        <v>0</v>
      </c>
    </row>
    <row r="1147" spans="1:6" x14ac:dyDescent="0.25">
      <c r="A1147" t="s">
        <v>25</v>
      </c>
      <c r="B1147" t="s">
        <v>1713</v>
      </c>
      <c r="C1147">
        <v>31804</v>
      </c>
      <c r="D1147">
        <v>18337</v>
      </c>
      <c r="E1147">
        <v>64</v>
      </c>
      <c r="F1147">
        <v>18401</v>
      </c>
    </row>
    <row r="1148" spans="1:6" x14ac:dyDescent="0.25">
      <c r="A1148" t="s">
        <v>26</v>
      </c>
      <c r="B1148" t="s">
        <v>1714</v>
      </c>
      <c r="C1148">
        <v>31805</v>
      </c>
      <c r="D1148">
        <v>0</v>
      </c>
      <c r="E1148">
        <v>0</v>
      </c>
      <c r="F1148">
        <v>0</v>
      </c>
    </row>
    <row r="1149" spans="1:6" x14ac:dyDescent="0.25">
      <c r="B1149" t="s">
        <v>1958</v>
      </c>
      <c r="D1149">
        <v>18437</v>
      </c>
      <c r="E1149">
        <v>64</v>
      </c>
      <c r="F1149">
        <v>18501</v>
      </c>
    </row>
    <row r="1150" spans="1:6" x14ac:dyDescent="0.25">
      <c r="B1150" t="s">
        <v>1959</v>
      </c>
    </row>
    <row r="1151" spans="1:6" x14ac:dyDescent="0.25">
      <c r="A1151" t="s">
        <v>2</v>
      </c>
      <c r="B1151" t="s">
        <v>1960</v>
      </c>
      <c r="C1151">
        <v>31901</v>
      </c>
      <c r="D1151">
        <v>0</v>
      </c>
      <c r="E1151">
        <v>9639</v>
      </c>
      <c r="F1151">
        <v>9639</v>
      </c>
    </row>
    <row r="1152" spans="1:6" x14ac:dyDescent="0.25">
      <c r="A1152" t="s">
        <v>15</v>
      </c>
      <c r="B1152" t="s">
        <v>1961</v>
      </c>
      <c r="C1152">
        <v>31902</v>
      </c>
      <c r="D1152">
        <v>0</v>
      </c>
      <c r="E1152">
        <v>0</v>
      </c>
      <c r="F1152">
        <v>0</v>
      </c>
    </row>
    <row r="1153" spans="1:6" x14ac:dyDescent="0.25">
      <c r="A1153" t="s">
        <v>16</v>
      </c>
      <c r="B1153" t="s">
        <v>1962</v>
      </c>
      <c r="C1153">
        <v>31903</v>
      </c>
      <c r="D1153">
        <v>0</v>
      </c>
      <c r="E1153">
        <v>0</v>
      </c>
      <c r="F1153">
        <v>0</v>
      </c>
    </row>
    <row r="1154" spans="1:6" x14ac:dyDescent="0.25">
      <c r="B1154" t="s">
        <v>1963</v>
      </c>
      <c r="D1154">
        <v>0</v>
      </c>
      <c r="E1154">
        <v>9639</v>
      </c>
      <c r="F1154">
        <v>9639</v>
      </c>
    </row>
    <row r="1155" spans="1:6" x14ac:dyDescent="0.25">
      <c r="B1155" t="s">
        <v>1653</v>
      </c>
      <c r="D1155">
        <v>16453043</v>
      </c>
      <c r="E1155">
        <v>3601884</v>
      </c>
      <c r="F1155">
        <v>20054927</v>
      </c>
    </row>
    <row r="1156" spans="1:6" x14ac:dyDescent="0.25">
      <c r="B1156" t="s">
        <v>1964</v>
      </c>
    </row>
    <row r="1157" spans="1:6" x14ac:dyDescent="0.25">
      <c r="B1157" t="s">
        <v>1672</v>
      </c>
    </row>
    <row r="1158" spans="1:6" x14ac:dyDescent="0.25">
      <c r="A1158" t="s">
        <v>2</v>
      </c>
      <c r="B1158" t="s">
        <v>1673</v>
      </c>
      <c r="C1158">
        <v>32101</v>
      </c>
      <c r="D1158">
        <v>0</v>
      </c>
      <c r="E1158">
        <v>0</v>
      </c>
      <c r="F1158">
        <v>0</v>
      </c>
    </row>
    <row r="1159" spans="1:6" x14ac:dyDescent="0.25">
      <c r="A1159" t="s">
        <v>15</v>
      </c>
      <c r="B1159" t="s">
        <v>1674</v>
      </c>
      <c r="C1159">
        <v>32102</v>
      </c>
      <c r="D1159">
        <v>0</v>
      </c>
      <c r="E1159">
        <v>0</v>
      </c>
      <c r="F1159">
        <v>0</v>
      </c>
    </row>
    <row r="1160" spans="1:6" x14ac:dyDescent="0.25">
      <c r="A1160" t="s">
        <v>16</v>
      </c>
      <c r="B1160" t="s">
        <v>1675</v>
      </c>
      <c r="C1160">
        <v>32103</v>
      </c>
      <c r="D1160">
        <v>0</v>
      </c>
      <c r="E1160">
        <v>0</v>
      </c>
      <c r="F1160">
        <v>0</v>
      </c>
    </row>
    <row r="1161" spans="1:6" x14ac:dyDescent="0.25">
      <c r="A1161" t="s">
        <v>25</v>
      </c>
      <c r="B1161" t="s">
        <v>1676</v>
      </c>
      <c r="C1161">
        <v>32104</v>
      </c>
      <c r="D1161">
        <v>0</v>
      </c>
      <c r="E1161">
        <v>0</v>
      </c>
      <c r="F1161">
        <v>0</v>
      </c>
    </row>
    <row r="1162" spans="1:6" x14ac:dyDescent="0.25">
      <c r="A1162" t="s">
        <v>26</v>
      </c>
      <c r="B1162" t="s">
        <v>1677</v>
      </c>
      <c r="C1162">
        <v>32105</v>
      </c>
      <c r="D1162">
        <v>0</v>
      </c>
      <c r="E1162">
        <v>0</v>
      </c>
      <c r="F1162">
        <v>0</v>
      </c>
    </row>
    <row r="1163" spans="1:6" x14ac:dyDescent="0.25">
      <c r="B1163" t="s">
        <v>1965</v>
      </c>
      <c r="D1163">
        <v>0</v>
      </c>
      <c r="E1163">
        <v>0</v>
      </c>
      <c r="F1163">
        <v>0</v>
      </c>
    </row>
    <row r="1164" spans="1:6" x14ac:dyDescent="0.25">
      <c r="B1164" t="s">
        <v>1781</v>
      </c>
    </row>
    <row r="1165" spans="1:6" x14ac:dyDescent="0.25">
      <c r="A1165" t="s">
        <v>2</v>
      </c>
      <c r="B1165" t="s">
        <v>1693</v>
      </c>
      <c r="C1165">
        <v>32201</v>
      </c>
      <c r="D1165">
        <v>0</v>
      </c>
      <c r="E1165">
        <v>0</v>
      </c>
      <c r="F1165">
        <v>0</v>
      </c>
    </row>
    <row r="1166" spans="1:6" x14ac:dyDescent="0.25">
      <c r="A1166" t="s">
        <v>15</v>
      </c>
      <c r="B1166" t="s">
        <v>1694</v>
      </c>
      <c r="C1166">
        <v>32202</v>
      </c>
      <c r="D1166">
        <v>0</v>
      </c>
      <c r="E1166">
        <v>0</v>
      </c>
      <c r="F1166">
        <v>0</v>
      </c>
    </row>
    <row r="1167" spans="1:6" x14ac:dyDescent="0.25">
      <c r="A1167" t="s">
        <v>16</v>
      </c>
      <c r="B1167" t="s">
        <v>1695</v>
      </c>
      <c r="C1167">
        <v>32203</v>
      </c>
      <c r="D1167">
        <v>0</v>
      </c>
      <c r="E1167">
        <v>0</v>
      </c>
      <c r="F1167">
        <v>0</v>
      </c>
    </row>
    <row r="1168" spans="1:6" x14ac:dyDescent="0.25">
      <c r="A1168" t="s">
        <v>25</v>
      </c>
      <c r="B1168" t="s">
        <v>1696</v>
      </c>
      <c r="C1168">
        <v>32204</v>
      </c>
      <c r="D1168">
        <v>0</v>
      </c>
      <c r="E1168">
        <v>0</v>
      </c>
      <c r="F1168">
        <v>0</v>
      </c>
    </row>
    <row r="1169" spans="1:6" x14ac:dyDescent="0.25">
      <c r="A1169" t="s">
        <v>26</v>
      </c>
      <c r="B1169" t="s">
        <v>1680</v>
      </c>
      <c r="C1169">
        <v>32205</v>
      </c>
      <c r="D1169">
        <v>0</v>
      </c>
      <c r="E1169">
        <v>0</v>
      </c>
      <c r="F1169">
        <v>0</v>
      </c>
    </row>
    <row r="1170" spans="1:6" x14ac:dyDescent="0.25">
      <c r="A1170" t="s">
        <v>27</v>
      </c>
      <c r="B1170" t="s">
        <v>1681</v>
      </c>
      <c r="C1170">
        <v>32206</v>
      </c>
      <c r="D1170">
        <v>0</v>
      </c>
      <c r="E1170">
        <v>0</v>
      </c>
      <c r="F1170">
        <v>0</v>
      </c>
    </row>
    <row r="1171" spans="1:6" x14ac:dyDescent="0.25">
      <c r="A1171" t="s">
        <v>531</v>
      </c>
      <c r="B1171" t="s">
        <v>1682</v>
      </c>
      <c r="C1171">
        <v>32207</v>
      </c>
      <c r="D1171">
        <v>0</v>
      </c>
      <c r="E1171">
        <v>0</v>
      </c>
      <c r="F1171">
        <v>0</v>
      </c>
    </row>
    <row r="1172" spans="1:6" x14ac:dyDescent="0.25">
      <c r="A1172" t="s">
        <v>1583</v>
      </c>
      <c r="B1172" t="s">
        <v>1683</v>
      </c>
      <c r="C1172">
        <v>32208</v>
      </c>
      <c r="D1172">
        <v>0</v>
      </c>
      <c r="E1172">
        <v>0</v>
      </c>
      <c r="F1172">
        <v>0</v>
      </c>
    </row>
    <row r="1173" spans="1:6" x14ac:dyDescent="0.25">
      <c r="A1173" t="s">
        <v>1585</v>
      </c>
      <c r="B1173" t="s">
        <v>1684</v>
      </c>
      <c r="C1173">
        <v>32209</v>
      </c>
      <c r="D1173">
        <v>0</v>
      </c>
      <c r="E1173">
        <v>0</v>
      </c>
      <c r="F1173">
        <v>0</v>
      </c>
    </row>
    <row r="1174" spans="1:6" x14ac:dyDescent="0.25">
      <c r="A1174" t="s">
        <v>1587</v>
      </c>
      <c r="B1174" t="s">
        <v>1685</v>
      </c>
      <c r="C1174">
        <v>32210</v>
      </c>
      <c r="D1174">
        <v>0</v>
      </c>
      <c r="E1174">
        <v>0</v>
      </c>
      <c r="F1174">
        <v>0</v>
      </c>
    </row>
    <row r="1175" spans="1:6" x14ac:dyDescent="0.25">
      <c r="A1175" t="s">
        <v>1589</v>
      </c>
      <c r="B1175" t="s">
        <v>1686</v>
      </c>
      <c r="C1175">
        <v>32211</v>
      </c>
      <c r="D1175">
        <v>0</v>
      </c>
      <c r="E1175">
        <v>0</v>
      </c>
      <c r="F1175">
        <v>0</v>
      </c>
    </row>
    <row r="1176" spans="1:6" x14ac:dyDescent="0.25">
      <c r="A1176" t="s">
        <v>1591</v>
      </c>
      <c r="B1176" t="s">
        <v>1687</v>
      </c>
      <c r="C1176">
        <v>32212</v>
      </c>
      <c r="D1176">
        <v>0</v>
      </c>
      <c r="E1176">
        <v>0</v>
      </c>
      <c r="F1176">
        <v>0</v>
      </c>
    </row>
    <row r="1177" spans="1:6" x14ac:dyDescent="0.25">
      <c r="A1177" t="s">
        <v>1593</v>
      </c>
      <c r="B1177" t="s">
        <v>1688</v>
      </c>
      <c r="C1177">
        <v>32213</v>
      </c>
      <c r="D1177">
        <v>0</v>
      </c>
      <c r="E1177">
        <v>0</v>
      </c>
      <c r="F1177">
        <v>0</v>
      </c>
    </row>
    <row r="1178" spans="1:6" x14ac:dyDescent="0.25">
      <c r="A1178" t="s">
        <v>1595</v>
      </c>
      <c r="B1178" t="s">
        <v>1690</v>
      </c>
      <c r="C1178">
        <v>32214</v>
      </c>
      <c r="D1178">
        <v>0</v>
      </c>
      <c r="E1178">
        <v>0</v>
      </c>
      <c r="F1178">
        <v>0</v>
      </c>
    </row>
    <row r="1179" spans="1:6" x14ac:dyDescent="0.25">
      <c r="A1179" t="s">
        <v>1597</v>
      </c>
      <c r="B1179" t="s">
        <v>1637</v>
      </c>
      <c r="C1179">
        <v>32215</v>
      </c>
      <c r="D1179">
        <v>0</v>
      </c>
      <c r="E1179">
        <v>0</v>
      </c>
      <c r="F1179">
        <v>0</v>
      </c>
    </row>
    <row r="1180" spans="1:6" x14ac:dyDescent="0.25">
      <c r="A1180" t="s">
        <v>1599</v>
      </c>
      <c r="B1180" t="s">
        <v>1640</v>
      </c>
      <c r="C1180">
        <v>32216</v>
      </c>
      <c r="D1180">
        <v>0</v>
      </c>
      <c r="E1180">
        <v>0</v>
      </c>
      <c r="F1180">
        <v>0</v>
      </c>
    </row>
    <row r="1181" spans="1:6" x14ac:dyDescent="0.25">
      <c r="A1181" t="s">
        <v>1601</v>
      </c>
      <c r="B1181" t="s">
        <v>1636</v>
      </c>
      <c r="C1181">
        <v>32217</v>
      </c>
      <c r="D1181">
        <v>0</v>
      </c>
      <c r="E1181">
        <v>0</v>
      </c>
      <c r="F1181">
        <v>0</v>
      </c>
    </row>
    <row r="1182" spans="1:6" x14ac:dyDescent="0.25">
      <c r="A1182" t="s">
        <v>1603</v>
      </c>
      <c r="B1182" t="s">
        <v>1689</v>
      </c>
      <c r="C1182">
        <v>32218</v>
      </c>
      <c r="D1182">
        <v>0</v>
      </c>
      <c r="E1182">
        <v>0</v>
      </c>
      <c r="F1182">
        <v>0</v>
      </c>
    </row>
    <row r="1183" spans="1:6" x14ac:dyDescent="0.25">
      <c r="B1183" t="s">
        <v>1966</v>
      </c>
      <c r="D1183">
        <v>0</v>
      </c>
      <c r="E1183">
        <v>0</v>
      </c>
      <c r="F1183">
        <v>0</v>
      </c>
    </row>
    <row r="1184" spans="1:6" x14ac:dyDescent="0.25">
      <c r="B1184" t="s">
        <v>1783</v>
      </c>
    </row>
    <row r="1185" spans="1:6" x14ac:dyDescent="0.25">
      <c r="A1185" t="s">
        <v>2</v>
      </c>
      <c r="B1185" t="s">
        <v>1699</v>
      </c>
      <c r="C1185">
        <v>32301</v>
      </c>
      <c r="D1185">
        <v>0</v>
      </c>
      <c r="E1185">
        <v>0</v>
      </c>
      <c r="F1185">
        <v>0</v>
      </c>
    </row>
    <row r="1186" spans="1:6" x14ac:dyDescent="0.25">
      <c r="A1186" t="s">
        <v>15</v>
      </c>
      <c r="B1186" t="s">
        <v>1694</v>
      </c>
      <c r="C1186">
        <v>32302</v>
      </c>
      <c r="D1186">
        <v>0</v>
      </c>
      <c r="E1186">
        <v>0</v>
      </c>
      <c r="F1186">
        <v>0</v>
      </c>
    </row>
    <row r="1187" spans="1:6" x14ac:dyDescent="0.25">
      <c r="A1187" t="s">
        <v>16</v>
      </c>
      <c r="B1187" t="s">
        <v>1695</v>
      </c>
      <c r="C1187">
        <v>32303</v>
      </c>
      <c r="D1187">
        <v>0</v>
      </c>
      <c r="E1187">
        <v>0</v>
      </c>
      <c r="F1187">
        <v>0</v>
      </c>
    </row>
    <row r="1188" spans="1:6" x14ac:dyDescent="0.25">
      <c r="A1188" t="s">
        <v>25</v>
      </c>
      <c r="B1188" t="s">
        <v>1696</v>
      </c>
      <c r="C1188">
        <v>32304</v>
      </c>
      <c r="D1188">
        <v>0</v>
      </c>
      <c r="E1188">
        <v>0</v>
      </c>
      <c r="F1188">
        <v>0</v>
      </c>
    </row>
    <row r="1189" spans="1:6" x14ac:dyDescent="0.25">
      <c r="A1189" t="s">
        <v>26</v>
      </c>
      <c r="B1189" t="s">
        <v>1680</v>
      </c>
      <c r="C1189">
        <v>32305</v>
      </c>
      <c r="D1189">
        <v>0</v>
      </c>
      <c r="E1189">
        <v>0</v>
      </c>
      <c r="F1189">
        <v>0</v>
      </c>
    </row>
    <row r="1190" spans="1:6" x14ac:dyDescent="0.25">
      <c r="A1190" t="s">
        <v>27</v>
      </c>
      <c r="B1190" t="s">
        <v>1681</v>
      </c>
      <c r="C1190">
        <v>32306</v>
      </c>
      <c r="D1190">
        <v>0</v>
      </c>
      <c r="E1190">
        <v>0</v>
      </c>
      <c r="F1190">
        <v>0</v>
      </c>
    </row>
    <row r="1191" spans="1:6" x14ac:dyDescent="0.25">
      <c r="A1191" t="s">
        <v>531</v>
      </c>
      <c r="B1191" t="s">
        <v>1682</v>
      </c>
      <c r="C1191">
        <v>32307</v>
      </c>
      <c r="D1191">
        <v>0</v>
      </c>
      <c r="E1191">
        <v>0</v>
      </c>
      <c r="F1191">
        <v>0</v>
      </c>
    </row>
    <row r="1192" spans="1:6" x14ac:dyDescent="0.25">
      <c r="A1192" t="s">
        <v>1583</v>
      </c>
      <c r="B1192" t="s">
        <v>1683</v>
      </c>
      <c r="C1192">
        <v>32308</v>
      </c>
      <c r="D1192">
        <v>0</v>
      </c>
      <c r="E1192">
        <v>0</v>
      </c>
      <c r="F1192">
        <v>0</v>
      </c>
    </row>
    <row r="1193" spans="1:6" x14ac:dyDescent="0.25">
      <c r="A1193" t="s">
        <v>1585</v>
      </c>
      <c r="B1193" t="s">
        <v>1684</v>
      </c>
      <c r="C1193">
        <v>32309</v>
      </c>
      <c r="D1193">
        <v>0</v>
      </c>
      <c r="E1193">
        <v>0</v>
      </c>
      <c r="F1193">
        <v>0</v>
      </c>
    </row>
    <row r="1194" spans="1:6" x14ac:dyDescent="0.25">
      <c r="A1194" t="s">
        <v>1587</v>
      </c>
      <c r="B1194" t="s">
        <v>1685</v>
      </c>
      <c r="C1194">
        <v>32310</v>
      </c>
      <c r="D1194">
        <v>0</v>
      </c>
      <c r="E1194">
        <v>0</v>
      </c>
      <c r="F1194">
        <v>0</v>
      </c>
    </row>
    <row r="1195" spans="1:6" x14ac:dyDescent="0.25">
      <c r="A1195" t="s">
        <v>1589</v>
      </c>
      <c r="B1195" t="s">
        <v>1686</v>
      </c>
      <c r="C1195">
        <v>32311</v>
      </c>
      <c r="D1195">
        <v>0</v>
      </c>
      <c r="E1195">
        <v>0</v>
      </c>
      <c r="F1195">
        <v>0</v>
      </c>
    </row>
    <row r="1196" spans="1:6" x14ac:dyDescent="0.25">
      <c r="A1196" t="s">
        <v>1591</v>
      </c>
      <c r="B1196" t="s">
        <v>1687</v>
      </c>
      <c r="C1196">
        <v>32312</v>
      </c>
      <c r="D1196">
        <v>0</v>
      </c>
      <c r="E1196">
        <v>0</v>
      </c>
      <c r="F1196">
        <v>0</v>
      </c>
    </row>
    <row r="1197" spans="1:6" x14ac:dyDescent="0.25">
      <c r="A1197" t="s">
        <v>1593</v>
      </c>
      <c r="B1197" t="s">
        <v>1688</v>
      </c>
      <c r="C1197">
        <v>32313</v>
      </c>
      <c r="D1197">
        <v>0</v>
      </c>
      <c r="E1197">
        <v>0</v>
      </c>
      <c r="F1197">
        <v>0</v>
      </c>
    </row>
    <row r="1198" spans="1:6" x14ac:dyDescent="0.25">
      <c r="A1198" t="s">
        <v>1595</v>
      </c>
      <c r="B1198" t="s">
        <v>1690</v>
      </c>
      <c r="C1198">
        <v>32314</v>
      </c>
      <c r="D1198">
        <v>0</v>
      </c>
      <c r="E1198">
        <v>0</v>
      </c>
      <c r="F1198">
        <v>0</v>
      </c>
    </row>
    <row r="1199" spans="1:6" x14ac:dyDescent="0.25">
      <c r="A1199" t="s">
        <v>1597</v>
      </c>
      <c r="B1199" t="s">
        <v>1637</v>
      </c>
      <c r="C1199">
        <v>32315</v>
      </c>
      <c r="D1199">
        <v>0</v>
      </c>
      <c r="E1199">
        <v>0</v>
      </c>
      <c r="F1199">
        <v>0</v>
      </c>
    </row>
    <row r="1200" spans="1:6" x14ac:dyDescent="0.25">
      <c r="A1200" t="s">
        <v>1599</v>
      </c>
      <c r="B1200" t="s">
        <v>1640</v>
      </c>
      <c r="C1200">
        <v>32316</v>
      </c>
      <c r="D1200">
        <v>0</v>
      </c>
      <c r="E1200">
        <v>0</v>
      </c>
      <c r="F1200">
        <v>0</v>
      </c>
    </row>
    <row r="1201" spans="1:6" x14ac:dyDescent="0.25">
      <c r="A1201" t="s">
        <v>1601</v>
      </c>
      <c r="B1201" t="s">
        <v>1636</v>
      </c>
      <c r="C1201">
        <v>32317</v>
      </c>
      <c r="D1201">
        <v>0</v>
      </c>
      <c r="E1201">
        <v>0</v>
      </c>
      <c r="F1201">
        <v>0</v>
      </c>
    </row>
    <row r="1202" spans="1:6" x14ac:dyDescent="0.25">
      <c r="A1202" t="s">
        <v>1603</v>
      </c>
      <c r="B1202" t="s">
        <v>1689</v>
      </c>
      <c r="C1202">
        <v>32318</v>
      </c>
      <c r="D1202">
        <v>0</v>
      </c>
      <c r="E1202">
        <v>0</v>
      </c>
      <c r="F1202">
        <v>0</v>
      </c>
    </row>
    <row r="1203" spans="1:6" x14ac:dyDescent="0.25">
      <c r="B1203" t="s">
        <v>1967</v>
      </c>
      <c r="D1203">
        <v>0</v>
      </c>
      <c r="E1203">
        <v>0</v>
      </c>
      <c r="F1203">
        <v>0</v>
      </c>
    </row>
    <row r="1204" spans="1:6" x14ac:dyDescent="0.25">
      <c r="B1204" t="s">
        <v>1785</v>
      </c>
    </row>
    <row r="1205" spans="1:6" x14ac:dyDescent="0.25">
      <c r="A1205" t="s">
        <v>2</v>
      </c>
      <c r="B1205" t="s">
        <v>1702</v>
      </c>
      <c r="C1205">
        <v>32401</v>
      </c>
      <c r="D1205">
        <v>0</v>
      </c>
      <c r="E1205">
        <v>0</v>
      </c>
      <c r="F1205">
        <v>0</v>
      </c>
    </row>
    <row r="1206" spans="1:6" x14ac:dyDescent="0.25">
      <c r="A1206" t="s">
        <v>15</v>
      </c>
      <c r="B1206" t="s">
        <v>1703</v>
      </c>
      <c r="C1206">
        <v>32402</v>
      </c>
      <c r="D1206">
        <v>0</v>
      </c>
      <c r="E1206">
        <v>0</v>
      </c>
      <c r="F1206">
        <v>0</v>
      </c>
    </row>
    <row r="1207" spans="1:6" x14ac:dyDescent="0.25">
      <c r="B1207" t="s">
        <v>1968</v>
      </c>
      <c r="D1207">
        <v>0</v>
      </c>
      <c r="E1207">
        <v>0</v>
      </c>
      <c r="F1207">
        <v>0</v>
      </c>
    </row>
    <row r="1208" spans="1:6" x14ac:dyDescent="0.25">
      <c r="B1208" t="s">
        <v>1787</v>
      </c>
    </row>
    <row r="1209" spans="1:6" x14ac:dyDescent="0.25">
      <c r="A1209" t="s">
        <v>2</v>
      </c>
      <c r="B1209" t="s">
        <v>1702</v>
      </c>
      <c r="C1209">
        <v>32501</v>
      </c>
      <c r="D1209">
        <v>0</v>
      </c>
      <c r="E1209">
        <v>0</v>
      </c>
      <c r="F1209">
        <v>0</v>
      </c>
    </row>
    <row r="1210" spans="1:6" x14ac:dyDescent="0.25">
      <c r="A1210" t="s">
        <v>15</v>
      </c>
      <c r="B1210" t="s">
        <v>1703</v>
      </c>
      <c r="C1210">
        <v>32502</v>
      </c>
      <c r="D1210">
        <v>0</v>
      </c>
      <c r="E1210">
        <v>0</v>
      </c>
      <c r="F1210">
        <v>0</v>
      </c>
    </row>
    <row r="1211" spans="1:6" x14ac:dyDescent="0.25">
      <c r="B1211" t="s">
        <v>1969</v>
      </c>
      <c r="D1211">
        <v>0</v>
      </c>
      <c r="E1211">
        <v>0</v>
      </c>
      <c r="F1211">
        <v>0</v>
      </c>
    </row>
    <row r="1212" spans="1:6" x14ac:dyDescent="0.25">
      <c r="B1212" t="s">
        <v>1789</v>
      </c>
    </row>
    <row r="1213" spans="1:6" x14ac:dyDescent="0.25">
      <c r="A1213" t="s">
        <v>2</v>
      </c>
      <c r="B1213" t="s">
        <v>1710</v>
      </c>
      <c r="C1213">
        <v>32601</v>
      </c>
      <c r="D1213">
        <v>0</v>
      </c>
      <c r="E1213">
        <v>0</v>
      </c>
      <c r="F1213">
        <v>0</v>
      </c>
    </row>
    <row r="1214" spans="1:6" x14ac:dyDescent="0.25">
      <c r="A1214" t="s">
        <v>15</v>
      </c>
      <c r="B1214" t="s">
        <v>1711</v>
      </c>
      <c r="C1214">
        <v>32602</v>
      </c>
      <c r="D1214">
        <v>0</v>
      </c>
      <c r="E1214">
        <v>0</v>
      </c>
      <c r="F1214">
        <v>0</v>
      </c>
    </row>
    <row r="1215" spans="1:6" x14ac:dyDescent="0.25">
      <c r="A1215" t="s">
        <v>16</v>
      </c>
      <c r="B1215" t="s">
        <v>1712</v>
      </c>
      <c r="C1215">
        <v>32603</v>
      </c>
      <c r="D1215">
        <v>0</v>
      </c>
      <c r="E1215">
        <v>0</v>
      </c>
      <c r="F1215">
        <v>0</v>
      </c>
    </row>
    <row r="1216" spans="1:6" x14ac:dyDescent="0.25">
      <c r="A1216" t="s">
        <v>25</v>
      </c>
      <c r="B1216" t="s">
        <v>1713</v>
      </c>
      <c r="C1216">
        <v>32604</v>
      </c>
      <c r="D1216">
        <v>0</v>
      </c>
      <c r="E1216">
        <v>0</v>
      </c>
      <c r="F1216">
        <v>0</v>
      </c>
    </row>
    <row r="1217" spans="1:6" x14ac:dyDescent="0.25">
      <c r="A1217" t="s">
        <v>26</v>
      </c>
      <c r="B1217" t="s">
        <v>1714</v>
      </c>
      <c r="C1217">
        <v>32605</v>
      </c>
      <c r="D1217">
        <v>0</v>
      </c>
      <c r="E1217">
        <v>0</v>
      </c>
      <c r="F1217">
        <v>0</v>
      </c>
    </row>
    <row r="1218" spans="1:6" x14ac:dyDescent="0.25">
      <c r="B1218" t="s">
        <v>1970</v>
      </c>
      <c r="D1218">
        <v>0</v>
      </c>
      <c r="E1218">
        <v>0</v>
      </c>
      <c r="F1218">
        <v>0</v>
      </c>
    </row>
    <row r="1219" spans="1:6" x14ac:dyDescent="0.25">
      <c r="B1219" t="s">
        <v>1660</v>
      </c>
      <c r="D1219">
        <v>0</v>
      </c>
      <c r="E1219">
        <v>0</v>
      </c>
      <c r="F1219">
        <v>0</v>
      </c>
    </row>
    <row r="1220" spans="1:6" x14ac:dyDescent="0.25">
      <c r="B1220" t="s">
        <v>1971</v>
      </c>
    </row>
    <row r="1221" spans="1:6" x14ac:dyDescent="0.25">
      <c r="B1221" t="s">
        <v>1575</v>
      </c>
    </row>
    <row r="1222" spans="1:6" x14ac:dyDescent="0.25">
      <c r="A1222" t="s">
        <v>2</v>
      </c>
      <c r="B1222" t="s">
        <v>1576</v>
      </c>
      <c r="C1222">
        <v>33101</v>
      </c>
      <c r="D1222">
        <v>0</v>
      </c>
      <c r="E1222">
        <v>0</v>
      </c>
      <c r="F1222">
        <v>0</v>
      </c>
    </row>
    <row r="1223" spans="1:6" x14ac:dyDescent="0.25">
      <c r="A1223" t="s">
        <v>15</v>
      </c>
      <c r="B1223" t="s">
        <v>1577</v>
      </c>
      <c r="C1223">
        <v>33102</v>
      </c>
      <c r="D1223">
        <v>0</v>
      </c>
      <c r="E1223">
        <v>0</v>
      </c>
      <c r="F1223">
        <v>0</v>
      </c>
    </row>
    <row r="1224" spans="1:6" x14ac:dyDescent="0.25">
      <c r="A1224" t="s">
        <v>16</v>
      </c>
      <c r="B1224" t="s">
        <v>1578</v>
      </c>
      <c r="C1224">
        <v>33103</v>
      </c>
      <c r="D1224">
        <v>0</v>
      </c>
      <c r="E1224">
        <v>0</v>
      </c>
      <c r="F1224">
        <v>0</v>
      </c>
    </row>
    <row r="1225" spans="1:6" x14ac:dyDescent="0.25">
      <c r="A1225" t="s">
        <v>25</v>
      </c>
      <c r="B1225" t="s">
        <v>1579</v>
      </c>
      <c r="C1225">
        <v>33104</v>
      </c>
      <c r="D1225">
        <v>0</v>
      </c>
      <c r="E1225">
        <v>0</v>
      </c>
      <c r="F1225">
        <v>0</v>
      </c>
    </row>
    <row r="1226" spans="1:6" x14ac:dyDescent="0.25">
      <c r="A1226" t="s">
        <v>26</v>
      </c>
      <c r="B1226" t="s">
        <v>1580</v>
      </c>
      <c r="C1226">
        <v>33105</v>
      </c>
      <c r="D1226">
        <v>0</v>
      </c>
      <c r="E1226">
        <v>0</v>
      </c>
      <c r="F1226">
        <v>0</v>
      </c>
    </row>
    <row r="1227" spans="1:6" x14ac:dyDescent="0.25">
      <c r="A1227" t="s">
        <v>27</v>
      </c>
      <c r="B1227" t="s">
        <v>1581</v>
      </c>
      <c r="C1227">
        <v>33106</v>
      </c>
      <c r="D1227">
        <v>0</v>
      </c>
      <c r="E1227">
        <v>0</v>
      </c>
      <c r="F1227">
        <v>0</v>
      </c>
    </row>
    <row r="1228" spans="1:6" x14ac:dyDescent="0.25">
      <c r="A1228" t="s">
        <v>531</v>
      </c>
      <c r="B1228" t="s">
        <v>1582</v>
      </c>
      <c r="C1228">
        <v>33107</v>
      </c>
      <c r="D1228">
        <v>0</v>
      </c>
      <c r="E1228">
        <v>0</v>
      </c>
      <c r="F1228">
        <v>0</v>
      </c>
    </row>
    <row r="1229" spans="1:6" x14ac:dyDescent="0.25">
      <c r="A1229" t="s">
        <v>1583</v>
      </c>
      <c r="B1229" t="s">
        <v>1584</v>
      </c>
      <c r="C1229">
        <v>33108</v>
      </c>
      <c r="D1229">
        <v>0</v>
      </c>
      <c r="E1229">
        <v>0</v>
      </c>
      <c r="F1229">
        <v>0</v>
      </c>
    </row>
    <row r="1230" spans="1:6" x14ac:dyDescent="0.25">
      <c r="A1230" t="s">
        <v>1585</v>
      </c>
      <c r="B1230" t="s">
        <v>1586</v>
      </c>
      <c r="C1230">
        <v>33109</v>
      </c>
      <c r="D1230">
        <v>0</v>
      </c>
      <c r="E1230">
        <v>0</v>
      </c>
      <c r="F1230">
        <v>0</v>
      </c>
    </row>
    <row r="1231" spans="1:6" x14ac:dyDescent="0.25">
      <c r="A1231" t="s">
        <v>1587</v>
      </c>
      <c r="B1231" t="s">
        <v>1588</v>
      </c>
      <c r="C1231">
        <v>33110</v>
      </c>
      <c r="D1231">
        <v>0</v>
      </c>
      <c r="E1231">
        <v>0</v>
      </c>
      <c r="F1231">
        <v>0</v>
      </c>
    </row>
    <row r="1232" spans="1:6" x14ac:dyDescent="0.25">
      <c r="A1232" t="s">
        <v>1589</v>
      </c>
      <c r="B1232" t="s">
        <v>1590</v>
      </c>
      <c r="C1232">
        <v>33111</v>
      </c>
      <c r="D1232">
        <v>0</v>
      </c>
      <c r="E1232">
        <v>0</v>
      </c>
      <c r="F1232">
        <v>0</v>
      </c>
    </row>
    <row r="1233" spans="1:6" x14ac:dyDescent="0.25">
      <c r="A1233" t="s">
        <v>1591</v>
      </c>
      <c r="B1233" t="s">
        <v>1592</v>
      </c>
      <c r="C1233">
        <v>33112</v>
      </c>
      <c r="D1233">
        <v>600</v>
      </c>
      <c r="E1233">
        <v>0</v>
      </c>
      <c r="F1233">
        <v>600</v>
      </c>
    </row>
    <row r="1234" spans="1:6" x14ac:dyDescent="0.25">
      <c r="A1234" t="s">
        <v>1593</v>
      </c>
      <c r="B1234" t="s">
        <v>1594</v>
      </c>
      <c r="C1234">
        <v>33113</v>
      </c>
      <c r="D1234">
        <v>0</v>
      </c>
      <c r="E1234">
        <v>0</v>
      </c>
      <c r="F1234">
        <v>0</v>
      </c>
    </row>
    <row r="1235" spans="1:6" x14ac:dyDescent="0.25">
      <c r="A1235" t="s">
        <v>1595</v>
      </c>
      <c r="B1235" t="s">
        <v>1596</v>
      </c>
      <c r="C1235">
        <v>33114</v>
      </c>
      <c r="D1235">
        <v>0</v>
      </c>
      <c r="E1235">
        <v>0</v>
      </c>
      <c r="F1235">
        <v>0</v>
      </c>
    </row>
    <row r="1236" spans="1:6" x14ac:dyDescent="0.25">
      <c r="A1236" t="s">
        <v>1597</v>
      </c>
      <c r="B1236" t="s">
        <v>1598</v>
      </c>
      <c r="C1236">
        <v>33115</v>
      </c>
      <c r="D1236">
        <v>170432</v>
      </c>
      <c r="E1236">
        <v>0</v>
      </c>
      <c r="F1236">
        <v>170432</v>
      </c>
    </row>
    <row r="1237" spans="1:6" x14ac:dyDescent="0.25">
      <c r="A1237" t="s">
        <v>1599</v>
      </c>
      <c r="B1237" t="s">
        <v>1600</v>
      </c>
      <c r="C1237">
        <v>33116</v>
      </c>
      <c r="D1237">
        <v>0</v>
      </c>
      <c r="E1237">
        <v>0</v>
      </c>
      <c r="F1237">
        <v>0</v>
      </c>
    </row>
    <row r="1238" spans="1:6" x14ac:dyDescent="0.25">
      <c r="A1238" t="s">
        <v>1601</v>
      </c>
      <c r="B1238" t="s">
        <v>1602</v>
      </c>
      <c r="C1238">
        <v>33117</v>
      </c>
      <c r="D1238">
        <v>0</v>
      </c>
      <c r="E1238">
        <v>0</v>
      </c>
      <c r="F1238">
        <v>0</v>
      </c>
    </row>
    <row r="1239" spans="1:6" x14ac:dyDescent="0.25">
      <c r="A1239" t="s">
        <v>1603</v>
      </c>
      <c r="B1239" t="s">
        <v>1604</v>
      </c>
      <c r="C1239">
        <v>33118</v>
      </c>
      <c r="D1239">
        <v>0</v>
      </c>
      <c r="E1239">
        <v>0</v>
      </c>
      <c r="F1239">
        <v>0</v>
      </c>
    </row>
    <row r="1240" spans="1:6" x14ac:dyDescent="0.25">
      <c r="A1240" t="s">
        <v>1605</v>
      </c>
      <c r="B1240" t="s">
        <v>1606</v>
      </c>
      <c r="C1240">
        <v>33119</v>
      </c>
      <c r="D1240">
        <v>0</v>
      </c>
      <c r="E1240">
        <v>0</v>
      </c>
      <c r="F1240">
        <v>0</v>
      </c>
    </row>
    <row r="1241" spans="1:6" x14ac:dyDescent="0.25">
      <c r="A1241" t="s">
        <v>1607</v>
      </c>
      <c r="B1241" t="s">
        <v>1608</v>
      </c>
      <c r="C1241">
        <v>33120</v>
      </c>
      <c r="D1241">
        <v>0</v>
      </c>
      <c r="E1241">
        <v>0</v>
      </c>
      <c r="F1241">
        <v>0</v>
      </c>
    </row>
    <row r="1242" spans="1:6" x14ac:dyDescent="0.25">
      <c r="B1242" t="s">
        <v>1972</v>
      </c>
      <c r="D1242">
        <v>171032</v>
      </c>
      <c r="E1242">
        <v>0</v>
      </c>
      <c r="F1242">
        <v>171032</v>
      </c>
    </row>
    <row r="1243" spans="1:6" x14ac:dyDescent="0.25">
      <c r="B1243" t="s">
        <v>1656</v>
      </c>
    </row>
    <row r="1244" spans="1:6" x14ac:dyDescent="0.25">
      <c r="A1244" t="s">
        <v>2</v>
      </c>
      <c r="B1244" t="s">
        <v>1611</v>
      </c>
      <c r="C1244">
        <v>33201</v>
      </c>
      <c r="D1244">
        <v>0</v>
      </c>
      <c r="E1244">
        <v>0</v>
      </c>
      <c r="F1244">
        <v>0</v>
      </c>
    </row>
    <row r="1245" spans="1:6" x14ac:dyDescent="0.25">
      <c r="A1245" t="s">
        <v>15</v>
      </c>
      <c r="B1245" t="s">
        <v>1973</v>
      </c>
      <c r="C1245">
        <v>33202</v>
      </c>
      <c r="D1245">
        <v>0</v>
      </c>
      <c r="E1245">
        <v>0</v>
      </c>
      <c r="F1245">
        <v>0</v>
      </c>
    </row>
    <row r="1246" spans="1:6" x14ac:dyDescent="0.25">
      <c r="A1246" t="s">
        <v>16</v>
      </c>
      <c r="B1246" t="s">
        <v>1613</v>
      </c>
      <c r="C1246">
        <v>33203</v>
      </c>
      <c r="D1246">
        <v>0</v>
      </c>
      <c r="E1246">
        <v>0</v>
      </c>
      <c r="F1246">
        <v>0</v>
      </c>
    </row>
    <row r="1247" spans="1:6" x14ac:dyDescent="0.25">
      <c r="A1247" t="s">
        <v>25</v>
      </c>
      <c r="B1247" t="s">
        <v>1614</v>
      </c>
      <c r="C1247">
        <v>33204</v>
      </c>
      <c r="D1247">
        <v>0</v>
      </c>
      <c r="E1247">
        <v>0</v>
      </c>
      <c r="F1247">
        <v>0</v>
      </c>
    </row>
    <row r="1248" spans="1:6" x14ac:dyDescent="0.25">
      <c r="A1248" t="s">
        <v>26</v>
      </c>
      <c r="B1248" t="s">
        <v>1615</v>
      </c>
      <c r="C1248">
        <v>33205</v>
      </c>
      <c r="D1248">
        <v>0</v>
      </c>
      <c r="E1248">
        <v>0</v>
      </c>
      <c r="F1248">
        <v>0</v>
      </c>
    </row>
    <row r="1249" spans="1:6" x14ac:dyDescent="0.25">
      <c r="A1249" t="s">
        <v>27</v>
      </c>
      <c r="B1249" t="s">
        <v>1616</v>
      </c>
      <c r="C1249">
        <v>33206</v>
      </c>
      <c r="D1249">
        <v>0</v>
      </c>
      <c r="E1249">
        <v>0</v>
      </c>
      <c r="F1249">
        <v>0</v>
      </c>
    </row>
    <row r="1250" spans="1:6" x14ac:dyDescent="0.25">
      <c r="A1250" t="s">
        <v>531</v>
      </c>
      <c r="B1250" t="s">
        <v>1617</v>
      </c>
      <c r="C1250">
        <v>33207</v>
      </c>
      <c r="D1250">
        <v>0</v>
      </c>
      <c r="E1250">
        <v>0</v>
      </c>
      <c r="F1250">
        <v>0</v>
      </c>
    </row>
    <row r="1251" spans="1:6" x14ac:dyDescent="0.25">
      <c r="A1251" t="s">
        <v>1583</v>
      </c>
      <c r="B1251" t="s">
        <v>1618</v>
      </c>
      <c r="C1251">
        <v>33208</v>
      </c>
      <c r="D1251">
        <v>0</v>
      </c>
      <c r="E1251">
        <v>0</v>
      </c>
      <c r="F1251">
        <v>0</v>
      </c>
    </row>
    <row r="1252" spans="1:6" x14ac:dyDescent="0.25">
      <c r="A1252" t="s">
        <v>1585</v>
      </c>
      <c r="B1252" t="s">
        <v>1619</v>
      </c>
      <c r="C1252">
        <v>33209</v>
      </c>
      <c r="D1252">
        <v>0</v>
      </c>
      <c r="E1252">
        <v>0</v>
      </c>
      <c r="F1252">
        <v>0</v>
      </c>
    </row>
    <row r="1253" spans="1:6" x14ac:dyDescent="0.25">
      <c r="A1253" t="s">
        <v>1587</v>
      </c>
      <c r="B1253" t="s">
        <v>1620</v>
      </c>
      <c r="C1253">
        <v>33210</v>
      </c>
      <c r="D1253">
        <v>0</v>
      </c>
      <c r="E1253">
        <v>0</v>
      </c>
      <c r="F1253">
        <v>0</v>
      </c>
    </row>
    <row r="1254" spans="1:6" x14ac:dyDescent="0.25">
      <c r="A1254" t="s">
        <v>1589</v>
      </c>
      <c r="B1254" t="s">
        <v>1621</v>
      </c>
      <c r="C1254">
        <v>33211</v>
      </c>
      <c r="D1254">
        <v>161</v>
      </c>
      <c r="E1254">
        <v>0</v>
      </c>
      <c r="F1254">
        <v>161</v>
      </c>
    </row>
    <row r="1255" spans="1:6" x14ac:dyDescent="0.25">
      <c r="A1255" t="s">
        <v>1591</v>
      </c>
      <c r="B1255" t="s">
        <v>1622</v>
      </c>
      <c r="C1255">
        <v>33212</v>
      </c>
      <c r="D1255">
        <v>364751</v>
      </c>
      <c r="E1255">
        <v>0</v>
      </c>
      <c r="F1255">
        <v>364751</v>
      </c>
    </row>
    <row r="1256" spans="1:6" x14ac:dyDescent="0.25">
      <c r="A1256" t="s">
        <v>1593</v>
      </c>
      <c r="B1256" t="s">
        <v>1623</v>
      </c>
      <c r="C1256">
        <v>33213</v>
      </c>
      <c r="D1256">
        <v>0</v>
      </c>
      <c r="E1256">
        <v>0</v>
      </c>
      <c r="F1256">
        <v>0</v>
      </c>
    </row>
    <row r="1257" spans="1:6" x14ac:dyDescent="0.25">
      <c r="A1257" t="s">
        <v>1595</v>
      </c>
      <c r="B1257" t="s">
        <v>1624</v>
      </c>
      <c r="C1257">
        <v>33214</v>
      </c>
      <c r="D1257">
        <v>0</v>
      </c>
      <c r="E1257">
        <v>0</v>
      </c>
      <c r="F1257">
        <v>0</v>
      </c>
    </row>
    <row r="1258" spans="1:6" x14ac:dyDescent="0.25">
      <c r="A1258" t="s">
        <v>1597</v>
      </c>
      <c r="B1258" t="s">
        <v>1625</v>
      </c>
      <c r="C1258">
        <v>33215</v>
      </c>
      <c r="D1258">
        <v>26268</v>
      </c>
      <c r="E1258">
        <v>0</v>
      </c>
      <c r="F1258">
        <v>26268</v>
      </c>
    </row>
    <row r="1259" spans="1:6" x14ac:dyDescent="0.25">
      <c r="A1259" t="s">
        <v>1599</v>
      </c>
      <c r="B1259" t="s">
        <v>1626</v>
      </c>
      <c r="C1259">
        <v>33216</v>
      </c>
      <c r="D1259">
        <v>0</v>
      </c>
      <c r="E1259">
        <v>657</v>
      </c>
      <c r="F1259">
        <v>657</v>
      </c>
    </row>
    <row r="1260" spans="1:6" x14ac:dyDescent="0.25">
      <c r="A1260" t="s">
        <v>1601</v>
      </c>
      <c r="B1260" t="s">
        <v>1627</v>
      </c>
      <c r="C1260">
        <v>33217</v>
      </c>
      <c r="D1260">
        <v>0</v>
      </c>
      <c r="E1260">
        <v>0</v>
      </c>
      <c r="F1260">
        <v>0</v>
      </c>
    </row>
    <row r="1261" spans="1:6" x14ac:dyDescent="0.25">
      <c r="A1261" t="s">
        <v>1603</v>
      </c>
      <c r="B1261" t="s">
        <v>1596</v>
      </c>
      <c r="C1261">
        <v>33218</v>
      </c>
      <c r="D1261">
        <v>0</v>
      </c>
      <c r="E1261">
        <v>0</v>
      </c>
      <c r="F1261">
        <v>0</v>
      </c>
    </row>
    <row r="1262" spans="1:6" x14ac:dyDescent="0.25">
      <c r="A1262" t="s">
        <v>1605</v>
      </c>
      <c r="B1262" t="s">
        <v>1598</v>
      </c>
      <c r="C1262">
        <v>33219</v>
      </c>
      <c r="D1262">
        <v>0</v>
      </c>
      <c r="E1262">
        <v>0</v>
      </c>
      <c r="F1262">
        <v>0</v>
      </c>
    </row>
    <row r="1263" spans="1:6" x14ac:dyDescent="0.25">
      <c r="A1263" t="s">
        <v>1607</v>
      </c>
      <c r="B1263" t="s">
        <v>1602</v>
      </c>
      <c r="C1263">
        <v>33220</v>
      </c>
      <c r="D1263">
        <v>0</v>
      </c>
      <c r="E1263">
        <v>0</v>
      </c>
      <c r="F1263">
        <v>0</v>
      </c>
    </row>
    <row r="1264" spans="1:6" x14ac:dyDescent="0.25">
      <c r="B1264" t="s">
        <v>1974</v>
      </c>
      <c r="D1264">
        <v>391180</v>
      </c>
      <c r="E1264">
        <v>657</v>
      </c>
      <c r="F1264">
        <v>391837</v>
      </c>
    </row>
    <row r="1265" spans="1:6" x14ac:dyDescent="0.25">
      <c r="B1265" t="s">
        <v>1629</v>
      </c>
    </row>
    <row r="1266" spans="1:6" x14ac:dyDescent="0.25">
      <c r="A1266" t="s">
        <v>2</v>
      </c>
      <c r="B1266" t="s">
        <v>1627</v>
      </c>
      <c r="C1266">
        <v>33301</v>
      </c>
      <c r="D1266">
        <v>0</v>
      </c>
      <c r="E1266">
        <v>0</v>
      </c>
      <c r="F1266">
        <v>0</v>
      </c>
    </row>
    <row r="1267" spans="1:6" x14ac:dyDescent="0.25">
      <c r="A1267" t="s">
        <v>15</v>
      </c>
      <c r="B1267" t="s">
        <v>1625</v>
      </c>
      <c r="C1267">
        <v>33302</v>
      </c>
      <c r="D1267">
        <v>0</v>
      </c>
      <c r="E1267">
        <v>0</v>
      </c>
      <c r="F1267">
        <v>0</v>
      </c>
    </row>
    <row r="1268" spans="1:6" x14ac:dyDescent="0.25">
      <c r="A1268" t="s">
        <v>16</v>
      </c>
      <c r="B1268" t="s">
        <v>1626</v>
      </c>
      <c r="C1268">
        <v>33303</v>
      </c>
      <c r="D1268">
        <v>0</v>
      </c>
      <c r="E1268">
        <v>0</v>
      </c>
      <c r="F1268">
        <v>0</v>
      </c>
    </row>
    <row r="1269" spans="1:6" x14ac:dyDescent="0.25">
      <c r="B1269" t="s">
        <v>1975</v>
      </c>
      <c r="D1269">
        <v>0</v>
      </c>
      <c r="E1269">
        <v>0</v>
      </c>
      <c r="F1269">
        <v>0</v>
      </c>
    </row>
    <row r="1270" spans="1:6" x14ac:dyDescent="0.25">
      <c r="B1270" t="s">
        <v>1631</v>
      </c>
    </row>
    <row r="1271" spans="1:6" x14ac:dyDescent="0.25">
      <c r="A1271" t="s">
        <v>2</v>
      </c>
      <c r="B1271" t="s">
        <v>1627</v>
      </c>
      <c r="C1271">
        <v>33401</v>
      </c>
      <c r="D1271">
        <v>0</v>
      </c>
      <c r="E1271">
        <v>0</v>
      </c>
      <c r="F1271">
        <v>0</v>
      </c>
    </row>
    <row r="1272" spans="1:6" x14ac:dyDescent="0.25">
      <c r="A1272" t="s">
        <v>15</v>
      </c>
      <c r="B1272" t="s">
        <v>1625</v>
      </c>
      <c r="C1272">
        <v>33402</v>
      </c>
      <c r="D1272">
        <v>0</v>
      </c>
      <c r="E1272">
        <v>0</v>
      </c>
      <c r="F1272">
        <v>0</v>
      </c>
    </row>
    <row r="1273" spans="1:6" x14ac:dyDescent="0.25">
      <c r="A1273" t="s">
        <v>16</v>
      </c>
      <c r="B1273" t="s">
        <v>1626</v>
      </c>
      <c r="C1273">
        <v>33403</v>
      </c>
      <c r="D1273">
        <v>0</v>
      </c>
      <c r="E1273">
        <v>0</v>
      </c>
      <c r="F1273">
        <v>0</v>
      </c>
    </row>
    <row r="1274" spans="1:6" x14ac:dyDescent="0.25">
      <c r="B1274" t="s">
        <v>1976</v>
      </c>
      <c r="D1274">
        <v>0</v>
      </c>
      <c r="E1274">
        <v>0</v>
      </c>
      <c r="F1274">
        <v>0</v>
      </c>
    </row>
    <row r="1275" spans="1:6" x14ac:dyDescent="0.25">
      <c r="B1275" t="s">
        <v>1633</v>
      </c>
    </row>
    <row r="1276" spans="1:6" x14ac:dyDescent="0.25">
      <c r="A1276" t="s">
        <v>2</v>
      </c>
      <c r="B1276" t="s">
        <v>1634</v>
      </c>
      <c r="C1276">
        <v>33501</v>
      </c>
      <c r="D1276">
        <v>0</v>
      </c>
      <c r="E1276">
        <v>0</v>
      </c>
      <c r="F1276">
        <v>0</v>
      </c>
    </row>
    <row r="1277" spans="1:6" x14ac:dyDescent="0.25">
      <c r="A1277" t="s">
        <v>15</v>
      </c>
      <c r="B1277" t="s">
        <v>1635</v>
      </c>
      <c r="C1277">
        <v>33502</v>
      </c>
      <c r="D1277">
        <v>0</v>
      </c>
      <c r="E1277">
        <v>0</v>
      </c>
      <c r="F1277">
        <v>0</v>
      </c>
    </row>
    <row r="1278" spans="1:6" x14ac:dyDescent="0.25">
      <c r="A1278" t="s">
        <v>16</v>
      </c>
      <c r="B1278" t="s">
        <v>1636</v>
      </c>
      <c r="C1278">
        <v>33503</v>
      </c>
      <c r="D1278">
        <v>0</v>
      </c>
      <c r="E1278">
        <v>0</v>
      </c>
      <c r="F1278">
        <v>0</v>
      </c>
    </row>
    <row r="1279" spans="1:6" x14ac:dyDescent="0.25">
      <c r="A1279" t="s">
        <v>25</v>
      </c>
      <c r="B1279" t="s">
        <v>1637</v>
      </c>
      <c r="C1279">
        <v>33504</v>
      </c>
      <c r="D1279">
        <v>0</v>
      </c>
      <c r="E1279">
        <v>0</v>
      </c>
      <c r="F1279">
        <v>0</v>
      </c>
    </row>
    <row r="1280" spans="1:6" x14ac:dyDescent="0.25">
      <c r="A1280" t="s">
        <v>26</v>
      </c>
      <c r="B1280" t="s">
        <v>1638</v>
      </c>
      <c r="C1280">
        <v>33505</v>
      </c>
      <c r="D1280">
        <v>0</v>
      </c>
      <c r="E1280">
        <v>0</v>
      </c>
      <c r="F1280">
        <v>0</v>
      </c>
    </row>
    <row r="1281" spans="1:6" x14ac:dyDescent="0.25">
      <c r="A1281" t="s">
        <v>27</v>
      </c>
      <c r="B1281" t="s">
        <v>1639</v>
      </c>
      <c r="C1281">
        <v>33506</v>
      </c>
      <c r="D1281">
        <v>0</v>
      </c>
      <c r="E1281">
        <v>0</v>
      </c>
      <c r="F1281">
        <v>0</v>
      </c>
    </row>
    <row r="1282" spans="1:6" x14ac:dyDescent="0.25">
      <c r="A1282" t="s">
        <v>531</v>
      </c>
      <c r="B1282" t="s">
        <v>1640</v>
      </c>
      <c r="C1282">
        <v>33507</v>
      </c>
      <c r="D1282">
        <v>0</v>
      </c>
      <c r="E1282">
        <v>0</v>
      </c>
      <c r="F1282">
        <v>0</v>
      </c>
    </row>
    <row r="1283" spans="1:6" x14ac:dyDescent="0.25">
      <c r="A1283" t="s">
        <v>1583</v>
      </c>
      <c r="B1283" t="s">
        <v>1641</v>
      </c>
      <c r="C1283">
        <v>33508</v>
      </c>
      <c r="D1283">
        <v>0</v>
      </c>
      <c r="E1283">
        <v>0</v>
      </c>
      <c r="F1283">
        <v>0</v>
      </c>
    </row>
    <row r="1284" spans="1:6" x14ac:dyDescent="0.25">
      <c r="B1284" t="s">
        <v>1977</v>
      </c>
      <c r="D1284">
        <v>0</v>
      </c>
      <c r="E1284">
        <v>0</v>
      </c>
      <c r="F1284">
        <v>0</v>
      </c>
    </row>
    <row r="1285" spans="1:6" x14ac:dyDescent="0.25">
      <c r="B1285" t="s">
        <v>2287</v>
      </c>
    </row>
    <row r="1286" spans="1:6" x14ac:dyDescent="0.25">
      <c r="A1286" t="s">
        <v>2</v>
      </c>
      <c r="B1286" t="s">
        <v>1634</v>
      </c>
      <c r="C1286">
        <v>33601</v>
      </c>
      <c r="D1286">
        <v>0</v>
      </c>
      <c r="E1286">
        <v>0</v>
      </c>
      <c r="F1286">
        <v>0</v>
      </c>
    </row>
    <row r="1287" spans="1:6" x14ac:dyDescent="0.25">
      <c r="A1287" t="s">
        <v>15</v>
      </c>
      <c r="B1287" t="s">
        <v>1635</v>
      </c>
      <c r="C1287">
        <v>33602</v>
      </c>
      <c r="D1287">
        <v>0</v>
      </c>
      <c r="E1287">
        <v>0</v>
      </c>
      <c r="F1287">
        <v>0</v>
      </c>
    </row>
    <row r="1288" spans="1:6" x14ac:dyDescent="0.25">
      <c r="A1288" t="s">
        <v>16</v>
      </c>
      <c r="B1288" t="s">
        <v>1636</v>
      </c>
      <c r="C1288">
        <v>33603</v>
      </c>
      <c r="D1288">
        <v>0</v>
      </c>
      <c r="E1288">
        <v>0</v>
      </c>
      <c r="F1288">
        <v>0</v>
      </c>
    </row>
    <row r="1289" spans="1:6" x14ac:dyDescent="0.25">
      <c r="A1289" t="s">
        <v>25</v>
      </c>
      <c r="B1289" t="s">
        <v>1637</v>
      </c>
      <c r="C1289">
        <v>33604</v>
      </c>
      <c r="D1289">
        <v>0</v>
      </c>
      <c r="E1289">
        <v>0</v>
      </c>
      <c r="F1289">
        <v>0</v>
      </c>
    </row>
    <row r="1290" spans="1:6" x14ac:dyDescent="0.25">
      <c r="A1290" t="s">
        <v>26</v>
      </c>
      <c r="B1290" t="s">
        <v>1638</v>
      </c>
      <c r="C1290">
        <v>33605</v>
      </c>
      <c r="D1290">
        <v>0</v>
      </c>
      <c r="E1290">
        <v>0</v>
      </c>
      <c r="F1290">
        <v>0</v>
      </c>
    </row>
    <row r="1291" spans="1:6" x14ac:dyDescent="0.25">
      <c r="A1291" t="s">
        <v>27</v>
      </c>
      <c r="B1291" t="s">
        <v>1639</v>
      </c>
      <c r="C1291">
        <v>33606</v>
      </c>
      <c r="D1291">
        <v>0</v>
      </c>
      <c r="E1291">
        <v>0</v>
      </c>
      <c r="F1291">
        <v>0</v>
      </c>
    </row>
    <row r="1292" spans="1:6" x14ac:dyDescent="0.25">
      <c r="A1292" t="s">
        <v>531</v>
      </c>
      <c r="B1292" t="s">
        <v>1640</v>
      </c>
      <c r="C1292">
        <v>33607</v>
      </c>
      <c r="D1292">
        <v>0</v>
      </c>
      <c r="E1292">
        <v>0</v>
      </c>
      <c r="F1292">
        <v>0</v>
      </c>
    </row>
    <row r="1293" spans="1:6" x14ac:dyDescent="0.25">
      <c r="A1293" t="s">
        <v>1583</v>
      </c>
      <c r="B1293" t="s">
        <v>1641</v>
      </c>
      <c r="C1293">
        <v>33608</v>
      </c>
      <c r="D1293">
        <v>0</v>
      </c>
      <c r="E1293">
        <v>0</v>
      </c>
      <c r="F1293">
        <v>0</v>
      </c>
    </row>
    <row r="1294" spans="1:6" x14ac:dyDescent="0.25">
      <c r="B1294" t="s">
        <v>1978</v>
      </c>
      <c r="D1294">
        <v>0</v>
      </c>
      <c r="E1294">
        <v>0</v>
      </c>
      <c r="F1294">
        <v>0</v>
      </c>
    </row>
    <row r="1295" spans="1:6" x14ac:dyDescent="0.25">
      <c r="B1295" t="s">
        <v>2288</v>
      </c>
    </row>
    <row r="1296" spans="1:6" x14ac:dyDescent="0.25">
      <c r="A1296" t="s">
        <v>2</v>
      </c>
      <c r="B1296" t="s">
        <v>1634</v>
      </c>
      <c r="C1296">
        <v>33701</v>
      </c>
      <c r="D1296">
        <v>0</v>
      </c>
      <c r="E1296">
        <v>0</v>
      </c>
      <c r="F1296">
        <v>0</v>
      </c>
    </row>
    <row r="1297" spans="1:6" x14ac:dyDescent="0.25">
      <c r="A1297" t="s">
        <v>15</v>
      </c>
      <c r="B1297" t="s">
        <v>1635</v>
      </c>
      <c r="C1297">
        <v>33702</v>
      </c>
      <c r="D1297">
        <v>0</v>
      </c>
      <c r="E1297">
        <v>0</v>
      </c>
      <c r="F1297">
        <v>0</v>
      </c>
    </row>
    <row r="1298" spans="1:6" x14ac:dyDescent="0.25">
      <c r="A1298" t="s">
        <v>16</v>
      </c>
      <c r="B1298" t="s">
        <v>1636</v>
      </c>
      <c r="C1298">
        <v>33703</v>
      </c>
      <c r="D1298">
        <v>0</v>
      </c>
      <c r="E1298">
        <v>0</v>
      </c>
      <c r="F1298">
        <v>0</v>
      </c>
    </row>
    <row r="1299" spans="1:6" x14ac:dyDescent="0.25">
      <c r="A1299" t="s">
        <v>25</v>
      </c>
      <c r="B1299" t="s">
        <v>1637</v>
      </c>
      <c r="C1299">
        <v>33704</v>
      </c>
      <c r="D1299">
        <v>0</v>
      </c>
      <c r="E1299">
        <v>0</v>
      </c>
      <c r="F1299">
        <v>0</v>
      </c>
    </row>
    <row r="1300" spans="1:6" x14ac:dyDescent="0.25">
      <c r="A1300" t="s">
        <v>26</v>
      </c>
      <c r="B1300" t="s">
        <v>1638</v>
      </c>
      <c r="C1300">
        <v>33705</v>
      </c>
      <c r="D1300">
        <v>0</v>
      </c>
      <c r="E1300">
        <v>0</v>
      </c>
      <c r="F1300">
        <v>0</v>
      </c>
    </row>
    <row r="1301" spans="1:6" x14ac:dyDescent="0.25">
      <c r="A1301" t="s">
        <v>27</v>
      </c>
      <c r="B1301" t="s">
        <v>1639</v>
      </c>
      <c r="C1301">
        <v>33706</v>
      </c>
      <c r="D1301">
        <v>0</v>
      </c>
      <c r="E1301">
        <v>0</v>
      </c>
      <c r="F1301">
        <v>0</v>
      </c>
    </row>
    <row r="1302" spans="1:6" x14ac:dyDescent="0.25">
      <c r="A1302" t="s">
        <v>531</v>
      </c>
      <c r="B1302" t="s">
        <v>1640</v>
      </c>
      <c r="C1302">
        <v>33707</v>
      </c>
      <c r="D1302">
        <v>0</v>
      </c>
      <c r="E1302">
        <v>0</v>
      </c>
      <c r="F1302">
        <v>0</v>
      </c>
    </row>
    <row r="1303" spans="1:6" x14ac:dyDescent="0.25">
      <c r="A1303" t="s">
        <v>1583</v>
      </c>
      <c r="B1303" t="s">
        <v>1641</v>
      </c>
      <c r="C1303">
        <v>33708</v>
      </c>
      <c r="D1303">
        <v>0</v>
      </c>
      <c r="E1303">
        <v>0</v>
      </c>
      <c r="F1303">
        <v>0</v>
      </c>
    </row>
    <row r="1304" spans="1:6" x14ac:dyDescent="0.25">
      <c r="B1304" t="s">
        <v>1979</v>
      </c>
      <c r="D1304">
        <v>0</v>
      </c>
      <c r="E1304">
        <v>0</v>
      </c>
      <c r="F1304">
        <v>0</v>
      </c>
    </row>
    <row r="1305" spans="1:6" x14ac:dyDescent="0.25">
      <c r="B1305" t="s">
        <v>1647</v>
      </c>
    </row>
    <row r="1306" spans="1:6" x14ac:dyDescent="0.25">
      <c r="A1306" t="s">
        <v>2</v>
      </c>
      <c r="B1306" t="s">
        <v>1648</v>
      </c>
      <c r="C1306">
        <v>33801</v>
      </c>
      <c r="D1306">
        <v>0</v>
      </c>
      <c r="E1306">
        <v>0</v>
      </c>
      <c r="F1306">
        <v>0</v>
      </c>
    </row>
    <row r="1307" spans="1:6" x14ac:dyDescent="0.25">
      <c r="A1307" t="s">
        <v>15</v>
      </c>
      <c r="B1307" t="s">
        <v>1649</v>
      </c>
      <c r="C1307">
        <v>33802</v>
      </c>
      <c r="D1307">
        <v>0</v>
      </c>
      <c r="E1307">
        <v>0</v>
      </c>
      <c r="F1307">
        <v>0</v>
      </c>
    </row>
    <row r="1308" spans="1:6" x14ac:dyDescent="0.25">
      <c r="A1308" t="s">
        <v>16</v>
      </c>
      <c r="B1308" t="s">
        <v>1637</v>
      </c>
      <c r="C1308">
        <v>33803</v>
      </c>
      <c r="D1308">
        <v>0</v>
      </c>
      <c r="E1308">
        <v>0</v>
      </c>
      <c r="F1308">
        <v>0</v>
      </c>
    </row>
    <row r="1309" spans="1:6" x14ac:dyDescent="0.25">
      <c r="A1309" t="s">
        <v>25</v>
      </c>
      <c r="B1309" t="s">
        <v>1638</v>
      </c>
      <c r="C1309">
        <v>33804</v>
      </c>
      <c r="D1309">
        <v>0</v>
      </c>
      <c r="E1309">
        <v>0</v>
      </c>
      <c r="F1309">
        <v>0</v>
      </c>
    </row>
    <row r="1310" spans="1:6" x14ac:dyDescent="0.25">
      <c r="A1310" t="s">
        <v>26</v>
      </c>
      <c r="B1310" t="s">
        <v>1650</v>
      </c>
      <c r="C1310">
        <v>33805</v>
      </c>
      <c r="D1310">
        <v>0</v>
      </c>
      <c r="E1310">
        <v>0</v>
      </c>
      <c r="F1310">
        <v>0</v>
      </c>
    </row>
    <row r="1311" spans="1:6" x14ac:dyDescent="0.25">
      <c r="A1311" t="s">
        <v>27</v>
      </c>
      <c r="B1311" t="s">
        <v>1651</v>
      </c>
      <c r="C1311">
        <v>33806</v>
      </c>
      <c r="D1311">
        <v>0</v>
      </c>
      <c r="E1311">
        <v>0</v>
      </c>
      <c r="F1311">
        <v>0</v>
      </c>
    </row>
    <row r="1312" spans="1:6" x14ac:dyDescent="0.25">
      <c r="A1312" t="s">
        <v>531</v>
      </c>
      <c r="B1312" t="s">
        <v>1640</v>
      </c>
      <c r="C1312">
        <v>33807</v>
      </c>
      <c r="D1312">
        <v>0</v>
      </c>
      <c r="E1312">
        <v>0</v>
      </c>
      <c r="F1312">
        <v>0</v>
      </c>
    </row>
    <row r="1313" spans="1:6" x14ac:dyDescent="0.25">
      <c r="A1313" t="s">
        <v>1583</v>
      </c>
      <c r="B1313" t="s">
        <v>1641</v>
      </c>
      <c r="C1313">
        <v>33808</v>
      </c>
      <c r="D1313">
        <v>0</v>
      </c>
      <c r="E1313">
        <v>0</v>
      </c>
      <c r="F1313">
        <v>0</v>
      </c>
    </row>
    <row r="1314" spans="1:6" x14ac:dyDescent="0.25">
      <c r="B1314" t="s">
        <v>1980</v>
      </c>
      <c r="D1314">
        <v>0</v>
      </c>
      <c r="E1314">
        <v>0</v>
      </c>
      <c r="F1314">
        <v>0</v>
      </c>
    </row>
    <row r="1315" spans="1:6" x14ac:dyDescent="0.25">
      <c r="B1315" t="s">
        <v>1670</v>
      </c>
      <c r="D1315">
        <v>562212</v>
      </c>
      <c r="E1315">
        <v>657</v>
      </c>
      <c r="F1315">
        <v>562869</v>
      </c>
    </row>
    <row r="1316" spans="1:6" x14ac:dyDescent="0.25">
      <c r="B1316" t="s">
        <v>1981</v>
      </c>
    </row>
    <row r="1317" spans="1:6" x14ac:dyDescent="0.25">
      <c r="B1317" t="s">
        <v>1575</v>
      </c>
    </row>
    <row r="1318" spans="1:6" x14ac:dyDescent="0.25">
      <c r="A1318" t="s">
        <v>2</v>
      </c>
      <c r="B1318" t="s">
        <v>1576</v>
      </c>
      <c r="C1318">
        <v>34101</v>
      </c>
      <c r="D1318">
        <v>0</v>
      </c>
      <c r="E1318">
        <v>0</v>
      </c>
      <c r="F1318">
        <v>0</v>
      </c>
    </row>
    <row r="1319" spans="1:6" x14ac:dyDescent="0.25">
      <c r="A1319" t="s">
        <v>15</v>
      </c>
      <c r="B1319" t="s">
        <v>1577</v>
      </c>
      <c r="C1319">
        <v>34102</v>
      </c>
      <c r="D1319">
        <v>0</v>
      </c>
      <c r="E1319">
        <v>0</v>
      </c>
      <c r="F1319">
        <v>0</v>
      </c>
    </row>
    <row r="1320" spans="1:6" x14ac:dyDescent="0.25">
      <c r="A1320" t="s">
        <v>16</v>
      </c>
      <c r="B1320" t="s">
        <v>1578</v>
      </c>
      <c r="C1320">
        <v>34103</v>
      </c>
      <c r="D1320">
        <v>0</v>
      </c>
      <c r="E1320">
        <v>0</v>
      </c>
      <c r="F1320">
        <v>0</v>
      </c>
    </row>
    <row r="1321" spans="1:6" x14ac:dyDescent="0.25">
      <c r="A1321" t="s">
        <v>25</v>
      </c>
      <c r="B1321" t="s">
        <v>1579</v>
      </c>
      <c r="C1321">
        <v>34104</v>
      </c>
      <c r="D1321">
        <v>0</v>
      </c>
      <c r="E1321">
        <v>0</v>
      </c>
      <c r="F1321">
        <v>0</v>
      </c>
    </row>
    <row r="1322" spans="1:6" x14ac:dyDescent="0.25">
      <c r="A1322" t="s">
        <v>26</v>
      </c>
      <c r="B1322" t="s">
        <v>1580</v>
      </c>
      <c r="C1322">
        <v>34105</v>
      </c>
      <c r="D1322">
        <v>0</v>
      </c>
      <c r="E1322">
        <v>0</v>
      </c>
      <c r="F1322">
        <v>0</v>
      </c>
    </row>
    <row r="1323" spans="1:6" x14ac:dyDescent="0.25">
      <c r="A1323" t="s">
        <v>27</v>
      </c>
      <c r="B1323" t="s">
        <v>1581</v>
      </c>
      <c r="C1323">
        <v>34106</v>
      </c>
      <c r="D1323">
        <v>0</v>
      </c>
      <c r="E1323">
        <v>0</v>
      </c>
      <c r="F1323">
        <v>0</v>
      </c>
    </row>
    <row r="1324" spans="1:6" x14ac:dyDescent="0.25">
      <c r="A1324" t="s">
        <v>531</v>
      </c>
      <c r="B1324" t="s">
        <v>1582</v>
      </c>
      <c r="C1324">
        <v>34107</v>
      </c>
      <c r="D1324">
        <v>0</v>
      </c>
      <c r="E1324">
        <v>0</v>
      </c>
      <c r="F1324">
        <v>0</v>
      </c>
    </row>
    <row r="1325" spans="1:6" x14ac:dyDescent="0.25">
      <c r="A1325" t="s">
        <v>1583</v>
      </c>
      <c r="B1325" t="s">
        <v>1584</v>
      </c>
      <c r="C1325">
        <v>34108</v>
      </c>
      <c r="D1325">
        <v>0</v>
      </c>
      <c r="E1325">
        <v>0</v>
      </c>
      <c r="F1325">
        <v>0</v>
      </c>
    </row>
    <row r="1326" spans="1:6" x14ac:dyDescent="0.25">
      <c r="A1326" t="s">
        <v>1585</v>
      </c>
      <c r="B1326" t="s">
        <v>1586</v>
      </c>
      <c r="C1326">
        <v>34109</v>
      </c>
      <c r="D1326">
        <v>0</v>
      </c>
      <c r="E1326">
        <v>0</v>
      </c>
      <c r="F1326">
        <v>0</v>
      </c>
    </row>
    <row r="1327" spans="1:6" x14ac:dyDescent="0.25">
      <c r="A1327" t="s">
        <v>1587</v>
      </c>
      <c r="B1327" t="s">
        <v>1588</v>
      </c>
      <c r="C1327">
        <v>34110</v>
      </c>
      <c r="D1327">
        <v>0</v>
      </c>
      <c r="E1327">
        <v>0</v>
      </c>
      <c r="F1327">
        <v>0</v>
      </c>
    </row>
    <row r="1328" spans="1:6" x14ac:dyDescent="0.25">
      <c r="A1328" t="s">
        <v>1589</v>
      </c>
      <c r="B1328" t="s">
        <v>1590</v>
      </c>
      <c r="C1328">
        <v>34111</v>
      </c>
      <c r="D1328">
        <v>0</v>
      </c>
      <c r="E1328">
        <v>0</v>
      </c>
      <c r="F1328">
        <v>0</v>
      </c>
    </row>
    <row r="1329" spans="1:6" x14ac:dyDescent="0.25">
      <c r="A1329" t="s">
        <v>1591</v>
      </c>
      <c r="B1329" t="s">
        <v>1592</v>
      </c>
      <c r="C1329">
        <v>34112</v>
      </c>
      <c r="D1329">
        <v>0</v>
      </c>
      <c r="E1329">
        <v>0</v>
      </c>
      <c r="F1329">
        <v>0</v>
      </c>
    </row>
    <row r="1330" spans="1:6" x14ac:dyDescent="0.25">
      <c r="A1330" t="s">
        <v>1593</v>
      </c>
      <c r="B1330" t="s">
        <v>1594</v>
      </c>
      <c r="C1330">
        <v>34113</v>
      </c>
      <c r="D1330">
        <v>0</v>
      </c>
      <c r="E1330">
        <v>0</v>
      </c>
      <c r="F1330">
        <v>0</v>
      </c>
    </row>
    <row r="1331" spans="1:6" x14ac:dyDescent="0.25">
      <c r="A1331" t="s">
        <v>1595</v>
      </c>
      <c r="B1331" t="s">
        <v>1596</v>
      </c>
      <c r="C1331">
        <v>34114</v>
      </c>
      <c r="D1331">
        <v>0</v>
      </c>
      <c r="E1331">
        <v>0</v>
      </c>
      <c r="F1331">
        <v>0</v>
      </c>
    </row>
    <row r="1332" spans="1:6" x14ac:dyDescent="0.25">
      <c r="A1332" t="s">
        <v>1597</v>
      </c>
      <c r="B1332" t="s">
        <v>1598</v>
      </c>
      <c r="C1332">
        <v>34115</v>
      </c>
      <c r="D1332">
        <v>244674</v>
      </c>
      <c r="E1332">
        <v>0</v>
      </c>
      <c r="F1332">
        <v>244674</v>
      </c>
    </row>
    <row r="1333" spans="1:6" x14ac:dyDescent="0.25">
      <c r="A1333" t="s">
        <v>1599</v>
      </c>
      <c r="B1333" t="s">
        <v>1600</v>
      </c>
      <c r="C1333">
        <v>34116</v>
      </c>
      <c r="D1333">
        <v>0</v>
      </c>
      <c r="E1333">
        <v>0</v>
      </c>
      <c r="F1333">
        <v>0</v>
      </c>
    </row>
    <row r="1334" spans="1:6" x14ac:dyDescent="0.25">
      <c r="A1334" t="s">
        <v>1601</v>
      </c>
      <c r="B1334" t="s">
        <v>1602</v>
      </c>
      <c r="C1334">
        <v>34117</v>
      </c>
      <c r="D1334">
        <v>0</v>
      </c>
      <c r="E1334">
        <v>0</v>
      </c>
      <c r="F1334">
        <v>0</v>
      </c>
    </row>
    <row r="1335" spans="1:6" x14ac:dyDescent="0.25">
      <c r="A1335" t="s">
        <v>1603</v>
      </c>
      <c r="B1335" t="s">
        <v>1604</v>
      </c>
      <c r="C1335">
        <v>34118</v>
      </c>
      <c r="D1335">
        <v>0</v>
      </c>
      <c r="E1335">
        <v>0</v>
      </c>
      <c r="F1335">
        <v>0</v>
      </c>
    </row>
    <row r="1336" spans="1:6" x14ac:dyDescent="0.25">
      <c r="A1336" t="s">
        <v>1605</v>
      </c>
      <c r="B1336" t="s">
        <v>1606</v>
      </c>
      <c r="C1336">
        <v>34119</v>
      </c>
      <c r="D1336">
        <v>0</v>
      </c>
      <c r="E1336">
        <v>0</v>
      </c>
      <c r="F1336">
        <v>0</v>
      </c>
    </row>
    <row r="1337" spans="1:6" x14ac:dyDescent="0.25">
      <c r="A1337" t="s">
        <v>1607</v>
      </c>
      <c r="B1337" t="s">
        <v>1608</v>
      </c>
      <c r="C1337">
        <v>34120</v>
      </c>
      <c r="D1337">
        <v>0</v>
      </c>
      <c r="E1337">
        <v>0</v>
      </c>
      <c r="F1337">
        <v>0</v>
      </c>
    </row>
    <row r="1338" spans="1:6" x14ac:dyDescent="0.25">
      <c r="B1338" t="s">
        <v>1982</v>
      </c>
      <c r="D1338">
        <v>244674</v>
      </c>
      <c r="E1338">
        <v>0</v>
      </c>
      <c r="F1338">
        <v>244674</v>
      </c>
    </row>
    <row r="1339" spans="1:6" x14ac:dyDescent="0.25">
      <c r="B1339" t="s">
        <v>1656</v>
      </c>
    </row>
    <row r="1340" spans="1:6" x14ac:dyDescent="0.25">
      <c r="A1340" t="s">
        <v>2</v>
      </c>
      <c r="B1340" t="s">
        <v>1611</v>
      </c>
      <c r="C1340">
        <v>34201</v>
      </c>
      <c r="D1340">
        <v>0</v>
      </c>
      <c r="E1340">
        <v>0</v>
      </c>
      <c r="F1340">
        <v>0</v>
      </c>
    </row>
    <row r="1341" spans="1:6" x14ac:dyDescent="0.25">
      <c r="A1341" t="s">
        <v>15</v>
      </c>
      <c r="B1341" t="s">
        <v>1973</v>
      </c>
      <c r="C1341">
        <v>34202</v>
      </c>
      <c r="D1341">
        <v>0</v>
      </c>
      <c r="E1341">
        <v>0</v>
      </c>
      <c r="F1341">
        <v>0</v>
      </c>
    </row>
    <row r="1342" spans="1:6" x14ac:dyDescent="0.25">
      <c r="A1342" t="s">
        <v>16</v>
      </c>
      <c r="B1342" t="s">
        <v>1613</v>
      </c>
      <c r="C1342">
        <v>34203</v>
      </c>
      <c r="D1342">
        <v>0</v>
      </c>
      <c r="E1342">
        <v>0</v>
      </c>
      <c r="F1342">
        <v>0</v>
      </c>
    </row>
    <row r="1343" spans="1:6" x14ac:dyDescent="0.25">
      <c r="A1343" t="s">
        <v>25</v>
      </c>
      <c r="B1343" t="s">
        <v>1614</v>
      </c>
      <c r="C1343">
        <v>34204</v>
      </c>
      <c r="D1343">
        <v>163400</v>
      </c>
      <c r="E1343">
        <v>0</v>
      </c>
      <c r="F1343">
        <v>163400</v>
      </c>
    </row>
    <row r="1344" spans="1:6" x14ac:dyDescent="0.25">
      <c r="A1344" t="s">
        <v>26</v>
      </c>
      <c r="B1344" t="s">
        <v>1615</v>
      </c>
      <c r="C1344">
        <v>34205</v>
      </c>
      <c r="D1344">
        <v>0</v>
      </c>
      <c r="E1344">
        <v>0</v>
      </c>
      <c r="F1344">
        <v>0</v>
      </c>
    </row>
    <row r="1345" spans="1:6" x14ac:dyDescent="0.25">
      <c r="A1345" t="s">
        <v>27</v>
      </c>
      <c r="B1345" t="s">
        <v>1616</v>
      </c>
      <c r="C1345">
        <v>34206</v>
      </c>
      <c r="D1345">
        <v>0</v>
      </c>
      <c r="E1345">
        <v>0</v>
      </c>
      <c r="F1345">
        <v>0</v>
      </c>
    </row>
    <row r="1346" spans="1:6" x14ac:dyDescent="0.25">
      <c r="A1346" t="s">
        <v>531</v>
      </c>
      <c r="B1346" t="s">
        <v>1617</v>
      </c>
      <c r="C1346">
        <v>34207</v>
      </c>
      <c r="D1346">
        <v>0</v>
      </c>
      <c r="E1346">
        <v>0</v>
      </c>
      <c r="F1346">
        <v>0</v>
      </c>
    </row>
    <row r="1347" spans="1:6" x14ac:dyDescent="0.25">
      <c r="A1347" t="s">
        <v>1583</v>
      </c>
      <c r="B1347" t="s">
        <v>1618</v>
      </c>
      <c r="C1347">
        <v>34208</v>
      </c>
      <c r="D1347">
        <v>0</v>
      </c>
      <c r="E1347">
        <v>0</v>
      </c>
      <c r="F1347">
        <v>0</v>
      </c>
    </row>
    <row r="1348" spans="1:6" x14ac:dyDescent="0.25">
      <c r="A1348" t="s">
        <v>1585</v>
      </c>
      <c r="B1348" t="s">
        <v>1619</v>
      </c>
      <c r="C1348">
        <v>34209</v>
      </c>
      <c r="D1348">
        <v>0</v>
      </c>
      <c r="E1348">
        <v>0</v>
      </c>
      <c r="F1348">
        <v>0</v>
      </c>
    </row>
    <row r="1349" spans="1:6" x14ac:dyDescent="0.25">
      <c r="A1349" t="s">
        <v>1587</v>
      </c>
      <c r="B1349" t="s">
        <v>1620</v>
      </c>
      <c r="C1349">
        <v>34210</v>
      </c>
      <c r="D1349">
        <v>0</v>
      </c>
      <c r="E1349">
        <v>0</v>
      </c>
      <c r="F1349">
        <v>0</v>
      </c>
    </row>
    <row r="1350" spans="1:6" x14ac:dyDescent="0.25">
      <c r="A1350" t="s">
        <v>1589</v>
      </c>
      <c r="B1350" t="s">
        <v>1621</v>
      </c>
      <c r="C1350">
        <v>34211</v>
      </c>
      <c r="D1350">
        <v>0</v>
      </c>
      <c r="E1350">
        <v>0</v>
      </c>
      <c r="F1350">
        <v>0</v>
      </c>
    </row>
    <row r="1351" spans="1:6" x14ac:dyDescent="0.25">
      <c r="A1351" t="s">
        <v>1591</v>
      </c>
      <c r="B1351" t="s">
        <v>1622</v>
      </c>
      <c r="C1351">
        <v>34212</v>
      </c>
      <c r="D1351">
        <v>0</v>
      </c>
      <c r="E1351">
        <v>0</v>
      </c>
      <c r="F1351">
        <v>0</v>
      </c>
    </row>
    <row r="1352" spans="1:6" x14ac:dyDescent="0.25">
      <c r="A1352" t="s">
        <v>1593</v>
      </c>
      <c r="B1352" t="s">
        <v>1623</v>
      </c>
      <c r="C1352">
        <v>34213</v>
      </c>
      <c r="D1352">
        <v>0</v>
      </c>
      <c r="E1352">
        <v>0</v>
      </c>
      <c r="F1352">
        <v>0</v>
      </c>
    </row>
    <row r="1353" spans="1:6" x14ac:dyDescent="0.25">
      <c r="A1353" t="s">
        <v>1595</v>
      </c>
      <c r="B1353" t="s">
        <v>1624</v>
      </c>
      <c r="C1353">
        <v>34214</v>
      </c>
      <c r="D1353">
        <v>0</v>
      </c>
      <c r="E1353">
        <v>0</v>
      </c>
      <c r="F1353">
        <v>0</v>
      </c>
    </row>
    <row r="1354" spans="1:6" x14ac:dyDescent="0.25">
      <c r="A1354" t="s">
        <v>1597</v>
      </c>
      <c r="B1354" t="s">
        <v>1625</v>
      </c>
      <c r="C1354">
        <v>34215</v>
      </c>
      <c r="D1354">
        <v>0</v>
      </c>
      <c r="E1354">
        <v>0</v>
      </c>
      <c r="F1354">
        <v>0</v>
      </c>
    </row>
    <row r="1355" spans="1:6" x14ac:dyDescent="0.25">
      <c r="A1355" t="s">
        <v>1599</v>
      </c>
      <c r="B1355" t="s">
        <v>1626</v>
      </c>
      <c r="C1355">
        <v>34216</v>
      </c>
      <c r="D1355">
        <v>0</v>
      </c>
      <c r="E1355">
        <v>0</v>
      </c>
      <c r="F1355">
        <v>0</v>
      </c>
    </row>
    <row r="1356" spans="1:6" x14ac:dyDescent="0.25">
      <c r="A1356" t="s">
        <v>1601</v>
      </c>
      <c r="B1356" t="s">
        <v>1627</v>
      </c>
      <c r="C1356">
        <v>34217</v>
      </c>
      <c r="D1356">
        <v>0</v>
      </c>
      <c r="E1356">
        <v>0</v>
      </c>
      <c r="F1356">
        <v>0</v>
      </c>
    </row>
    <row r="1357" spans="1:6" x14ac:dyDescent="0.25">
      <c r="A1357" t="s">
        <v>1603</v>
      </c>
      <c r="B1357" t="s">
        <v>1596</v>
      </c>
      <c r="C1357">
        <v>34218</v>
      </c>
      <c r="D1357">
        <v>0</v>
      </c>
      <c r="E1357">
        <v>0</v>
      </c>
      <c r="F1357">
        <v>0</v>
      </c>
    </row>
    <row r="1358" spans="1:6" x14ac:dyDescent="0.25">
      <c r="A1358" t="s">
        <v>1605</v>
      </c>
      <c r="B1358" t="s">
        <v>1598</v>
      </c>
      <c r="C1358">
        <v>34219</v>
      </c>
      <c r="D1358">
        <v>0</v>
      </c>
      <c r="E1358">
        <v>0</v>
      </c>
      <c r="F1358">
        <v>0</v>
      </c>
    </row>
    <row r="1359" spans="1:6" x14ac:dyDescent="0.25">
      <c r="A1359" t="s">
        <v>1607</v>
      </c>
      <c r="B1359" t="s">
        <v>1602</v>
      </c>
      <c r="C1359">
        <v>34220</v>
      </c>
      <c r="D1359">
        <v>0</v>
      </c>
      <c r="E1359">
        <v>0</v>
      </c>
      <c r="F1359">
        <v>0</v>
      </c>
    </row>
    <row r="1360" spans="1:6" x14ac:dyDescent="0.25">
      <c r="B1360" t="s">
        <v>1983</v>
      </c>
      <c r="D1360">
        <v>163400</v>
      </c>
      <c r="E1360">
        <v>0</v>
      </c>
      <c r="F1360">
        <v>163400</v>
      </c>
    </row>
    <row r="1361" spans="1:6" x14ac:dyDescent="0.25">
      <c r="B1361" t="s">
        <v>1984</v>
      </c>
    </row>
    <row r="1362" spans="1:6" x14ac:dyDescent="0.25">
      <c r="A1362" t="s">
        <v>2</v>
      </c>
      <c r="B1362" t="s">
        <v>1634</v>
      </c>
      <c r="C1362">
        <v>34301</v>
      </c>
      <c r="D1362">
        <v>0</v>
      </c>
      <c r="E1362">
        <v>0</v>
      </c>
      <c r="F1362">
        <v>0</v>
      </c>
    </row>
    <row r="1363" spans="1:6" x14ac:dyDescent="0.25">
      <c r="A1363" t="s">
        <v>15</v>
      </c>
      <c r="B1363" t="s">
        <v>1635</v>
      </c>
      <c r="C1363">
        <v>34302</v>
      </c>
      <c r="D1363">
        <v>0</v>
      </c>
      <c r="E1363">
        <v>0</v>
      </c>
      <c r="F1363">
        <v>0</v>
      </c>
    </row>
    <row r="1364" spans="1:6" x14ac:dyDescent="0.25">
      <c r="A1364" t="s">
        <v>16</v>
      </c>
      <c r="B1364" t="s">
        <v>1636</v>
      </c>
      <c r="C1364">
        <v>34303</v>
      </c>
      <c r="D1364">
        <v>0</v>
      </c>
      <c r="E1364">
        <v>0</v>
      </c>
      <c r="F1364">
        <v>0</v>
      </c>
    </row>
    <row r="1365" spans="1:6" x14ac:dyDescent="0.25">
      <c r="A1365" t="s">
        <v>25</v>
      </c>
      <c r="B1365" t="s">
        <v>1637</v>
      </c>
      <c r="C1365">
        <v>34304</v>
      </c>
      <c r="D1365">
        <v>0</v>
      </c>
      <c r="E1365">
        <v>0</v>
      </c>
      <c r="F1365">
        <v>0</v>
      </c>
    </row>
    <row r="1366" spans="1:6" x14ac:dyDescent="0.25">
      <c r="A1366" t="s">
        <v>26</v>
      </c>
      <c r="B1366" t="s">
        <v>1638</v>
      </c>
      <c r="C1366">
        <v>34305</v>
      </c>
      <c r="D1366">
        <v>0</v>
      </c>
      <c r="E1366">
        <v>0</v>
      </c>
      <c r="F1366">
        <v>0</v>
      </c>
    </row>
    <row r="1367" spans="1:6" x14ac:dyDescent="0.25">
      <c r="A1367" t="s">
        <v>27</v>
      </c>
      <c r="B1367" t="s">
        <v>1639</v>
      </c>
      <c r="C1367">
        <v>34306</v>
      </c>
      <c r="D1367">
        <v>0</v>
      </c>
      <c r="E1367">
        <v>0</v>
      </c>
      <c r="F1367">
        <v>0</v>
      </c>
    </row>
    <row r="1368" spans="1:6" x14ac:dyDescent="0.25">
      <c r="A1368" t="s">
        <v>531</v>
      </c>
      <c r="B1368" t="s">
        <v>1640</v>
      </c>
      <c r="C1368">
        <v>34307</v>
      </c>
      <c r="D1368">
        <v>0</v>
      </c>
      <c r="E1368">
        <v>0</v>
      </c>
      <c r="F1368">
        <v>0</v>
      </c>
    </row>
    <row r="1369" spans="1:6" x14ac:dyDescent="0.25">
      <c r="A1369" t="s">
        <v>1583</v>
      </c>
      <c r="B1369" t="s">
        <v>1641</v>
      </c>
      <c r="C1369">
        <v>34308</v>
      </c>
      <c r="D1369">
        <v>0</v>
      </c>
      <c r="E1369">
        <v>0</v>
      </c>
      <c r="F1369">
        <v>0</v>
      </c>
    </row>
    <row r="1370" spans="1:6" x14ac:dyDescent="0.25">
      <c r="B1370" t="s">
        <v>1985</v>
      </c>
      <c r="D1370">
        <v>0</v>
      </c>
      <c r="E1370">
        <v>0</v>
      </c>
      <c r="F1370">
        <v>0</v>
      </c>
    </row>
    <row r="1371" spans="1:6" x14ac:dyDescent="0.25">
      <c r="B1371" t="s">
        <v>2432</v>
      </c>
    </row>
    <row r="1372" spans="1:6" x14ac:dyDescent="0.25">
      <c r="A1372" t="s">
        <v>2</v>
      </c>
      <c r="B1372" t="s">
        <v>1634</v>
      </c>
      <c r="C1372">
        <v>34401</v>
      </c>
      <c r="D1372">
        <v>81061</v>
      </c>
      <c r="E1372">
        <v>0</v>
      </c>
      <c r="F1372">
        <v>81061</v>
      </c>
    </row>
    <row r="1373" spans="1:6" x14ac:dyDescent="0.25">
      <c r="A1373" t="s">
        <v>15</v>
      </c>
      <c r="B1373" t="s">
        <v>1635</v>
      </c>
      <c r="C1373">
        <v>34402</v>
      </c>
      <c r="D1373">
        <v>0</v>
      </c>
      <c r="E1373">
        <v>0</v>
      </c>
      <c r="F1373">
        <v>0</v>
      </c>
    </row>
    <row r="1374" spans="1:6" x14ac:dyDescent="0.25">
      <c r="A1374" t="s">
        <v>16</v>
      </c>
      <c r="B1374" t="s">
        <v>1636</v>
      </c>
      <c r="C1374">
        <v>34403</v>
      </c>
      <c r="D1374">
        <v>0</v>
      </c>
      <c r="E1374">
        <v>0</v>
      </c>
      <c r="F1374">
        <v>0</v>
      </c>
    </row>
    <row r="1375" spans="1:6" x14ac:dyDescent="0.25">
      <c r="A1375" t="s">
        <v>25</v>
      </c>
      <c r="B1375" t="s">
        <v>1637</v>
      </c>
      <c r="C1375">
        <v>34404</v>
      </c>
      <c r="D1375">
        <v>878</v>
      </c>
      <c r="E1375">
        <v>0</v>
      </c>
      <c r="F1375">
        <v>878</v>
      </c>
    </row>
    <row r="1376" spans="1:6" x14ac:dyDescent="0.25">
      <c r="A1376" t="s">
        <v>26</v>
      </c>
      <c r="B1376" t="s">
        <v>1638</v>
      </c>
      <c r="C1376">
        <v>34405</v>
      </c>
      <c r="D1376">
        <v>1359</v>
      </c>
      <c r="E1376">
        <v>0</v>
      </c>
      <c r="F1376">
        <v>1359</v>
      </c>
    </row>
    <row r="1377" spans="1:6" x14ac:dyDescent="0.25">
      <c r="A1377" t="s">
        <v>27</v>
      </c>
      <c r="B1377" t="s">
        <v>1639</v>
      </c>
      <c r="C1377">
        <v>34406</v>
      </c>
      <c r="D1377">
        <v>0</v>
      </c>
      <c r="E1377">
        <v>0</v>
      </c>
      <c r="F1377">
        <v>0</v>
      </c>
    </row>
    <row r="1378" spans="1:6" x14ac:dyDescent="0.25">
      <c r="A1378" t="s">
        <v>531</v>
      </c>
      <c r="B1378" t="s">
        <v>1640</v>
      </c>
      <c r="C1378">
        <v>34407</v>
      </c>
      <c r="D1378">
        <v>0</v>
      </c>
      <c r="E1378">
        <v>0</v>
      </c>
      <c r="F1378">
        <v>0</v>
      </c>
    </row>
    <row r="1379" spans="1:6" x14ac:dyDescent="0.25">
      <c r="A1379" t="s">
        <v>1583</v>
      </c>
      <c r="B1379" t="s">
        <v>1641</v>
      </c>
      <c r="C1379">
        <v>34408</v>
      </c>
      <c r="D1379">
        <v>6</v>
      </c>
      <c r="E1379">
        <v>39360</v>
      </c>
      <c r="F1379">
        <v>39366</v>
      </c>
    </row>
    <row r="1380" spans="1:6" x14ac:dyDescent="0.25">
      <c r="B1380" t="s">
        <v>1987</v>
      </c>
      <c r="D1380">
        <v>83304</v>
      </c>
      <c r="E1380">
        <v>39360</v>
      </c>
      <c r="F1380">
        <v>122664</v>
      </c>
    </row>
    <row r="1381" spans="1:6" x14ac:dyDescent="0.25">
      <c r="B1381" t="s">
        <v>2433</v>
      </c>
    </row>
    <row r="1382" spans="1:6" x14ac:dyDescent="0.25">
      <c r="A1382" t="s">
        <v>2</v>
      </c>
      <c r="B1382" t="s">
        <v>1634</v>
      </c>
      <c r="C1382">
        <v>34501</v>
      </c>
      <c r="D1382">
        <v>8025</v>
      </c>
      <c r="E1382">
        <v>0</v>
      </c>
      <c r="F1382">
        <v>8025</v>
      </c>
    </row>
    <row r="1383" spans="1:6" x14ac:dyDescent="0.25">
      <c r="A1383" t="s">
        <v>15</v>
      </c>
      <c r="B1383" t="s">
        <v>1635</v>
      </c>
      <c r="C1383">
        <v>34502</v>
      </c>
      <c r="D1383">
        <v>0</v>
      </c>
      <c r="E1383">
        <v>0</v>
      </c>
      <c r="F1383">
        <v>0</v>
      </c>
    </row>
    <row r="1384" spans="1:6" x14ac:dyDescent="0.25">
      <c r="A1384" t="s">
        <v>16</v>
      </c>
      <c r="B1384" t="s">
        <v>1636</v>
      </c>
      <c r="C1384">
        <v>34503</v>
      </c>
      <c r="D1384">
        <v>0</v>
      </c>
      <c r="E1384">
        <v>0</v>
      </c>
      <c r="F1384">
        <v>0</v>
      </c>
    </row>
    <row r="1385" spans="1:6" x14ac:dyDescent="0.25">
      <c r="A1385" t="s">
        <v>25</v>
      </c>
      <c r="B1385" t="s">
        <v>1637</v>
      </c>
      <c r="C1385">
        <v>34504</v>
      </c>
      <c r="D1385">
        <v>20754</v>
      </c>
      <c r="E1385">
        <v>0</v>
      </c>
      <c r="F1385">
        <v>20754</v>
      </c>
    </row>
    <row r="1386" spans="1:6" x14ac:dyDescent="0.25">
      <c r="A1386" t="s">
        <v>26</v>
      </c>
      <c r="B1386" t="s">
        <v>1638</v>
      </c>
      <c r="C1386">
        <v>34505</v>
      </c>
      <c r="D1386">
        <v>317543</v>
      </c>
      <c r="E1386">
        <v>0</v>
      </c>
      <c r="F1386">
        <v>317543</v>
      </c>
    </row>
    <row r="1387" spans="1:6" x14ac:dyDescent="0.25">
      <c r="A1387" t="s">
        <v>27</v>
      </c>
      <c r="B1387" t="s">
        <v>1639</v>
      </c>
      <c r="C1387">
        <v>34506</v>
      </c>
      <c r="D1387">
        <v>0</v>
      </c>
      <c r="E1387">
        <v>3509</v>
      </c>
      <c r="F1387">
        <v>3509</v>
      </c>
    </row>
    <row r="1388" spans="1:6" x14ac:dyDescent="0.25">
      <c r="A1388" t="s">
        <v>531</v>
      </c>
      <c r="B1388" t="s">
        <v>1640</v>
      </c>
      <c r="C1388">
        <v>34507</v>
      </c>
      <c r="D1388">
        <v>777</v>
      </c>
      <c r="E1388">
        <v>0</v>
      </c>
      <c r="F1388">
        <v>777</v>
      </c>
    </row>
    <row r="1389" spans="1:6" x14ac:dyDescent="0.25">
      <c r="A1389" t="s">
        <v>1583</v>
      </c>
      <c r="B1389" t="s">
        <v>1641</v>
      </c>
      <c r="C1389">
        <v>34508</v>
      </c>
      <c r="D1389">
        <v>25173</v>
      </c>
      <c r="E1389">
        <v>536781</v>
      </c>
      <c r="F1389">
        <v>561954</v>
      </c>
    </row>
    <row r="1390" spans="1:6" x14ac:dyDescent="0.25">
      <c r="B1390" t="s">
        <v>1989</v>
      </c>
      <c r="D1390">
        <v>372272</v>
      </c>
      <c r="E1390">
        <v>540290</v>
      </c>
      <c r="F1390">
        <v>912562</v>
      </c>
    </row>
    <row r="1391" spans="1:6" x14ac:dyDescent="0.25">
      <c r="B1391" t="s">
        <v>1990</v>
      </c>
    </row>
    <row r="1392" spans="1:6" x14ac:dyDescent="0.25">
      <c r="A1392" t="s">
        <v>2</v>
      </c>
      <c r="B1392" t="s">
        <v>1648</v>
      </c>
      <c r="C1392">
        <v>34601</v>
      </c>
      <c r="D1392">
        <v>0</v>
      </c>
      <c r="E1392">
        <v>0</v>
      </c>
      <c r="F1392">
        <v>0</v>
      </c>
    </row>
    <row r="1393" spans="1:6" x14ac:dyDescent="0.25">
      <c r="A1393" t="s">
        <v>15</v>
      </c>
      <c r="B1393" t="s">
        <v>1649</v>
      </c>
      <c r="C1393">
        <v>34602</v>
      </c>
      <c r="D1393">
        <v>0</v>
      </c>
      <c r="E1393">
        <v>0</v>
      </c>
      <c r="F1393">
        <v>0</v>
      </c>
    </row>
    <row r="1394" spans="1:6" x14ac:dyDescent="0.25">
      <c r="A1394" t="s">
        <v>16</v>
      </c>
      <c r="B1394" t="s">
        <v>1637</v>
      </c>
      <c r="C1394">
        <v>34603</v>
      </c>
      <c r="D1394">
        <v>0</v>
      </c>
      <c r="E1394">
        <v>0</v>
      </c>
      <c r="F1394">
        <v>0</v>
      </c>
    </row>
    <row r="1395" spans="1:6" x14ac:dyDescent="0.25">
      <c r="A1395" t="s">
        <v>25</v>
      </c>
      <c r="B1395" t="s">
        <v>1638</v>
      </c>
      <c r="C1395">
        <v>34604</v>
      </c>
      <c r="D1395">
        <v>0</v>
      </c>
      <c r="E1395">
        <v>0</v>
      </c>
      <c r="F1395">
        <v>0</v>
      </c>
    </row>
    <row r="1396" spans="1:6" x14ac:dyDescent="0.25">
      <c r="A1396" t="s">
        <v>26</v>
      </c>
      <c r="B1396" t="s">
        <v>1650</v>
      </c>
      <c r="C1396">
        <v>34605</v>
      </c>
      <c r="D1396">
        <v>0</v>
      </c>
      <c r="E1396">
        <v>0</v>
      </c>
      <c r="F1396">
        <v>0</v>
      </c>
    </row>
    <row r="1397" spans="1:6" x14ac:dyDescent="0.25">
      <c r="A1397" t="s">
        <v>27</v>
      </c>
      <c r="B1397" t="s">
        <v>1651</v>
      </c>
      <c r="C1397">
        <v>34606</v>
      </c>
      <c r="D1397">
        <v>0</v>
      </c>
      <c r="E1397">
        <v>0</v>
      </c>
      <c r="F1397">
        <v>0</v>
      </c>
    </row>
    <row r="1398" spans="1:6" x14ac:dyDescent="0.25">
      <c r="A1398" t="s">
        <v>531</v>
      </c>
      <c r="B1398" t="s">
        <v>1640</v>
      </c>
      <c r="C1398">
        <v>34607</v>
      </c>
      <c r="D1398">
        <v>0</v>
      </c>
      <c r="E1398">
        <v>0</v>
      </c>
      <c r="F1398">
        <v>0</v>
      </c>
    </row>
    <row r="1399" spans="1:6" x14ac:dyDescent="0.25">
      <c r="A1399" t="s">
        <v>1583</v>
      </c>
      <c r="B1399" t="s">
        <v>1641</v>
      </c>
      <c r="C1399">
        <v>34608</v>
      </c>
      <c r="D1399">
        <v>0</v>
      </c>
      <c r="E1399">
        <v>0</v>
      </c>
      <c r="F1399">
        <v>0</v>
      </c>
    </row>
    <row r="1400" spans="1:6" x14ac:dyDescent="0.25">
      <c r="B1400" t="s">
        <v>1991</v>
      </c>
      <c r="D1400">
        <v>0</v>
      </c>
      <c r="E1400">
        <v>0</v>
      </c>
      <c r="F1400">
        <v>0</v>
      </c>
    </row>
    <row r="1401" spans="1:6" x14ac:dyDescent="0.25">
      <c r="B1401" t="s">
        <v>1716</v>
      </c>
      <c r="D1401">
        <v>863650</v>
      </c>
      <c r="E1401">
        <v>579650</v>
      </c>
      <c r="F1401">
        <v>1443300</v>
      </c>
    </row>
    <row r="1402" spans="1:6" x14ac:dyDescent="0.25">
      <c r="B1402" t="s">
        <v>2434</v>
      </c>
    </row>
    <row r="1403" spans="1:6" x14ac:dyDescent="0.25">
      <c r="B1403" t="s">
        <v>1575</v>
      </c>
    </row>
    <row r="1404" spans="1:6" x14ac:dyDescent="0.25">
      <c r="A1404" t="s">
        <v>2</v>
      </c>
      <c r="B1404" t="s">
        <v>1576</v>
      </c>
      <c r="C1404">
        <v>35101</v>
      </c>
      <c r="D1404">
        <v>0</v>
      </c>
      <c r="E1404">
        <v>0</v>
      </c>
      <c r="F1404">
        <v>0</v>
      </c>
    </row>
    <row r="1405" spans="1:6" x14ac:dyDescent="0.25">
      <c r="A1405" t="s">
        <v>15</v>
      </c>
      <c r="B1405" t="s">
        <v>1577</v>
      </c>
      <c r="C1405">
        <v>35102</v>
      </c>
      <c r="D1405">
        <v>0</v>
      </c>
      <c r="E1405">
        <v>0</v>
      </c>
      <c r="F1405">
        <v>0</v>
      </c>
    </row>
    <row r="1406" spans="1:6" x14ac:dyDescent="0.25">
      <c r="A1406" t="s">
        <v>16</v>
      </c>
      <c r="B1406" t="s">
        <v>1578</v>
      </c>
      <c r="C1406">
        <v>35103</v>
      </c>
      <c r="D1406">
        <v>0</v>
      </c>
      <c r="E1406">
        <v>0</v>
      </c>
      <c r="F1406">
        <v>0</v>
      </c>
    </row>
    <row r="1407" spans="1:6" x14ac:dyDescent="0.25">
      <c r="A1407" t="s">
        <v>25</v>
      </c>
      <c r="B1407" t="s">
        <v>1579</v>
      </c>
      <c r="C1407">
        <v>35104</v>
      </c>
      <c r="D1407">
        <v>0</v>
      </c>
      <c r="E1407">
        <v>0</v>
      </c>
      <c r="F1407">
        <v>0</v>
      </c>
    </row>
    <row r="1408" spans="1:6" x14ac:dyDescent="0.25">
      <c r="A1408" t="s">
        <v>26</v>
      </c>
      <c r="B1408" t="s">
        <v>1580</v>
      </c>
      <c r="C1408">
        <v>35105</v>
      </c>
      <c r="D1408">
        <v>0</v>
      </c>
      <c r="E1408">
        <v>0</v>
      </c>
      <c r="F1408">
        <v>0</v>
      </c>
    </row>
    <row r="1409" spans="1:6" x14ac:dyDescent="0.25">
      <c r="A1409" t="s">
        <v>27</v>
      </c>
      <c r="B1409" t="s">
        <v>1581</v>
      </c>
      <c r="C1409">
        <v>35106</v>
      </c>
      <c r="D1409">
        <v>13</v>
      </c>
      <c r="E1409">
        <v>0</v>
      </c>
      <c r="F1409">
        <v>13</v>
      </c>
    </row>
    <row r="1410" spans="1:6" x14ac:dyDescent="0.25">
      <c r="A1410" t="s">
        <v>531</v>
      </c>
      <c r="B1410" t="s">
        <v>1582</v>
      </c>
      <c r="C1410">
        <v>35107</v>
      </c>
      <c r="D1410">
        <v>0</v>
      </c>
      <c r="E1410">
        <v>0</v>
      </c>
      <c r="F1410">
        <v>0</v>
      </c>
    </row>
    <row r="1411" spans="1:6" x14ac:dyDescent="0.25">
      <c r="A1411" t="s">
        <v>1583</v>
      </c>
      <c r="B1411" t="s">
        <v>1584</v>
      </c>
      <c r="C1411">
        <v>35108</v>
      </c>
      <c r="D1411">
        <v>0</v>
      </c>
      <c r="E1411">
        <v>0</v>
      </c>
      <c r="F1411">
        <v>0</v>
      </c>
    </row>
    <row r="1412" spans="1:6" x14ac:dyDescent="0.25">
      <c r="A1412" t="s">
        <v>1585</v>
      </c>
      <c r="B1412" t="s">
        <v>1586</v>
      </c>
      <c r="C1412">
        <v>35109</v>
      </c>
      <c r="D1412">
        <v>0</v>
      </c>
      <c r="E1412">
        <v>0</v>
      </c>
      <c r="F1412">
        <v>0</v>
      </c>
    </row>
    <row r="1413" spans="1:6" x14ac:dyDescent="0.25">
      <c r="A1413" t="s">
        <v>1587</v>
      </c>
      <c r="B1413" t="s">
        <v>1588</v>
      </c>
      <c r="C1413">
        <v>35110</v>
      </c>
      <c r="D1413">
        <v>0</v>
      </c>
      <c r="E1413">
        <v>0</v>
      </c>
      <c r="F1413">
        <v>0</v>
      </c>
    </row>
    <row r="1414" spans="1:6" x14ac:dyDescent="0.25">
      <c r="A1414" t="s">
        <v>1589</v>
      </c>
      <c r="B1414" t="s">
        <v>1590</v>
      </c>
      <c r="C1414">
        <v>35111</v>
      </c>
      <c r="D1414">
        <v>57675</v>
      </c>
      <c r="E1414">
        <v>0</v>
      </c>
      <c r="F1414">
        <v>57675</v>
      </c>
    </row>
    <row r="1415" spans="1:6" x14ac:dyDescent="0.25">
      <c r="A1415" t="s">
        <v>1591</v>
      </c>
      <c r="B1415" t="s">
        <v>1592</v>
      </c>
      <c r="C1415">
        <v>35112</v>
      </c>
      <c r="D1415">
        <v>1021259</v>
      </c>
      <c r="E1415">
        <v>0</v>
      </c>
      <c r="F1415">
        <v>1021259</v>
      </c>
    </row>
    <row r="1416" spans="1:6" x14ac:dyDescent="0.25">
      <c r="A1416" t="s">
        <v>1593</v>
      </c>
      <c r="B1416" t="s">
        <v>1594</v>
      </c>
      <c r="C1416">
        <v>35113</v>
      </c>
      <c r="D1416">
        <v>0</v>
      </c>
      <c r="E1416">
        <v>0</v>
      </c>
      <c r="F1416">
        <v>0</v>
      </c>
    </row>
    <row r="1417" spans="1:6" x14ac:dyDescent="0.25">
      <c r="A1417" t="s">
        <v>1595</v>
      </c>
      <c r="B1417" t="s">
        <v>1596</v>
      </c>
      <c r="C1417">
        <v>35114</v>
      </c>
      <c r="D1417">
        <v>66799</v>
      </c>
      <c r="E1417">
        <v>0</v>
      </c>
      <c r="F1417">
        <v>66799</v>
      </c>
    </row>
    <row r="1418" spans="1:6" x14ac:dyDescent="0.25">
      <c r="A1418" t="s">
        <v>1597</v>
      </c>
      <c r="B1418" t="s">
        <v>1598</v>
      </c>
      <c r="C1418">
        <v>35115</v>
      </c>
      <c r="D1418">
        <v>323430</v>
      </c>
      <c r="E1418">
        <v>0</v>
      </c>
      <c r="F1418">
        <v>323430</v>
      </c>
    </row>
    <row r="1419" spans="1:6" x14ac:dyDescent="0.25">
      <c r="A1419" t="s">
        <v>1599</v>
      </c>
      <c r="B1419" t="s">
        <v>1600</v>
      </c>
      <c r="C1419">
        <v>35116</v>
      </c>
      <c r="D1419">
        <v>0</v>
      </c>
      <c r="E1419">
        <v>0</v>
      </c>
      <c r="F1419">
        <v>0</v>
      </c>
    </row>
    <row r="1420" spans="1:6" x14ac:dyDescent="0.25">
      <c r="A1420" t="s">
        <v>1601</v>
      </c>
      <c r="B1420" t="s">
        <v>1602</v>
      </c>
      <c r="C1420">
        <v>35117</v>
      </c>
      <c r="D1420">
        <v>0</v>
      </c>
      <c r="E1420">
        <v>0</v>
      </c>
      <c r="F1420">
        <v>0</v>
      </c>
    </row>
    <row r="1421" spans="1:6" x14ac:dyDescent="0.25">
      <c r="A1421" t="s">
        <v>1603</v>
      </c>
      <c r="B1421" t="s">
        <v>1604</v>
      </c>
      <c r="C1421">
        <v>35118</v>
      </c>
      <c r="D1421">
        <v>119</v>
      </c>
      <c r="E1421">
        <v>0</v>
      </c>
      <c r="F1421">
        <v>119</v>
      </c>
    </row>
    <row r="1422" spans="1:6" x14ac:dyDescent="0.25">
      <c r="A1422" t="s">
        <v>1605</v>
      </c>
      <c r="B1422" t="s">
        <v>1606</v>
      </c>
      <c r="C1422">
        <v>35119</v>
      </c>
      <c r="D1422">
        <v>572044</v>
      </c>
      <c r="E1422">
        <v>0</v>
      </c>
      <c r="F1422">
        <v>572044</v>
      </c>
    </row>
    <row r="1423" spans="1:6" x14ac:dyDescent="0.25">
      <c r="A1423" t="s">
        <v>1607</v>
      </c>
      <c r="B1423" t="s">
        <v>1608</v>
      </c>
      <c r="C1423">
        <v>35120</v>
      </c>
      <c r="D1423">
        <v>0</v>
      </c>
      <c r="E1423">
        <v>0</v>
      </c>
      <c r="F1423">
        <v>0</v>
      </c>
    </row>
    <row r="1424" spans="1:6" x14ac:dyDescent="0.25">
      <c r="B1424" t="s">
        <v>1993</v>
      </c>
      <c r="D1424">
        <v>2041339</v>
      </c>
      <c r="E1424">
        <v>0</v>
      </c>
      <c r="F1424">
        <v>2041339</v>
      </c>
    </row>
    <row r="1425" spans="1:6" x14ac:dyDescent="0.25">
      <c r="B1425" t="s">
        <v>1656</v>
      </c>
    </row>
    <row r="1426" spans="1:6" x14ac:dyDescent="0.25">
      <c r="A1426" t="s">
        <v>2</v>
      </c>
      <c r="B1426" t="s">
        <v>1611</v>
      </c>
      <c r="C1426">
        <v>35201</v>
      </c>
      <c r="D1426">
        <v>0</v>
      </c>
      <c r="E1426">
        <v>0</v>
      </c>
      <c r="F1426">
        <v>0</v>
      </c>
    </row>
    <row r="1427" spans="1:6" x14ac:dyDescent="0.25">
      <c r="A1427" t="s">
        <v>15</v>
      </c>
      <c r="B1427" t="s">
        <v>1612</v>
      </c>
      <c r="C1427">
        <v>35202</v>
      </c>
      <c r="D1427">
        <v>0</v>
      </c>
      <c r="E1427">
        <v>0</v>
      </c>
      <c r="F1427">
        <v>0</v>
      </c>
    </row>
    <row r="1428" spans="1:6" x14ac:dyDescent="0.25">
      <c r="A1428" t="s">
        <v>16</v>
      </c>
      <c r="B1428" t="s">
        <v>1613</v>
      </c>
      <c r="C1428">
        <v>35203</v>
      </c>
      <c r="D1428">
        <v>0</v>
      </c>
      <c r="E1428">
        <v>0</v>
      </c>
      <c r="F1428">
        <v>0</v>
      </c>
    </row>
    <row r="1429" spans="1:6" x14ac:dyDescent="0.25">
      <c r="A1429" t="s">
        <v>25</v>
      </c>
      <c r="B1429" t="s">
        <v>1614</v>
      </c>
      <c r="C1429">
        <v>35204</v>
      </c>
      <c r="D1429">
        <v>0</v>
      </c>
      <c r="E1429">
        <v>0</v>
      </c>
      <c r="F1429">
        <v>0</v>
      </c>
    </row>
    <row r="1430" spans="1:6" x14ac:dyDescent="0.25">
      <c r="A1430" t="s">
        <v>26</v>
      </c>
      <c r="B1430" t="s">
        <v>1615</v>
      </c>
      <c r="C1430">
        <v>35205</v>
      </c>
      <c r="D1430">
        <v>0</v>
      </c>
      <c r="E1430">
        <v>0</v>
      </c>
      <c r="F1430">
        <v>0</v>
      </c>
    </row>
    <row r="1431" spans="1:6" x14ac:dyDescent="0.25">
      <c r="A1431" t="s">
        <v>27</v>
      </c>
      <c r="B1431" t="s">
        <v>1616</v>
      </c>
      <c r="C1431">
        <v>35206</v>
      </c>
      <c r="D1431">
        <v>0</v>
      </c>
      <c r="E1431">
        <v>0</v>
      </c>
      <c r="F1431">
        <v>0</v>
      </c>
    </row>
    <row r="1432" spans="1:6" x14ac:dyDescent="0.25">
      <c r="A1432" t="s">
        <v>531</v>
      </c>
      <c r="B1432" t="s">
        <v>1617</v>
      </c>
      <c r="C1432">
        <v>35207</v>
      </c>
      <c r="D1432">
        <v>0</v>
      </c>
      <c r="E1432">
        <v>0</v>
      </c>
      <c r="F1432">
        <v>0</v>
      </c>
    </row>
    <row r="1433" spans="1:6" x14ac:dyDescent="0.25">
      <c r="A1433" t="s">
        <v>1583</v>
      </c>
      <c r="B1433" t="s">
        <v>1618</v>
      </c>
      <c r="C1433">
        <v>35208</v>
      </c>
      <c r="D1433">
        <v>0</v>
      </c>
      <c r="E1433">
        <v>0</v>
      </c>
      <c r="F1433">
        <v>0</v>
      </c>
    </row>
    <row r="1434" spans="1:6" x14ac:dyDescent="0.25">
      <c r="A1434" t="s">
        <v>1585</v>
      </c>
      <c r="B1434" t="s">
        <v>1619</v>
      </c>
      <c r="C1434">
        <v>35209</v>
      </c>
      <c r="D1434">
        <v>0</v>
      </c>
      <c r="E1434">
        <v>0</v>
      </c>
      <c r="F1434">
        <v>0</v>
      </c>
    </row>
    <row r="1435" spans="1:6" x14ac:dyDescent="0.25">
      <c r="A1435" t="s">
        <v>1587</v>
      </c>
      <c r="B1435" t="s">
        <v>1620</v>
      </c>
      <c r="C1435">
        <v>35210</v>
      </c>
      <c r="D1435">
        <v>0</v>
      </c>
      <c r="E1435">
        <v>0</v>
      </c>
      <c r="F1435">
        <v>0</v>
      </c>
    </row>
    <row r="1436" spans="1:6" x14ac:dyDescent="0.25">
      <c r="A1436" t="s">
        <v>1589</v>
      </c>
      <c r="B1436" t="s">
        <v>1621</v>
      </c>
      <c r="C1436">
        <v>35211</v>
      </c>
      <c r="D1436">
        <v>0</v>
      </c>
      <c r="E1436">
        <v>0</v>
      </c>
      <c r="F1436">
        <v>0</v>
      </c>
    </row>
    <row r="1437" spans="1:6" x14ac:dyDescent="0.25">
      <c r="A1437" t="s">
        <v>1591</v>
      </c>
      <c r="B1437" t="s">
        <v>1622</v>
      </c>
      <c r="C1437">
        <v>35212</v>
      </c>
      <c r="D1437">
        <v>69982</v>
      </c>
      <c r="E1437">
        <v>0</v>
      </c>
      <c r="F1437">
        <v>69982</v>
      </c>
    </row>
    <row r="1438" spans="1:6" x14ac:dyDescent="0.25">
      <c r="A1438" t="s">
        <v>1593</v>
      </c>
      <c r="B1438" t="s">
        <v>1623</v>
      </c>
      <c r="C1438">
        <v>35213</v>
      </c>
      <c r="D1438">
        <v>0</v>
      </c>
      <c r="E1438">
        <v>0</v>
      </c>
      <c r="F1438">
        <v>0</v>
      </c>
    </row>
    <row r="1439" spans="1:6" x14ac:dyDescent="0.25">
      <c r="A1439" t="s">
        <v>1595</v>
      </c>
      <c r="B1439" t="s">
        <v>1624</v>
      </c>
      <c r="C1439">
        <v>35214</v>
      </c>
      <c r="D1439">
        <v>0</v>
      </c>
      <c r="E1439">
        <v>0</v>
      </c>
      <c r="F1439">
        <v>0</v>
      </c>
    </row>
    <row r="1440" spans="1:6" x14ac:dyDescent="0.25">
      <c r="A1440" t="s">
        <v>1597</v>
      </c>
      <c r="B1440" t="s">
        <v>1625</v>
      </c>
      <c r="C1440">
        <v>35215</v>
      </c>
      <c r="D1440">
        <v>0</v>
      </c>
      <c r="E1440">
        <v>0</v>
      </c>
      <c r="F1440">
        <v>0</v>
      </c>
    </row>
    <row r="1441" spans="1:6" x14ac:dyDescent="0.25">
      <c r="A1441" t="s">
        <v>1599</v>
      </c>
      <c r="B1441" t="s">
        <v>1626</v>
      </c>
      <c r="C1441">
        <v>35216</v>
      </c>
      <c r="D1441">
        <v>0</v>
      </c>
      <c r="E1441">
        <v>0</v>
      </c>
      <c r="F1441">
        <v>0</v>
      </c>
    </row>
    <row r="1442" spans="1:6" x14ac:dyDescent="0.25">
      <c r="A1442" t="s">
        <v>1601</v>
      </c>
      <c r="B1442" t="s">
        <v>1627</v>
      </c>
      <c r="C1442">
        <v>35217</v>
      </c>
      <c r="D1442">
        <v>0</v>
      </c>
      <c r="E1442">
        <v>0</v>
      </c>
      <c r="F1442">
        <v>0</v>
      </c>
    </row>
    <row r="1443" spans="1:6" x14ac:dyDescent="0.25">
      <c r="A1443" t="s">
        <v>1603</v>
      </c>
      <c r="B1443" t="s">
        <v>1596</v>
      </c>
      <c r="C1443">
        <v>35218</v>
      </c>
      <c r="D1443">
        <v>0</v>
      </c>
      <c r="E1443">
        <v>0</v>
      </c>
      <c r="F1443">
        <v>0</v>
      </c>
    </row>
    <row r="1444" spans="1:6" x14ac:dyDescent="0.25">
      <c r="A1444" t="s">
        <v>1605</v>
      </c>
      <c r="B1444" t="s">
        <v>1598</v>
      </c>
      <c r="C1444">
        <v>35219</v>
      </c>
      <c r="D1444">
        <v>0</v>
      </c>
      <c r="E1444">
        <v>0</v>
      </c>
      <c r="F1444">
        <v>0</v>
      </c>
    </row>
    <row r="1445" spans="1:6" x14ac:dyDescent="0.25">
      <c r="A1445" t="s">
        <v>1607</v>
      </c>
      <c r="B1445" t="s">
        <v>1602</v>
      </c>
      <c r="C1445">
        <v>35220</v>
      </c>
      <c r="D1445">
        <v>0</v>
      </c>
      <c r="E1445">
        <v>0</v>
      </c>
      <c r="F1445">
        <v>0</v>
      </c>
    </row>
    <row r="1446" spans="1:6" x14ac:dyDescent="0.25">
      <c r="B1446" t="s">
        <v>1994</v>
      </c>
      <c r="D1446">
        <v>69982</v>
      </c>
      <c r="E1446">
        <v>0</v>
      </c>
      <c r="F1446">
        <v>69982</v>
      </c>
    </row>
    <row r="1447" spans="1:6" x14ac:dyDescent="0.25">
      <c r="B1447" t="s">
        <v>1629</v>
      </c>
    </row>
    <row r="1448" spans="1:6" x14ac:dyDescent="0.25">
      <c r="A1448" t="s">
        <v>2</v>
      </c>
      <c r="B1448" t="s">
        <v>1627</v>
      </c>
      <c r="C1448">
        <v>35301</v>
      </c>
      <c r="D1448">
        <v>0</v>
      </c>
      <c r="E1448">
        <v>0</v>
      </c>
      <c r="F1448">
        <v>0</v>
      </c>
    </row>
    <row r="1449" spans="1:6" x14ac:dyDescent="0.25">
      <c r="A1449" t="s">
        <v>15</v>
      </c>
      <c r="B1449" t="s">
        <v>1625</v>
      </c>
      <c r="C1449">
        <v>35302</v>
      </c>
      <c r="D1449">
        <v>0</v>
      </c>
      <c r="E1449">
        <v>0</v>
      </c>
      <c r="F1449">
        <v>0</v>
      </c>
    </row>
    <row r="1450" spans="1:6" x14ac:dyDescent="0.25">
      <c r="A1450" t="s">
        <v>16</v>
      </c>
      <c r="B1450" t="s">
        <v>1626</v>
      </c>
      <c r="C1450">
        <v>35303</v>
      </c>
      <c r="D1450">
        <v>0</v>
      </c>
      <c r="E1450">
        <v>0</v>
      </c>
      <c r="F1450">
        <v>0</v>
      </c>
    </row>
    <row r="1451" spans="1:6" x14ac:dyDescent="0.25">
      <c r="B1451" t="s">
        <v>1995</v>
      </c>
      <c r="D1451">
        <v>0</v>
      </c>
      <c r="E1451">
        <v>0</v>
      </c>
      <c r="F1451">
        <v>0</v>
      </c>
    </row>
    <row r="1452" spans="1:6" x14ac:dyDescent="0.25">
      <c r="B1452" t="s">
        <v>1631</v>
      </c>
    </row>
    <row r="1453" spans="1:6" x14ac:dyDescent="0.25">
      <c r="A1453" t="s">
        <v>2</v>
      </c>
      <c r="B1453" t="s">
        <v>1627</v>
      </c>
      <c r="C1453">
        <v>35401</v>
      </c>
      <c r="D1453">
        <v>0</v>
      </c>
      <c r="E1453">
        <v>0</v>
      </c>
      <c r="F1453">
        <v>0</v>
      </c>
    </row>
    <row r="1454" spans="1:6" x14ac:dyDescent="0.25">
      <c r="A1454" t="s">
        <v>15</v>
      </c>
      <c r="B1454" t="s">
        <v>1625</v>
      </c>
      <c r="C1454">
        <v>35402</v>
      </c>
      <c r="D1454">
        <v>0</v>
      </c>
      <c r="E1454">
        <v>0</v>
      </c>
      <c r="F1454">
        <v>0</v>
      </c>
    </row>
    <row r="1455" spans="1:6" x14ac:dyDescent="0.25">
      <c r="A1455" t="s">
        <v>16</v>
      </c>
      <c r="B1455" t="s">
        <v>1626</v>
      </c>
      <c r="C1455">
        <v>35403</v>
      </c>
      <c r="D1455">
        <v>0</v>
      </c>
      <c r="E1455">
        <v>0</v>
      </c>
      <c r="F1455">
        <v>0</v>
      </c>
    </row>
    <row r="1456" spans="1:6" x14ac:dyDescent="0.25">
      <c r="B1456" t="s">
        <v>1996</v>
      </c>
      <c r="D1456">
        <v>0</v>
      </c>
      <c r="E1456">
        <v>0</v>
      </c>
      <c r="F1456">
        <v>0</v>
      </c>
    </row>
    <row r="1457" spans="1:6" x14ac:dyDescent="0.25">
      <c r="B1457" t="s">
        <v>1633</v>
      </c>
    </row>
    <row r="1458" spans="1:6" x14ac:dyDescent="0.25">
      <c r="A1458" t="s">
        <v>2</v>
      </c>
      <c r="B1458" t="s">
        <v>1634</v>
      </c>
      <c r="C1458">
        <v>35501</v>
      </c>
      <c r="D1458">
        <v>0</v>
      </c>
      <c r="E1458">
        <v>0</v>
      </c>
      <c r="F1458">
        <v>0</v>
      </c>
    </row>
    <row r="1459" spans="1:6" x14ac:dyDescent="0.25">
      <c r="A1459" t="s">
        <v>15</v>
      </c>
      <c r="B1459" t="s">
        <v>1635</v>
      </c>
      <c r="C1459">
        <v>35502</v>
      </c>
      <c r="D1459">
        <v>0</v>
      </c>
      <c r="E1459">
        <v>0</v>
      </c>
      <c r="F1459">
        <v>0</v>
      </c>
    </row>
    <row r="1460" spans="1:6" x14ac:dyDescent="0.25">
      <c r="A1460" t="s">
        <v>16</v>
      </c>
      <c r="B1460" t="s">
        <v>1636</v>
      </c>
      <c r="C1460">
        <v>35503</v>
      </c>
      <c r="D1460">
        <v>0</v>
      </c>
      <c r="E1460">
        <v>0</v>
      </c>
      <c r="F1460">
        <v>0</v>
      </c>
    </row>
    <row r="1461" spans="1:6" x14ac:dyDescent="0.25">
      <c r="A1461" t="s">
        <v>25</v>
      </c>
      <c r="B1461" t="s">
        <v>1637</v>
      </c>
      <c r="C1461">
        <v>35504</v>
      </c>
      <c r="D1461">
        <v>0</v>
      </c>
      <c r="E1461">
        <v>0</v>
      </c>
      <c r="F1461">
        <v>0</v>
      </c>
    </row>
    <row r="1462" spans="1:6" x14ac:dyDescent="0.25">
      <c r="A1462" t="s">
        <v>26</v>
      </c>
      <c r="B1462" t="s">
        <v>1638</v>
      </c>
      <c r="C1462">
        <v>35505</v>
      </c>
      <c r="D1462">
        <v>0</v>
      </c>
      <c r="E1462">
        <v>0</v>
      </c>
      <c r="F1462">
        <v>0</v>
      </c>
    </row>
    <row r="1463" spans="1:6" x14ac:dyDescent="0.25">
      <c r="A1463" t="s">
        <v>27</v>
      </c>
      <c r="B1463" t="s">
        <v>1639</v>
      </c>
      <c r="C1463">
        <v>35506</v>
      </c>
      <c r="D1463">
        <v>0</v>
      </c>
      <c r="E1463">
        <v>0</v>
      </c>
      <c r="F1463">
        <v>0</v>
      </c>
    </row>
    <row r="1464" spans="1:6" x14ac:dyDescent="0.25">
      <c r="A1464" t="s">
        <v>531</v>
      </c>
      <c r="B1464" t="s">
        <v>1640</v>
      </c>
      <c r="C1464">
        <v>35507</v>
      </c>
      <c r="D1464">
        <v>0</v>
      </c>
      <c r="E1464">
        <v>0</v>
      </c>
      <c r="F1464">
        <v>0</v>
      </c>
    </row>
    <row r="1465" spans="1:6" x14ac:dyDescent="0.25">
      <c r="A1465" t="s">
        <v>1583</v>
      </c>
      <c r="B1465" t="s">
        <v>1641</v>
      </c>
      <c r="C1465">
        <v>35508</v>
      </c>
      <c r="D1465">
        <v>0</v>
      </c>
      <c r="E1465">
        <v>0</v>
      </c>
      <c r="F1465">
        <v>0</v>
      </c>
    </row>
    <row r="1466" spans="1:6" x14ac:dyDescent="0.25">
      <c r="B1466" t="s">
        <v>1997</v>
      </c>
      <c r="D1466">
        <v>0</v>
      </c>
      <c r="E1466">
        <v>0</v>
      </c>
      <c r="F1466">
        <v>0</v>
      </c>
    </row>
    <row r="1467" spans="1:6" x14ac:dyDescent="0.25">
      <c r="B1467" t="s">
        <v>2287</v>
      </c>
    </row>
    <row r="1468" spans="1:6" x14ac:dyDescent="0.25">
      <c r="A1468" t="s">
        <v>2</v>
      </c>
      <c r="B1468" t="s">
        <v>1634</v>
      </c>
      <c r="C1468">
        <v>35601</v>
      </c>
      <c r="D1468">
        <v>0</v>
      </c>
      <c r="E1468">
        <v>0</v>
      </c>
      <c r="F1468">
        <v>0</v>
      </c>
    </row>
    <row r="1469" spans="1:6" x14ac:dyDescent="0.25">
      <c r="A1469" t="s">
        <v>15</v>
      </c>
      <c r="B1469" t="s">
        <v>1635</v>
      </c>
      <c r="C1469">
        <v>35602</v>
      </c>
      <c r="D1469">
        <v>0</v>
      </c>
      <c r="E1469">
        <v>0</v>
      </c>
      <c r="F1469">
        <v>0</v>
      </c>
    </row>
    <row r="1470" spans="1:6" x14ac:dyDescent="0.25">
      <c r="A1470" t="s">
        <v>16</v>
      </c>
      <c r="B1470" t="s">
        <v>1636</v>
      </c>
      <c r="C1470">
        <v>35603</v>
      </c>
      <c r="D1470">
        <v>0</v>
      </c>
      <c r="E1470">
        <v>0</v>
      </c>
      <c r="F1470">
        <v>0</v>
      </c>
    </row>
    <row r="1471" spans="1:6" x14ac:dyDescent="0.25">
      <c r="A1471" t="s">
        <v>25</v>
      </c>
      <c r="B1471" t="s">
        <v>1637</v>
      </c>
      <c r="C1471">
        <v>35604</v>
      </c>
      <c r="D1471">
        <v>0</v>
      </c>
      <c r="E1471">
        <v>0</v>
      </c>
      <c r="F1471">
        <v>0</v>
      </c>
    </row>
    <row r="1472" spans="1:6" x14ac:dyDescent="0.25">
      <c r="A1472" t="s">
        <v>26</v>
      </c>
      <c r="B1472" t="s">
        <v>1638</v>
      </c>
      <c r="C1472">
        <v>35605</v>
      </c>
      <c r="D1472">
        <v>0</v>
      </c>
      <c r="E1472">
        <v>0</v>
      </c>
      <c r="F1472">
        <v>0</v>
      </c>
    </row>
    <row r="1473" spans="1:6" x14ac:dyDescent="0.25">
      <c r="A1473" t="s">
        <v>27</v>
      </c>
      <c r="B1473" t="s">
        <v>1639</v>
      </c>
      <c r="C1473">
        <v>35606</v>
      </c>
      <c r="D1473">
        <v>0</v>
      </c>
      <c r="E1473">
        <v>0</v>
      </c>
      <c r="F1473">
        <v>0</v>
      </c>
    </row>
    <row r="1474" spans="1:6" x14ac:dyDescent="0.25">
      <c r="A1474" t="s">
        <v>531</v>
      </c>
      <c r="B1474" t="s">
        <v>1640</v>
      </c>
      <c r="C1474">
        <v>35607</v>
      </c>
      <c r="D1474">
        <v>0</v>
      </c>
      <c r="E1474">
        <v>0</v>
      </c>
      <c r="F1474">
        <v>0</v>
      </c>
    </row>
    <row r="1475" spans="1:6" x14ac:dyDescent="0.25">
      <c r="A1475" t="s">
        <v>1583</v>
      </c>
      <c r="B1475" t="s">
        <v>1641</v>
      </c>
      <c r="C1475">
        <v>35608</v>
      </c>
      <c r="D1475">
        <v>0</v>
      </c>
      <c r="E1475">
        <v>0</v>
      </c>
      <c r="F1475">
        <v>0</v>
      </c>
    </row>
    <row r="1476" spans="1:6" x14ac:dyDescent="0.25">
      <c r="B1476" t="s">
        <v>1998</v>
      </c>
      <c r="D1476">
        <v>0</v>
      </c>
      <c r="E1476">
        <v>0</v>
      </c>
      <c r="F1476">
        <v>0</v>
      </c>
    </row>
    <row r="1477" spans="1:6" x14ac:dyDescent="0.25">
      <c r="B1477" t="s">
        <v>2288</v>
      </c>
    </row>
    <row r="1478" spans="1:6" x14ac:dyDescent="0.25">
      <c r="A1478" t="s">
        <v>2</v>
      </c>
      <c r="B1478" t="s">
        <v>1634</v>
      </c>
      <c r="C1478">
        <v>35701</v>
      </c>
      <c r="D1478">
        <v>0</v>
      </c>
      <c r="E1478">
        <v>0</v>
      </c>
      <c r="F1478">
        <v>0</v>
      </c>
    </row>
    <row r="1479" spans="1:6" x14ac:dyDescent="0.25">
      <c r="A1479" t="s">
        <v>15</v>
      </c>
      <c r="B1479" t="s">
        <v>1635</v>
      </c>
      <c r="C1479">
        <v>35702</v>
      </c>
      <c r="D1479">
        <v>0</v>
      </c>
      <c r="E1479">
        <v>0</v>
      </c>
      <c r="F1479">
        <v>0</v>
      </c>
    </row>
    <row r="1480" spans="1:6" x14ac:dyDescent="0.25">
      <c r="A1480" t="s">
        <v>16</v>
      </c>
      <c r="B1480" t="s">
        <v>1636</v>
      </c>
      <c r="C1480">
        <v>35703</v>
      </c>
      <c r="D1480">
        <v>0</v>
      </c>
      <c r="E1480">
        <v>0</v>
      </c>
      <c r="F1480">
        <v>0</v>
      </c>
    </row>
    <row r="1481" spans="1:6" x14ac:dyDescent="0.25">
      <c r="A1481" t="s">
        <v>25</v>
      </c>
      <c r="B1481" t="s">
        <v>1637</v>
      </c>
      <c r="C1481">
        <v>35704</v>
      </c>
      <c r="D1481">
        <v>0</v>
      </c>
      <c r="E1481">
        <v>0</v>
      </c>
      <c r="F1481">
        <v>0</v>
      </c>
    </row>
    <row r="1482" spans="1:6" x14ac:dyDescent="0.25">
      <c r="A1482" t="s">
        <v>26</v>
      </c>
      <c r="B1482" t="s">
        <v>1638</v>
      </c>
      <c r="C1482">
        <v>35705</v>
      </c>
      <c r="D1482">
        <v>0</v>
      </c>
      <c r="E1482">
        <v>0</v>
      </c>
      <c r="F1482">
        <v>0</v>
      </c>
    </row>
    <row r="1483" spans="1:6" x14ac:dyDescent="0.25">
      <c r="A1483" t="s">
        <v>27</v>
      </c>
      <c r="B1483" t="s">
        <v>1639</v>
      </c>
      <c r="C1483">
        <v>35706</v>
      </c>
      <c r="D1483">
        <v>0</v>
      </c>
      <c r="E1483">
        <v>0</v>
      </c>
      <c r="F1483">
        <v>0</v>
      </c>
    </row>
    <row r="1484" spans="1:6" x14ac:dyDescent="0.25">
      <c r="A1484" t="s">
        <v>531</v>
      </c>
      <c r="B1484" t="s">
        <v>1640</v>
      </c>
      <c r="C1484">
        <v>35707</v>
      </c>
      <c r="D1484">
        <v>0</v>
      </c>
      <c r="E1484">
        <v>0</v>
      </c>
      <c r="F1484">
        <v>0</v>
      </c>
    </row>
    <row r="1485" spans="1:6" x14ac:dyDescent="0.25">
      <c r="A1485" t="s">
        <v>1583</v>
      </c>
      <c r="B1485" t="s">
        <v>1641</v>
      </c>
      <c r="C1485">
        <v>35708</v>
      </c>
      <c r="D1485">
        <v>11985</v>
      </c>
      <c r="E1485">
        <v>0</v>
      </c>
      <c r="F1485">
        <v>11985</v>
      </c>
    </row>
    <row r="1486" spans="1:6" x14ac:dyDescent="0.25">
      <c r="B1486" t="s">
        <v>1999</v>
      </c>
      <c r="D1486">
        <v>11985</v>
      </c>
      <c r="E1486">
        <v>0</v>
      </c>
      <c r="F1486">
        <v>11985</v>
      </c>
    </row>
    <row r="1487" spans="1:6" x14ac:dyDescent="0.25">
      <c r="B1487" t="s">
        <v>1647</v>
      </c>
    </row>
    <row r="1488" spans="1:6" x14ac:dyDescent="0.25">
      <c r="A1488" t="s">
        <v>2</v>
      </c>
      <c r="B1488" t="s">
        <v>1648</v>
      </c>
      <c r="C1488">
        <v>35801</v>
      </c>
      <c r="D1488">
        <v>0</v>
      </c>
      <c r="E1488">
        <v>0</v>
      </c>
      <c r="F1488">
        <v>0</v>
      </c>
    </row>
    <row r="1489" spans="1:6" x14ac:dyDescent="0.25">
      <c r="A1489" t="s">
        <v>15</v>
      </c>
      <c r="B1489" t="s">
        <v>1649</v>
      </c>
      <c r="C1489">
        <v>35802</v>
      </c>
      <c r="D1489">
        <v>0</v>
      </c>
      <c r="E1489">
        <v>0</v>
      </c>
      <c r="F1489">
        <v>0</v>
      </c>
    </row>
    <row r="1490" spans="1:6" x14ac:dyDescent="0.25">
      <c r="A1490" t="s">
        <v>16</v>
      </c>
      <c r="B1490" t="s">
        <v>1637</v>
      </c>
      <c r="C1490">
        <v>35803</v>
      </c>
      <c r="D1490">
        <v>0</v>
      </c>
      <c r="E1490">
        <v>0</v>
      </c>
      <c r="F1490">
        <v>0</v>
      </c>
    </row>
    <row r="1491" spans="1:6" x14ac:dyDescent="0.25">
      <c r="A1491" t="s">
        <v>25</v>
      </c>
      <c r="B1491" t="s">
        <v>1638</v>
      </c>
      <c r="C1491">
        <v>35804</v>
      </c>
      <c r="D1491">
        <v>0</v>
      </c>
      <c r="E1491">
        <v>0</v>
      </c>
      <c r="F1491">
        <v>0</v>
      </c>
    </row>
    <row r="1492" spans="1:6" x14ac:dyDescent="0.25">
      <c r="A1492" t="s">
        <v>26</v>
      </c>
      <c r="B1492" t="s">
        <v>1650</v>
      </c>
      <c r="C1492">
        <v>35805</v>
      </c>
      <c r="D1492">
        <v>0</v>
      </c>
      <c r="E1492">
        <v>0</v>
      </c>
      <c r="F1492">
        <v>0</v>
      </c>
    </row>
    <row r="1493" spans="1:6" x14ac:dyDescent="0.25">
      <c r="A1493" t="s">
        <v>27</v>
      </c>
      <c r="B1493" t="s">
        <v>1651</v>
      </c>
      <c r="C1493">
        <v>35806</v>
      </c>
      <c r="D1493">
        <v>0</v>
      </c>
      <c r="E1493">
        <v>0</v>
      </c>
      <c r="F1493">
        <v>0</v>
      </c>
    </row>
    <row r="1494" spans="1:6" x14ac:dyDescent="0.25">
      <c r="A1494" t="s">
        <v>531</v>
      </c>
      <c r="B1494" t="s">
        <v>1640</v>
      </c>
      <c r="C1494">
        <v>35807</v>
      </c>
      <c r="D1494">
        <v>0</v>
      </c>
      <c r="E1494">
        <v>0</v>
      </c>
      <c r="F1494">
        <v>0</v>
      </c>
    </row>
    <row r="1495" spans="1:6" x14ac:dyDescent="0.25">
      <c r="A1495" t="s">
        <v>1583</v>
      </c>
      <c r="B1495" t="s">
        <v>1641</v>
      </c>
      <c r="C1495">
        <v>35808</v>
      </c>
      <c r="D1495">
        <v>0</v>
      </c>
      <c r="E1495">
        <v>0</v>
      </c>
      <c r="F1495">
        <v>0</v>
      </c>
    </row>
    <row r="1496" spans="1:6" x14ac:dyDescent="0.25">
      <c r="B1496" t="s">
        <v>2000</v>
      </c>
      <c r="D1496">
        <v>0</v>
      </c>
      <c r="E1496">
        <v>0</v>
      </c>
      <c r="F1496">
        <v>0</v>
      </c>
    </row>
    <row r="1497" spans="1:6" x14ac:dyDescent="0.25">
      <c r="B1497" t="s">
        <v>1728</v>
      </c>
      <c r="D1497">
        <v>2123306</v>
      </c>
      <c r="E1497">
        <v>0</v>
      </c>
      <c r="F1497">
        <v>2123306</v>
      </c>
    </row>
    <row r="1498" spans="1:6" x14ac:dyDescent="0.25">
      <c r="B1498" t="s">
        <v>2435</v>
      </c>
    </row>
    <row r="1499" spans="1:6" x14ac:dyDescent="0.25">
      <c r="B1499" t="s">
        <v>1672</v>
      </c>
    </row>
    <row r="1500" spans="1:6" x14ac:dyDescent="0.25">
      <c r="A1500" t="s">
        <v>2</v>
      </c>
      <c r="B1500" t="s">
        <v>1673</v>
      </c>
      <c r="C1500">
        <v>36101</v>
      </c>
      <c r="D1500">
        <v>21219</v>
      </c>
      <c r="E1500">
        <v>0</v>
      </c>
      <c r="F1500">
        <v>21219</v>
      </c>
    </row>
    <row r="1501" spans="1:6" x14ac:dyDescent="0.25">
      <c r="A1501" t="s">
        <v>15</v>
      </c>
      <c r="B1501" t="s">
        <v>1674</v>
      </c>
      <c r="C1501">
        <v>36102</v>
      </c>
      <c r="D1501">
        <v>689</v>
      </c>
      <c r="E1501">
        <v>0</v>
      </c>
      <c r="F1501">
        <v>689</v>
      </c>
    </row>
    <row r="1502" spans="1:6" x14ac:dyDescent="0.25">
      <c r="A1502" t="s">
        <v>16</v>
      </c>
      <c r="B1502" t="s">
        <v>1675</v>
      </c>
      <c r="C1502">
        <v>36103</v>
      </c>
      <c r="D1502">
        <v>95</v>
      </c>
      <c r="E1502">
        <v>0</v>
      </c>
      <c r="F1502">
        <v>95</v>
      </c>
    </row>
    <row r="1503" spans="1:6" x14ac:dyDescent="0.25">
      <c r="A1503" t="s">
        <v>25</v>
      </c>
      <c r="B1503" t="s">
        <v>1676</v>
      </c>
      <c r="C1503">
        <v>36104</v>
      </c>
      <c r="D1503">
        <v>0</v>
      </c>
      <c r="E1503">
        <v>0</v>
      </c>
      <c r="F1503">
        <v>0</v>
      </c>
    </row>
    <row r="1504" spans="1:6" x14ac:dyDescent="0.25">
      <c r="A1504" t="s">
        <v>26</v>
      </c>
      <c r="B1504" t="s">
        <v>1677</v>
      </c>
      <c r="C1504">
        <v>36105</v>
      </c>
      <c r="D1504">
        <v>0</v>
      </c>
      <c r="E1504">
        <v>0</v>
      </c>
      <c r="F1504">
        <v>0</v>
      </c>
    </row>
    <row r="1505" spans="1:6" x14ac:dyDescent="0.25">
      <c r="B1505" t="s">
        <v>2002</v>
      </c>
      <c r="D1505">
        <v>22003</v>
      </c>
      <c r="E1505">
        <v>0</v>
      </c>
      <c r="F1505">
        <v>22003</v>
      </c>
    </row>
    <row r="1506" spans="1:6" x14ac:dyDescent="0.25">
      <c r="B1506" t="s">
        <v>1679</v>
      </c>
    </row>
    <row r="1507" spans="1:6" x14ac:dyDescent="0.25">
      <c r="A1507" t="s">
        <v>2</v>
      </c>
      <c r="B1507" t="s">
        <v>1680</v>
      </c>
      <c r="C1507">
        <v>36201</v>
      </c>
      <c r="D1507">
        <v>0</v>
      </c>
      <c r="E1507">
        <v>0</v>
      </c>
      <c r="F1507">
        <v>0</v>
      </c>
    </row>
    <row r="1508" spans="1:6" x14ac:dyDescent="0.25">
      <c r="A1508" t="s">
        <v>15</v>
      </c>
      <c r="B1508" t="s">
        <v>1681</v>
      </c>
      <c r="C1508">
        <v>36202</v>
      </c>
      <c r="D1508">
        <v>0</v>
      </c>
      <c r="E1508">
        <v>0</v>
      </c>
      <c r="F1508">
        <v>0</v>
      </c>
    </row>
    <row r="1509" spans="1:6" x14ac:dyDescent="0.25">
      <c r="A1509" t="s">
        <v>16</v>
      </c>
      <c r="B1509" t="s">
        <v>1682</v>
      </c>
      <c r="C1509">
        <v>36203</v>
      </c>
      <c r="D1509">
        <v>0</v>
      </c>
      <c r="E1509">
        <v>0</v>
      </c>
      <c r="F1509">
        <v>0</v>
      </c>
    </row>
    <row r="1510" spans="1:6" x14ac:dyDescent="0.25">
      <c r="A1510" t="s">
        <v>25</v>
      </c>
      <c r="B1510" t="s">
        <v>1683</v>
      </c>
      <c r="C1510">
        <v>36204</v>
      </c>
      <c r="D1510">
        <v>0</v>
      </c>
      <c r="E1510">
        <v>0</v>
      </c>
      <c r="F1510">
        <v>0</v>
      </c>
    </row>
    <row r="1511" spans="1:6" x14ac:dyDescent="0.25">
      <c r="A1511" t="s">
        <v>26</v>
      </c>
      <c r="B1511" t="s">
        <v>1684</v>
      </c>
      <c r="C1511">
        <v>36205</v>
      </c>
      <c r="D1511">
        <v>0</v>
      </c>
      <c r="E1511">
        <v>0</v>
      </c>
      <c r="F1511">
        <v>0</v>
      </c>
    </row>
    <row r="1512" spans="1:6" x14ac:dyDescent="0.25">
      <c r="A1512" t="s">
        <v>27</v>
      </c>
      <c r="B1512" t="s">
        <v>1685</v>
      </c>
      <c r="C1512">
        <v>36206</v>
      </c>
      <c r="D1512">
        <v>0</v>
      </c>
      <c r="E1512">
        <v>0</v>
      </c>
      <c r="F1512">
        <v>0</v>
      </c>
    </row>
    <row r="1513" spans="1:6" x14ac:dyDescent="0.25">
      <c r="A1513" t="s">
        <v>531</v>
      </c>
      <c r="B1513" t="s">
        <v>1686</v>
      </c>
      <c r="C1513">
        <v>36207</v>
      </c>
      <c r="D1513">
        <v>0</v>
      </c>
      <c r="E1513">
        <v>0</v>
      </c>
      <c r="F1513">
        <v>0</v>
      </c>
    </row>
    <row r="1514" spans="1:6" x14ac:dyDescent="0.25">
      <c r="A1514" t="s">
        <v>1583</v>
      </c>
      <c r="B1514" t="s">
        <v>1687</v>
      </c>
      <c r="C1514">
        <v>36208</v>
      </c>
      <c r="D1514">
        <v>0</v>
      </c>
      <c r="E1514">
        <v>0</v>
      </c>
      <c r="F1514">
        <v>0</v>
      </c>
    </row>
    <row r="1515" spans="1:6" x14ac:dyDescent="0.25">
      <c r="A1515" t="s">
        <v>1585</v>
      </c>
      <c r="B1515" t="s">
        <v>1688</v>
      </c>
      <c r="C1515">
        <v>36209</v>
      </c>
      <c r="D1515">
        <v>0</v>
      </c>
      <c r="E1515">
        <v>0</v>
      </c>
      <c r="F1515">
        <v>0</v>
      </c>
    </row>
    <row r="1516" spans="1:6" x14ac:dyDescent="0.25">
      <c r="A1516" t="s">
        <v>1587</v>
      </c>
      <c r="B1516" t="s">
        <v>1637</v>
      </c>
      <c r="C1516">
        <v>36210</v>
      </c>
      <c r="D1516">
        <v>0</v>
      </c>
      <c r="E1516">
        <v>0</v>
      </c>
      <c r="F1516">
        <v>0</v>
      </c>
    </row>
    <row r="1517" spans="1:6" x14ac:dyDescent="0.25">
      <c r="A1517" t="s">
        <v>1589</v>
      </c>
      <c r="B1517" t="s">
        <v>1640</v>
      </c>
      <c r="C1517">
        <v>36211</v>
      </c>
      <c r="D1517">
        <v>0</v>
      </c>
      <c r="E1517">
        <v>0</v>
      </c>
      <c r="F1517">
        <v>0</v>
      </c>
    </row>
    <row r="1518" spans="1:6" x14ac:dyDescent="0.25">
      <c r="A1518" t="s">
        <v>1591</v>
      </c>
      <c r="B1518" t="s">
        <v>1689</v>
      </c>
      <c r="C1518">
        <v>36212</v>
      </c>
      <c r="D1518">
        <v>0</v>
      </c>
      <c r="E1518">
        <v>0</v>
      </c>
      <c r="F1518">
        <v>0</v>
      </c>
    </row>
    <row r="1519" spans="1:6" x14ac:dyDescent="0.25">
      <c r="A1519" t="s">
        <v>1593</v>
      </c>
      <c r="B1519" t="s">
        <v>1690</v>
      </c>
      <c r="C1519">
        <v>36213</v>
      </c>
      <c r="D1519">
        <v>0</v>
      </c>
      <c r="E1519">
        <v>0</v>
      </c>
      <c r="F1519">
        <v>0</v>
      </c>
    </row>
    <row r="1520" spans="1:6" x14ac:dyDescent="0.25">
      <c r="B1520" t="s">
        <v>2003</v>
      </c>
      <c r="D1520">
        <v>0</v>
      </c>
      <c r="E1520">
        <v>0</v>
      </c>
      <c r="F1520">
        <v>0</v>
      </c>
    </row>
    <row r="1521" spans="1:6" x14ac:dyDescent="0.25">
      <c r="B1521" t="s">
        <v>1692</v>
      </c>
    </row>
    <row r="1522" spans="1:6" x14ac:dyDescent="0.25">
      <c r="A1522" t="s">
        <v>2</v>
      </c>
      <c r="B1522" t="s">
        <v>1693</v>
      </c>
      <c r="C1522">
        <v>36301</v>
      </c>
      <c r="D1522">
        <v>0</v>
      </c>
      <c r="E1522">
        <v>0</v>
      </c>
      <c r="F1522">
        <v>0</v>
      </c>
    </row>
    <row r="1523" spans="1:6" x14ac:dyDescent="0.25">
      <c r="A1523" t="s">
        <v>15</v>
      </c>
      <c r="B1523" t="s">
        <v>1694</v>
      </c>
      <c r="C1523">
        <v>36302</v>
      </c>
      <c r="D1523">
        <v>0</v>
      </c>
      <c r="E1523">
        <v>0</v>
      </c>
      <c r="F1523">
        <v>0</v>
      </c>
    </row>
    <row r="1524" spans="1:6" x14ac:dyDescent="0.25">
      <c r="A1524" t="s">
        <v>16</v>
      </c>
      <c r="B1524" t="s">
        <v>1695</v>
      </c>
      <c r="C1524">
        <v>36303</v>
      </c>
      <c r="D1524">
        <v>0</v>
      </c>
      <c r="E1524">
        <v>0</v>
      </c>
      <c r="F1524">
        <v>0</v>
      </c>
    </row>
    <row r="1525" spans="1:6" x14ac:dyDescent="0.25">
      <c r="A1525" t="s">
        <v>25</v>
      </c>
      <c r="B1525" t="s">
        <v>1696</v>
      </c>
      <c r="C1525">
        <v>36304</v>
      </c>
      <c r="D1525">
        <v>0</v>
      </c>
      <c r="E1525">
        <v>0</v>
      </c>
      <c r="F1525">
        <v>0</v>
      </c>
    </row>
    <row r="1526" spans="1:6" x14ac:dyDescent="0.25">
      <c r="A1526" t="s">
        <v>26</v>
      </c>
      <c r="B1526" t="s">
        <v>1680</v>
      </c>
      <c r="C1526">
        <v>36305</v>
      </c>
      <c r="D1526">
        <v>0</v>
      </c>
      <c r="E1526">
        <v>0</v>
      </c>
      <c r="F1526">
        <v>0</v>
      </c>
    </row>
    <row r="1527" spans="1:6" x14ac:dyDescent="0.25">
      <c r="A1527" t="s">
        <v>27</v>
      </c>
      <c r="B1527" t="s">
        <v>1681</v>
      </c>
      <c r="C1527">
        <v>36306</v>
      </c>
      <c r="D1527">
        <v>0</v>
      </c>
      <c r="E1527">
        <v>0</v>
      </c>
      <c r="F1527">
        <v>0</v>
      </c>
    </row>
    <row r="1528" spans="1:6" x14ac:dyDescent="0.25">
      <c r="A1528" t="s">
        <v>531</v>
      </c>
      <c r="B1528" t="s">
        <v>1682</v>
      </c>
      <c r="C1528">
        <v>36307</v>
      </c>
      <c r="D1528">
        <v>0</v>
      </c>
      <c r="E1528">
        <v>0</v>
      </c>
      <c r="F1528">
        <v>0</v>
      </c>
    </row>
    <row r="1529" spans="1:6" x14ac:dyDescent="0.25">
      <c r="A1529" t="s">
        <v>1583</v>
      </c>
      <c r="B1529" t="s">
        <v>1683</v>
      </c>
      <c r="C1529">
        <v>36308</v>
      </c>
      <c r="D1529">
        <v>0</v>
      </c>
      <c r="E1529">
        <v>0</v>
      </c>
      <c r="F1529">
        <v>0</v>
      </c>
    </row>
    <row r="1530" spans="1:6" x14ac:dyDescent="0.25">
      <c r="A1530" t="s">
        <v>1585</v>
      </c>
      <c r="B1530" t="s">
        <v>1684</v>
      </c>
      <c r="C1530">
        <v>36309</v>
      </c>
      <c r="D1530">
        <v>0</v>
      </c>
      <c r="E1530">
        <v>0</v>
      </c>
      <c r="F1530">
        <v>0</v>
      </c>
    </row>
    <row r="1531" spans="1:6" x14ac:dyDescent="0.25">
      <c r="A1531" t="s">
        <v>1587</v>
      </c>
      <c r="B1531" t="s">
        <v>1685</v>
      </c>
      <c r="C1531">
        <v>36310</v>
      </c>
      <c r="D1531">
        <v>55806</v>
      </c>
      <c r="E1531">
        <v>0</v>
      </c>
      <c r="F1531">
        <v>55806</v>
      </c>
    </row>
    <row r="1532" spans="1:6" x14ac:dyDescent="0.25">
      <c r="A1532" t="s">
        <v>1589</v>
      </c>
      <c r="B1532" t="s">
        <v>1686</v>
      </c>
      <c r="C1532">
        <v>36311</v>
      </c>
      <c r="D1532">
        <v>5330</v>
      </c>
      <c r="E1532">
        <v>0</v>
      </c>
      <c r="F1532">
        <v>5330</v>
      </c>
    </row>
    <row r="1533" spans="1:6" x14ac:dyDescent="0.25">
      <c r="A1533" t="s">
        <v>1591</v>
      </c>
      <c r="B1533" t="s">
        <v>1687</v>
      </c>
      <c r="C1533">
        <v>36312</v>
      </c>
      <c r="D1533">
        <v>847</v>
      </c>
      <c r="E1533">
        <v>0</v>
      </c>
      <c r="F1533">
        <v>847</v>
      </c>
    </row>
    <row r="1534" spans="1:6" x14ac:dyDescent="0.25">
      <c r="A1534" t="s">
        <v>1593</v>
      </c>
      <c r="B1534" t="s">
        <v>1688</v>
      </c>
      <c r="C1534">
        <v>36313</v>
      </c>
      <c r="D1534">
        <v>386991</v>
      </c>
      <c r="E1534">
        <v>0</v>
      </c>
      <c r="F1534">
        <v>386991</v>
      </c>
    </row>
    <row r="1535" spans="1:6" x14ac:dyDescent="0.25">
      <c r="A1535" t="s">
        <v>1595</v>
      </c>
      <c r="B1535" t="s">
        <v>1690</v>
      </c>
      <c r="C1535">
        <v>36314</v>
      </c>
      <c r="D1535">
        <v>0</v>
      </c>
      <c r="E1535">
        <v>0</v>
      </c>
      <c r="F1535">
        <v>0</v>
      </c>
    </row>
    <row r="1536" spans="1:6" x14ac:dyDescent="0.25">
      <c r="A1536" t="s">
        <v>1597</v>
      </c>
      <c r="B1536" t="s">
        <v>1637</v>
      </c>
      <c r="C1536">
        <v>36315</v>
      </c>
      <c r="D1536">
        <v>0</v>
      </c>
      <c r="E1536">
        <v>0</v>
      </c>
      <c r="F1536">
        <v>0</v>
      </c>
    </row>
    <row r="1537" spans="1:6" x14ac:dyDescent="0.25">
      <c r="A1537" t="s">
        <v>1599</v>
      </c>
      <c r="B1537" t="s">
        <v>1640</v>
      </c>
      <c r="C1537">
        <v>36316</v>
      </c>
      <c r="D1537">
        <v>0</v>
      </c>
      <c r="E1537">
        <v>0</v>
      </c>
      <c r="F1537">
        <v>0</v>
      </c>
    </row>
    <row r="1538" spans="1:6" x14ac:dyDescent="0.25">
      <c r="A1538" t="s">
        <v>1601</v>
      </c>
      <c r="B1538" t="s">
        <v>1636</v>
      </c>
      <c r="C1538">
        <v>36317</v>
      </c>
      <c r="D1538">
        <v>0</v>
      </c>
      <c r="E1538">
        <v>0</v>
      </c>
      <c r="F1538">
        <v>0</v>
      </c>
    </row>
    <row r="1539" spans="1:6" x14ac:dyDescent="0.25">
      <c r="A1539" t="s">
        <v>1603</v>
      </c>
      <c r="B1539" t="s">
        <v>1689</v>
      </c>
      <c r="C1539">
        <v>36318</v>
      </c>
      <c r="D1539">
        <v>0</v>
      </c>
      <c r="E1539">
        <v>0</v>
      </c>
      <c r="F1539">
        <v>0</v>
      </c>
    </row>
    <row r="1540" spans="1:6" x14ac:dyDescent="0.25">
      <c r="B1540" t="s">
        <v>2004</v>
      </c>
      <c r="D1540">
        <v>448974</v>
      </c>
      <c r="E1540">
        <v>0</v>
      </c>
      <c r="F1540">
        <v>448974</v>
      </c>
    </row>
    <row r="1541" spans="1:6" x14ac:dyDescent="0.25">
      <c r="B1541" t="s">
        <v>1698</v>
      </c>
    </row>
    <row r="1542" spans="1:6" x14ac:dyDescent="0.25">
      <c r="A1542" t="s">
        <v>2</v>
      </c>
      <c r="B1542" t="s">
        <v>1699</v>
      </c>
      <c r="C1542">
        <v>36401</v>
      </c>
      <c r="D1542">
        <v>0</v>
      </c>
      <c r="E1542">
        <v>0</v>
      </c>
      <c r="F1542">
        <v>0</v>
      </c>
    </row>
    <row r="1543" spans="1:6" x14ac:dyDescent="0.25">
      <c r="A1543" t="s">
        <v>15</v>
      </c>
      <c r="B1543" t="s">
        <v>1694</v>
      </c>
      <c r="C1543">
        <v>36402</v>
      </c>
      <c r="D1543">
        <v>0</v>
      </c>
      <c r="E1543">
        <v>0</v>
      </c>
      <c r="F1543">
        <v>0</v>
      </c>
    </row>
    <row r="1544" spans="1:6" x14ac:dyDescent="0.25">
      <c r="A1544" t="s">
        <v>16</v>
      </c>
      <c r="B1544" t="s">
        <v>1695</v>
      </c>
      <c r="C1544">
        <v>36403</v>
      </c>
      <c r="D1544">
        <v>0</v>
      </c>
      <c r="E1544">
        <v>0</v>
      </c>
      <c r="F1544">
        <v>0</v>
      </c>
    </row>
    <row r="1545" spans="1:6" x14ac:dyDescent="0.25">
      <c r="A1545" t="s">
        <v>25</v>
      </c>
      <c r="B1545" t="s">
        <v>1696</v>
      </c>
      <c r="C1545">
        <v>36404</v>
      </c>
      <c r="D1545">
        <v>0</v>
      </c>
      <c r="E1545">
        <v>0</v>
      </c>
      <c r="F1545">
        <v>0</v>
      </c>
    </row>
    <row r="1546" spans="1:6" x14ac:dyDescent="0.25">
      <c r="A1546" t="s">
        <v>26</v>
      </c>
      <c r="B1546" t="s">
        <v>1680</v>
      </c>
      <c r="C1546">
        <v>36405</v>
      </c>
      <c r="D1546">
        <v>0</v>
      </c>
      <c r="E1546">
        <v>0</v>
      </c>
      <c r="F1546">
        <v>0</v>
      </c>
    </row>
    <row r="1547" spans="1:6" x14ac:dyDescent="0.25">
      <c r="A1547" t="s">
        <v>27</v>
      </c>
      <c r="B1547" t="s">
        <v>1681</v>
      </c>
      <c r="C1547">
        <v>36406</v>
      </c>
      <c r="D1547">
        <v>0</v>
      </c>
      <c r="E1547">
        <v>0</v>
      </c>
      <c r="F1547">
        <v>0</v>
      </c>
    </row>
    <row r="1548" spans="1:6" x14ac:dyDescent="0.25">
      <c r="A1548" t="s">
        <v>531</v>
      </c>
      <c r="B1548" t="s">
        <v>1682</v>
      </c>
      <c r="C1548">
        <v>36407</v>
      </c>
      <c r="D1548">
        <v>0</v>
      </c>
      <c r="E1548">
        <v>0</v>
      </c>
      <c r="F1548">
        <v>0</v>
      </c>
    </row>
    <row r="1549" spans="1:6" x14ac:dyDescent="0.25">
      <c r="A1549" t="s">
        <v>1583</v>
      </c>
      <c r="B1549" t="s">
        <v>1683</v>
      </c>
      <c r="C1549">
        <v>36408</v>
      </c>
      <c r="D1549">
        <v>0</v>
      </c>
      <c r="E1549">
        <v>0</v>
      </c>
      <c r="F1549">
        <v>0</v>
      </c>
    </row>
    <row r="1550" spans="1:6" x14ac:dyDescent="0.25">
      <c r="A1550" t="s">
        <v>1585</v>
      </c>
      <c r="B1550" t="s">
        <v>1684</v>
      </c>
      <c r="C1550">
        <v>36409</v>
      </c>
      <c r="D1550">
        <v>0</v>
      </c>
      <c r="E1550">
        <v>0</v>
      </c>
      <c r="F1550">
        <v>0</v>
      </c>
    </row>
    <row r="1551" spans="1:6" x14ac:dyDescent="0.25">
      <c r="A1551" t="s">
        <v>1587</v>
      </c>
      <c r="B1551" t="s">
        <v>1685</v>
      </c>
      <c r="C1551">
        <v>36410</v>
      </c>
      <c r="D1551">
        <v>0</v>
      </c>
      <c r="E1551">
        <v>0</v>
      </c>
      <c r="F1551">
        <v>0</v>
      </c>
    </row>
    <row r="1552" spans="1:6" x14ac:dyDescent="0.25">
      <c r="A1552" t="s">
        <v>1589</v>
      </c>
      <c r="B1552" t="s">
        <v>1686</v>
      </c>
      <c r="C1552">
        <v>36411</v>
      </c>
      <c r="D1552">
        <v>0</v>
      </c>
      <c r="E1552">
        <v>0</v>
      </c>
      <c r="F1552">
        <v>0</v>
      </c>
    </row>
    <row r="1553" spans="1:6" x14ac:dyDescent="0.25">
      <c r="A1553" t="s">
        <v>1591</v>
      </c>
      <c r="B1553" t="s">
        <v>1687</v>
      </c>
      <c r="C1553">
        <v>36412</v>
      </c>
      <c r="D1553">
        <v>0</v>
      </c>
      <c r="E1553">
        <v>0</v>
      </c>
      <c r="F1553">
        <v>0</v>
      </c>
    </row>
    <row r="1554" spans="1:6" x14ac:dyDescent="0.25">
      <c r="A1554" t="s">
        <v>1593</v>
      </c>
      <c r="B1554" t="s">
        <v>1688</v>
      </c>
      <c r="C1554">
        <v>36413</v>
      </c>
      <c r="D1554">
        <v>0</v>
      </c>
      <c r="E1554">
        <v>0</v>
      </c>
      <c r="F1554">
        <v>0</v>
      </c>
    </row>
    <row r="1555" spans="1:6" x14ac:dyDescent="0.25">
      <c r="A1555" t="s">
        <v>1595</v>
      </c>
      <c r="B1555" t="s">
        <v>1690</v>
      </c>
      <c r="C1555">
        <v>36414</v>
      </c>
      <c r="D1555">
        <v>0</v>
      </c>
      <c r="E1555">
        <v>0</v>
      </c>
      <c r="F1555">
        <v>0</v>
      </c>
    </row>
    <row r="1556" spans="1:6" x14ac:dyDescent="0.25">
      <c r="A1556" t="s">
        <v>1597</v>
      </c>
      <c r="B1556" t="s">
        <v>1637</v>
      </c>
      <c r="C1556">
        <v>36415</v>
      </c>
      <c r="D1556">
        <v>0</v>
      </c>
      <c r="E1556">
        <v>0</v>
      </c>
      <c r="F1556">
        <v>0</v>
      </c>
    </row>
    <row r="1557" spans="1:6" x14ac:dyDescent="0.25">
      <c r="A1557" t="s">
        <v>1599</v>
      </c>
      <c r="B1557" t="s">
        <v>1640</v>
      </c>
      <c r="C1557">
        <v>36416</v>
      </c>
      <c r="D1557">
        <v>0</v>
      </c>
      <c r="E1557">
        <v>0</v>
      </c>
      <c r="F1557">
        <v>0</v>
      </c>
    </row>
    <row r="1558" spans="1:6" x14ac:dyDescent="0.25">
      <c r="A1558" t="s">
        <v>1601</v>
      </c>
      <c r="B1558" t="s">
        <v>1636</v>
      </c>
      <c r="C1558">
        <v>36417</v>
      </c>
      <c r="D1558">
        <v>0</v>
      </c>
      <c r="E1558">
        <v>0</v>
      </c>
      <c r="F1558">
        <v>0</v>
      </c>
    </row>
    <row r="1559" spans="1:6" x14ac:dyDescent="0.25">
      <c r="A1559" t="s">
        <v>1603</v>
      </c>
      <c r="B1559" t="s">
        <v>1689</v>
      </c>
      <c r="C1559">
        <v>36418</v>
      </c>
      <c r="D1559">
        <v>0</v>
      </c>
      <c r="E1559">
        <v>0</v>
      </c>
      <c r="F1559">
        <v>0</v>
      </c>
    </row>
    <row r="1560" spans="1:6" x14ac:dyDescent="0.25">
      <c r="B1560" t="s">
        <v>2005</v>
      </c>
      <c r="D1560">
        <v>0</v>
      </c>
      <c r="E1560">
        <v>0</v>
      </c>
      <c r="F1560">
        <v>0</v>
      </c>
    </row>
    <row r="1561" spans="1:6" x14ac:dyDescent="0.25">
      <c r="B1561" t="s">
        <v>1701</v>
      </c>
    </row>
    <row r="1562" spans="1:6" x14ac:dyDescent="0.25">
      <c r="A1562" t="s">
        <v>2</v>
      </c>
      <c r="B1562" t="s">
        <v>1702</v>
      </c>
      <c r="C1562">
        <v>36501</v>
      </c>
      <c r="D1562">
        <v>0</v>
      </c>
      <c r="E1562">
        <v>0</v>
      </c>
      <c r="F1562">
        <v>0</v>
      </c>
    </row>
    <row r="1563" spans="1:6" x14ac:dyDescent="0.25">
      <c r="A1563" t="s">
        <v>15</v>
      </c>
      <c r="B1563" t="s">
        <v>1703</v>
      </c>
      <c r="C1563">
        <v>36502</v>
      </c>
      <c r="D1563">
        <v>0</v>
      </c>
      <c r="E1563">
        <v>0</v>
      </c>
      <c r="F1563">
        <v>0</v>
      </c>
    </row>
    <row r="1564" spans="1:6" x14ac:dyDescent="0.25">
      <c r="B1564" t="s">
        <v>2006</v>
      </c>
      <c r="D1564">
        <v>0</v>
      </c>
      <c r="E1564">
        <v>0</v>
      </c>
      <c r="F1564">
        <v>0</v>
      </c>
    </row>
    <row r="1565" spans="1:6" x14ac:dyDescent="0.25">
      <c r="B1565" t="s">
        <v>1705</v>
      </c>
    </row>
    <row r="1566" spans="1:6" x14ac:dyDescent="0.25">
      <c r="A1566" t="s">
        <v>2</v>
      </c>
      <c r="B1566" t="s">
        <v>1702</v>
      </c>
      <c r="C1566">
        <v>36601</v>
      </c>
      <c r="D1566">
        <v>0</v>
      </c>
      <c r="E1566">
        <v>0</v>
      </c>
      <c r="F1566">
        <v>0</v>
      </c>
    </row>
    <row r="1567" spans="1:6" x14ac:dyDescent="0.25">
      <c r="A1567" t="s">
        <v>15</v>
      </c>
      <c r="B1567" t="s">
        <v>1703</v>
      </c>
      <c r="C1567">
        <v>36602</v>
      </c>
      <c r="D1567">
        <v>0</v>
      </c>
      <c r="E1567">
        <v>0</v>
      </c>
      <c r="F1567">
        <v>0</v>
      </c>
    </row>
    <row r="1568" spans="1:6" x14ac:dyDescent="0.25">
      <c r="B1568" t="s">
        <v>2007</v>
      </c>
      <c r="D1568">
        <v>0</v>
      </c>
      <c r="E1568">
        <v>0</v>
      </c>
      <c r="F1568">
        <v>0</v>
      </c>
    </row>
    <row r="1569" spans="1:6" x14ac:dyDescent="0.25">
      <c r="B1569" t="s">
        <v>1707</v>
      </c>
    </row>
    <row r="1570" spans="1:6" x14ac:dyDescent="0.25">
      <c r="A1570" t="s">
        <v>2</v>
      </c>
      <c r="B1570" t="s">
        <v>1702</v>
      </c>
      <c r="C1570">
        <v>36701</v>
      </c>
      <c r="D1570">
        <v>0</v>
      </c>
      <c r="E1570">
        <v>0</v>
      </c>
      <c r="F1570">
        <v>0</v>
      </c>
    </row>
    <row r="1571" spans="1:6" x14ac:dyDescent="0.25">
      <c r="A1571" t="s">
        <v>15</v>
      </c>
      <c r="B1571" t="s">
        <v>1703</v>
      </c>
      <c r="C1571">
        <v>36702</v>
      </c>
      <c r="D1571">
        <v>0</v>
      </c>
      <c r="E1571">
        <v>0</v>
      </c>
      <c r="F1571">
        <v>0</v>
      </c>
    </row>
    <row r="1572" spans="1:6" x14ac:dyDescent="0.25">
      <c r="B1572" t="s">
        <v>2008</v>
      </c>
      <c r="D1572">
        <v>0</v>
      </c>
      <c r="E1572">
        <v>0</v>
      </c>
      <c r="F1572">
        <v>0</v>
      </c>
    </row>
    <row r="1573" spans="1:6" x14ac:dyDescent="0.25">
      <c r="B1573" t="s">
        <v>1709</v>
      </c>
    </row>
    <row r="1574" spans="1:6" x14ac:dyDescent="0.25">
      <c r="A1574" t="s">
        <v>2</v>
      </c>
      <c r="B1574" t="s">
        <v>1710</v>
      </c>
      <c r="C1574">
        <v>36801</v>
      </c>
      <c r="D1574">
        <v>0</v>
      </c>
      <c r="E1574">
        <v>0</v>
      </c>
      <c r="F1574">
        <v>0</v>
      </c>
    </row>
    <row r="1575" spans="1:6" x14ac:dyDescent="0.25">
      <c r="A1575" t="s">
        <v>15</v>
      </c>
      <c r="B1575" t="s">
        <v>1711</v>
      </c>
      <c r="C1575">
        <v>36802</v>
      </c>
      <c r="D1575">
        <v>0</v>
      </c>
      <c r="E1575">
        <v>0</v>
      </c>
      <c r="F1575">
        <v>0</v>
      </c>
    </row>
    <row r="1576" spans="1:6" x14ac:dyDescent="0.25">
      <c r="A1576" t="s">
        <v>16</v>
      </c>
      <c r="B1576" t="s">
        <v>1712</v>
      </c>
      <c r="C1576">
        <v>36803</v>
      </c>
      <c r="D1576">
        <v>0</v>
      </c>
      <c r="E1576">
        <v>0</v>
      </c>
      <c r="F1576">
        <v>0</v>
      </c>
    </row>
    <row r="1577" spans="1:6" x14ac:dyDescent="0.25">
      <c r="A1577" t="s">
        <v>25</v>
      </c>
      <c r="B1577" t="s">
        <v>1713</v>
      </c>
      <c r="C1577">
        <v>36804</v>
      </c>
      <c r="D1577">
        <v>46</v>
      </c>
      <c r="E1577">
        <v>0</v>
      </c>
      <c r="F1577">
        <v>46</v>
      </c>
    </row>
    <row r="1578" spans="1:6" x14ac:dyDescent="0.25">
      <c r="A1578" t="s">
        <v>26</v>
      </c>
      <c r="B1578" t="s">
        <v>1714</v>
      </c>
      <c r="C1578">
        <v>36805</v>
      </c>
      <c r="D1578">
        <v>0</v>
      </c>
      <c r="E1578">
        <v>0</v>
      </c>
      <c r="F1578">
        <v>0</v>
      </c>
    </row>
    <row r="1579" spans="1:6" x14ac:dyDescent="0.25">
      <c r="B1579" t="s">
        <v>2009</v>
      </c>
      <c r="D1579">
        <v>46</v>
      </c>
      <c r="E1579">
        <v>0</v>
      </c>
      <c r="F1579">
        <v>46</v>
      </c>
    </row>
    <row r="1580" spans="1:6" x14ac:dyDescent="0.25">
      <c r="B1580" t="s">
        <v>1732</v>
      </c>
      <c r="D1580">
        <v>471023</v>
      </c>
      <c r="E1580">
        <v>0</v>
      </c>
      <c r="F1580">
        <v>471023</v>
      </c>
    </row>
    <row r="1581" spans="1:6" x14ac:dyDescent="0.25">
      <c r="B1581" t="s">
        <v>2010</v>
      </c>
    </row>
    <row r="1582" spans="1:6" x14ac:dyDescent="0.25">
      <c r="B1582" t="s">
        <v>1575</v>
      </c>
    </row>
    <row r="1583" spans="1:6" x14ac:dyDescent="0.25">
      <c r="A1583" t="s">
        <v>2</v>
      </c>
      <c r="B1583" t="s">
        <v>1576</v>
      </c>
      <c r="C1583">
        <v>37101</v>
      </c>
      <c r="D1583">
        <v>0</v>
      </c>
      <c r="F1583">
        <v>0</v>
      </c>
    </row>
    <row r="1584" spans="1:6" x14ac:dyDescent="0.25">
      <c r="A1584" t="s">
        <v>15</v>
      </c>
      <c r="B1584" t="s">
        <v>1577</v>
      </c>
      <c r="C1584">
        <v>37102</v>
      </c>
      <c r="D1584">
        <v>0</v>
      </c>
      <c r="F1584">
        <v>0</v>
      </c>
    </row>
    <row r="1585" spans="1:6" x14ac:dyDescent="0.25">
      <c r="A1585" t="s">
        <v>16</v>
      </c>
      <c r="B1585" t="s">
        <v>1578</v>
      </c>
      <c r="C1585">
        <v>37103</v>
      </c>
      <c r="D1585">
        <v>0</v>
      </c>
      <c r="F1585">
        <v>0</v>
      </c>
    </row>
    <row r="1586" spans="1:6" x14ac:dyDescent="0.25">
      <c r="A1586" t="s">
        <v>25</v>
      </c>
      <c r="B1586" t="s">
        <v>1579</v>
      </c>
      <c r="C1586">
        <v>37104</v>
      </c>
      <c r="D1586">
        <v>0</v>
      </c>
      <c r="F1586">
        <v>0</v>
      </c>
    </row>
    <row r="1587" spans="1:6" x14ac:dyDescent="0.25">
      <c r="A1587" t="s">
        <v>26</v>
      </c>
      <c r="B1587" t="s">
        <v>1580</v>
      </c>
      <c r="C1587">
        <v>37105</v>
      </c>
      <c r="D1587">
        <v>0</v>
      </c>
      <c r="F1587">
        <v>0</v>
      </c>
    </row>
    <row r="1588" spans="1:6" x14ac:dyDescent="0.25">
      <c r="A1588" t="s">
        <v>27</v>
      </c>
      <c r="B1588" t="s">
        <v>1581</v>
      </c>
      <c r="C1588">
        <v>37106</v>
      </c>
      <c r="D1588">
        <v>361</v>
      </c>
      <c r="F1588">
        <v>361</v>
      </c>
    </row>
    <row r="1589" spans="1:6" x14ac:dyDescent="0.25">
      <c r="A1589" t="s">
        <v>531</v>
      </c>
      <c r="B1589" t="s">
        <v>1582</v>
      </c>
      <c r="C1589">
        <v>37107</v>
      </c>
      <c r="D1589">
        <v>0</v>
      </c>
      <c r="F1589">
        <v>0</v>
      </c>
    </row>
    <row r="1590" spans="1:6" x14ac:dyDescent="0.25">
      <c r="A1590" t="s">
        <v>1583</v>
      </c>
      <c r="B1590" t="s">
        <v>1584</v>
      </c>
      <c r="C1590">
        <v>37108</v>
      </c>
      <c r="D1590">
        <v>0</v>
      </c>
      <c r="F1590">
        <v>0</v>
      </c>
    </row>
    <row r="1591" spans="1:6" x14ac:dyDescent="0.25">
      <c r="A1591" t="s">
        <v>1585</v>
      </c>
      <c r="B1591" t="s">
        <v>1586</v>
      </c>
      <c r="C1591">
        <v>37109</v>
      </c>
      <c r="D1591">
        <v>11592</v>
      </c>
      <c r="F1591">
        <v>11592</v>
      </c>
    </row>
    <row r="1592" spans="1:6" x14ac:dyDescent="0.25">
      <c r="A1592" t="s">
        <v>1587</v>
      </c>
      <c r="B1592" t="s">
        <v>1588</v>
      </c>
      <c r="C1592">
        <v>37110</v>
      </c>
      <c r="D1592">
        <v>0</v>
      </c>
      <c r="F1592">
        <v>0</v>
      </c>
    </row>
    <row r="1593" spans="1:6" x14ac:dyDescent="0.25">
      <c r="A1593" t="s">
        <v>1589</v>
      </c>
      <c r="B1593" t="s">
        <v>1590</v>
      </c>
      <c r="C1593">
        <v>37111</v>
      </c>
      <c r="D1593">
        <v>871444</v>
      </c>
      <c r="F1593">
        <v>871444</v>
      </c>
    </row>
    <row r="1594" spans="1:6" x14ac:dyDescent="0.25">
      <c r="A1594" t="s">
        <v>1591</v>
      </c>
      <c r="B1594" t="s">
        <v>1592</v>
      </c>
      <c r="C1594">
        <v>37112</v>
      </c>
      <c r="D1594">
        <v>9697514</v>
      </c>
      <c r="F1594">
        <v>9697514</v>
      </c>
    </row>
    <row r="1595" spans="1:6" x14ac:dyDescent="0.25">
      <c r="A1595" t="s">
        <v>1593</v>
      </c>
      <c r="B1595" t="s">
        <v>1594</v>
      </c>
      <c r="C1595">
        <v>37113</v>
      </c>
      <c r="D1595">
        <v>995</v>
      </c>
      <c r="F1595">
        <v>995</v>
      </c>
    </row>
    <row r="1596" spans="1:6" x14ac:dyDescent="0.25">
      <c r="A1596" t="s">
        <v>1595</v>
      </c>
      <c r="B1596" t="s">
        <v>1596</v>
      </c>
      <c r="C1596">
        <v>37114</v>
      </c>
      <c r="D1596">
        <v>323446</v>
      </c>
      <c r="F1596">
        <v>323446</v>
      </c>
    </row>
    <row r="1597" spans="1:6" x14ac:dyDescent="0.25">
      <c r="A1597" t="s">
        <v>1597</v>
      </c>
      <c r="B1597" t="s">
        <v>1598</v>
      </c>
      <c r="C1597">
        <v>37115</v>
      </c>
      <c r="D1597">
        <v>5311060</v>
      </c>
      <c r="F1597">
        <v>5311060</v>
      </c>
    </row>
    <row r="1598" spans="1:6" x14ac:dyDescent="0.25">
      <c r="A1598" t="s">
        <v>1599</v>
      </c>
      <c r="B1598" t="s">
        <v>1600</v>
      </c>
      <c r="C1598">
        <v>37116</v>
      </c>
      <c r="D1598">
        <v>2027646</v>
      </c>
      <c r="F1598">
        <v>2027646</v>
      </c>
    </row>
    <row r="1599" spans="1:6" x14ac:dyDescent="0.25">
      <c r="A1599" t="s">
        <v>1601</v>
      </c>
      <c r="B1599" t="s">
        <v>1602</v>
      </c>
      <c r="C1599">
        <v>37117</v>
      </c>
      <c r="D1599">
        <v>0</v>
      </c>
      <c r="F1599">
        <v>0</v>
      </c>
    </row>
    <row r="1600" spans="1:6" x14ac:dyDescent="0.25">
      <c r="A1600" t="s">
        <v>1603</v>
      </c>
      <c r="B1600" t="s">
        <v>1604</v>
      </c>
      <c r="C1600">
        <v>37118</v>
      </c>
      <c r="D1600">
        <v>242514</v>
      </c>
      <c r="F1600">
        <v>242514</v>
      </c>
    </row>
    <row r="1601" spans="1:6" x14ac:dyDescent="0.25">
      <c r="A1601" t="s">
        <v>1605</v>
      </c>
      <c r="B1601" t="s">
        <v>1606</v>
      </c>
      <c r="C1601">
        <v>37119</v>
      </c>
      <c r="D1601">
        <v>17245</v>
      </c>
      <c r="F1601">
        <v>17245</v>
      </c>
    </row>
    <row r="1602" spans="1:6" x14ac:dyDescent="0.25">
      <c r="A1602" t="s">
        <v>1607</v>
      </c>
      <c r="B1602" t="s">
        <v>1608</v>
      </c>
      <c r="C1602">
        <v>37120</v>
      </c>
      <c r="D1602">
        <v>0</v>
      </c>
      <c r="F1602">
        <v>0</v>
      </c>
    </row>
    <row r="1603" spans="1:6" x14ac:dyDescent="0.25">
      <c r="B1603" t="s">
        <v>2011</v>
      </c>
      <c r="D1603">
        <v>18503817</v>
      </c>
      <c r="F1603">
        <v>18503817</v>
      </c>
    </row>
    <row r="1604" spans="1:6" x14ac:dyDescent="0.25">
      <c r="B1604" t="s">
        <v>1656</v>
      </c>
    </row>
    <row r="1605" spans="1:6" x14ac:dyDescent="0.25">
      <c r="A1605" t="s">
        <v>2</v>
      </c>
      <c r="B1605" t="s">
        <v>1611</v>
      </c>
      <c r="C1605">
        <v>37201</v>
      </c>
      <c r="D1605">
        <v>0</v>
      </c>
      <c r="F1605">
        <v>0</v>
      </c>
    </row>
    <row r="1606" spans="1:6" x14ac:dyDescent="0.25">
      <c r="A1606" t="s">
        <v>15</v>
      </c>
      <c r="B1606" t="s">
        <v>1612</v>
      </c>
      <c r="C1606">
        <v>37202</v>
      </c>
      <c r="D1606">
        <v>0</v>
      </c>
      <c r="F1606">
        <v>0</v>
      </c>
    </row>
    <row r="1607" spans="1:6" x14ac:dyDescent="0.25">
      <c r="A1607" t="s">
        <v>16</v>
      </c>
      <c r="B1607" t="s">
        <v>1613</v>
      </c>
      <c r="C1607">
        <v>37203</v>
      </c>
      <c r="D1607">
        <v>0</v>
      </c>
      <c r="F1607">
        <v>0</v>
      </c>
    </row>
    <row r="1608" spans="1:6" x14ac:dyDescent="0.25">
      <c r="A1608" t="s">
        <v>25</v>
      </c>
      <c r="B1608" t="s">
        <v>1614</v>
      </c>
      <c r="C1608">
        <v>37204</v>
      </c>
      <c r="D1608">
        <v>122315</v>
      </c>
      <c r="F1608">
        <v>122315</v>
      </c>
    </row>
    <row r="1609" spans="1:6" x14ac:dyDescent="0.25">
      <c r="A1609" t="s">
        <v>26</v>
      </c>
      <c r="B1609" t="s">
        <v>1615</v>
      </c>
      <c r="C1609">
        <v>37205</v>
      </c>
      <c r="D1609">
        <v>0</v>
      </c>
      <c r="F1609">
        <v>0</v>
      </c>
    </row>
    <row r="1610" spans="1:6" x14ac:dyDescent="0.25">
      <c r="A1610" t="s">
        <v>27</v>
      </c>
      <c r="B1610" t="s">
        <v>1616</v>
      </c>
      <c r="C1610">
        <v>37206</v>
      </c>
      <c r="D1610">
        <v>0</v>
      </c>
      <c r="F1610">
        <v>0</v>
      </c>
    </row>
    <row r="1611" spans="1:6" x14ac:dyDescent="0.25">
      <c r="A1611" t="s">
        <v>531</v>
      </c>
      <c r="B1611" t="s">
        <v>1617</v>
      </c>
      <c r="C1611">
        <v>37207</v>
      </c>
      <c r="D1611">
        <v>0</v>
      </c>
      <c r="F1611">
        <v>0</v>
      </c>
    </row>
    <row r="1612" spans="1:6" x14ac:dyDescent="0.25">
      <c r="A1612" t="s">
        <v>1583</v>
      </c>
      <c r="B1612" t="s">
        <v>1618</v>
      </c>
      <c r="C1612">
        <v>37208</v>
      </c>
      <c r="D1612">
        <v>0</v>
      </c>
      <c r="F1612">
        <v>0</v>
      </c>
    </row>
    <row r="1613" spans="1:6" x14ac:dyDescent="0.25">
      <c r="A1613" t="s">
        <v>1585</v>
      </c>
      <c r="B1613" t="s">
        <v>1619</v>
      </c>
      <c r="C1613">
        <v>37209</v>
      </c>
      <c r="D1613">
        <v>0</v>
      </c>
      <c r="F1613">
        <v>0</v>
      </c>
    </row>
    <row r="1614" spans="1:6" x14ac:dyDescent="0.25">
      <c r="A1614" t="s">
        <v>1587</v>
      </c>
      <c r="B1614" t="s">
        <v>1620</v>
      </c>
      <c r="C1614">
        <v>37210</v>
      </c>
      <c r="D1614">
        <v>0</v>
      </c>
      <c r="F1614">
        <v>0</v>
      </c>
    </row>
    <row r="1615" spans="1:6" x14ac:dyDescent="0.25">
      <c r="A1615" t="s">
        <v>1589</v>
      </c>
      <c r="B1615" t="s">
        <v>1621</v>
      </c>
      <c r="C1615">
        <v>37211</v>
      </c>
      <c r="D1615">
        <v>17458</v>
      </c>
      <c r="F1615">
        <v>17458</v>
      </c>
    </row>
    <row r="1616" spans="1:6" x14ac:dyDescent="0.25">
      <c r="A1616" t="s">
        <v>1591</v>
      </c>
      <c r="B1616" t="s">
        <v>1622</v>
      </c>
      <c r="C1616">
        <v>37212</v>
      </c>
      <c r="D1616">
        <v>5454503</v>
      </c>
      <c r="F1616">
        <v>5454503</v>
      </c>
    </row>
    <row r="1617" spans="1:6" x14ac:dyDescent="0.25">
      <c r="A1617" t="s">
        <v>1593</v>
      </c>
      <c r="B1617" t="s">
        <v>1623</v>
      </c>
      <c r="C1617">
        <v>37213</v>
      </c>
      <c r="D1617">
        <v>0</v>
      </c>
      <c r="F1617">
        <v>0</v>
      </c>
    </row>
    <row r="1618" spans="1:6" x14ac:dyDescent="0.25">
      <c r="A1618" t="s">
        <v>1595</v>
      </c>
      <c r="B1618" t="s">
        <v>1624</v>
      </c>
      <c r="C1618">
        <v>37214</v>
      </c>
      <c r="D1618">
        <v>0</v>
      </c>
      <c r="F1618">
        <v>0</v>
      </c>
    </row>
    <row r="1619" spans="1:6" x14ac:dyDescent="0.25">
      <c r="A1619" t="s">
        <v>1597</v>
      </c>
      <c r="B1619" t="s">
        <v>1625</v>
      </c>
      <c r="C1619">
        <v>37215</v>
      </c>
      <c r="D1619">
        <v>135</v>
      </c>
      <c r="F1619">
        <v>135</v>
      </c>
    </row>
    <row r="1620" spans="1:6" x14ac:dyDescent="0.25">
      <c r="A1620" t="s">
        <v>1599</v>
      </c>
      <c r="B1620" t="s">
        <v>1626</v>
      </c>
      <c r="C1620">
        <v>37216</v>
      </c>
      <c r="D1620">
        <v>0</v>
      </c>
      <c r="F1620">
        <v>0</v>
      </c>
    </row>
    <row r="1621" spans="1:6" x14ac:dyDescent="0.25">
      <c r="A1621" t="s">
        <v>1601</v>
      </c>
      <c r="B1621" t="s">
        <v>1627</v>
      </c>
      <c r="C1621">
        <v>37217</v>
      </c>
      <c r="D1621">
        <v>0</v>
      </c>
      <c r="F1621">
        <v>0</v>
      </c>
    </row>
    <row r="1622" spans="1:6" x14ac:dyDescent="0.25">
      <c r="A1622" t="s">
        <v>1603</v>
      </c>
      <c r="B1622" t="s">
        <v>1596</v>
      </c>
      <c r="C1622">
        <v>37218</v>
      </c>
      <c r="D1622">
        <v>0</v>
      </c>
      <c r="F1622">
        <v>0</v>
      </c>
    </row>
    <row r="1623" spans="1:6" x14ac:dyDescent="0.25">
      <c r="A1623" t="s">
        <v>1605</v>
      </c>
      <c r="B1623" t="s">
        <v>1598</v>
      </c>
      <c r="C1623">
        <v>37219</v>
      </c>
      <c r="D1623">
        <v>329275</v>
      </c>
      <c r="F1623">
        <v>329275</v>
      </c>
    </row>
    <row r="1624" spans="1:6" x14ac:dyDescent="0.25">
      <c r="A1624" t="s">
        <v>1607</v>
      </c>
      <c r="B1624" t="s">
        <v>1602</v>
      </c>
      <c r="C1624">
        <v>37220</v>
      </c>
      <c r="D1624">
        <v>0</v>
      </c>
      <c r="F1624">
        <v>0</v>
      </c>
    </row>
    <row r="1625" spans="1:6" x14ac:dyDescent="0.25">
      <c r="B1625" t="s">
        <v>2012</v>
      </c>
      <c r="D1625">
        <v>5923686</v>
      </c>
      <c r="F1625">
        <v>5923686</v>
      </c>
    </row>
    <row r="1626" spans="1:6" x14ac:dyDescent="0.25">
      <c r="B1626" t="s">
        <v>1629</v>
      </c>
    </row>
    <row r="1627" spans="1:6" x14ac:dyDescent="0.25">
      <c r="A1627" t="s">
        <v>2</v>
      </c>
      <c r="B1627" t="s">
        <v>1627</v>
      </c>
      <c r="C1627">
        <v>37301</v>
      </c>
      <c r="D1627">
        <v>0</v>
      </c>
      <c r="F1627">
        <v>0</v>
      </c>
    </row>
    <row r="1628" spans="1:6" x14ac:dyDescent="0.25">
      <c r="A1628" t="s">
        <v>15</v>
      </c>
      <c r="B1628" t="s">
        <v>1625</v>
      </c>
      <c r="C1628">
        <v>37302</v>
      </c>
      <c r="D1628">
        <v>293176</v>
      </c>
      <c r="F1628">
        <v>293176</v>
      </c>
    </row>
    <row r="1629" spans="1:6" x14ac:dyDescent="0.25">
      <c r="A1629" t="s">
        <v>16</v>
      </c>
      <c r="B1629" t="s">
        <v>1626</v>
      </c>
      <c r="C1629">
        <v>37303</v>
      </c>
      <c r="D1629">
        <v>0</v>
      </c>
      <c r="F1629">
        <v>0</v>
      </c>
    </row>
    <row r="1630" spans="1:6" x14ac:dyDescent="0.25">
      <c r="B1630" t="s">
        <v>2013</v>
      </c>
      <c r="D1630">
        <v>293176</v>
      </c>
      <c r="F1630">
        <v>293176</v>
      </c>
    </row>
    <row r="1631" spans="1:6" x14ac:dyDescent="0.25">
      <c r="B1631" t="s">
        <v>1631</v>
      </c>
    </row>
    <row r="1632" spans="1:6" x14ac:dyDescent="0.25">
      <c r="A1632" t="s">
        <v>2</v>
      </c>
      <c r="B1632" t="s">
        <v>1627</v>
      </c>
      <c r="C1632">
        <v>37401</v>
      </c>
      <c r="D1632">
        <v>0</v>
      </c>
      <c r="F1632">
        <v>0</v>
      </c>
    </row>
    <row r="1633" spans="1:6" x14ac:dyDescent="0.25">
      <c r="A1633" t="s">
        <v>15</v>
      </c>
      <c r="B1633" t="s">
        <v>1625</v>
      </c>
      <c r="C1633">
        <v>37402</v>
      </c>
      <c r="D1633">
        <v>0</v>
      </c>
      <c r="F1633">
        <v>0</v>
      </c>
    </row>
    <row r="1634" spans="1:6" x14ac:dyDescent="0.25">
      <c r="A1634" t="s">
        <v>16</v>
      </c>
      <c r="B1634" t="s">
        <v>1626</v>
      </c>
      <c r="C1634">
        <v>37403</v>
      </c>
      <c r="D1634">
        <v>0</v>
      </c>
      <c r="F1634">
        <v>0</v>
      </c>
    </row>
    <row r="1635" spans="1:6" x14ac:dyDescent="0.25">
      <c r="B1635" t="s">
        <v>2014</v>
      </c>
      <c r="D1635">
        <v>0</v>
      </c>
      <c r="F1635">
        <v>0</v>
      </c>
    </row>
    <row r="1636" spans="1:6" x14ac:dyDescent="0.25">
      <c r="B1636" t="s">
        <v>2291</v>
      </c>
    </row>
    <row r="1637" spans="1:6" x14ac:dyDescent="0.25">
      <c r="A1637" t="s">
        <v>2</v>
      </c>
      <c r="B1637" t="s">
        <v>1634</v>
      </c>
      <c r="C1637">
        <v>37501</v>
      </c>
      <c r="D1637">
        <v>0</v>
      </c>
      <c r="F1637">
        <v>0</v>
      </c>
    </row>
    <row r="1638" spans="1:6" x14ac:dyDescent="0.25">
      <c r="A1638" t="s">
        <v>15</v>
      </c>
      <c r="B1638" t="s">
        <v>1635</v>
      </c>
      <c r="C1638">
        <v>37502</v>
      </c>
      <c r="D1638">
        <v>0</v>
      </c>
      <c r="F1638">
        <v>0</v>
      </c>
    </row>
    <row r="1639" spans="1:6" x14ac:dyDescent="0.25">
      <c r="A1639" t="s">
        <v>16</v>
      </c>
      <c r="B1639" t="s">
        <v>1636</v>
      </c>
      <c r="C1639">
        <v>37503</v>
      </c>
      <c r="D1639">
        <v>0</v>
      </c>
      <c r="F1639">
        <v>0</v>
      </c>
    </row>
    <row r="1640" spans="1:6" x14ac:dyDescent="0.25">
      <c r="A1640" t="s">
        <v>25</v>
      </c>
      <c r="B1640" t="s">
        <v>1637</v>
      </c>
      <c r="C1640">
        <v>37504</v>
      </c>
      <c r="D1640">
        <v>0</v>
      </c>
      <c r="F1640">
        <v>0</v>
      </c>
    </row>
    <row r="1641" spans="1:6" x14ac:dyDescent="0.25">
      <c r="A1641" t="s">
        <v>26</v>
      </c>
      <c r="B1641" t="s">
        <v>1638</v>
      </c>
      <c r="C1641">
        <v>37505</v>
      </c>
      <c r="D1641">
        <v>13937</v>
      </c>
      <c r="F1641">
        <v>13937</v>
      </c>
    </row>
    <row r="1642" spans="1:6" x14ac:dyDescent="0.25">
      <c r="A1642" t="s">
        <v>27</v>
      </c>
      <c r="B1642" t="s">
        <v>1639</v>
      </c>
      <c r="C1642">
        <v>37506</v>
      </c>
      <c r="D1642">
        <v>0</v>
      </c>
      <c r="F1642">
        <v>0</v>
      </c>
    </row>
    <row r="1643" spans="1:6" x14ac:dyDescent="0.25">
      <c r="A1643" t="s">
        <v>531</v>
      </c>
      <c r="B1643" t="s">
        <v>1640</v>
      </c>
      <c r="C1643">
        <v>37507</v>
      </c>
      <c r="D1643">
        <v>0</v>
      </c>
      <c r="F1643">
        <v>0</v>
      </c>
    </row>
    <row r="1644" spans="1:6" x14ac:dyDescent="0.25">
      <c r="A1644" t="s">
        <v>1583</v>
      </c>
      <c r="B1644" t="s">
        <v>1641</v>
      </c>
      <c r="C1644">
        <v>37508</v>
      </c>
      <c r="D1644">
        <v>27506</v>
      </c>
      <c r="F1644">
        <v>27506</v>
      </c>
    </row>
    <row r="1645" spans="1:6" x14ac:dyDescent="0.25">
      <c r="B1645" t="s">
        <v>2015</v>
      </c>
      <c r="D1645">
        <v>41443</v>
      </c>
      <c r="F1645">
        <v>41443</v>
      </c>
    </row>
    <row r="1646" spans="1:6" x14ac:dyDescent="0.25">
      <c r="B1646" t="s">
        <v>2292</v>
      </c>
    </row>
    <row r="1647" spans="1:6" x14ac:dyDescent="0.25">
      <c r="A1647" t="s">
        <v>2</v>
      </c>
      <c r="B1647" t="s">
        <v>1634</v>
      </c>
      <c r="C1647">
        <v>37601</v>
      </c>
      <c r="D1647">
        <v>0</v>
      </c>
      <c r="F1647">
        <v>0</v>
      </c>
    </row>
    <row r="1648" spans="1:6" x14ac:dyDescent="0.25">
      <c r="A1648" t="s">
        <v>15</v>
      </c>
      <c r="B1648" t="s">
        <v>1635</v>
      </c>
      <c r="C1648">
        <v>37602</v>
      </c>
      <c r="D1648">
        <v>0</v>
      </c>
      <c r="F1648">
        <v>0</v>
      </c>
    </row>
    <row r="1649" spans="1:6" x14ac:dyDescent="0.25">
      <c r="A1649" t="s">
        <v>16</v>
      </c>
      <c r="B1649" t="s">
        <v>1636</v>
      </c>
      <c r="C1649">
        <v>37603</v>
      </c>
      <c r="D1649">
        <v>0</v>
      </c>
      <c r="F1649">
        <v>0</v>
      </c>
    </row>
    <row r="1650" spans="1:6" x14ac:dyDescent="0.25">
      <c r="A1650" t="s">
        <v>25</v>
      </c>
      <c r="B1650" t="s">
        <v>1637</v>
      </c>
      <c r="C1650">
        <v>37604</v>
      </c>
      <c r="D1650">
        <v>104446</v>
      </c>
      <c r="F1650">
        <v>104446</v>
      </c>
    </row>
    <row r="1651" spans="1:6" x14ac:dyDescent="0.25">
      <c r="A1651" t="s">
        <v>26</v>
      </c>
      <c r="B1651" t="s">
        <v>1638</v>
      </c>
      <c r="C1651">
        <v>37605</v>
      </c>
      <c r="D1651">
        <v>97686</v>
      </c>
      <c r="F1651">
        <v>97686</v>
      </c>
    </row>
    <row r="1652" spans="1:6" x14ac:dyDescent="0.25">
      <c r="A1652" t="s">
        <v>27</v>
      </c>
      <c r="B1652" t="s">
        <v>1639</v>
      </c>
      <c r="C1652">
        <v>37606</v>
      </c>
      <c r="D1652">
        <v>0</v>
      </c>
      <c r="F1652">
        <v>0</v>
      </c>
    </row>
    <row r="1653" spans="1:6" x14ac:dyDescent="0.25">
      <c r="A1653" t="s">
        <v>531</v>
      </c>
      <c r="B1653" t="s">
        <v>1640</v>
      </c>
      <c r="C1653">
        <v>37607</v>
      </c>
      <c r="D1653">
        <v>0</v>
      </c>
      <c r="F1653">
        <v>0</v>
      </c>
    </row>
    <row r="1654" spans="1:6" x14ac:dyDescent="0.25">
      <c r="A1654" t="s">
        <v>1583</v>
      </c>
      <c r="B1654" t="s">
        <v>1641</v>
      </c>
      <c r="C1654">
        <v>37608</v>
      </c>
      <c r="D1654">
        <v>114682</v>
      </c>
      <c r="F1654">
        <v>114682</v>
      </c>
    </row>
    <row r="1655" spans="1:6" x14ac:dyDescent="0.25">
      <c r="B1655" t="s">
        <v>2016</v>
      </c>
      <c r="D1655">
        <v>316814</v>
      </c>
      <c r="F1655">
        <v>316814</v>
      </c>
    </row>
    <row r="1656" spans="1:6" x14ac:dyDescent="0.25">
      <c r="B1656" t="s">
        <v>1726</v>
      </c>
    </row>
    <row r="1657" spans="1:6" x14ac:dyDescent="0.25">
      <c r="A1657" t="s">
        <v>2</v>
      </c>
      <c r="B1657" t="s">
        <v>1648</v>
      </c>
      <c r="C1657">
        <v>37701</v>
      </c>
      <c r="D1657">
        <v>0</v>
      </c>
      <c r="F1657">
        <v>0</v>
      </c>
    </row>
    <row r="1658" spans="1:6" x14ac:dyDescent="0.25">
      <c r="A1658" t="s">
        <v>15</v>
      </c>
      <c r="B1658" t="s">
        <v>1649</v>
      </c>
      <c r="C1658">
        <v>37702</v>
      </c>
      <c r="D1658">
        <v>0</v>
      </c>
      <c r="F1658">
        <v>0</v>
      </c>
    </row>
    <row r="1659" spans="1:6" x14ac:dyDescent="0.25">
      <c r="A1659" t="s">
        <v>16</v>
      </c>
      <c r="B1659" t="s">
        <v>1637</v>
      </c>
      <c r="C1659">
        <v>37703</v>
      </c>
      <c r="D1659">
        <v>0</v>
      </c>
      <c r="F1659">
        <v>0</v>
      </c>
    </row>
    <row r="1660" spans="1:6" x14ac:dyDescent="0.25">
      <c r="A1660" t="s">
        <v>25</v>
      </c>
      <c r="B1660" t="s">
        <v>1638</v>
      </c>
      <c r="C1660">
        <v>37704</v>
      </c>
      <c r="D1660">
        <v>70737</v>
      </c>
      <c r="F1660">
        <v>70737</v>
      </c>
    </row>
    <row r="1661" spans="1:6" x14ac:dyDescent="0.25">
      <c r="A1661" t="s">
        <v>26</v>
      </c>
      <c r="B1661" t="s">
        <v>1650</v>
      </c>
      <c r="C1661">
        <v>37705</v>
      </c>
      <c r="D1661">
        <v>0</v>
      </c>
      <c r="F1661">
        <v>0</v>
      </c>
    </row>
    <row r="1662" spans="1:6" x14ac:dyDescent="0.25">
      <c r="A1662" t="s">
        <v>27</v>
      </c>
      <c r="B1662" t="s">
        <v>1651</v>
      </c>
      <c r="C1662">
        <v>37706</v>
      </c>
      <c r="D1662">
        <v>0</v>
      </c>
      <c r="F1662">
        <v>0</v>
      </c>
    </row>
    <row r="1663" spans="1:6" x14ac:dyDescent="0.25">
      <c r="A1663" t="s">
        <v>531</v>
      </c>
      <c r="B1663" t="s">
        <v>1640</v>
      </c>
      <c r="C1663">
        <v>37707</v>
      </c>
      <c r="D1663">
        <v>0</v>
      </c>
      <c r="F1663">
        <v>0</v>
      </c>
    </row>
    <row r="1664" spans="1:6" x14ac:dyDescent="0.25">
      <c r="A1664" t="s">
        <v>1583</v>
      </c>
      <c r="B1664" t="s">
        <v>1641</v>
      </c>
      <c r="C1664">
        <v>37708</v>
      </c>
      <c r="D1664">
        <v>0</v>
      </c>
      <c r="F1664">
        <v>0</v>
      </c>
    </row>
    <row r="1665" spans="1:6" x14ac:dyDescent="0.25">
      <c r="B1665" t="s">
        <v>2017</v>
      </c>
      <c r="D1665">
        <v>70737</v>
      </c>
      <c r="F1665">
        <v>70737</v>
      </c>
    </row>
    <row r="1666" spans="1:6" x14ac:dyDescent="0.25">
      <c r="B1666" t="s">
        <v>1866</v>
      </c>
      <c r="D1666">
        <v>25149673</v>
      </c>
      <c r="F1666">
        <v>25149673</v>
      </c>
    </row>
    <row r="1667" spans="1:6" x14ac:dyDescent="0.25">
      <c r="B1667" t="s">
        <v>2436</v>
      </c>
    </row>
    <row r="1668" spans="1:6" x14ac:dyDescent="0.25">
      <c r="B1668" t="s">
        <v>1575</v>
      </c>
    </row>
    <row r="1669" spans="1:6" x14ac:dyDescent="0.25">
      <c r="A1669" t="s">
        <v>2</v>
      </c>
      <c r="B1669" t="s">
        <v>1576</v>
      </c>
      <c r="C1669">
        <v>38101</v>
      </c>
      <c r="D1669">
        <v>0</v>
      </c>
      <c r="F1669">
        <v>0</v>
      </c>
    </row>
    <row r="1670" spans="1:6" x14ac:dyDescent="0.25">
      <c r="A1670" t="s">
        <v>15</v>
      </c>
      <c r="B1670" t="s">
        <v>1577</v>
      </c>
      <c r="C1670">
        <v>38102</v>
      </c>
      <c r="D1670">
        <v>0</v>
      </c>
      <c r="F1670">
        <v>0</v>
      </c>
    </row>
    <row r="1671" spans="1:6" x14ac:dyDescent="0.25">
      <c r="A1671" t="s">
        <v>16</v>
      </c>
      <c r="B1671" t="s">
        <v>1578</v>
      </c>
      <c r="C1671">
        <v>38103</v>
      </c>
      <c r="D1671">
        <v>0</v>
      </c>
      <c r="F1671">
        <v>0</v>
      </c>
    </row>
    <row r="1672" spans="1:6" x14ac:dyDescent="0.25">
      <c r="A1672" t="s">
        <v>25</v>
      </c>
      <c r="B1672" t="s">
        <v>1579</v>
      </c>
      <c r="C1672">
        <v>38104</v>
      </c>
      <c r="D1672">
        <v>0</v>
      </c>
      <c r="F1672">
        <v>0</v>
      </c>
    </row>
    <row r="1673" spans="1:6" x14ac:dyDescent="0.25">
      <c r="A1673" t="s">
        <v>26</v>
      </c>
      <c r="B1673" t="s">
        <v>1580</v>
      </c>
      <c r="C1673">
        <v>38105</v>
      </c>
      <c r="D1673">
        <v>54</v>
      </c>
      <c r="F1673">
        <v>54</v>
      </c>
    </row>
    <row r="1674" spans="1:6" x14ac:dyDescent="0.25">
      <c r="A1674" t="s">
        <v>27</v>
      </c>
      <c r="B1674" t="s">
        <v>1581</v>
      </c>
      <c r="C1674">
        <v>38106</v>
      </c>
      <c r="D1674">
        <v>18370</v>
      </c>
      <c r="F1674">
        <v>18370</v>
      </c>
    </row>
    <row r="1675" spans="1:6" x14ac:dyDescent="0.25">
      <c r="A1675" t="s">
        <v>531</v>
      </c>
      <c r="B1675" t="s">
        <v>1582</v>
      </c>
      <c r="C1675">
        <v>38107</v>
      </c>
      <c r="D1675">
        <v>0</v>
      </c>
      <c r="F1675">
        <v>0</v>
      </c>
    </row>
    <row r="1676" spans="1:6" x14ac:dyDescent="0.25">
      <c r="A1676" t="s">
        <v>1583</v>
      </c>
      <c r="B1676" t="s">
        <v>1584</v>
      </c>
      <c r="C1676">
        <v>38108</v>
      </c>
      <c r="D1676">
        <v>1661</v>
      </c>
      <c r="F1676">
        <v>1661</v>
      </c>
    </row>
    <row r="1677" spans="1:6" x14ac:dyDescent="0.25">
      <c r="A1677" t="s">
        <v>1585</v>
      </c>
      <c r="B1677" t="s">
        <v>1586</v>
      </c>
      <c r="C1677">
        <v>38109</v>
      </c>
      <c r="D1677">
        <v>363380</v>
      </c>
      <c r="F1677">
        <v>363380</v>
      </c>
    </row>
    <row r="1678" spans="1:6" x14ac:dyDescent="0.25">
      <c r="A1678" t="s">
        <v>1587</v>
      </c>
      <c r="B1678" t="s">
        <v>1588</v>
      </c>
      <c r="C1678">
        <v>38110</v>
      </c>
      <c r="D1678">
        <v>0</v>
      </c>
      <c r="F1678">
        <v>0</v>
      </c>
    </row>
    <row r="1679" spans="1:6" x14ac:dyDescent="0.25">
      <c r="A1679" t="s">
        <v>1589</v>
      </c>
      <c r="B1679" t="s">
        <v>1590</v>
      </c>
      <c r="C1679">
        <v>38111</v>
      </c>
      <c r="D1679">
        <v>1066213</v>
      </c>
      <c r="F1679">
        <v>1066213</v>
      </c>
    </row>
    <row r="1680" spans="1:6" x14ac:dyDescent="0.25">
      <c r="A1680" t="s">
        <v>1591</v>
      </c>
      <c r="B1680" t="s">
        <v>1592</v>
      </c>
      <c r="C1680">
        <v>38112</v>
      </c>
      <c r="D1680">
        <v>14889735</v>
      </c>
      <c r="F1680">
        <v>14889735</v>
      </c>
    </row>
    <row r="1681" spans="1:6" x14ac:dyDescent="0.25">
      <c r="A1681" t="s">
        <v>1593</v>
      </c>
      <c r="B1681" t="s">
        <v>1594</v>
      </c>
      <c r="C1681">
        <v>38113</v>
      </c>
      <c r="D1681">
        <v>2420</v>
      </c>
      <c r="F1681">
        <v>2420</v>
      </c>
    </row>
    <row r="1682" spans="1:6" x14ac:dyDescent="0.25">
      <c r="A1682" t="s">
        <v>1595</v>
      </c>
      <c r="B1682" t="s">
        <v>1596</v>
      </c>
      <c r="C1682">
        <v>38114</v>
      </c>
      <c r="D1682">
        <v>278765</v>
      </c>
      <c r="F1682">
        <v>278765</v>
      </c>
    </row>
    <row r="1683" spans="1:6" x14ac:dyDescent="0.25">
      <c r="A1683" t="s">
        <v>1597</v>
      </c>
      <c r="B1683" t="s">
        <v>1598</v>
      </c>
      <c r="C1683">
        <v>38115</v>
      </c>
      <c r="D1683">
        <v>4104344</v>
      </c>
      <c r="F1683">
        <v>4104344</v>
      </c>
    </row>
    <row r="1684" spans="1:6" x14ac:dyDescent="0.25">
      <c r="A1684" t="s">
        <v>1599</v>
      </c>
      <c r="B1684" t="s">
        <v>1600</v>
      </c>
      <c r="C1684">
        <v>38116</v>
      </c>
      <c r="D1684">
        <v>1625866</v>
      </c>
      <c r="F1684">
        <v>1625866</v>
      </c>
    </row>
    <row r="1685" spans="1:6" x14ac:dyDescent="0.25">
      <c r="A1685" t="s">
        <v>1601</v>
      </c>
      <c r="B1685" t="s">
        <v>1602</v>
      </c>
      <c r="C1685">
        <v>38117</v>
      </c>
      <c r="D1685">
        <v>10</v>
      </c>
      <c r="F1685">
        <v>10</v>
      </c>
    </row>
    <row r="1686" spans="1:6" x14ac:dyDescent="0.25">
      <c r="A1686" t="s">
        <v>1603</v>
      </c>
      <c r="B1686" t="s">
        <v>1604</v>
      </c>
      <c r="C1686">
        <v>38118</v>
      </c>
      <c r="D1686">
        <v>320987</v>
      </c>
      <c r="F1686">
        <v>320987</v>
      </c>
    </row>
    <row r="1687" spans="1:6" x14ac:dyDescent="0.25">
      <c r="A1687" t="s">
        <v>1605</v>
      </c>
      <c r="B1687" t="s">
        <v>1606</v>
      </c>
      <c r="C1687">
        <v>38119</v>
      </c>
      <c r="D1687">
        <v>450678</v>
      </c>
      <c r="F1687">
        <v>450678</v>
      </c>
    </row>
    <row r="1688" spans="1:6" x14ac:dyDescent="0.25">
      <c r="A1688" t="s">
        <v>1607</v>
      </c>
      <c r="B1688" t="s">
        <v>1608</v>
      </c>
      <c r="C1688">
        <v>38120</v>
      </c>
      <c r="D1688">
        <v>0</v>
      </c>
      <c r="F1688">
        <v>0</v>
      </c>
    </row>
    <row r="1689" spans="1:6" x14ac:dyDescent="0.25">
      <c r="B1689" t="s">
        <v>2437</v>
      </c>
      <c r="D1689">
        <v>23122483</v>
      </c>
      <c r="F1689">
        <v>23122483</v>
      </c>
    </row>
    <row r="1690" spans="1:6" x14ac:dyDescent="0.25">
      <c r="B1690" t="s">
        <v>1656</v>
      </c>
    </row>
    <row r="1691" spans="1:6" x14ac:dyDescent="0.25">
      <c r="A1691" t="s">
        <v>2</v>
      </c>
      <c r="B1691" t="s">
        <v>1611</v>
      </c>
      <c r="C1691">
        <v>38201</v>
      </c>
      <c r="D1691">
        <v>0</v>
      </c>
      <c r="F1691">
        <v>0</v>
      </c>
    </row>
    <row r="1692" spans="1:6" x14ac:dyDescent="0.25">
      <c r="A1692" t="s">
        <v>15</v>
      </c>
      <c r="B1692" t="s">
        <v>1612</v>
      </c>
      <c r="C1692">
        <v>38202</v>
      </c>
      <c r="D1692">
        <v>0</v>
      </c>
      <c r="F1692">
        <v>0</v>
      </c>
    </row>
    <row r="1693" spans="1:6" x14ac:dyDescent="0.25">
      <c r="A1693" t="s">
        <v>16</v>
      </c>
      <c r="B1693" t="s">
        <v>1613</v>
      </c>
      <c r="C1693">
        <v>38203</v>
      </c>
      <c r="D1693">
        <v>0</v>
      </c>
      <c r="F1693">
        <v>0</v>
      </c>
    </row>
    <row r="1694" spans="1:6" x14ac:dyDescent="0.25">
      <c r="A1694" t="s">
        <v>25</v>
      </c>
      <c r="B1694" t="s">
        <v>1614</v>
      </c>
      <c r="C1694">
        <v>38204</v>
      </c>
      <c r="D1694">
        <v>0</v>
      </c>
      <c r="F1694">
        <v>0</v>
      </c>
    </row>
    <row r="1695" spans="1:6" x14ac:dyDescent="0.25">
      <c r="A1695" t="s">
        <v>26</v>
      </c>
      <c r="B1695" t="s">
        <v>1615</v>
      </c>
      <c r="C1695">
        <v>38205</v>
      </c>
      <c r="D1695">
        <v>0</v>
      </c>
      <c r="F1695">
        <v>0</v>
      </c>
    </row>
    <row r="1696" spans="1:6" x14ac:dyDescent="0.25">
      <c r="A1696" t="s">
        <v>27</v>
      </c>
      <c r="B1696" t="s">
        <v>1616</v>
      </c>
      <c r="C1696">
        <v>38206</v>
      </c>
      <c r="D1696">
        <v>117102</v>
      </c>
      <c r="F1696">
        <v>117102</v>
      </c>
    </row>
    <row r="1697" spans="1:6" x14ac:dyDescent="0.25">
      <c r="A1697" t="s">
        <v>531</v>
      </c>
      <c r="B1697" t="s">
        <v>1617</v>
      </c>
      <c r="C1697">
        <v>38207</v>
      </c>
      <c r="D1697">
        <v>0</v>
      </c>
      <c r="F1697">
        <v>0</v>
      </c>
    </row>
    <row r="1698" spans="1:6" x14ac:dyDescent="0.25">
      <c r="A1698" t="s">
        <v>1583</v>
      </c>
      <c r="B1698" t="s">
        <v>1618</v>
      </c>
      <c r="C1698">
        <v>38208</v>
      </c>
      <c r="D1698">
        <v>241</v>
      </c>
      <c r="F1698">
        <v>241</v>
      </c>
    </row>
    <row r="1699" spans="1:6" x14ac:dyDescent="0.25">
      <c r="A1699" t="s">
        <v>1585</v>
      </c>
      <c r="B1699" t="s">
        <v>1619</v>
      </c>
      <c r="C1699">
        <v>38209</v>
      </c>
      <c r="D1699">
        <v>0</v>
      </c>
      <c r="F1699">
        <v>0</v>
      </c>
    </row>
    <row r="1700" spans="1:6" x14ac:dyDescent="0.25">
      <c r="A1700" t="s">
        <v>1587</v>
      </c>
      <c r="B1700" t="s">
        <v>1620</v>
      </c>
      <c r="C1700">
        <v>38210</v>
      </c>
      <c r="D1700">
        <v>0</v>
      </c>
      <c r="F1700">
        <v>0</v>
      </c>
    </row>
    <row r="1701" spans="1:6" x14ac:dyDescent="0.25">
      <c r="A1701" t="s">
        <v>1589</v>
      </c>
      <c r="B1701" t="s">
        <v>1621</v>
      </c>
      <c r="C1701">
        <v>38211</v>
      </c>
      <c r="D1701">
        <v>0</v>
      </c>
      <c r="F1701">
        <v>0</v>
      </c>
    </row>
    <row r="1702" spans="1:6" x14ac:dyDescent="0.25">
      <c r="A1702" t="s">
        <v>1591</v>
      </c>
      <c r="B1702" t="s">
        <v>1622</v>
      </c>
      <c r="C1702">
        <v>38212</v>
      </c>
      <c r="D1702">
        <v>3519699</v>
      </c>
      <c r="F1702">
        <v>3519699</v>
      </c>
    </row>
    <row r="1703" spans="1:6" x14ac:dyDescent="0.25">
      <c r="A1703" t="s">
        <v>1593</v>
      </c>
      <c r="B1703" t="s">
        <v>1623</v>
      </c>
      <c r="C1703">
        <v>38213</v>
      </c>
      <c r="D1703">
        <v>343974</v>
      </c>
      <c r="F1703">
        <v>343974</v>
      </c>
    </row>
    <row r="1704" spans="1:6" x14ac:dyDescent="0.25">
      <c r="A1704" t="s">
        <v>1595</v>
      </c>
      <c r="B1704" t="s">
        <v>1624</v>
      </c>
      <c r="C1704">
        <v>38214</v>
      </c>
      <c r="D1704">
        <v>0</v>
      </c>
      <c r="F1704">
        <v>0</v>
      </c>
    </row>
    <row r="1705" spans="1:6" x14ac:dyDescent="0.25">
      <c r="A1705" t="s">
        <v>1597</v>
      </c>
      <c r="B1705" t="s">
        <v>1625</v>
      </c>
      <c r="C1705">
        <v>38215</v>
      </c>
      <c r="D1705">
        <v>6864</v>
      </c>
      <c r="F1705">
        <v>6864</v>
      </c>
    </row>
    <row r="1706" spans="1:6" x14ac:dyDescent="0.25">
      <c r="A1706" t="s">
        <v>1599</v>
      </c>
      <c r="B1706" t="s">
        <v>1626</v>
      </c>
      <c r="C1706">
        <v>38216</v>
      </c>
      <c r="D1706">
        <v>0</v>
      </c>
      <c r="F1706">
        <v>0</v>
      </c>
    </row>
    <row r="1707" spans="1:6" x14ac:dyDescent="0.25">
      <c r="A1707" t="s">
        <v>1601</v>
      </c>
      <c r="B1707" t="s">
        <v>1627</v>
      </c>
      <c r="C1707">
        <v>38217</v>
      </c>
      <c r="D1707">
        <v>0</v>
      </c>
      <c r="F1707">
        <v>0</v>
      </c>
    </row>
    <row r="1708" spans="1:6" x14ac:dyDescent="0.25">
      <c r="A1708" t="s">
        <v>1603</v>
      </c>
      <c r="B1708" t="s">
        <v>1596</v>
      </c>
      <c r="C1708">
        <v>38218</v>
      </c>
      <c r="D1708">
        <v>413</v>
      </c>
      <c r="F1708">
        <v>413</v>
      </c>
    </row>
    <row r="1709" spans="1:6" x14ac:dyDescent="0.25">
      <c r="A1709" t="s">
        <v>1605</v>
      </c>
      <c r="B1709" t="s">
        <v>1598</v>
      </c>
      <c r="C1709">
        <v>38219</v>
      </c>
      <c r="D1709">
        <v>0</v>
      </c>
      <c r="F1709">
        <v>0</v>
      </c>
    </row>
    <row r="1710" spans="1:6" x14ac:dyDescent="0.25">
      <c r="A1710" t="s">
        <v>1607</v>
      </c>
      <c r="B1710" t="s">
        <v>1602</v>
      </c>
      <c r="C1710">
        <v>38220</v>
      </c>
      <c r="D1710">
        <v>0</v>
      </c>
      <c r="F1710">
        <v>0</v>
      </c>
    </row>
    <row r="1711" spans="1:6" x14ac:dyDescent="0.25">
      <c r="B1711" t="s">
        <v>2438</v>
      </c>
      <c r="D1711">
        <v>3988293</v>
      </c>
      <c r="F1711">
        <v>3988293</v>
      </c>
    </row>
    <row r="1712" spans="1:6" x14ac:dyDescent="0.25">
      <c r="B1712" t="s">
        <v>1629</v>
      </c>
    </row>
    <row r="1713" spans="1:6" x14ac:dyDescent="0.25">
      <c r="A1713" t="s">
        <v>2</v>
      </c>
      <c r="B1713" t="s">
        <v>1627</v>
      </c>
      <c r="C1713">
        <v>38301</v>
      </c>
      <c r="D1713">
        <v>0</v>
      </c>
      <c r="F1713">
        <v>0</v>
      </c>
    </row>
    <row r="1714" spans="1:6" x14ac:dyDescent="0.25">
      <c r="A1714" t="s">
        <v>15</v>
      </c>
      <c r="B1714" t="s">
        <v>1625</v>
      </c>
      <c r="C1714">
        <v>38302</v>
      </c>
      <c r="D1714">
        <v>0</v>
      </c>
      <c r="F1714">
        <v>0</v>
      </c>
    </row>
    <row r="1715" spans="1:6" x14ac:dyDescent="0.25">
      <c r="A1715" t="s">
        <v>16</v>
      </c>
      <c r="B1715" t="s">
        <v>1626</v>
      </c>
      <c r="C1715">
        <v>38303</v>
      </c>
      <c r="D1715">
        <v>0</v>
      </c>
      <c r="F1715">
        <v>0</v>
      </c>
    </row>
    <row r="1716" spans="1:6" x14ac:dyDescent="0.25">
      <c r="B1716" t="s">
        <v>2439</v>
      </c>
      <c r="D1716">
        <v>0</v>
      </c>
      <c r="F1716">
        <v>0</v>
      </c>
    </row>
    <row r="1717" spans="1:6" x14ac:dyDescent="0.25">
      <c r="B1717" t="s">
        <v>1631</v>
      </c>
    </row>
    <row r="1718" spans="1:6" x14ac:dyDescent="0.25">
      <c r="A1718" t="s">
        <v>2</v>
      </c>
      <c r="B1718" t="s">
        <v>1627</v>
      </c>
      <c r="C1718">
        <v>38401</v>
      </c>
      <c r="D1718">
        <v>0</v>
      </c>
      <c r="F1718">
        <v>0</v>
      </c>
    </row>
    <row r="1719" spans="1:6" x14ac:dyDescent="0.25">
      <c r="A1719" t="s">
        <v>15</v>
      </c>
      <c r="B1719" t="s">
        <v>1625</v>
      </c>
      <c r="C1719">
        <v>38402</v>
      </c>
      <c r="D1719">
        <v>0</v>
      </c>
      <c r="F1719">
        <v>0</v>
      </c>
    </row>
    <row r="1720" spans="1:6" x14ac:dyDescent="0.25">
      <c r="A1720" t="s">
        <v>16</v>
      </c>
      <c r="B1720" t="s">
        <v>1626</v>
      </c>
      <c r="C1720">
        <v>38403</v>
      </c>
      <c r="D1720">
        <v>0</v>
      </c>
      <c r="F1720">
        <v>0</v>
      </c>
    </row>
    <row r="1721" spans="1:6" x14ac:dyDescent="0.25">
      <c r="B1721" t="s">
        <v>2440</v>
      </c>
      <c r="D1721">
        <v>0</v>
      </c>
      <c r="F1721">
        <v>0</v>
      </c>
    </row>
    <row r="1722" spans="1:6" x14ac:dyDescent="0.25">
      <c r="B1722" t="s">
        <v>2291</v>
      </c>
    </row>
    <row r="1723" spans="1:6" x14ac:dyDescent="0.25">
      <c r="A1723" t="s">
        <v>2</v>
      </c>
      <c r="B1723" t="s">
        <v>1634</v>
      </c>
      <c r="C1723">
        <v>38501</v>
      </c>
      <c r="D1723">
        <v>671</v>
      </c>
      <c r="F1723">
        <v>671</v>
      </c>
    </row>
    <row r="1724" spans="1:6" x14ac:dyDescent="0.25">
      <c r="A1724" t="s">
        <v>15</v>
      </c>
      <c r="B1724" t="s">
        <v>1635</v>
      </c>
      <c r="C1724">
        <v>38502</v>
      </c>
      <c r="D1724">
        <v>0</v>
      </c>
      <c r="F1724">
        <v>0</v>
      </c>
    </row>
    <row r="1725" spans="1:6" x14ac:dyDescent="0.25">
      <c r="A1725" t="s">
        <v>16</v>
      </c>
      <c r="B1725" t="s">
        <v>1636</v>
      </c>
      <c r="C1725">
        <v>38503</v>
      </c>
      <c r="D1725">
        <v>0</v>
      </c>
      <c r="F1725">
        <v>0</v>
      </c>
    </row>
    <row r="1726" spans="1:6" x14ac:dyDescent="0.25">
      <c r="A1726" t="s">
        <v>25</v>
      </c>
      <c r="B1726" t="s">
        <v>1637</v>
      </c>
      <c r="C1726">
        <v>38504</v>
      </c>
      <c r="D1726">
        <v>1227</v>
      </c>
      <c r="F1726">
        <v>1227</v>
      </c>
    </row>
    <row r="1727" spans="1:6" x14ac:dyDescent="0.25">
      <c r="A1727" t="s">
        <v>26</v>
      </c>
      <c r="B1727" t="s">
        <v>1638</v>
      </c>
      <c r="C1727">
        <v>38505</v>
      </c>
      <c r="D1727">
        <v>33237</v>
      </c>
      <c r="F1727">
        <v>33237</v>
      </c>
    </row>
    <row r="1728" spans="1:6" x14ac:dyDescent="0.25">
      <c r="A1728" t="s">
        <v>27</v>
      </c>
      <c r="B1728" t="s">
        <v>1639</v>
      </c>
      <c r="C1728">
        <v>38506</v>
      </c>
      <c r="D1728">
        <v>0</v>
      </c>
      <c r="F1728">
        <v>0</v>
      </c>
    </row>
    <row r="1729" spans="1:6" x14ac:dyDescent="0.25">
      <c r="A1729" t="s">
        <v>531</v>
      </c>
      <c r="B1729" t="s">
        <v>1640</v>
      </c>
      <c r="C1729">
        <v>38507</v>
      </c>
      <c r="D1729">
        <v>0</v>
      </c>
      <c r="F1729">
        <v>0</v>
      </c>
    </row>
    <row r="1730" spans="1:6" x14ac:dyDescent="0.25">
      <c r="A1730" t="s">
        <v>1583</v>
      </c>
      <c r="B1730" t="s">
        <v>1641</v>
      </c>
      <c r="C1730">
        <v>38508</v>
      </c>
      <c r="D1730">
        <v>42716</v>
      </c>
      <c r="F1730">
        <v>42716</v>
      </c>
    </row>
    <row r="1731" spans="1:6" x14ac:dyDescent="0.25">
      <c r="B1731" t="s">
        <v>2441</v>
      </c>
      <c r="D1731">
        <v>77851</v>
      </c>
      <c r="F1731">
        <v>77851</v>
      </c>
    </row>
    <row r="1732" spans="1:6" x14ac:dyDescent="0.25">
      <c r="B1732" t="s">
        <v>2292</v>
      </c>
    </row>
    <row r="1733" spans="1:6" x14ac:dyDescent="0.25">
      <c r="A1733" t="s">
        <v>2</v>
      </c>
      <c r="B1733" t="s">
        <v>1634</v>
      </c>
      <c r="C1733">
        <v>38601</v>
      </c>
      <c r="D1733">
        <v>984</v>
      </c>
      <c r="F1733">
        <v>984</v>
      </c>
    </row>
    <row r="1734" spans="1:6" x14ac:dyDescent="0.25">
      <c r="A1734" t="s">
        <v>15</v>
      </c>
      <c r="B1734" t="s">
        <v>1635</v>
      </c>
      <c r="C1734">
        <v>38602</v>
      </c>
      <c r="D1734">
        <v>6707</v>
      </c>
      <c r="F1734">
        <v>6707</v>
      </c>
    </row>
    <row r="1735" spans="1:6" x14ac:dyDescent="0.25">
      <c r="A1735" t="s">
        <v>16</v>
      </c>
      <c r="B1735" t="s">
        <v>1636</v>
      </c>
      <c r="C1735">
        <v>38603</v>
      </c>
      <c r="D1735">
        <v>0</v>
      </c>
      <c r="F1735">
        <v>0</v>
      </c>
    </row>
    <row r="1736" spans="1:6" x14ac:dyDescent="0.25">
      <c r="A1736" t="s">
        <v>25</v>
      </c>
      <c r="B1736" t="s">
        <v>1637</v>
      </c>
      <c r="C1736">
        <v>38604</v>
      </c>
      <c r="D1736">
        <v>255335</v>
      </c>
      <c r="F1736">
        <v>255335</v>
      </c>
    </row>
    <row r="1737" spans="1:6" x14ac:dyDescent="0.25">
      <c r="A1737" t="s">
        <v>26</v>
      </c>
      <c r="B1737" t="s">
        <v>1638</v>
      </c>
      <c r="C1737">
        <v>38605</v>
      </c>
      <c r="D1737">
        <v>101929</v>
      </c>
      <c r="F1737">
        <v>101929</v>
      </c>
    </row>
    <row r="1738" spans="1:6" x14ac:dyDescent="0.25">
      <c r="A1738" t="s">
        <v>27</v>
      </c>
      <c r="B1738" t="s">
        <v>1639</v>
      </c>
      <c r="C1738">
        <v>38606</v>
      </c>
      <c r="D1738">
        <v>19408</v>
      </c>
      <c r="F1738">
        <v>19408</v>
      </c>
    </row>
    <row r="1739" spans="1:6" x14ac:dyDescent="0.25">
      <c r="A1739" t="s">
        <v>531</v>
      </c>
      <c r="B1739" t="s">
        <v>1640</v>
      </c>
      <c r="C1739">
        <v>38607</v>
      </c>
      <c r="D1739">
        <v>40</v>
      </c>
      <c r="F1739">
        <v>40</v>
      </c>
    </row>
    <row r="1740" spans="1:6" x14ac:dyDescent="0.25">
      <c r="A1740" t="s">
        <v>1583</v>
      </c>
      <c r="B1740" t="s">
        <v>1641</v>
      </c>
      <c r="C1740">
        <v>38608</v>
      </c>
      <c r="D1740">
        <v>118426</v>
      </c>
      <c r="F1740">
        <v>118426</v>
      </c>
    </row>
    <row r="1741" spans="1:6" x14ac:dyDescent="0.25">
      <c r="B1741" t="s">
        <v>2442</v>
      </c>
      <c r="D1741">
        <v>502829</v>
      </c>
      <c r="F1741">
        <v>502829</v>
      </c>
    </row>
    <row r="1742" spans="1:6" x14ac:dyDescent="0.25">
      <c r="B1742" t="s">
        <v>1726</v>
      </c>
    </row>
    <row r="1743" spans="1:6" x14ac:dyDescent="0.25">
      <c r="A1743" t="s">
        <v>2</v>
      </c>
      <c r="B1743" t="s">
        <v>1648</v>
      </c>
      <c r="C1743">
        <v>38701</v>
      </c>
      <c r="D1743">
        <v>0</v>
      </c>
      <c r="F1743">
        <v>0</v>
      </c>
    </row>
    <row r="1744" spans="1:6" x14ac:dyDescent="0.25">
      <c r="A1744" t="s">
        <v>15</v>
      </c>
      <c r="B1744" t="s">
        <v>1649</v>
      </c>
      <c r="C1744">
        <v>38702</v>
      </c>
      <c r="D1744">
        <v>0</v>
      </c>
      <c r="F1744">
        <v>0</v>
      </c>
    </row>
    <row r="1745" spans="1:6" x14ac:dyDescent="0.25">
      <c r="A1745" t="s">
        <v>16</v>
      </c>
      <c r="B1745" t="s">
        <v>1637</v>
      </c>
      <c r="C1745">
        <v>38703</v>
      </c>
      <c r="D1745">
        <v>0</v>
      </c>
      <c r="F1745">
        <v>0</v>
      </c>
    </row>
    <row r="1746" spans="1:6" x14ac:dyDescent="0.25">
      <c r="A1746" t="s">
        <v>25</v>
      </c>
      <c r="B1746" t="s">
        <v>1638</v>
      </c>
      <c r="C1746">
        <v>38704</v>
      </c>
      <c r="D1746">
        <v>32135</v>
      </c>
      <c r="F1746">
        <v>32135</v>
      </c>
    </row>
    <row r="1747" spans="1:6" x14ac:dyDescent="0.25">
      <c r="A1747" t="s">
        <v>26</v>
      </c>
      <c r="B1747" t="s">
        <v>1650</v>
      </c>
      <c r="C1747">
        <v>38705</v>
      </c>
      <c r="D1747">
        <v>0</v>
      </c>
      <c r="F1747">
        <v>0</v>
      </c>
    </row>
    <row r="1748" spans="1:6" x14ac:dyDescent="0.25">
      <c r="A1748" t="s">
        <v>27</v>
      </c>
      <c r="B1748" t="s">
        <v>1651</v>
      </c>
      <c r="C1748">
        <v>38706</v>
      </c>
      <c r="D1748">
        <v>0</v>
      </c>
      <c r="F1748">
        <v>0</v>
      </c>
    </row>
    <row r="1749" spans="1:6" x14ac:dyDescent="0.25">
      <c r="A1749" t="s">
        <v>531</v>
      </c>
      <c r="B1749" t="s">
        <v>1640</v>
      </c>
      <c r="C1749">
        <v>38707</v>
      </c>
      <c r="D1749">
        <v>0</v>
      </c>
      <c r="F1749">
        <v>0</v>
      </c>
    </row>
    <row r="1750" spans="1:6" x14ac:dyDescent="0.25">
      <c r="A1750" t="s">
        <v>1583</v>
      </c>
      <c r="B1750" t="s">
        <v>1641</v>
      </c>
      <c r="C1750">
        <v>38708</v>
      </c>
      <c r="D1750">
        <v>0</v>
      </c>
      <c r="F1750">
        <v>0</v>
      </c>
    </row>
    <row r="1751" spans="1:6" x14ac:dyDescent="0.25">
      <c r="B1751" t="s">
        <v>2443</v>
      </c>
      <c r="D1751">
        <v>32135</v>
      </c>
      <c r="F1751">
        <v>32135</v>
      </c>
    </row>
    <row r="1752" spans="1:6" x14ac:dyDescent="0.25">
      <c r="B1752" t="s">
        <v>1910</v>
      </c>
      <c r="D1752">
        <v>27723591</v>
      </c>
      <c r="F1752">
        <v>27723591</v>
      </c>
    </row>
    <row r="1753" spans="1:6" x14ac:dyDescent="0.25">
      <c r="B1753" t="s">
        <v>2444</v>
      </c>
      <c r="D1753">
        <v>73346498</v>
      </c>
      <c r="E1753">
        <v>4182191</v>
      </c>
      <c r="F1753">
        <v>77528689</v>
      </c>
    </row>
    <row r="1754" spans="1:6" x14ac:dyDescent="0.25">
      <c r="B1754" t="s">
        <v>2019</v>
      </c>
    </row>
    <row r="1755" spans="1:6" x14ac:dyDescent="0.25">
      <c r="B1755" t="s">
        <v>2020</v>
      </c>
    </row>
    <row r="1756" spans="1:6" x14ac:dyDescent="0.25">
      <c r="B1756" t="s">
        <v>1575</v>
      </c>
    </row>
    <row r="1757" spans="1:6" x14ac:dyDescent="0.25">
      <c r="A1757" t="s">
        <v>2</v>
      </c>
      <c r="B1757" t="s">
        <v>1576</v>
      </c>
      <c r="C1757">
        <v>41101</v>
      </c>
      <c r="D1757">
        <v>0</v>
      </c>
      <c r="E1757">
        <v>0</v>
      </c>
      <c r="F1757">
        <v>0</v>
      </c>
    </row>
    <row r="1758" spans="1:6" x14ac:dyDescent="0.25">
      <c r="A1758" t="s">
        <v>15</v>
      </c>
      <c r="B1758" t="s">
        <v>1577</v>
      </c>
      <c r="C1758">
        <v>41102</v>
      </c>
      <c r="D1758">
        <v>0</v>
      </c>
      <c r="E1758">
        <v>0</v>
      </c>
      <c r="F1758">
        <v>0</v>
      </c>
    </row>
    <row r="1759" spans="1:6" x14ac:dyDescent="0.25">
      <c r="A1759" t="s">
        <v>16</v>
      </c>
      <c r="B1759" t="s">
        <v>1578</v>
      </c>
      <c r="C1759">
        <v>41103</v>
      </c>
      <c r="D1759">
        <v>0</v>
      </c>
      <c r="E1759">
        <v>0</v>
      </c>
      <c r="F1759">
        <v>0</v>
      </c>
    </row>
    <row r="1760" spans="1:6" x14ac:dyDescent="0.25">
      <c r="A1760" t="s">
        <v>25</v>
      </c>
      <c r="B1760" t="s">
        <v>1579</v>
      </c>
      <c r="C1760">
        <v>41104</v>
      </c>
      <c r="D1760">
        <v>0</v>
      </c>
      <c r="E1760">
        <v>0</v>
      </c>
      <c r="F1760">
        <v>0</v>
      </c>
    </row>
    <row r="1761" spans="1:6" x14ac:dyDescent="0.25">
      <c r="A1761" t="s">
        <v>26</v>
      </c>
      <c r="B1761" t="s">
        <v>1580</v>
      </c>
      <c r="C1761">
        <v>41105</v>
      </c>
      <c r="D1761">
        <v>0</v>
      </c>
      <c r="E1761">
        <v>0</v>
      </c>
      <c r="F1761">
        <v>0</v>
      </c>
    </row>
    <row r="1762" spans="1:6" x14ac:dyDescent="0.25">
      <c r="A1762" t="s">
        <v>27</v>
      </c>
      <c r="B1762" t="s">
        <v>1581</v>
      </c>
      <c r="C1762">
        <v>41106</v>
      </c>
      <c r="D1762">
        <v>0</v>
      </c>
      <c r="E1762">
        <v>0</v>
      </c>
      <c r="F1762">
        <v>0</v>
      </c>
    </row>
    <row r="1763" spans="1:6" x14ac:dyDescent="0.25">
      <c r="A1763" t="s">
        <v>531</v>
      </c>
      <c r="B1763" t="s">
        <v>1582</v>
      </c>
      <c r="C1763">
        <v>41107</v>
      </c>
      <c r="D1763">
        <v>0</v>
      </c>
      <c r="E1763">
        <v>0</v>
      </c>
      <c r="F1763">
        <v>0</v>
      </c>
    </row>
    <row r="1764" spans="1:6" x14ac:dyDescent="0.25">
      <c r="A1764" t="s">
        <v>1583</v>
      </c>
      <c r="B1764" t="s">
        <v>1584</v>
      </c>
      <c r="C1764">
        <v>41108</v>
      </c>
      <c r="D1764">
        <v>0</v>
      </c>
      <c r="E1764">
        <v>0</v>
      </c>
      <c r="F1764">
        <v>0</v>
      </c>
    </row>
    <row r="1765" spans="1:6" x14ac:dyDescent="0.25">
      <c r="A1765" t="s">
        <v>1585</v>
      </c>
      <c r="B1765" t="s">
        <v>1586</v>
      </c>
      <c r="C1765">
        <v>41109</v>
      </c>
      <c r="D1765">
        <v>495</v>
      </c>
      <c r="E1765">
        <v>0</v>
      </c>
      <c r="F1765">
        <v>495</v>
      </c>
    </row>
    <row r="1766" spans="1:6" x14ac:dyDescent="0.25">
      <c r="A1766" t="s">
        <v>1587</v>
      </c>
      <c r="B1766" t="s">
        <v>1588</v>
      </c>
      <c r="C1766">
        <v>41110</v>
      </c>
      <c r="D1766">
        <v>0</v>
      </c>
      <c r="E1766">
        <v>0</v>
      </c>
      <c r="F1766">
        <v>0</v>
      </c>
    </row>
    <row r="1767" spans="1:6" x14ac:dyDescent="0.25">
      <c r="A1767" t="s">
        <v>1589</v>
      </c>
      <c r="B1767" t="s">
        <v>1590</v>
      </c>
      <c r="C1767">
        <v>41111</v>
      </c>
      <c r="D1767">
        <v>1497</v>
      </c>
      <c r="E1767">
        <v>0</v>
      </c>
      <c r="F1767">
        <v>1497</v>
      </c>
    </row>
    <row r="1768" spans="1:6" x14ac:dyDescent="0.25">
      <c r="A1768" t="s">
        <v>1591</v>
      </c>
      <c r="B1768" t="s">
        <v>1592</v>
      </c>
      <c r="C1768">
        <v>41112</v>
      </c>
      <c r="D1768">
        <v>529026</v>
      </c>
      <c r="E1768">
        <v>0</v>
      </c>
      <c r="F1768">
        <v>529026</v>
      </c>
    </row>
    <row r="1769" spans="1:6" x14ac:dyDescent="0.25">
      <c r="A1769" t="s">
        <v>1593</v>
      </c>
      <c r="B1769" t="s">
        <v>1594</v>
      </c>
      <c r="C1769">
        <v>41113</v>
      </c>
      <c r="D1769">
        <v>0</v>
      </c>
      <c r="E1769">
        <v>0</v>
      </c>
      <c r="F1769">
        <v>0</v>
      </c>
    </row>
    <row r="1770" spans="1:6" x14ac:dyDescent="0.25">
      <c r="A1770" t="s">
        <v>1595</v>
      </c>
      <c r="B1770" t="s">
        <v>1596</v>
      </c>
      <c r="C1770">
        <v>41114</v>
      </c>
      <c r="D1770">
        <v>22192</v>
      </c>
      <c r="E1770">
        <v>0</v>
      </c>
      <c r="F1770">
        <v>22192</v>
      </c>
    </row>
    <row r="1771" spans="1:6" x14ac:dyDescent="0.25">
      <c r="A1771" t="s">
        <v>1597</v>
      </c>
      <c r="B1771" t="s">
        <v>1598</v>
      </c>
      <c r="C1771">
        <v>41115</v>
      </c>
      <c r="D1771">
        <v>23412</v>
      </c>
      <c r="E1771">
        <v>0</v>
      </c>
      <c r="F1771">
        <v>23412</v>
      </c>
    </row>
    <row r="1772" spans="1:6" x14ac:dyDescent="0.25">
      <c r="A1772" t="s">
        <v>1599</v>
      </c>
      <c r="B1772" t="s">
        <v>1600</v>
      </c>
      <c r="C1772">
        <v>41116</v>
      </c>
      <c r="D1772">
        <v>0</v>
      </c>
      <c r="E1772">
        <v>0</v>
      </c>
      <c r="F1772">
        <v>0</v>
      </c>
    </row>
    <row r="1773" spans="1:6" x14ac:dyDescent="0.25">
      <c r="A1773" t="s">
        <v>1601</v>
      </c>
      <c r="B1773" t="s">
        <v>1602</v>
      </c>
      <c r="C1773">
        <v>41117</v>
      </c>
      <c r="D1773">
        <v>0</v>
      </c>
      <c r="E1773">
        <v>0</v>
      </c>
      <c r="F1773">
        <v>0</v>
      </c>
    </row>
    <row r="1774" spans="1:6" x14ac:dyDescent="0.25">
      <c r="A1774" t="s">
        <v>1603</v>
      </c>
      <c r="B1774" t="s">
        <v>1604</v>
      </c>
      <c r="C1774">
        <v>41118</v>
      </c>
      <c r="D1774">
        <v>160</v>
      </c>
      <c r="E1774">
        <v>0</v>
      </c>
      <c r="F1774">
        <v>160</v>
      </c>
    </row>
    <row r="1775" spans="1:6" x14ac:dyDescent="0.25">
      <c r="A1775" t="s">
        <v>1605</v>
      </c>
      <c r="B1775" t="s">
        <v>1606</v>
      </c>
      <c r="C1775">
        <v>41119</v>
      </c>
      <c r="D1775">
        <v>0</v>
      </c>
      <c r="E1775">
        <v>0</v>
      </c>
      <c r="F1775">
        <v>0</v>
      </c>
    </row>
    <row r="1776" spans="1:6" x14ac:dyDescent="0.25">
      <c r="A1776" t="s">
        <v>1607</v>
      </c>
      <c r="B1776" t="s">
        <v>1608</v>
      </c>
      <c r="C1776">
        <v>41120</v>
      </c>
      <c r="D1776">
        <v>0</v>
      </c>
      <c r="E1776">
        <v>0</v>
      </c>
      <c r="F1776">
        <v>0</v>
      </c>
    </row>
    <row r="1777" spans="1:6" x14ac:dyDescent="0.25">
      <c r="B1777" t="s">
        <v>2021</v>
      </c>
      <c r="D1777">
        <v>576782</v>
      </c>
      <c r="E1777">
        <v>0</v>
      </c>
      <c r="F1777">
        <v>576782</v>
      </c>
    </row>
    <row r="1778" spans="1:6" x14ac:dyDescent="0.25">
      <c r="B1778" t="s">
        <v>1656</v>
      </c>
    </row>
    <row r="1779" spans="1:6" x14ac:dyDescent="0.25">
      <c r="A1779" t="s">
        <v>2</v>
      </c>
      <c r="B1779" t="s">
        <v>1611</v>
      </c>
      <c r="C1779">
        <v>41201</v>
      </c>
      <c r="D1779">
        <v>0</v>
      </c>
      <c r="E1779">
        <v>0</v>
      </c>
      <c r="F1779">
        <v>0</v>
      </c>
    </row>
    <row r="1780" spans="1:6" x14ac:dyDescent="0.25">
      <c r="A1780" t="s">
        <v>15</v>
      </c>
      <c r="B1780" t="s">
        <v>1612</v>
      </c>
      <c r="C1780">
        <v>41202</v>
      </c>
      <c r="D1780">
        <v>0</v>
      </c>
      <c r="E1780">
        <v>0</v>
      </c>
      <c r="F1780">
        <v>0</v>
      </c>
    </row>
    <row r="1781" spans="1:6" x14ac:dyDescent="0.25">
      <c r="A1781" t="s">
        <v>16</v>
      </c>
      <c r="B1781" t="s">
        <v>1613</v>
      </c>
      <c r="C1781">
        <v>41203</v>
      </c>
      <c r="D1781">
        <v>0</v>
      </c>
      <c r="E1781">
        <v>0</v>
      </c>
      <c r="F1781">
        <v>0</v>
      </c>
    </row>
    <row r="1782" spans="1:6" x14ac:dyDescent="0.25">
      <c r="A1782" t="s">
        <v>25</v>
      </c>
      <c r="B1782" t="s">
        <v>1614</v>
      </c>
      <c r="C1782">
        <v>41204</v>
      </c>
      <c r="D1782">
        <v>0</v>
      </c>
      <c r="E1782">
        <v>0</v>
      </c>
      <c r="F1782">
        <v>0</v>
      </c>
    </row>
    <row r="1783" spans="1:6" x14ac:dyDescent="0.25">
      <c r="A1783" t="s">
        <v>26</v>
      </c>
      <c r="B1783" t="s">
        <v>1615</v>
      </c>
      <c r="C1783">
        <v>41205</v>
      </c>
      <c r="D1783">
        <v>0</v>
      </c>
      <c r="E1783">
        <v>0</v>
      </c>
      <c r="F1783">
        <v>0</v>
      </c>
    </row>
    <row r="1784" spans="1:6" x14ac:dyDescent="0.25">
      <c r="A1784" t="s">
        <v>27</v>
      </c>
      <c r="B1784" t="s">
        <v>1616</v>
      </c>
      <c r="C1784">
        <v>41206</v>
      </c>
      <c r="D1784">
        <v>0</v>
      </c>
      <c r="E1784">
        <v>0</v>
      </c>
      <c r="F1784">
        <v>0</v>
      </c>
    </row>
    <row r="1785" spans="1:6" x14ac:dyDescent="0.25">
      <c r="A1785" t="s">
        <v>531</v>
      </c>
      <c r="B1785" t="s">
        <v>1617</v>
      </c>
      <c r="C1785">
        <v>41207</v>
      </c>
      <c r="D1785">
        <v>0</v>
      </c>
      <c r="E1785">
        <v>0</v>
      </c>
      <c r="F1785">
        <v>0</v>
      </c>
    </row>
    <row r="1786" spans="1:6" x14ac:dyDescent="0.25">
      <c r="A1786" t="s">
        <v>1583</v>
      </c>
      <c r="B1786" t="s">
        <v>1618</v>
      </c>
      <c r="C1786">
        <v>41208</v>
      </c>
      <c r="D1786">
        <v>0</v>
      </c>
      <c r="E1786">
        <v>0</v>
      </c>
      <c r="F1786">
        <v>0</v>
      </c>
    </row>
    <row r="1787" spans="1:6" x14ac:dyDescent="0.25">
      <c r="A1787" t="s">
        <v>1585</v>
      </c>
      <c r="B1787" t="s">
        <v>1619</v>
      </c>
      <c r="C1787">
        <v>41209</v>
      </c>
      <c r="D1787">
        <v>0</v>
      </c>
      <c r="E1787">
        <v>0</v>
      </c>
      <c r="F1787">
        <v>0</v>
      </c>
    </row>
    <row r="1788" spans="1:6" x14ac:dyDescent="0.25">
      <c r="A1788" t="s">
        <v>1587</v>
      </c>
      <c r="B1788" t="s">
        <v>1620</v>
      </c>
      <c r="C1788">
        <v>41210</v>
      </c>
      <c r="D1788">
        <v>0</v>
      </c>
      <c r="E1788">
        <v>0</v>
      </c>
      <c r="F1788">
        <v>0</v>
      </c>
    </row>
    <row r="1789" spans="1:6" x14ac:dyDescent="0.25">
      <c r="A1789" t="s">
        <v>1589</v>
      </c>
      <c r="B1789" t="s">
        <v>1621</v>
      </c>
      <c r="C1789">
        <v>41211</v>
      </c>
      <c r="D1789">
        <v>0</v>
      </c>
      <c r="E1789">
        <v>0</v>
      </c>
      <c r="F1789">
        <v>0</v>
      </c>
    </row>
    <row r="1790" spans="1:6" x14ac:dyDescent="0.25">
      <c r="A1790" t="s">
        <v>1591</v>
      </c>
      <c r="B1790" t="s">
        <v>1622</v>
      </c>
      <c r="C1790">
        <v>41212</v>
      </c>
      <c r="D1790">
        <v>40096</v>
      </c>
      <c r="E1790">
        <v>0</v>
      </c>
      <c r="F1790">
        <v>40096</v>
      </c>
    </row>
    <row r="1791" spans="1:6" x14ac:dyDescent="0.25">
      <c r="A1791" t="s">
        <v>1593</v>
      </c>
      <c r="B1791" t="s">
        <v>1623</v>
      </c>
      <c r="C1791">
        <v>41213</v>
      </c>
      <c r="D1791">
        <v>0</v>
      </c>
      <c r="E1791">
        <v>0</v>
      </c>
      <c r="F1791">
        <v>0</v>
      </c>
    </row>
    <row r="1792" spans="1:6" x14ac:dyDescent="0.25">
      <c r="A1792" t="s">
        <v>1595</v>
      </c>
      <c r="B1792" t="s">
        <v>1624</v>
      </c>
      <c r="C1792">
        <v>41214</v>
      </c>
      <c r="D1792">
        <v>0</v>
      </c>
      <c r="E1792">
        <v>0</v>
      </c>
      <c r="F1792">
        <v>0</v>
      </c>
    </row>
    <row r="1793" spans="1:6" x14ac:dyDescent="0.25">
      <c r="A1793" t="s">
        <v>1597</v>
      </c>
      <c r="B1793" t="s">
        <v>1625</v>
      </c>
      <c r="C1793">
        <v>41215</v>
      </c>
      <c r="D1793">
        <v>31892</v>
      </c>
      <c r="E1793">
        <v>0</v>
      </c>
      <c r="F1793">
        <v>31892</v>
      </c>
    </row>
    <row r="1794" spans="1:6" x14ac:dyDescent="0.25">
      <c r="A1794" t="s">
        <v>1599</v>
      </c>
      <c r="B1794" t="s">
        <v>1626</v>
      </c>
      <c r="C1794">
        <v>41216</v>
      </c>
      <c r="D1794">
        <v>0</v>
      </c>
      <c r="E1794">
        <v>0</v>
      </c>
      <c r="F1794">
        <v>0</v>
      </c>
    </row>
    <row r="1795" spans="1:6" x14ac:dyDescent="0.25">
      <c r="A1795" t="s">
        <v>1601</v>
      </c>
      <c r="B1795" t="s">
        <v>1627</v>
      </c>
      <c r="C1795">
        <v>41217</v>
      </c>
      <c r="D1795">
        <v>0</v>
      </c>
      <c r="E1795">
        <v>0</v>
      </c>
      <c r="F1795">
        <v>0</v>
      </c>
    </row>
    <row r="1796" spans="1:6" x14ac:dyDescent="0.25">
      <c r="A1796" t="s">
        <v>1603</v>
      </c>
      <c r="B1796" t="s">
        <v>1596</v>
      </c>
      <c r="C1796">
        <v>41218</v>
      </c>
      <c r="D1796">
        <v>0</v>
      </c>
      <c r="E1796">
        <v>0</v>
      </c>
      <c r="F1796">
        <v>0</v>
      </c>
    </row>
    <row r="1797" spans="1:6" x14ac:dyDescent="0.25">
      <c r="A1797" t="s">
        <v>1605</v>
      </c>
      <c r="B1797" t="s">
        <v>1598</v>
      </c>
      <c r="C1797">
        <v>41219</v>
      </c>
      <c r="D1797">
        <v>0</v>
      </c>
      <c r="E1797">
        <v>0</v>
      </c>
      <c r="F1797">
        <v>0</v>
      </c>
    </row>
    <row r="1798" spans="1:6" x14ac:dyDescent="0.25">
      <c r="A1798" t="s">
        <v>1607</v>
      </c>
      <c r="B1798" t="s">
        <v>1602</v>
      </c>
      <c r="C1798">
        <v>41220</v>
      </c>
      <c r="D1798">
        <v>0</v>
      </c>
      <c r="E1798">
        <v>0</v>
      </c>
      <c r="F1798">
        <v>0</v>
      </c>
    </row>
    <row r="1799" spans="1:6" x14ac:dyDescent="0.25">
      <c r="B1799" t="s">
        <v>2022</v>
      </c>
      <c r="D1799">
        <v>71988</v>
      </c>
      <c r="E1799">
        <v>0</v>
      </c>
      <c r="F1799">
        <v>71988</v>
      </c>
    </row>
    <row r="1800" spans="1:6" x14ac:dyDescent="0.25">
      <c r="B1800" t="s">
        <v>1658</v>
      </c>
    </row>
    <row r="1801" spans="1:6" x14ac:dyDescent="0.25">
      <c r="A1801" t="s">
        <v>2</v>
      </c>
      <c r="B1801" t="s">
        <v>1627</v>
      </c>
      <c r="C1801">
        <v>41301</v>
      </c>
      <c r="D1801">
        <v>0</v>
      </c>
      <c r="E1801">
        <v>0</v>
      </c>
      <c r="F1801">
        <v>0</v>
      </c>
    </row>
    <row r="1802" spans="1:6" x14ac:dyDescent="0.25">
      <c r="A1802" t="s">
        <v>15</v>
      </c>
      <c r="B1802" t="s">
        <v>1625</v>
      </c>
      <c r="C1802">
        <v>41302</v>
      </c>
      <c r="D1802">
        <v>0</v>
      </c>
      <c r="E1802">
        <v>0</v>
      </c>
      <c r="F1802">
        <v>0</v>
      </c>
    </row>
    <row r="1803" spans="1:6" x14ac:dyDescent="0.25">
      <c r="A1803" t="s">
        <v>16</v>
      </c>
      <c r="B1803" t="s">
        <v>1626</v>
      </c>
      <c r="C1803">
        <v>41303</v>
      </c>
      <c r="D1803">
        <v>0</v>
      </c>
      <c r="E1803">
        <v>0</v>
      </c>
      <c r="F1803">
        <v>0</v>
      </c>
    </row>
    <row r="1804" spans="1:6" x14ac:dyDescent="0.25">
      <c r="B1804" t="s">
        <v>2023</v>
      </c>
      <c r="D1804">
        <v>0</v>
      </c>
      <c r="E1804">
        <v>0</v>
      </c>
      <c r="F1804">
        <v>0</v>
      </c>
    </row>
    <row r="1805" spans="1:6" x14ac:dyDescent="0.25">
      <c r="B1805" t="s">
        <v>2445</v>
      </c>
    </row>
    <row r="1806" spans="1:6" x14ac:dyDescent="0.25">
      <c r="A1806" t="s">
        <v>2</v>
      </c>
      <c r="B1806" t="s">
        <v>1576</v>
      </c>
      <c r="C1806">
        <v>41401</v>
      </c>
      <c r="D1806">
        <v>0</v>
      </c>
      <c r="F1806">
        <v>0</v>
      </c>
    </row>
    <row r="1807" spans="1:6" x14ac:dyDescent="0.25">
      <c r="A1807" t="s">
        <v>15</v>
      </c>
      <c r="B1807" t="s">
        <v>1577</v>
      </c>
      <c r="C1807">
        <v>41402</v>
      </c>
      <c r="D1807">
        <v>0</v>
      </c>
      <c r="F1807">
        <v>0</v>
      </c>
    </row>
    <row r="1808" spans="1:6" x14ac:dyDescent="0.25">
      <c r="A1808" t="s">
        <v>16</v>
      </c>
      <c r="B1808" t="s">
        <v>1578</v>
      </c>
      <c r="C1808">
        <v>41403</v>
      </c>
      <c r="D1808">
        <v>0</v>
      </c>
      <c r="F1808">
        <v>0</v>
      </c>
    </row>
    <row r="1809" spans="1:6" x14ac:dyDescent="0.25">
      <c r="A1809" t="s">
        <v>25</v>
      </c>
      <c r="B1809" t="s">
        <v>1579</v>
      </c>
      <c r="C1809">
        <v>41404</v>
      </c>
      <c r="D1809">
        <v>0</v>
      </c>
      <c r="F1809">
        <v>0</v>
      </c>
    </row>
    <row r="1810" spans="1:6" x14ac:dyDescent="0.25">
      <c r="A1810" t="s">
        <v>26</v>
      </c>
      <c r="B1810" t="s">
        <v>1580</v>
      </c>
      <c r="C1810">
        <v>41405</v>
      </c>
      <c r="D1810">
        <v>0</v>
      </c>
      <c r="F1810">
        <v>0</v>
      </c>
    </row>
    <row r="1811" spans="1:6" x14ac:dyDescent="0.25">
      <c r="A1811" t="s">
        <v>27</v>
      </c>
      <c r="B1811" t="s">
        <v>1581</v>
      </c>
      <c r="C1811">
        <v>41406</v>
      </c>
      <c r="D1811">
        <v>0</v>
      </c>
      <c r="F1811">
        <v>0</v>
      </c>
    </row>
    <row r="1812" spans="1:6" x14ac:dyDescent="0.25">
      <c r="A1812" t="s">
        <v>531</v>
      </c>
      <c r="B1812" t="s">
        <v>1582</v>
      </c>
      <c r="C1812">
        <v>41407</v>
      </c>
      <c r="D1812">
        <v>0</v>
      </c>
      <c r="F1812">
        <v>0</v>
      </c>
    </row>
    <row r="1813" spans="1:6" x14ac:dyDescent="0.25">
      <c r="A1813" t="s">
        <v>1583</v>
      </c>
      <c r="B1813" t="s">
        <v>1584</v>
      </c>
      <c r="C1813">
        <v>41408</v>
      </c>
      <c r="D1813">
        <v>0</v>
      </c>
      <c r="F1813">
        <v>0</v>
      </c>
    </row>
    <row r="1814" spans="1:6" x14ac:dyDescent="0.25">
      <c r="A1814" t="s">
        <v>1585</v>
      </c>
      <c r="B1814" t="s">
        <v>1586</v>
      </c>
      <c r="C1814">
        <v>41409</v>
      </c>
      <c r="D1814">
        <v>0</v>
      </c>
      <c r="F1814">
        <v>0</v>
      </c>
    </row>
    <row r="1815" spans="1:6" x14ac:dyDescent="0.25">
      <c r="A1815" t="s">
        <v>1587</v>
      </c>
      <c r="B1815" t="s">
        <v>1588</v>
      </c>
      <c r="C1815">
        <v>41410</v>
      </c>
      <c r="D1815">
        <v>0</v>
      </c>
      <c r="F1815">
        <v>0</v>
      </c>
    </row>
    <row r="1816" spans="1:6" x14ac:dyDescent="0.25">
      <c r="A1816" t="s">
        <v>1589</v>
      </c>
      <c r="B1816" t="s">
        <v>1590</v>
      </c>
      <c r="C1816">
        <v>41411</v>
      </c>
      <c r="D1816">
        <v>0</v>
      </c>
      <c r="F1816">
        <v>0</v>
      </c>
    </row>
    <row r="1817" spans="1:6" x14ac:dyDescent="0.25">
      <c r="A1817" t="s">
        <v>1591</v>
      </c>
      <c r="B1817" t="s">
        <v>1592</v>
      </c>
      <c r="C1817">
        <v>41412</v>
      </c>
      <c r="D1817">
        <v>0</v>
      </c>
      <c r="F1817">
        <v>0</v>
      </c>
    </row>
    <row r="1818" spans="1:6" x14ac:dyDescent="0.25">
      <c r="A1818" t="s">
        <v>1593</v>
      </c>
      <c r="B1818" t="s">
        <v>1594</v>
      </c>
      <c r="C1818">
        <v>41413</v>
      </c>
      <c r="D1818">
        <v>0</v>
      </c>
      <c r="F1818">
        <v>0</v>
      </c>
    </row>
    <row r="1819" spans="1:6" x14ac:dyDescent="0.25">
      <c r="A1819" t="s">
        <v>1595</v>
      </c>
      <c r="B1819" t="s">
        <v>1596</v>
      </c>
      <c r="C1819">
        <v>41414</v>
      </c>
      <c r="D1819">
        <v>0</v>
      </c>
      <c r="F1819">
        <v>0</v>
      </c>
    </row>
    <row r="1820" spans="1:6" x14ac:dyDescent="0.25">
      <c r="A1820" t="s">
        <v>1597</v>
      </c>
      <c r="B1820" t="s">
        <v>1598</v>
      </c>
      <c r="C1820">
        <v>41415</v>
      </c>
      <c r="D1820">
        <v>0</v>
      </c>
      <c r="F1820">
        <v>0</v>
      </c>
    </row>
    <row r="1821" spans="1:6" x14ac:dyDescent="0.25">
      <c r="A1821" t="s">
        <v>1599</v>
      </c>
      <c r="B1821" t="s">
        <v>1600</v>
      </c>
      <c r="C1821">
        <v>41416</v>
      </c>
      <c r="D1821">
        <v>0</v>
      </c>
      <c r="F1821">
        <v>0</v>
      </c>
    </row>
    <row r="1822" spans="1:6" x14ac:dyDescent="0.25">
      <c r="A1822" t="s">
        <v>1601</v>
      </c>
      <c r="B1822" t="s">
        <v>1602</v>
      </c>
      <c r="C1822">
        <v>41417</v>
      </c>
      <c r="D1822">
        <v>0</v>
      </c>
      <c r="F1822">
        <v>0</v>
      </c>
    </row>
    <row r="1823" spans="1:6" x14ac:dyDescent="0.25">
      <c r="A1823" t="s">
        <v>1603</v>
      </c>
      <c r="B1823" t="s">
        <v>1604</v>
      </c>
      <c r="C1823">
        <v>41418</v>
      </c>
      <c r="D1823">
        <v>0</v>
      </c>
      <c r="F1823">
        <v>0</v>
      </c>
    </row>
    <row r="1824" spans="1:6" x14ac:dyDescent="0.25">
      <c r="A1824" t="s">
        <v>1605</v>
      </c>
      <c r="B1824" t="s">
        <v>1606</v>
      </c>
      <c r="C1824">
        <v>41419</v>
      </c>
      <c r="D1824">
        <v>0</v>
      </c>
      <c r="F1824">
        <v>0</v>
      </c>
    </row>
    <row r="1825" spans="1:6" x14ac:dyDescent="0.25">
      <c r="A1825" t="s">
        <v>1607</v>
      </c>
      <c r="B1825" t="s">
        <v>1608</v>
      </c>
      <c r="C1825">
        <v>41420</v>
      </c>
      <c r="D1825">
        <v>0</v>
      </c>
      <c r="F1825">
        <v>0</v>
      </c>
    </row>
    <row r="1826" spans="1:6" x14ac:dyDescent="0.25">
      <c r="B1826" t="s">
        <v>2446</v>
      </c>
      <c r="D1826">
        <v>0</v>
      </c>
      <c r="F1826">
        <v>0</v>
      </c>
    </row>
    <row r="1827" spans="1:6" x14ac:dyDescent="0.25">
      <c r="B1827" t="s">
        <v>2447</v>
      </c>
    </row>
    <row r="1828" spans="1:6" x14ac:dyDescent="0.25">
      <c r="A1828" t="s">
        <v>2</v>
      </c>
      <c r="B1828" t="s">
        <v>1611</v>
      </c>
      <c r="C1828">
        <v>41501</v>
      </c>
      <c r="D1828">
        <v>0</v>
      </c>
      <c r="F1828">
        <v>0</v>
      </c>
    </row>
    <row r="1829" spans="1:6" x14ac:dyDescent="0.25">
      <c r="A1829" t="s">
        <v>15</v>
      </c>
      <c r="B1829" t="s">
        <v>1612</v>
      </c>
      <c r="C1829">
        <v>41502</v>
      </c>
      <c r="D1829">
        <v>0</v>
      </c>
      <c r="F1829">
        <v>0</v>
      </c>
    </row>
    <row r="1830" spans="1:6" x14ac:dyDescent="0.25">
      <c r="A1830" t="s">
        <v>16</v>
      </c>
      <c r="B1830" t="s">
        <v>1613</v>
      </c>
      <c r="C1830">
        <v>41503</v>
      </c>
      <c r="D1830">
        <v>0</v>
      </c>
      <c r="F1830">
        <v>0</v>
      </c>
    </row>
    <row r="1831" spans="1:6" x14ac:dyDescent="0.25">
      <c r="A1831" t="s">
        <v>25</v>
      </c>
      <c r="B1831" t="s">
        <v>1614</v>
      </c>
      <c r="C1831">
        <v>41504</v>
      </c>
      <c r="D1831">
        <v>0</v>
      </c>
      <c r="F1831">
        <v>0</v>
      </c>
    </row>
    <row r="1832" spans="1:6" x14ac:dyDescent="0.25">
      <c r="A1832" t="s">
        <v>26</v>
      </c>
      <c r="B1832" t="s">
        <v>1615</v>
      </c>
      <c r="C1832">
        <v>41505</v>
      </c>
      <c r="D1832">
        <v>0</v>
      </c>
      <c r="F1832">
        <v>0</v>
      </c>
    </row>
    <row r="1833" spans="1:6" x14ac:dyDescent="0.25">
      <c r="A1833" t="s">
        <v>27</v>
      </c>
      <c r="B1833" t="s">
        <v>1616</v>
      </c>
      <c r="C1833">
        <v>41506</v>
      </c>
      <c r="D1833">
        <v>0</v>
      </c>
      <c r="F1833">
        <v>0</v>
      </c>
    </row>
    <row r="1834" spans="1:6" x14ac:dyDescent="0.25">
      <c r="A1834" t="s">
        <v>531</v>
      </c>
      <c r="B1834" t="s">
        <v>1617</v>
      </c>
      <c r="C1834">
        <v>41507</v>
      </c>
      <c r="D1834">
        <v>0</v>
      </c>
      <c r="F1834">
        <v>0</v>
      </c>
    </row>
    <row r="1835" spans="1:6" x14ac:dyDescent="0.25">
      <c r="A1835" t="s">
        <v>1583</v>
      </c>
      <c r="B1835" t="s">
        <v>1618</v>
      </c>
      <c r="C1835">
        <v>41508</v>
      </c>
      <c r="D1835">
        <v>0</v>
      </c>
      <c r="F1835">
        <v>0</v>
      </c>
    </row>
    <row r="1836" spans="1:6" x14ac:dyDescent="0.25">
      <c r="A1836" t="s">
        <v>1585</v>
      </c>
      <c r="B1836" t="s">
        <v>1619</v>
      </c>
      <c r="C1836">
        <v>41509</v>
      </c>
      <c r="D1836">
        <v>0</v>
      </c>
      <c r="F1836">
        <v>0</v>
      </c>
    </row>
    <row r="1837" spans="1:6" x14ac:dyDescent="0.25">
      <c r="A1837" t="s">
        <v>1587</v>
      </c>
      <c r="B1837" t="s">
        <v>1620</v>
      </c>
      <c r="C1837">
        <v>41510</v>
      </c>
      <c r="D1837">
        <v>0</v>
      </c>
      <c r="F1837">
        <v>0</v>
      </c>
    </row>
    <row r="1838" spans="1:6" x14ac:dyDescent="0.25">
      <c r="A1838" t="s">
        <v>1589</v>
      </c>
      <c r="B1838" t="s">
        <v>1621</v>
      </c>
      <c r="C1838">
        <v>41511</v>
      </c>
      <c r="D1838">
        <v>0</v>
      </c>
      <c r="F1838">
        <v>0</v>
      </c>
    </row>
    <row r="1839" spans="1:6" x14ac:dyDescent="0.25">
      <c r="A1839" t="s">
        <v>1591</v>
      </c>
      <c r="B1839" t="s">
        <v>1622</v>
      </c>
      <c r="C1839">
        <v>41512</v>
      </c>
      <c r="D1839">
        <v>0</v>
      </c>
      <c r="F1839">
        <v>0</v>
      </c>
    </row>
    <row r="1840" spans="1:6" x14ac:dyDescent="0.25">
      <c r="A1840" t="s">
        <v>1593</v>
      </c>
      <c r="B1840" t="s">
        <v>1623</v>
      </c>
      <c r="C1840">
        <v>41513</v>
      </c>
      <c r="D1840">
        <v>0</v>
      </c>
      <c r="F1840">
        <v>0</v>
      </c>
    </row>
    <row r="1841" spans="1:6" x14ac:dyDescent="0.25">
      <c r="A1841" t="s">
        <v>1595</v>
      </c>
      <c r="B1841" t="s">
        <v>1624</v>
      </c>
      <c r="C1841">
        <v>41514</v>
      </c>
      <c r="D1841">
        <v>0</v>
      </c>
      <c r="F1841">
        <v>0</v>
      </c>
    </row>
    <row r="1842" spans="1:6" x14ac:dyDescent="0.25">
      <c r="A1842" t="s">
        <v>1597</v>
      </c>
      <c r="B1842" t="s">
        <v>1625</v>
      </c>
      <c r="C1842">
        <v>41515</v>
      </c>
      <c r="D1842">
        <v>0</v>
      </c>
      <c r="F1842">
        <v>0</v>
      </c>
    </row>
    <row r="1843" spans="1:6" x14ac:dyDescent="0.25">
      <c r="A1843" t="s">
        <v>1599</v>
      </c>
      <c r="B1843" t="s">
        <v>1626</v>
      </c>
      <c r="C1843">
        <v>41516</v>
      </c>
      <c r="D1843">
        <v>0</v>
      </c>
      <c r="F1843">
        <v>0</v>
      </c>
    </row>
    <row r="1844" spans="1:6" x14ac:dyDescent="0.25">
      <c r="A1844" t="s">
        <v>1601</v>
      </c>
      <c r="B1844" t="s">
        <v>1627</v>
      </c>
      <c r="C1844">
        <v>41517</v>
      </c>
      <c r="D1844">
        <v>0</v>
      </c>
      <c r="F1844">
        <v>0</v>
      </c>
    </row>
    <row r="1845" spans="1:6" x14ac:dyDescent="0.25">
      <c r="A1845" t="s">
        <v>1603</v>
      </c>
      <c r="B1845" t="s">
        <v>1596</v>
      </c>
      <c r="C1845">
        <v>41518</v>
      </c>
      <c r="D1845">
        <v>0</v>
      </c>
      <c r="F1845">
        <v>0</v>
      </c>
    </row>
    <row r="1846" spans="1:6" x14ac:dyDescent="0.25">
      <c r="A1846" t="s">
        <v>1605</v>
      </c>
      <c r="B1846" t="s">
        <v>1598</v>
      </c>
      <c r="C1846">
        <v>41519</v>
      </c>
      <c r="D1846">
        <v>0</v>
      </c>
      <c r="F1846">
        <v>0</v>
      </c>
    </row>
    <row r="1847" spans="1:6" x14ac:dyDescent="0.25">
      <c r="A1847" t="s">
        <v>1607</v>
      </c>
      <c r="B1847" t="s">
        <v>1602</v>
      </c>
      <c r="C1847">
        <v>41520</v>
      </c>
      <c r="D1847">
        <v>0</v>
      </c>
      <c r="F1847">
        <v>0</v>
      </c>
    </row>
    <row r="1848" spans="1:6" x14ac:dyDescent="0.25">
      <c r="B1848" t="s">
        <v>2448</v>
      </c>
      <c r="D1848">
        <v>0</v>
      </c>
      <c r="F1848">
        <v>0</v>
      </c>
    </row>
    <row r="1849" spans="1:6" x14ac:dyDescent="0.25">
      <c r="B1849" t="s">
        <v>2449</v>
      </c>
    </row>
    <row r="1850" spans="1:6" x14ac:dyDescent="0.25">
      <c r="A1850" t="s">
        <v>2</v>
      </c>
      <c r="B1850" t="s">
        <v>1627</v>
      </c>
      <c r="C1850">
        <v>41601</v>
      </c>
      <c r="D1850">
        <v>0</v>
      </c>
      <c r="F1850">
        <v>0</v>
      </c>
    </row>
    <row r="1851" spans="1:6" x14ac:dyDescent="0.25">
      <c r="A1851" t="s">
        <v>15</v>
      </c>
      <c r="B1851" t="s">
        <v>1625</v>
      </c>
      <c r="C1851">
        <v>41602</v>
      </c>
      <c r="D1851">
        <v>0</v>
      </c>
      <c r="F1851">
        <v>0</v>
      </c>
    </row>
    <row r="1852" spans="1:6" x14ac:dyDescent="0.25">
      <c r="A1852" t="s">
        <v>16</v>
      </c>
      <c r="B1852" t="s">
        <v>1626</v>
      </c>
      <c r="C1852">
        <v>41603</v>
      </c>
      <c r="D1852">
        <v>0</v>
      </c>
      <c r="F1852">
        <v>0</v>
      </c>
    </row>
    <row r="1853" spans="1:6" x14ac:dyDescent="0.25">
      <c r="B1853" t="s">
        <v>2450</v>
      </c>
      <c r="D1853">
        <v>0</v>
      </c>
      <c r="F1853">
        <v>0</v>
      </c>
    </row>
    <row r="1854" spans="1:6" x14ac:dyDescent="0.25">
      <c r="B1854" t="s">
        <v>1653</v>
      </c>
      <c r="D1854">
        <v>648770</v>
      </c>
      <c r="E1854">
        <v>0</v>
      </c>
      <c r="F1854">
        <v>648770</v>
      </c>
    </row>
    <row r="1855" spans="1:6" x14ac:dyDescent="0.25">
      <c r="B1855" t="s">
        <v>2024</v>
      </c>
    </row>
    <row r="1856" spans="1:6" x14ac:dyDescent="0.25">
      <c r="B1856" t="s">
        <v>2025</v>
      </c>
    </row>
    <row r="1857" spans="1:6" x14ac:dyDescent="0.25">
      <c r="A1857" t="s">
        <v>2</v>
      </c>
      <c r="B1857" t="s">
        <v>1634</v>
      </c>
      <c r="C1857">
        <v>42101</v>
      </c>
      <c r="D1857">
        <v>0</v>
      </c>
      <c r="F1857">
        <v>0</v>
      </c>
    </row>
    <row r="1858" spans="1:6" x14ac:dyDescent="0.25">
      <c r="A1858" t="s">
        <v>15</v>
      </c>
      <c r="B1858" t="s">
        <v>1635</v>
      </c>
      <c r="C1858">
        <v>42102</v>
      </c>
      <c r="D1858">
        <v>0</v>
      </c>
      <c r="F1858">
        <v>0</v>
      </c>
    </row>
    <row r="1859" spans="1:6" x14ac:dyDescent="0.25">
      <c r="A1859" t="s">
        <v>16</v>
      </c>
      <c r="B1859" t="s">
        <v>1636</v>
      </c>
      <c r="C1859">
        <v>42103</v>
      </c>
      <c r="D1859">
        <v>0</v>
      </c>
      <c r="F1859">
        <v>0</v>
      </c>
    </row>
    <row r="1860" spans="1:6" x14ac:dyDescent="0.25">
      <c r="A1860" t="s">
        <v>25</v>
      </c>
      <c r="B1860" t="s">
        <v>1637</v>
      </c>
      <c r="C1860">
        <v>42104</v>
      </c>
      <c r="D1860">
        <v>0</v>
      </c>
      <c r="F1860">
        <v>0</v>
      </c>
    </row>
    <row r="1861" spans="1:6" x14ac:dyDescent="0.25">
      <c r="A1861" t="s">
        <v>26</v>
      </c>
      <c r="B1861" t="s">
        <v>1638</v>
      </c>
      <c r="C1861">
        <v>42105</v>
      </c>
      <c r="D1861">
        <v>0</v>
      </c>
      <c r="F1861">
        <v>0</v>
      </c>
    </row>
    <row r="1862" spans="1:6" x14ac:dyDescent="0.25">
      <c r="A1862" t="s">
        <v>27</v>
      </c>
      <c r="B1862" t="s">
        <v>1639</v>
      </c>
      <c r="C1862">
        <v>42106</v>
      </c>
      <c r="D1862">
        <v>0</v>
      </c>
      <c r="F1862">
        <v>0</v>
      </c>
    </row>
    <row r="1863" spans="1:6" x14ac:dyDescent="0.25">
      <c r="A1863" t="s">
        <v>531</v>
      </c>
      <c r="B1863" t="s">
        <v>1640</v>
      </c>
      <c r="C1863">
        <v>42107</v>
      </c>
      <c r="D1863">
        <v>0</v>
      </c>
      <c r="F1863">
        <v>0</v>
      </c>
    </row>
    <row r="1864" spans="1:6" x14ac:dyDescent="0.25">
      <c r="A1864" t="s">
        <v>1583</v>
      </c>
      <c r="B1864" t="s">
        <v>1641</v>
      </c>
      <c r="C1864">
        <v>42108</v>
      </c>
      <c r="D1864">
        <v>0</v>
      </c>
      <c r="F1864">
        <v>0</v>
      </c>
    </row>
    <row r="1865" spans="1:6" x14ac:dyDescent="0.25">
      <c r="B1865" t="s">
        <v>2026</v>
      </c>
      <c r="D1865">
        <v>0</v>
      </c>
      <c r="F1865">
        <v>0</v>
      </c>
    </row>
    <row r="1866" spans="1:6" x14ac:dyDescent="0.25">
      <c r="B1866" t="s">
        <v>2451</v>
      </c>
    </row>
    <row r="1867" spans="1:6" x14ac:dyDescent="0.25">
      <c r="A1867" t="s">
        <v>2</v>
      </c>
      <c r="B1867" t="s">
        <v>1634</v>
      </c>
      <c r="C1867">
        <v>42201</v>
      </c>
      <c r="D1867">
        <v>0</v>
      </c>
      <c r="F1867">
        <v>0</v>
      </c>
    </row>
    <row r="1868" spans="1:6" x14ac:dyDescent="0.25">
      <c r="A1868" t="s">
        <v>15</v>
      </c>
      <c r="B1868" t="s">
        <v>1635</v>
      </c>
      <c r="C1868">
        <v>42202</v>
      </c>
      <c r="D1868">
        <v>0</v>
      </c>
      <c r="F1868">
        <v>0</v>
      </c>
    </row>
    <row r="1869" spans="1:6" x14ac:dyDescent="0.25">
      <c r="A1869" t="s">
        <v>16</v>
      </c>
      <c r="B1869" t="s">
        <v>1636</v>
      </c>
      <c r="C1869">
        <v>42203</v>
      </c>
      <c r="D1869">
        <v>0</v>
      </c>
      <c r="F1869">
        <v>0</v>
      </c>
    </row>
    <row r="1870" spans="1:6" x14ac:dyDescent="0.25">
      <c r="A1870" t="s">
        <v>25</v>
      </c>
      <c r="B1870" t="s">
        <v>1637</v>
      </c>
      <c r="C1870">
        <v>42204</v>
      </c>
      <c r="D1870">
        <v>0</v>
      </c>
      <c r="F1870">
        <v>0</v>
      </c>
    </row>
    <row r="1871" spans="1:6" x14ac:dyDescent="0.25">
      <c r="A1871" t="s">
        <v>26</v>
      </c>
      <c r="B1871" t="s">
        <v>1638</v>
      </c>
      <c r="C1871">
        <v>42205</v>
      </c>
      <c r="D1871">
        <v>0</v>
      </c>
      <c r="F1871">
        <v>0</v>
      </c>
    </row>
    <row r="1872" spans="1:6" x14ac:dyDescent="0.25">
      <c r="A1872" t="s">
        <v>27</v>
      </c>
      <c r="B1872" t="s">
        <v>1639</v>
      </c>
      <c r="C1872">
        <v>42206</v>
      </c>
      <c r="D1872">
        <v>0</v>
      </c>
      <c r="F1872">
        <v>0</v>
      </c>
    </row>
    <row r="1873" spans="1:6" x14ac:dyDescent="0.25">
      <c r="A1873" t="s">
        <v>531</v>
      </c>
      <c r="B1873" t="s">
        <v>1640</v>
      </c>
      <c r="C1873">
        <v>42207</v>
      </c>
      <c r="D1873">
        <v>0</v>
      </c>
      <c r="F1873">
        <v>0</v>
      </c>
    </row>
    <row r="1874" spans="1:6" x14ac:dyDescent="0.25">
      <c r="A1874" t="s">
        <v>1583</v>
      </c>
      <c r="B1874" t="s">
        <v>1641</v>
      </c>
      <c r="C1874">
        <v>42208</v>
      </c>
      <c r="D1874">
        <v>0</v>
      </c>
      <c r="F1874">
        <v>0</v>
      </c>
    </row>
    <row r="1875" spans="1:6" x14ac:dyDescent="0.25">
      <c r="B1875" t="s">
        <v>2028</v>
      </c>
      <c r="D1875">
        <v>0</v>
      </c>
      <c r="F1875">
        <v>0</v>
      </c>
    </row>
    <row r="1876" spans="1:6" x14ac:dyDescent="0.25">
      <c r="B1876" t="s">
        <v>2452</v>
      </c>
    </row>
    <row r="1877" spans="1:6" x14ac:dyDescent="0.25">
      <c r="A1877" t="s">
        <v>2</v>
      </c>
      <c r="B1877" t="s">
        <v>1634</v>
      </c>
      <c r="C1877">
        <v>42301</v>
      </c>
      <c r="D1877">
        <v>733770</v>
      </c>
      <c r="F1877">
        <v>733770</v>
      </c>
    </row>
    <row r="1878" spans="1:6" x14ac:dyDescent="0.25">
      <c r="A1878" t="s">
        <v>15</v>
      </c>
      <c r="B1878" t="s">
        <v>1635</v>
      </c>
      <c r="C1878">
        <v>42302</v>
      </c>
      <c r="D1878">
        <v>0</v>
      </c>
      <c r="F1878">
        <v>0</v>
      </c>
    </row>
    <row r="1879" spans="1:6" x14ac:dyDescent="0.25">
      <c r="A1879" t="s">
        <v>16</v>
      </c>
      <c r="B1879" t="s">
        <v>1636</v>
      </c>
      <c r="C1879">
        <v>42303</v>
      </c>
      <c r="D1879">
        <v>0</v>
      </c>
      <c r="F1879">
        <v>0</v>
      </c>
    </row>
    <row r="1880" spans="1:6" x14ac:dyDescent="0.25">
      <c r="A1880" t="s">
        <v>25</v>
      </c>
      <c r="B1880" t="s">
        <v>1637</v>
      </c>
      <c r="C1880">
        <v>42304</v>
      </c>
      <c r="D1880">
        <v>3963</v>
      </c>
      <c r="F1880">
        <v>3963</v>
      </c>
    </row>
    <row r="1881" spans="1:6" x14ac:dyDescent="0.25">
      <c r="A1881" t="s">
        <v>26</v>
      </c>
      <c r="B1881" t="s">
        <v>1638</v>
      </c>
      <c r="C1881">
        <v>42305</v>
      </c>
      <c r="D1881">
        <v>27628</v>
      </c>
      <c r="F1881">
        <v>27628</v>
      </c>
    </row>
    <row r="1882" spans="1:6" x14ac:dyDescent="0.25">
      <c r="A1882" t="s">
        <v>27</v>
      </c>
      <c r="B1882" t="s">
        <v>1639</v>
      </c>
      <c r="C1882">
        <v>42306</v>
      </c>
      <c r="D1882">
        <v>0</v>
      </c>
      <c r="F1882">
        <v>0</v>
      </c>
    </row>
    <row r="1883" spans="1:6" x14ac:dyDescent="0.25">
      <c r="A1883" t="s">
        <v>531</v>
      </c>
      <c r="B1883" t="s">
        <v>1640</v>
      </c>
      <c r="C1883">
        <v>42307</v>
      </c>
      <c r="D1883">
        <v>0</v>
      </c>
      <c r="F1883">
        <v>0</v>
      </c>
    </row>
    <row r="1884" spans="1:6" x14ac:dyDescent="0.25">
      <c r="A1884" t="s">
        <v>1583</v>
      </c>
      <c r="B1884" t="s">
        <v>1641</v>
      </c>
      <c r="C1884">
        <v>42308</v>
      </c>
      <c r="D1884">
        <v>14483</v>
      </c>
      <c r="F1884">
        <v>14483</v>
      </c>
    </row>
    <row r="1885" spans="1:6" x14ac:dyDescent="0.25">
      <c r="B1885" t="s">
        <v>2030</v>
      </c>
      <c r="D1885">
        <v>779844</v>
      </c>
      <c r="F1885">
        <v>779844</v>
      </c>
    </row>
    <row r="1886" spans="1:6" x14ac:dyDescent="0.25">
      <c r="B1886" t="s">
        <v>2453</v>
      </c>
    </row>
    <row r="1887" spans="1:6" x14ac:dyDescent="0.25">
      <c r="A1887" t="s">
        <v>2</v>
      </c>
      <c r="B1887" t="s">
        <v>1634</v>
      </c>
      <c r="C1887">
        <v>42401</v>
      </c>
      <c r="D1887">
        <v>0</v>
      </c>
      <c r="F1887">
        <v>0</v>
      </c>
    </row>
    <row r="1888" spans="1:6" x14ac:dyDescent="0.25">
      <c r="A1888" t="s">
        <v>15</v>
      </c>
      <c r="B1888" t="s">
        <v>1635</v>
      </c>
      <c r="C1888">
        <v>42402</v>
      </c>
      <c r="D1888">
        <v>0</v>
      </c>
      <c r="F1888">
        <v>0</v>
      </c>
    </row>
    <row r="1889" spans="1:6" x14ac:dyDescent="0.25">
      <c r="A1889" t="s">
        <v>16</v>
      </c>
      <c r="B1889" t="s">
        <v>1636</v>
      </c>
      <c r="C1889">
        <v>42403</v>
      </c>
      <c r="D1889">
        <v>0</v>
      </c>
      <c r="F1889">
        <v>0</v>
      </c>
    </row>
    <row r="1890" spans="1:6" x14ac:dyDescent="0.25">
      <c r="A1890" t="s">
        <v>25</v>
      </c>
      <c r="B1890" t="s">
        <v>1637</v>
      </c>
      <c r="C1890">
        <v>42404</v>
      </c>
      <c r="D1890">
        <v>0</v>
      </c>
      <c r="F1890">
        <v>0</v>
      </c>
    </row>
    <row r="1891" spans="1:6" x14ac:dyDescent="0.25">
      <c r="A1891" t="s">
        <v>26</v>
      </c>
      <c r="B1891" t="s">
        <v>1638</v>
      </c>
      <c r="C1891">
        <v>42405</v>
      </c>
      <c r="D1891">
        <v>4</v>
      </c>
      <c r="F1891">
        <v>4</v>
      </c>
    </row>
    <row r="1892" spans="1:6" x14ac:dyDescent="0.25">
      <c r="A1892" t="s">
        <v>27</v>
      </c>
      <c r="B1892" t="s">
        <v>1639</v>
      </c>
      <c r="C1892">
        <v>42406</v>
      </c>
      <c r="D1892">
        <v>0</v>
      </c>
      <c r="F1892">
        <v>0</v>
      </c>
    </row>
    <row r="1893" spans="1:6" x14ac:dyDescent="0.25">
      <c r="A1893" t="s">
        <v>531</v>
      </c>
      <c r="B1893" t="s">
        <v>1640</v>
      </c>
      <c r="C1893">
        <v>42407</v>
      </c>
      <c r="D1893">
        <v>0</v>
      </c>
      <c r="F1893">
        <v>0</v>
      </c>
    </row>
    <row r="1894" spans="1:6" x14ac:dyDescent="0.25">
      <c r="A1894" t="s">
        <v>1583</v>
      </c>
      <c r="B1894" t="s">
        <v>1641</v>
      </c>
      <c r="C1894">
        <v>42408</v>
      </c>
      <c r="D1894">
        <v>0</v>
      </c>
      <c r="F1894">
        <v>0</v>
      </c>
    </row>
    <row r="1895" spans="1:6" x14ac:dyDescent="0.25">
      <c r="B1895" t="s">
        <v>2032</v>
      </c>
      <c r="D1895">
        <v>4</v>
      </c>
      <c r="F1895">
        <v>4</v>
      </c>
    </row>
    <row r="1896" spans="1:6" x14ac:dyDescent="0.25">
      <c r="B1896" t="s">
        <v>2033</v>
      </c>
    </row>
    <row r="1897" spans="1:6" x14ac:dyDescent="0.25">
      <c r="A1897" t="s">
        <v>2</v>
      </c>
      <c r="B1897" t="s">
        <v>1648</v>
      </c>
      <c r="C1897">
        <v>42501</v>
      </c>
      <c r="D1897">
        <v>0</v>
      </c>
      <c r="F1897">
        <v>0</v>
      </c>
    </row>
    <row r="1898" spans="1:6" x14ac:dyDescent="0.25">
      <c r="A1898" t="s">
        <v>15</v>
      </c>
      <c r="B1898" t="s">
        <v>1649</v>
      </c>
      <c r="C1898">
        <v>42502</v>
      </c>
      <c r="D1898">
        <v>0</v>
      </c>
      <c r="F1898">
        <v>0</v>
      </c>
    </row>
    <row r="1899" spans="1:6" x14ac:dyDescent="0.25">
      <c r="A1899" t="s">
        <v>16</v>
      </c>
      <c r="B1899" t="s">
        <v>1637</v>
      </c>
      <c r="C1899">
        <v>42503</v>
      </c>
      <c r="D1899">
        <v>0</v>
      </c>
      <c r="F1899">
        <v>0</v>
      </c>
    </row>
    <row r="1900" spans="1:6" x14ac:dyDescent="0.25">
      <c r="A1900" t="s">
        <v>25</v>
      </c>
      <c r="B1900" t="s">
        <v>1638</v>
      </c>
      <c r="C1900">
        <v>42504</v>
      </c>
      <c r="D1900">
        <v>6906</v>
      </c>
      <c r="F1900">
        <v>6906</v>
      </c>
    </row>
    <row r="1901" spans="1:6" x14ac:dyDescent="0.25">
      <c r="A1901" t="s">
        <v>26</v>
      </c>
      <c r="B1901" t="s">
        <v>1650</v>
      </c>
      <c r="C1901">
        <v>42505</v>
      </c>
      <c r="D1901">
        <v>0</v>
      </c>
      <c r="F1901">
        <v>0</v>
      </c>
    </row>
    <row r="1902" spans="1:6" x14ac:dyDescent="0.25">
      <c r="A1902" t="s">
        <v>27</v>
      </c>
      <c r="B1902" t="s">
        <v>1651</v>
      </c>
      <c r="C1902">
        <v>42506</v>
      </c>
      <c r="D1902">
        <v>0</v>
      </c>
      <c r="F1902">
        <v>0</v>
      </c>
    </row>
    <row r="1903" spans="1:6" x14ac:dyDescent="0.25">
      <c r="A1903" t="s">
        <v>531</v>
      </c>
      <c r="B1903" t="s">
        <v>1640</v>
      </c>
      <c r="C1903">
        <v>42507</v>
      </c>
      <c r="D1903">
        <v>0</v>
      </c>
      <c r="F1903">
        <v>0</v>
      </c>
    </row>
    <row r="1904" spans="1:6" x14ac:dyDescent="0.25">
      <c r="A1904" t="s">
        <v>1583</v>
      </c>
      <c r="B1904" t="s">
        <v>1641</v>
      </c>
      <c r="C1904">
        <v>42508</v>
      </c>
      <c r="D1904">
        <v>0</v>
      </c>
      <c r="F1904">
        <v>0</v>
      </c>
    </row>
    <row r="1905" spans="1:6" x14ac:dyDescent="0.25">
      <c r="B1905" t="s">
        <v>2034</v>
      </c>
      <c r="D1905">
        <v>6906</v>
      </c>
      <c r="F1905">
        <v>6906</v>
      </c>
    </row>
    <row r="1906" spans="1:6" x14ac:dyDescent="0.25">
      <c r="B1906" t="s">
        <v>2454</v>
      </c>
    </row>
    <row r="1907" spans="1:6" x14ac:dyDescent="0.25">
      <c r="A1907" t="s">
        <v>2</v>
      </c>
      <c r="B1907" t="s">
        <v>1648</v>
      </c>
      <c r="C1907">
        <v>42601</v>
      </c>
      <c r="D1907">
        <v>0</v>
      </c>
      <c r="F1907">
        <v>0</v>
      </c>
    </row>
    <row r="1908" spans="1:6" x14ac:dyDescent="0.25">
      <c r="A1908" t="s">
        <v>15</v>
      </c>
      <c r="B1908" t="s">
        <v>1649</v>
      </c>
      <c r="C1908">
        <v>42602</v>
      </c>
      <c r="D1908">
        <v>0</v>
      </c>
      <c r="F1908">
        <v>0</v>
      </c>
    </row>
    <row r="1909" spans="1:6" x14ac:dyDescent="0.25">
      <c r="A1909" t="s">
        <v>16</v>
      </c>
      <c r="B1909" t="s">
        <v>1637</v>
      </c>
      <c r="C1909">
        <v>42603</v>
      </c>
      <c r="D1909">
        <v>0</v>
      </c>
      <c r="F1909">
        <v>0</v>
      </c>
    </row>
    <row r="1910" spans="1:6" x14ac:dyDescent="0.25">
      <c r="A1910" t="s">
        <v>25</v>
      </c>
      <c r="B1910" t="s">
        <v>1638</v>
      </c>
      <c r="C1910">
        <v>42604</v>
      </c>
      <c r="D1910">
        <v>0</v>
      </c>
      <c r="F1910">
        <v>0</v>
      </c>
    </row>
    <row r="1911" spans="1:6" x14ac:dyDescent="0.25">
      <c r="A1911" t="s">
        <v>26</v>
      </c>
      <c r="B1911" t="s">
        <v>1650</v>
      </c>
      <c r="C1911">
        <v>42605</v>
      </c>
      <c r="D1911">
        <v>0</v>
      </c>
      <c r="F1911">
        <v>0</v>
      </c>
    </row>
    <row r="1912" spans="1:6" x14ac:dyDescent="0.25">
      <c r="A1912" t="s">
        <v>27</v>
      </c>
      <c r="B1912" t="s">
        <v>1651</v>
      </c>
      <c r="C1912">
        <v>42606</v>
      </c>
      <c r="D1912">
        <v>0</v>
      </c>
      <c r="F1912">
        <v>0</v>
      </c>
    </row>
    <row r="1913" spans="1:6" x14ac:dyDescent="0.25">
      <c r="A1913" t="s">
        <v>531</v>
      </c>
      <c r="B1913" t="s">
        <v>1640</v>
      </c>
      <c r="C1913">
        <v>42607</v>
      </c>
      <c r="D1913">
        <v>0</v>
      </c>
      <c r="F1913">
        <v>0</v>
      </c>
    </row>
    <row r="1914" spans="1:6" x14ac:dyDescent="0.25">
      <c r="A1914" t="s">
        <v>1583</v>
      </c>
      <c r="B1914" t="s">
        <v>1641</v>
      </c>
      <c r="C1914">
        <v>42608</v>
      </c>
      <c r="D1914">
        <v>0</v>
      </c>
      <c r="F1914">
        <v>0</v>
      </c>
    </row>
    <row r="1915" spans="1:6" x14ac:dyDescent="0.25">
      <c r="B1915" t="s">
        <v>2455</v>
      </c>
      <c r="D1915">
        <v>0</v>
      </c>
      <c r="F1915">
        <v>0</v>
      </c>
    </row>
    <row r="1916" spans="1:6" x14ac:dyDescent="0.25">
      <c r="B1916" t="s">
        <v>1660</v>
      </c>
      <c r="D1916">
        <v>786754</v>
      </c>
      <c r="F1916">
        <v>786754</v>
      </c>
    </row>
    <row r="1917" spans="1:6" x14ac:dyDescent="0.25">
      <c r="B1917" t="s">
        <v>2035</v>
      </c>
    </row>
    <row r="1918" spans="1:6" x14ac:dyDescent="0.25">
      <c r="B1918" t="s">
        <v>2036</v>
      </c>
    </row>
    <row r="1919" spans="1:6" x14ac:dyDescent="0.25">
      <c r="A1919" t="s">
        <v>2</v>
      </c>
      <c r="B1919" t="s">
        <v>1637</v>
      </c>
      <c r="C1919">
        <v>43101</v>
      </c>
      <c r="D1919">
        <v>1832</v>
      </c>
      <c r="F1919">
        <v>1832</v>
      </c>
    </row>
    <row r="1920" spans="1:6" x14ac:dyDescent="0.25">
      <c r="A1920" t="s">
        <v>15</v>
      </c>
      <c r="B1920" t="s">
        <v>1638</v>
      </c>
      <c r="C1920">
        <v>43102</v>
      </c>
      <c r="D1920">
        <v>16656</v>
      </c>
      <c r="F1920">
        <v>16656</v>
      </c>
    </row>
    <row r="1921" spans="1:6" x14ac:dyDescent="0.25">
      <c r="A1921" t="s">
        <v>16</v>
      </c>
      <c r="B1921" t="s">
        <v>1640</v>
      </c>
      <c r="C1921">
        <v>43103</v>
      </c>
      <c r="D1921">
        <v>0</v>
      </c>
      <c r="F1921">
        <v>0</v>
      </c>
    </row>
    <row r="1922" spans="1:6" x14ac:dyDescent="0.25">
      <c r="A1922" t="s">
        <v>25</v>
      </c>
      <c r="B1922" t="s">
        <v>1641</v>
      </c>
      <c r="C1922">
        <v>43104</v>
      </c>
      <c r="D1922">
        <v>0</v>
      </c>
      <c r="F1922">
        <v>0</v>
      </c>
    </row>
    <row r="1923" spans="1:6" x14ac:dyDescent="0.25">
      <c r="B1923" t="s">
        <v>2037</v>
      </c>
      <c r="D1923">
        <v>18488</v>
      </c>
      <c r="F1923">
        <v>18488</v>
      </c>
    </row>
    <row r="1924" spans="1:6" x14ac:dyDescent="0.25">
      <c r="B1924" t="s">
        <v>2277</v>
      </c>
    </row>
    <row r="1925" spans="1:6" x14ac:dyDescent="0.25">
      <c r="A1925" t="s">
        <v>2</v>
      </c>
      <c r="B1925" t="s">
        <v>1637</v>
      </c>
      <c r="C1925">
        <v>43201</v>
      </c>
      <c r="D1925">
        <v>38245</v>
      </c>
      <c r="F1925">
        <v>38245</v>
      </c>
    </row>
    <row r="1926" spans="1:6" x14ac:dyDescent="0.25">
      <c r="A1926" t="s">
        <v>15</v>
      </c>
      <c r="B1926" t="s">
        <v>1638</v>
      </c>
      <c r="C1926">
        <v>43202</v>
      </c>
      <c r="D1926">
        <v>278027</v>
      </c>
      <c r="F1926">
        <v>278027</v>
      </c>
    </row>
    <row r="1927" spans="1:6" x14ac:dyDescent="0.25">
      <c r="A1927" t="s">
        <v>16</v>
      </c>
      <c r="B1927" t="s">
        <v>1640</v>
      </c>
      <c r="C1927">
        <v>43203</v>
      </c>
      <c r="D1927">
        <v>0</v>
      </c>
      <c r="F1927">
        <v>0</v>
      </c>
    </row>
    <row r="1928" spans="1:6" x14ac:dyDescent="0.25">
      <c r="A1928" t="s">
        <v>25</v>
      </c>
      <c r="B1928" t="s">
        <v>1641</v>
      </c>
      <c r="C1928">
        <v>43204</v>
      </c>
      <c r="D1928">
        <v>0</v>
      </c>
      <c r="F1928">
        <v>0</v>
      </c>
    </row>
    <row r="1929" spans="1:6" x14ac:dyDescent="0.25">
      <c r="B1929" t="s">
        <v>2039</v>
      </c>
      <c r="D1929">
        <v>316272</v>
      </c>
      <c r="F1929">
        <v>316272</v>
      </c>
    </row>
    <row r="1930" spans="1:6" x14ac:dyDescent="0.25">
      <c r="B1930" t="s">
        <v>2456</v>
      </c>
    </row>
    <row r="1931" spans="1:6" x14ac:dyDescent="0.25">
      <c r="A1931" t="s">
        <v>2</v>
      </c>
      <c r="B1931" t="s">
        <v>1637</v>
      </c>
      <c r="C1931">
        <v>43301</v>
      </c>
      <c r="D1931">
        <v>0</v>
      </c>
      <c r="F1931">
        <v>0</v>
      </c>
    </row>
    <row r="1932" spans="1:6" x14ac:dyDescent="0.25">
      <c r="A1932" t="s">
        <v>15</v>
      </c>
      <c r="B1932" t="s">
        <v>1638</v>
      </c>
      <c r="C1932">
        <v>43302</v>
      </c>
      <c r="D1932">
        <v>0</v>
      </c>
      <c r="F1932">
        <v>0</v>
      </c>
    </row>
    <row r="1933" spans="1:6" x14ac:dyDescent="0.25">
      <c r="A1933" t="s">
        <v>16</v>
      </c>
      <c r="B1933" t="s">
        <v>1640</v>
      </c>
      <c r="C1933">
        <v>43303</v>
      </c>
      <c r="D1933">
        <v>0</v>
      </c>
      <c r="F1933">
        <v>0</v>
      </c>
    </row>
    <row r="1934" spans="1:6" x14ac:dyDescent="0.25">
      <c r="A1934" t="s">
        <v>25</v>
      </c>
      <c r="B1934" t="s">
        <v>1641</v>
      </c>
      <c r="C1934">
        <v>43304</v>
      </c>
      <c r="D1934">
        <v>0</v>
      </c>
      <c r="F1934">
        <v>0</v>
      </c>
    </row>
    <row r="1935" spans="1:6" x14ac:dyDescent="0.25">
      <c r="B1935" t="s">
        <v>2041</v>
      </c>
      <c r="D1935">
        <v>0</v>
      </c>
      <c r="F1935">
        <v>0</v>
      </c>
    </row>
    <row r="1936" spans="1:6" x14ac:dyDescent="0.25">
      <c r="B1936" t="s">
        <v>2457</v>
      </c>
    </row>
    <row r="1937" spans="1:6" x14ac:dyDescent="0.25">
      <c r="A1937" t="s">
        <v>2</v>
      </c>
      <c r="B1937" t="s">
        <v>1637</v>
      </c>
      <c r="C1937">
        <v>43501</v>
      </c>
      <c r="D1937">
        <v>0</v>
      </c>
      <c r="F1937">
        <v>0</v>
      </c>
    </row>
    <row r="1938" spans="1:6" x14ac:dyDescent="0.25">
      <c r="A1938" t="s">
        <v>15</v>
      </c>
      <c r="B1938" t="s">
        <v>1638</v>
      </c>
      <c r="C1938">
        <v>43502</v>
      </c>
      <c r="D1938">
        <v>0</v>
      </c>
      <c r="F1938">
        <v>0</v>
      </c>
    </row>
    <row r="1939" spans="1:6" x14ac:dyDescent="0.25">
      <c r="A1939" t="s">
        <v>16</v>
      </c>
      <c r="B1939" t="s">
        <v>1640</v>
      </c>
      <c r="C1939">
        <v>43503</v>
      </c>
      <c r="D1939">
        <v>0</v>
      </c>
      <c r="F1939">
        <v>0</v>
      </c>
    </row>
    <row r="1940" spans="1:6" x14ac:dyDescent="0.25">
      <c r="A1940" t="s">
        <v>25</v>
      </c>
      <c r="B1940" t="s">
        <v>1641</v>
      </c>
      <c r="C1940">
        <v>43504</v>
      </c>
      <c r="D1940">
        <v>0</v>
      </c>
      <c r="F1940">
        <v>0</v>
      </c>
    </row>
    <row r="1941" spans="1:6" x14ac:dyDescent="0.25">
      <c r="B1941" t="s">
        <v>2045</v>
      </c>
      <c r="D1941">
        <v>0</v>
      </c>
      <c r="F1941">
        <v>0</v>
      </c>
    </row>
    <row r="1942" spans="1:6" x14ac:dyDescent="0.25">
      <c r="B1942" t="s">
        <v>1670</v>
      </c>
      <c r="D1942">
        <v>334760</v>
      </c>
      <c r="F1942">
        <v>334760</v>
      </c>
    </row>
    <row r="1943" spans="1:6" x14ac:dyDescent="0.25">
      <c r="B1943" t="s">
        <v>2046</v>
      </c>
    </row>
    <row r="1944" spans="1:6" x14ac:dyDescent="0.25">
      <c r="B1944" t="s">
        <v>1672</v>
      </c>
    </row>
    <row r="1945" spans="1:6" x14ac:dyDescent="0.25">
      <c r="A1945" t="s">
        <v>2</v>
      </c>
      <c r="B1945" t="s">
        <v>1673</v>
      </c>
      <c r="C1945">
        <v>44101</v>
      </c>
      <c r="D1945">
        <v>1934</v>
      </c>
      <c r="E1945">
        <v>0</v>
      </c>
      <c r="F1945">
        <v>1934</v>
      </c>
    </row>
    <row r="1946" spans="1:6" x14ac:dyDescent="0.25">
      <c r="A1946" t="s">
        <v>15</v>
      </c>
      <c r="B1946" t="s">
        <v>1674</v>
      </c>
      <c r="C1946">
        <v>44102</v>
      </c>
      <c r="D1946">
        <v>626</v>
      </c>
      <c r="E1946">
        <v>0</v>
      </c>
      <c r="F1946">
        <v>626</v>
      </c>
    </row>
    <row r="1947" spans="1:6" x14ac:dyDescent="0.25">
      <c r="A1947" t="s">
        <v>16</v>
      </c>
      <c r="B1947" t="s">
        <v>1675</v>
      </c>
      <c r="C1947">
        <v>44103</v>
      </c>
      <c r="D1947">
        <v>88</v>
      </c>
      <c r="E1947">
        <v>0</v>
      </c>
      <c r="F1947">
        <v>88</v>
      </c>
    </row>
    <row r="1948" spans="1:6" x14ac:dyDescent="0.25">
      <c r="A1948" t="s">
        <v>25</v>
      </c>
      <c r="B1948" t="s">
        <v>1676</v>
      </c>
      <c r="C1948">
        <v>44104</v>
      </c>
      <c r="D1948">
        <v>0</v>
      </c>
      <c r="E1948">
        <v>0</v>
      </c>
      <c r="F1948">
        <v>0</v>
      </c>
    </row>
    <row r="1949" spans="1:6" x14ac:dyDescent="0.25">
      <c r="A1949" t="s">
        <v>26</v>
      </c>
      <c r="B1949" t="s">
        <v>1677</v>
      </c>
      <c r="C1949">
        <v>44105</v>
      </c>
      <c r="D1949">
        <v>0</v>
      </c>
      <c r="E1949">
        <v>0</v>
      </c>
      <c r="F1949">
        <v>0</v>
      </c>
    </row>
    <row r="1950" spans="1:6" x14ac:dyDescent="0.25">
      <c r="B1950" t="s">
        <v>2047</v>
      </c>
      <c r="D1950">
        <v>2648</v>
      </c>
      <c r="E1950">
        <v>0</v>
      </c>
      <c r="F1950">
        <v>2648</v>
      </c>
    </row>
    <row r="1951" spans="1:6" x14ac:dyDescent="0.25">
      <c r="B1951" t="s">
        <v>1781</v>
      </c>
    </row>
    <row r="1952" spans="1:6" x14ac:dyDescent="0.25">
      <c r="A1952" t="s">
        <v>2</v>
      </c>
      <c r="B1952" t="s">
        <v>1693</v>
      </c>
      <c r="C1952">
        <v>44201</v>
      </c>
      <c r="D1952">
        <v>0</v>
      </c>
      <c r="E1952">
        <v>0</v>
      </c>
      <c r="F1952">
        <v>0</v>
      </c>
    </row>
    <row r="1953" spans="1:6" x14ac:dyDescent="0.25">
      <c r="A1953" t="s">
        <v>15</v>
      </c>
      <c r="B1953" t="s">
        <v>1694</v>
      </c>
      <c r="C1953">
        <v>44202</v>
      </c>
      <c r="D1953">
        <v>0</v>
      </c>
      <c r="E1953">
        <v>0</v>
      </c>
      <c r="F1953">
        <v>0</v>
      </c>
    </row>
    <row r="1954" spans="1:6" x14ac:dyDescent="0.25">
      <c r="A1954" t="s">
        <v>16</v>
      </c>
      <c r="B1954" t="s">
        <v>1695</v>
      </c>
      <c r="C1954">
        <v>44203</v>
      </c>
      <c r="D1954">
        <v>0</v>
      </c>
      <c r="E1954">
        <v>0</v>
      </c>
      <c r="F1954">
        <v>0</v>
      </c>
    </row>
    <row r="1955" spans="1:6" x14ac:dyDescent="0.25">
      <c r="A1955" t="s">
        <v>25</v>
      </c>
      <c r="B1955" t="s">
        <v>1696</v>
      </c>
      <c r="C1955">
        <v>44204</v>
      </c>
      <c r="D1955">
        <v>0</v>
      </c>
      <c r="E1955">
        <v>0</v>
      </c>
      <c r="F1955">
        <v>0</v>
      </c>
    </row>
    <row r="1956" spans="1:6" x14ac:dyDescent="0.25">
      <c r="A1956" t="s">
        <v>26</v>
      </c>
      <c r="B1956" t="s">
        <v>1680</v>
      </c>
      <c r="C1956">
        <v>44205</v>
      </c>
      <c r="D1956">
        <v>0</v>
      </c>
      <c r="E1956">
        <v>0</v>
      </c>
      <c r="F1956">
        <v>0</v>
      </c>
    </row>
    <row r="1957" spans="1:6" x14ac:dyDescent="0.25">
      <c r="A1957" t="s">
        <v>27</v>
      </c>
      <c r="B1957" t="s">
        <v>1681</v>
      </c>
      <c r="C1957">
        <v>44206</v>
      </c>
      <c r="D1957">
        <v>0</v>
      </c>
      <c r="E1957">
        <v>0</v>
      </c>
      <c r="F1957">
        <v>0</v>
      </c>
    </row>
    <row r="1958" spans="1:6" x14ac:dyDescent="0.25">
      <c r="A1958" t="s">
        <v>531</v>
      </c>
      <c r="B1958" t="s">
        <v>1682</v>
      </c>
      <c r="C1958">
        <v>44207</v>
      </c>
      <c r="D1958">
        <v>0</v>
      </c>
      <c r="E1958">
        <v>0</v>
      </c>
      <c r="F1958">
        <v>0</v>
      </c>
    </row>
    <row r="1959" spans="1:6" x14ac:dyDescent="0.25">
      <c r="A1959" t="s">
        <v>1583</v>
      </c>
      <c r="B1959" t="s">
        <v>1683</v>
      </c>
      <c r="C1959">
        <v>44208</v>
      </c>
      <c r="D1959">
        <v>0</v>
      </c>
      <c r="E1959">
        <v>0</v>
      </c>
      <c r="F1959">
        <v>0</v>
      </c>
    </row>
    <row r="1960" spans="1:6" x14ac:dyDescent="0.25">
      <c r="A1960" t="s">
        <v>1585</v>
      </c>
      <c r="B1960" t="s">
        <v>1684</v>
      </c>
      <c r="C1960">
        <v>44209</v>
      </c>
      <c r="D1960">
        <v>110</v>
      </c>
      <c r="E1960">
        <v>0</v>
      </c>
      <c r="F1960">
        <v>110</v>
      </c>
    </row>
    <row r="1961" spans="1:6" x14ac:dyDescent="0.25">
      <c r="A1961" t="s">
        <v>1587</v>
      </c>
      <c r="B1961" t="s">
        <v>1685</v>
      </c>
      <c r="C1961">
        <v>44210</v>
      </c>
      <c r="D1961">
        <v>103986</v>
      </c>
      <c r="E1961">
        <v>0</v>
      </c>
      <c r="F1961">
        <v>103986</v>
      </c>
    </row>
    <row r="1962" spans="1:6" x14ac:dyDescent="0.25">
      <c r="A1962" t="s">
        <v>1589</v>
      </c>
      <c r="B1962" t="s">
        <v>1686</v>
      </c>
      <c r="C1962">
        <v>44211</v>
      </c>
      <c r="D1962">
        <v>58462</v>
      </c>
      <c r="E1962">
        <v>0</v>
      </c>
      <c r="F1962">
        <v>58462</v>
      </c>
    </row>
    <row r="1963" spans="1:6" x14ac:dyDescent="0.25">
      <c r="A1963" t="s">
        <v>1591</v>
      </c>
      <c r="B1963" t="s">
        <v>1687</v>
      </c>
      <c r="C1963">
        <v>44212</v>
      </c>
      <c r="D1963">
        <v>96099</v>
      </c>
      <c r="E1963">
        <v>0</v>
      </c>
      <c r="F1963">
        <v>96099</v>
      </c>
    </row>
    <row r="1964" spans="1:6" x14ac:dyDescent="0.25">
      <c r="A1964" t="s">
        <v>1593</v>
      </c>
      <c r="B1964" t="s">
        <v>1688</v>
      </c>
      <c r="C1964">
        <v>44213</v>
      </c>
      <c r="D1964">
        <v>1964841</v>
      </c>
      <c r="E1964">
        <v>0</v>
      </c>
      <c r="F1964">
        <v>1964841</v>
      </c>
    </row>
    <row r="1965" spans="1:6" x14ac:dyDescent="0.25">
      <c r="A1965" t="s">
        <v>1595</v>
      </c>
      <c r="B1965" t="s">
        <v>1690</v>
      </c>
      <c r="C1965">
        <v>44214</v>
      </c>
      <c r="D1965">
        <v>0</v>
      </c>
      <c r="E1965">
        <v>0</v>
      </c>
      <c r="F1965">
        <v>0</v>
      </c>
    </row>
    <row r="1966" spans="1:6" x14ac:dyDescent="0.25">
      <c r="A1966" t="s">
        <v>1597</v>
      </c>
      <c r="B1966" t="s">
        <v>1637</v>
      </c>
      <c r="C1966">
        <v>44215</v>
      </c>
      <c r="D1966">
        <v>0</v>
      </c>
      <c r="E1966">
        <v>0</v>
      </c>
      <c r="F1966">
        <v>0</v>
      </c>
    </row>
    <row r="1967" spans="1:6" x14ac:dyDescent="0.25">
      <c r="A1967" t="s">
        <v>1599</v>
      </c>
      <c r="B1967" t="s">
        <v>1640</v>
      </c>
      <c r="C1967">
        <v>44216</v>
      </c>
      <c r="D1967">
        <v>0</v>
      </c>
      <c r="E1967">
        <v>0</v>
      </c>
      <c r="F1967">
        <v>0</v>
      </c>
    </row>
    <row r="1968" spans="1:6" x14ac:dyDescent="0.25">
      <c r="A1968" t="s">
        <v>1601</v>
      </c>
      <c r="B1968" t="s">
        <v>1636</v>
      </c>
      <c r="C1968">
        <v>44217</v>
      </c>
      <c r="D1968">
        <v>0</v>
      </c>
      <c r="E1968">
        <v>0</v>
      </c>
      <c r="F1968">
        <v>0</v>
      </c>
    </row>
    <row r="1969" spans="1:6" x14ac:dyDescent="0.25">
      <c r="A1969" t="s">
        <v>1603</v>
      </c>
      <c r="B1969" t="s">
        <v>1689</v>
      </c>
      <c r="C1969">
        <v>44218</v>
      </c>
      <c r="D1969">
        <v>23</v>
      </c>
      <c r="E1969">
        <v>0</v>
      </c>
      <c r="F1969">
        <v>23</v>
      </c>
    </row>
    <row r="1970" spans="1:6" x14ac:dyDescent="0.25">
      <c r="B1970" t="s">
        <v>2048</v>
      </c>
      <c r="D1970">
        <v>2223521</v>
      </c>
      <c r="E1970">
        <v>0</v>
      </c>
      <c r="F1970">
        <v>2223521</v>
      </c>
    </row>
    <row r="1971" spans="1:6" x14ac:dyDescent="0.25">
      <c r="B1971" t="s">
        <v>1783</v>
      </c>
    </row>
    <row r="1972" spans="1:6" x14ac:dyDescent="0.25">
      <c r="A1972" t="s">
        <v>2</v>
      </c>
      <c r="B1972" t="s">
        <v>1699</v>
      </c>
      <c r="C1972">
        <v>44301</v>
      </c>
      <c r="D1972">
        <v>0</v>
      </c>
      <c r="E1972">
        <v>0</v>
      </c>
      <c r="F1972">
        <v>0</v>
      </c>
    </row>
    <row r="1973" spans="1:6" x14ac:dyDescent="0.25">
      <c r="A1973" t="s">
        <v>15</v>
      </c>
      <c r="B1973" t="s">
        <v>1694</v>
      </c>
      <c r="C1973">
        <v>44302</v>
      </c>
      <c r="D1973">
        <v>0</v>
      </c>
      <c r="E1973">
        <v>0</v>
      </c>
      <c r="F1973">
        <v>0</v>
      </c>
    </row>
    <row r="1974" spans="1:6" x14ac:dyDescent="0.25">
      <c r="A1974" t="s">
        <v>16</v>
      </c>
      <c r="B1974" t="s">
        <v>1695</v>
      </c>
      <c r="C1974">
        <v>44303</v>
      </c>
      <c r="D1974">
        <v>0</v>
      </c>
      <c r="E1974">
        <v>0</v>
      </c>
      <c r="F1974">
        <v>0</v>
      </c>
    </row>
    <row r="1975" spans="1:6" x14ac:dyDescent="0.25">
      <c r="A1975" t="s">
        <v>25</v>
      </c>
      <c r="B1975" t="s">
        <v>1696</v>
      </c>
      <c r="C1975">
        <v>44304</v>
      </c>
      <c r="D1975">
        <v>0</v>
      </c>
      <c r="E1975">
        <v>0</v>
      </c>
      <c r="F1975">
        <v>0</v>
      </c>
    </row>
    <row r="1976" spans="1:6" x14ac:dyDescent="0.25">
      <c r="A1976" t="s">
        <v>26</v>
      </c>
      <c r="B1976" t="s">
        <v>1680</v>
      </c>
      <c r="C1976">
        <v>44305</v>
      </c>
      <c r="D1976">
        <v>0</v>
      </c>
      <c r="E1976">
        <v>0</v>
      </c>
      <c r="F1976">
        <v>0</v>
      </c>
    </row>
    <row r="1977" spans="1:6" x14ac:dyDescent="0.25">
      <c r="A1977" t="s">
        <v>27</v>
      </c>
      <c r="B1977" t="s">
        <v>1681</v>
      </c>
      <c r="C1977">
        <v>44306</v>
      </c>
      <c r="D1977">
        <v>0</v>
      </c>
      <c r="E1977">
        <v>0</v>
      </c>
      <c r="F1977">
        <v>0</v>
      </c>
    </row>
    <row r="1978" spans="1:6" x14ac:dyDescent="0.25">
      <c r="A1978" t="s">
        <v>531</v>
      </c>
      <c r="B1978" t="s">
        <v>1682</v>
      </c>
      <c r="C1978">
        <v>44307</v>
      </c>
      <c r="D1978">
        <v>0</v>
      </c>
      <c r="E1978">
        <v>0</v>
      </c>
      <c r="F1978">
        <v>0</v>
      </c>
    </row>
    <row r="1979" spans="1:6" x14ac:dyDescent="0.25">
      <c r="A1979" t="s">
        <v>1583</v>
      </c>
      <c r="B1979" t="s">
        <v>1683</v>
      </c>
      <c r="C1979">
        <v>44308</v>
      </c>
      <c r="D1979">
        <v>0</v>
      </c>
      <c r="E1979">
        <v>0</v>
      </c>
      <c r="F1979">
        <v>0</v>
      </c>
    </row>
    <row r="1980" spans="1:6" x14ac:dyDescent="0.25">
      <c r="A1980" t="s">
        <v>1585</v>
      </c>
      <c r="B1980" t="s">
        <v>1684</v>
      </c>
      <c r="C1980">
        <v>44309</v>
      </c>
      <c r="D1980">
        <v>0</v>
      </c>
      <c r="E1980">
        <v>0</v>
      </c>
      <c r="F1980">
        <v>0</v>
      </c>
    </row>
    <row r="1981" spans="1:6" x14ac:dyDescent="0.25">
      <c r="A1981" t="s">
        <v>1587</v>
      </c>
      <c r="B1981" t="s">
        <v>1685</v>
      </c>
      <c r="C1981">
        <v>44310</v>
      </c>
      <c r="D1981">
        <v>0</v>
      </c>
      <c r="E1981">
        <v>0</v>
      </c>
      <c r="F1981">
        <v>0</v>
      </c>
    </row>
    <row r="1982" spans="1:6" x14ac:dyDescent="0.25">
      <c r="A1982" t="s">
        <v>1589</v>
      </c>
      <c r="B1982" t="s">
        <v>1686</v>
      </c>
      <c r="C1982">
        <v>44311</v>
      </c>
      <c r="D1982">
        <v>0</v>
      </c>
      <c r="E1982">
        <v>0</v>
      </c>
      <c r="F1982">
        <v>0</v>
      </c>
    </row>
    <row r="1983" spans="1:6" x14ac:dyDescent="0.25">
      <c r="A1983" t="s">
        <v>1591</v>
      </c>
      <c r="B1983" t="s">
        <v>1687</v>
      </c>
      <c r="C1983">
        <v>44312</v>
      </c>
      <c r="D1983">
        <v>0</v>
      </c>
      <c r="E1983">
        <v>0</v>
      </c>
      <c r="F1983">
        <v>0</v>
      </c>
    </row>
    <row r="1984" spans="1:6" x14ac:dyDescent="0.25">
      <c r="A1984" t="s">
        <v>1593</v>
      </c>
      <c r="B1984" t="s">
        <v>1688</v>
      </c>
      <c r="C1984">
        <v>44313</v>
      </c>
      <c r="D1984">
        <v>0</v>
      </c>
      <c r="E1984">
        <v>0</v>
      </c>
      <c r="F1984">
        <v>0</v>
      </c>
    </row>
    <row r="1985" spans="1:6" x14ac:dyDescent="0.25">
      <c r="A1985" t="s">
        <v>1595</v>
      </c>
      <c r="B1985" t="s">
        <v>1690</v>
      </c>
      <c r="C1985">
        <v>44314</v>
      </c>
      <c r="D1985">
        <v>0</v>
      </c>
      <c r="E1985">
        <v>0</v>
      </c>
      <c r="F1985">
        <v>0</v>
      </c>
    </row>
    <row r="1986" spans="1:6" x14ac:dyDescent="0.25">
      <c r="A1986" t="s">
        <v>1597</v>
      </c>
      <c r="B1986" t="s">
        <v>1637</v>
      </c>
      <c r="C1986">
        <v>44315</v>
      </c>
      <c r="D1986">
        <v>0</v>
      </c>
      <c r="E1986">
        <v>0</v>
      </c>
      <c r="F1986">
        <v>0</v>
      </c>
    </row>
    <row r="1987" spans="1:6" x14ac:dyDescent="0.25">
      <c r="A1987" t="s">
        <v>1599</v>
      </c>
      <c r="B1987" t="s">
        <v>1640</v>
      </c>
      <c r="C1987">
        <v>44316</v>
      </c>
      <c r="D1987">
        <v>0</v>
      </c>
      <c r="E1987">
        <v>0</v>
      </c>
      <c r="F1987">
        <v>0</v>
      </c>
    </row>
    <row r="1988" spans="1:6" x14ac:dyDescent="0.25">
      <c r="A1988" t="s">
        <v>1601</v>
      </c>
      <c r="B1988" t="s">
        <v>1636</v>
      </c>
      <c r="C1988">
        <v>44317</v>
      </c>
      <c r="D1988">
        <v>0</v>
      </c>
      <c r="E1988">
        <v>0</v>
      </c>
      <c r="F1988">
        <v>0</v>
      </c>
    </row>
    <row r="1989" spans="1:6" x14ac:dyDescent="0.25">
      <c r="A1989" t="s">
        <v>1603</v>
      </c>
      <c r="B1989" t="s">
        <v>1689</v>
      </c>
      <c r="C1989">
        <v>44318</v>
      </c>
      <c r="D1989">
        <v>0</v>
      </c>
      <c r="E1989">
        <v>0</v>
      </c>
      <c r="F1989">
        <v>0</v>
      </c>
    </row>
    <row r="1990" spans="1:6" x14ac:dyDescent="0.25">
      <c r="B1990" t="s">
        <v>2049</v>
      </c>
      <c r="D1990">
        <v>0</v>
      </c>
      <c r="E1990">
        <v>0</v>
      </c>
      <c r="F1990">
        <v>0</v>
      </c>
    </row>
    <row r="1991" spans="1:6" x14ac:dyDescent="0.25">
      <c r="B1991" t="s">
        <v>1785</v>
      </c>
    </row>
    <row r="1992" spans="1:6" x14ac:dyDescent="0.25">
      <c r="A1992" t="s">
        <v>2</v>
      </c>
      <c r="B1992" t="s">
        <v>1702</v>
      </c>
      <c r="C1992">
        <v>44401</v>
      </c>
      <c r="D1992">
        <v>0</v>
      </c>
      <c r="E1992">
        <v>0</v>
      </c>
      <c r="F1992">
        <v>0</v>
      </c>
    </row>
    <row r="1993" spans="1:6" x14ac:dyDescent="0.25">
      <c r="A1993" t="s">
        <v>15</v>
      </c>
      <c r="B1993" t="s">
        <v>1703</v>
      </c>
      <c r="C1993">
        <v>44402</v>
      </c>
      <c r="D1993">
        <v>0</v>
      </c>
      <c r="E1993">
        <v>0</v>
      </c>
      <c r="F1993">
        <v>0</v>
      </c>
    </row>
    <row r="1994" spans="1:6" x14ac:dyDescent="0.25">
      <c r="B1994" t="s">
        <v>2050</v>
      </c>
      <c r="D1994">
        <v>0</v>
      </c>
      <c r="E1994">
        <v>0</v>
      </c>
      <c r="F1994">
        <v>0</v>
      </c>
    </row>
    <row r="1995" spans="1:6" x14ac:dyDescent="0.25">
      <c r="B1995" t="s">
        <v>1787</v>
      </c>
    </row>
    <row r="1996" spans="1:6" x14ac:dyDescent="0.25">
      <c r="A1996" t="s">
        <v>2</v>
      </c>
      <c r="B1996" t="s">
        <v>1702</v>
      </c>
      <c r="C1996">
        <v>44501</v>
      </c>
      <c r="D1996">
        <v>9206</v>
      </c>
      <c r="E1996">
        <v>0</v>
      </c>
      <c r="F1996">
        <v>9206</v>
      </c>
    </row>
    <row r="1997" spans="1:6" x14ac:dyDescent="0.25">
      <c r="A1997" t="s">
        <v>15</v>
      </c>
      <c r="B1997" t="s">
        <v>1703</v>
      </c>
      <c r="C1997">
        <v>44502</v>
      </c>
      <c r="D1997">
        <v>0</v>
      </c>
      <c r="E1997">
        <v>0</v>
      </c>
      <c r="F1997">
        <v>0</v>
      </c>
    </row>
    <row r="1998" spans="1:6" x14ac:dyDescent="0.25">
      <c r="B1998" t="s">
        <v>2051</v>
      </c>
      <c r="D1998">
        <v>9206</v>
      </c>
      <c r="E1998">
        <v>0</v>
      </c>
      <c r="F1998">
        <v>9206</v>
      </c>
    </row>
    <row r="1999" spans="1:6" x14ac:dyDescent="0.25">
      <c r="B1999" t="s">
        <v>1789</v>
      </c>
    </row>
    <row r="2000" spans="1:6" x14ac:dyDescent="0.25">
      <c r="A2000" t="s">
        <v>2</v>
      </c>
      <c r="B2000" t="s">
        <v>1710</v>
      </c>
      <c r="C2000">
        <v>44601</v>
      </c>
      <c r="D2000">
        <v>19</v>
      </c>
      <c r="E2000">
        <v>7771</v>
      </c>
      <c r="F2000">
        <v>7790</v>
      </c>
    </row>
    <row r="2001" spans="1:6" x14ac:dyDescent="0.25">
      <c r="A2001" t="s">
        <v>15</v>
      </c>
      <c r="B2001" t="s">
        <v>1711</v>
      </c>
      <c r="C2001">
        <v>44602</v>
      </c>
      <c r="D2001">
        <v>0</v>
      </c>
      <c r="E2001">
        <v>0</v>
      </c>
      <c r="F2001">
        <v>0</v>
      </c>
    </row>
    <row r="2002" spans="1:6" x14ac:dyDescent="0.25">
      <c r="A2002" t="s">
        <v>16</v>
      </c>
      <c r="B2002" t="s">
        <v>1712</v>
      </c>
      <c r="C2002">
        <v>44603</v>
      </c>
      <c r="D2002">
        <v>0</v>
      </c>
      <c r="E2002">
        <v>0</v>
      </c>
      <c r="F2002">
        <v>0</v>
      </c>
    </row>
    <row r="2003" spans="1:6" x14ac:dyDescent="0.25">
      <c r="A2003" t="s">
        <v>25</v>
      </c>
      <c r="B2003" t="s">
        <v>1713</v>
      </c>
      <c r="C2003">
        <v>44604</v>
      </c>
      <c r="D2003">
        <v>0</v>
      </c>
      <c r="E2003">
        <v>0</v>
      </c>
      <c r="F2003">
        <v>0</v>
      </c>
    </row>
    <row r="2004" spans="1:6" x14ac:dyDescent="0.25">
      <c r="A2004" t="s">
        <v>26</v>
      </c>
      <c r="B2004" t="s">
        <v>1714</v>
      </c>
      <c r="C2004">
        <v>44605</v>
      </c>
      <c r="D2004">
        <v>0</v>
      </c>
      <c r="E2004">
        <v>0</v>
      </c>
      <c r="F2004">
        <v>0</v>
      </c>
    </row>
    <row r="2005" spans="1:6" x14ac:dyDescent="0.25">
      <c r="B2005" t="s">
        <v>2052</v>
      </c>
      <c r="D2005">
        <v>19</v>
      </c>
      <c r="E2005">
        <v>7771</v>
      </c>
      <c r="F2005">
        <v>7790</v>
      </c>
    </row>
    <row r="2006" spans="1:6" x14ac:dyDescent="0.25">
      <c r="B2006" t="s">
        <v>2458</v>
      </c>
    </row>
    <row r="2007" spans="1:6" x14ac:dyDescent="0.25">
      <c r="A2007" t="s">
        <v>2</v>
      </c>
      <c r="B2007" t="s">
        <v>2316</v>
      </c>
      <c r="C2007">
        <v>44701</v>
      </c>
      <c r="D2007">
        <v>0</v>
      </c>
      <c r="F2007">
        <v>0</v>
      </c>
    </row>
    <row r="2008" spans="1:6" x14ac:dyDescent="0.25">
      <c r="A2008" t="s">
        <v>15</v>
      </c>
      <c r="B2008" t="s">
        <v>2317</v>
      </c>
      <c r="C2008">
        <v>44702</v>
      </c>
      <c r="D2008">
        <v>0</v>
      </c>
      <c r="F2008">
        <v>0</v>
      </c>
    </row>
    <row r="2009" spans="1:6" x14ac:dyDescent="0.25">
      <c r="A2009" t="s">
        <v>16</v>
      </c>
      <c r="B2009" t="s">
        <v>2318</v>
      </c>
      <c r="C2009">
        <v>44703</v>
      </c>
      <c r="D2009">
        <v>0</v>
      </c>
      <c r="F2009">
        <v>0</v>
      </c>
    </row>
    <row r="2010" spans="1:6" x14ac:dyDescent="0.25">
      <c r="A2010" t="s">
        <v>25</v>
      </c>
      <c r="B2010" t="s">
        <v>2319</v>
      </c>
      <c r="C2010">
        <v>44704</v>
      </c>
      <c r="D2010">
        <v>0</v>
      </c>
      <c r="F2010">
        <v>0</v>
      </c>
    </row>
    <row r="2011" spans="1:6" x14ac:dyDescent="0.25">
      <c r="A2011" t="s">
        <v>26</v>
      </c>
      <c r="B2011" t="s">
        <v>2320</v>
      </c>
      <c r="C2011">
        <v>44705</v>
      </c>
      <c r="D2011">
        <v>0</v>
      </c>
      <c r="F2011">
        <v>0</v>
      </c>
    </row>
    <row r="2012" spans="1:6" x14ac:dyDescent="0.25">
      <c r="A2012" t="s">
        <v>27</v>
      </c>
      <c r="B2012" t="s">
        <v>2321</v>
      </c>
      <c r="C2012">
        <v>44706</v>
      </c>
      <c r="D2012">
        <v>0</v>
      </c>
      <c r="F2012">
        <v>0</v>
      </c>
    </row>
    <row r="2013" spans="1:6" x14ac:dyDescent="0.25">
      <c r="A2013" t="s">
        <v>531</v>
      </c>
      <c r="B2013" t="s">
        <v>2322</v>
      </c>
      <c r="C2013">
        <v>44707</v>
      </c>
      <c r="D2013">
        <v>0</v>
      </c>
      <c r="F2013">
        <v>0</v>
      </c>
    </row>
    <row r="2014" spans="1:6" x14ac:dyDescent="0.25">
      <c r="A2014" t="s">
        <v>1583</v>
      </c>
      <c r="B2014" t="s">
        <v>2323</v>
      </c>
      <c r="C2014">
        <v>44708</v>
      </c>
      <c r="D2014">
        <v>0</v>
      </c>
      <c r="F2014">
        <v>0</v>
      </c>
    </row>
    <row r="2015" spans="1:6" x14ac:dyDescent="0.25">
      <c r="A2015" t="s">
        <v>1585</v>
      </c>
      <c r="B2015" t="s">
        <v>2324</v>
      </c>
      <c r="C2015">
        <v>44709</v>
      </c>
      <c r="D2015">
        <v>0</v>
      </c>
      <c r="F2015">
        <v>0</v>
      </c>
    </row>
    <row r="2016" spans="1:6" x14ac:dyDescent="0.25">
      <c r="A2016" t="s">
        <v>1587</v>
      </c>
      <c r="B2016" t="s">
        <v>2325</v>
      </c>
      <c r="C2016">
        <v>44710</v>
      </c>
      <c r="D2016">
        <v>0</v>
      </c>
      <c r="F2016">
        <v>0</v>
      </c>
    </row>
    <row r="2017" spans="1:6" x14ac:dyDescent="0.25">
      <c r="A2017" t="s">
        <v>1589</v>
      </c>
      <c r="B2017" t="s">
        <v>2326</v>
      </c>
      <c r="C2017">
        <v>44711</v>
      </c>
      <c r="D2017">
        <v>0</v>
      </c>
      <c r="F2017">
        <v>0</v>
      </c>
    </row>
    <row r="2018" spans="1:6" x14ac:dyDescent="0.25">
      <c r="A2018" t="s">
        <v>1591</v>
      </c>
      <c r="B2018" t="s">
        <v>2327</v>
      </c>
      <c r="C2018">
        <v>44712</v>
      </c>
      <c r="D2018">
        <v>0</v>
      </c>
      <c r="F2018">
        <v>0</v>
      </c>
    </row>
    <row r="2019" spans="1:6" x14ac:dyDescent="0.25">
      <c r="A2019" t="s">
        <v>1593</v>
      </c>
      <c r="B2019" t="s">
        <v>2328</v>
      </c>
      <c r="C2019">
        <v>44713</v>
      </c>
      <c r="D2019">
        <v>0</v>
      </c>
      <c r="F2019">
        <v>0</v>
      </c>
    </row>
    <row r="2020" spans="1:6" x14ac:dyDescent="0.25">
      <c r="A2020" t="s">
        <v>1595</v>
      </c>
      <c r="B2020" t="s">
        <v>2329</v>
      </c>
      <c r="C2020">
        <v>44714</v>
      </c>
      <c r="D2020">
        <v>0</v>
      </c>
      <c r="F2020">
        <v>0</v>
      </c>
    </row>
    <row r="2021" spans="1:6" x14ac:dyDescent="0.25">
      <c r="A2021" t="s">
        <v>1597</v>
      </c>
      <c r="B2021" t="s">
        <v>2330</v>
      </c>
      <c r="C2021">
        <v>44715</v>
      </c>
      <c r="D2021">
        <v>0</v>
      </c>
      <c r="F2021">
        <v>0</v>
      </c>
    </row>
    <row r="2022" spans="1:6" x14ac:dyDescent="0.25">
      <c r="A2022" t="s">
        <v>1599</v>
      </c>
      <c r="B2022" t="s">
        <v>2331</v>
      </c>
      <c r="C2022">
        <v>44716</v>
      </c>
      <c r="D2022">
        <v>0</v>
      </c>
      <c r="F2022">
        <v>0</v>
      </c>
    </row>
    <row r="2023" spans="1:6" x14ac:dyDescent="0.25">
      <c r="A2023" t="s">
        <v>1601</v>
      </c>
      <c r="B2023" t="s">
        <v>2332</v>
      </c>
      <c r="C2023">
        <v>44717</v>
      </c>
      <c r="D2023">
        <v>0</v>
      </c>
      <c r="F2023">
        <v>0</v>
      </c>
    </row>
    <row r="2024" spans="1:6" x14ac:dyDescent="0.25">
      <c r="A2024" t="s">
        <v>1603</v>
      </c>
      <c r="B2024" t="s">
        <v>2333</v>
      </c>
      <c r="C2024">
        <v>44718</v>
      </c>
      <c r="D2024">
        <v>0</v>
      </c>
      <c r="F2024">
        <v>0</v>
      </c>
    </row>
    <row r="2025" spans="1:6" x14ac:dyDescent="0.25">
      <c r="A2025" t="s">
        <v>1605</v>
      </c>
      <c r="B2025" t="s">
        <v>2334</v>
      </c>
      <c r="C2025">
        <v>44719</v>
      </c>
      <c r="D2025">
        <v>0</v>
      </c>
      <c r="F2025">
        <v>0</v>
      </c>
    </row>
    <row r="2026" spans="1:6" x14ac:dyDescent="0.25">
      <c r="A2026" t="s">
        <v>1607</v>
      </c>
      <c r="B2026" t="s">
        <v>2335</v>
      </c>
      <c r="C2026">
        <v>44720</v>
      </c>
      <c r="D2026">
        <v>0</v>
      </c>
      <c r="F2026">
        <v>0</v>
      </c>
    </row>
    <row r="2027" spans="1:6" x14ac:dyDescent="0.25">
      <c r="A2027" t="s">
        <v>2336</v>
      </c>
      <c r="B2027" t="s">
        <v>2337</v>
      </c>
      <c r="C2027">
        <v>44721</v>
      </c>
      <c r="D2027">
        <v>0</v>
      </c>
      <c r="F2027">
        <v>0</v>
      </c>
    </row>
    <row r="2028" spans="1:6" x14ac:dyDescent="0.25">
      <c r="A2028" t="s">
        <v>2338</v>
      </c>
      <c r="B2028" t="s">
        <v>2339</v>
      </c>
      <c r="C2028">
        <v>44722</v>
      </c>
      <c r="D2028">
        <v>0</v>
      </c>
      <c r="F2028">
        <v>0</v>
      </c>
    </row>
    <row r="2029" spans="1:6" x14ac:dyDescent="0.25">
      <c r="A2029" t="s">
        <v>2340</v>
      </c>
      <c r="B2029" t="s">
        <v>2341</v>
      </c>
      <c r="C2029">
        <v>44723</v>
      </c>
      <c r="D2029">
        <v>0</v>
      </c>
      <c r="F2029">
        <v>0</v>
      </c>
    </row>
    <row r="2030" spans="1:6" x14ac:dyDescent="0.25">
      <c r="A2030" t="s">
        <v>2342</v>
      </c>
      <c r="B2030" t="s">
        <v>2343</v>
      </c>
      <c r="C2030">
        <v>44724</v>
      </c>
      <c r="D2030">
        <v>0</v>
      </c>
      <c r="F2030">
        <v>0</v>
      </c>
    </row>
    <row r="2031" spans="1:6" x14ac:dyDescent="0.25">
      <c r="A2031" t="s">
        <v>2344</v>
      </c>
      <c r="B2031" t="s">
        <v>2345</v>
      </c>
      <c r="C2031">
        <v>44725</v>
      </c>
      <c r="D2031">
        <v>0</v>
      </c>
      <c r="F2031">
        <v>0</v>
      </c>
    </row>
    <row r="2032" spans="1:6" x14ac:dyDescent="0.25">
      <c r="A2032" t="s">
        <v>2346</v>
      </c>
      <c r="B2032" t="s">
        <v>2347</v>
      </c>
      <c r="C2032">
        <v>44726</v>
      </c>
      <c r="D2032">
        <v>0</v>
      </c>
      <c r="F2032">
        <v>0</v>
      </c>
    </row>
    <row r="2033" spans="1:6" x14ac:dyDescent="0.25">
      <c r="A2033" t="s">
        <v>2348</v>
      </c>
      <c r="B2033" t="s">
        <v>2349</v>
      </c>
      <c r="C2033">
        <v>44727</v>
      </c>
      <c r="D2033">
        <v>0</v>
      </c>
      <c r="F2033">
        <v>0</v>
      </c>
    </row>
    <row r="2034" spans="1:6" x14ac:dyDescent="0.25">
      <c r="A2034" t="s">
        <v>2350</v>
      </c>
      <c r="B2034" t="s">
        <v>2351</v>
      </c>
      <c r="C2034">
        <v>44728</v>
      </c>
      <c r="D2034">
        <v>0</v>
      </c>
      <c r="F2034">
        <v>0</v>
      </c>
    </row>
    <row r="2035" spans="1:6" x14ac:dyDescent="0.25">
      <c r="A2035" t="s">
        <v>2352</v>
      </c>
      <c r="B2035" t="s">
        <v>2353</v>
      </c>
      <c r="C2035">
        <v>44729</v>
      </c>
      <c r="D2035">
        <v>0</v>
      </c>
      <c r="F2035">
        <v>0</v>
      </c>
    </row>
    <row r="2036" spans="1:6" x14ac:dyDescent="0.25">
      <c r="A2036" t="s">
        <v>2354</v>
      </c>
      <c r="B2036" t="s">
        <v>2355</v>
      </c>
      <c r="C2036">
        <v>44730</v>
      </c>
      <c r="D2036">
        <v>0</v>
      </c>
      <c r="F2036">
        <v>0</v>
      </c>
    </row>
    <row r="2037" spans="1:6" x14ac:dyDescent="0.25">
      <c r="A2037" t="s">
        <v>2356</v>
      </c>
      <c r="B2037" t="s">
        <v>2357</v>
      </c>
      <c r="C2037">
        <v>44731</v>
      </c>
      <c r="D2037">
        <v>0</v>
      </c>
      <c r="F2037">
        <v>0</v>
      </c>
    </row>
    <row r="2038" spans="1:6" x14ac:dyDescent="0.25">
      <c r="A2038" t="s">
        <v>2358</v>
      </c>
      <c r="B2038" t="s">
        <v>2359</v>
      </c>
      <c r="C2038">
        <v>44732</v>
      </c>
      <c r="D2038">
        <v>0</v>
      </c>
      <c r="F2038">
        <v>0</v>
      </c>
    </row>
    <row r="2039" spans="1:6" x14ac:dyDescent="0.25">
      <c r="A2039" t="s">
        <v>2360</v>
      </c>
      <c r="B2039" t="s">
        <v>2361</v>
      </c>
      <c r="C2039">
        <v>44733</v>
      </c>
      <c r="D2039">
        <v>0</v>
      </c>
      <c r="F2039">
        <v>0</v>
      </c>
    </row>
    <row r="2040" spans="1:6" x14ac:dyDescent="0.25">
      <c r="A2040" t="s">
        <v>2362</v>
      </c>
      <c r="B2040" t="s">
        <v>2363</v>
      </c>
      <c r="C2040">
        <v>44734</v>
      </c>
      <c r="D2040">
        <v>0</v>
      </c>
      <c r="F2040">
        <v>0</v>
      </c>
    </row>
    <row r="2041" spans="1:6" x14ac:dyDescent="0.25">
      <c r="A2041" t="s">
        <v>2364</v>
      </c>
      <c r="B2041" t="s">
        <v>2365</v>
      </c>
      <c r="C2041">
        <v>44735</v>
      </c>
      <c r="D2041">
        <v>0</v>
      </c>
      <c r="F2041">
        <v>0</v>
      </c>
    </row>
    <row r="2042" spans="1:6" x14ac:dyDescent="0.25">
      <c r="A2042" t="s">
        <v>2366</v>
      </c>
      <c r="B2042" t="s">
        <v>2367</v>
      </c>
      <c r="C2042">
        <v>44736</v>
      </c>
      <c r="D2042">
        <v>0</v>
      </c>
      <c r="F2042">
        <v>0</v>
      </c>
    </row>
    <row r="2043" spans="1:6" x14ac:dyDescent="0.25">
      <c r="A2043" t="s">
        <v>2368</v>
      </c>
      <c r="B2043" t="s">
        <v>2369</v>
      </c>
      <c r="C2043">
        <v>44737</v>
      </c>
      <c r="D2043">
        <v>0</v>
      </c>
      <c r="F2043">
        <v>0</v>
      </c>
    </row>
    <row r="2044" spans="1:6" x14ac:dyDescent="0.25">
      <c r="A2044" t="s">
        <v>2370</v>
      </c>
      <c r="B2044" t="s">
        <v>2371</v>
      </c>
      <c r="C2044">
        <v>44738</v>
      </c>
      <c r="D2044">
        <v>0</v>
      </c>
      <c r="F2044">
        <v>0</v>
      </c>
    </row>
    <row r="2045" spans="1:6" x14ac:dyDescent="0.25">
      <c r="A2045" t="s">
        <v>2372</v>
      </c>
      <c r="B2045" t="s">
        <v>2373</v>
      </c>
      <c r="C2045">
        <v>44739</v>
      </c>
      <c r="D2045">
        <v>0</v>
      </c>
      <c r="F2045">
        <v>0</v>
      </c>
    </row>
    <row r="2046" spans="1:6" x14ac:dyDescent="0.25">
      <c r="A2046" t="s">
        <v>2374</v>
      </c>
      <c r="B2046" t="s">
        <v>2375</v>
      </c>
      <c r="C2046">
        <v>44740</v>
      </c>
      <c r="D2046">
        <v>0</v>
      </c>
      <c r="F2046">
        <v>0</v>
      </c>
    </row>
    <row r="2047" spans="1:6" x14ac:dyDescent="0.25">
      <c r="A2047" t="s">
        <v>2376</v>
      </c>
      <c r="B2047" t="s">
        <v>2377</v>
      </c>
      <c r="C2047">
        <v>44741</v>
      </c>
      <c r="D2047">
        <v>0</v>
      </c>
      <c r="F2047">
        <v>0</v>
      </c>
    </row>
    <row r="2048" spans="1:6" x14ac:dyDescent="0.25">
      <c r="B2048" t="s">
        <v>2459</v>
      </c>
      <c r="D2048">
        <v>0</v>
      </c>
      <c r="F2048">
        <v>0</v>
      </c>
    </row>
    <row r="2049" spans="1:6" x14ac:dyDescent="0.25">
      <c r="B2049" t="s">
        <v>2460</v>
      </c>
    </row>
    <row r="2050" spans="1:6" x14ac:dyDescent="0.25">
      <c r="A2050" t="s">
        <v>2</v>
      </c>
      <c r="B2050" t="s">
        <v>2380</v>
      </c>
      <c r="C2050">
        <v>44801</v>
      </c>
      <c r="D2050">
        <v>0</v>
      </c>
      <c r="F2050">
        <v>0</v>
      </c>
    </row>
    <row r="2051" spans="1:6" x14ac:dyDescent="0.25">
      <c r="A2051" t="s">
        <v>15</v>
      </c>
      <c r="B2051" t="s">
        <v>2381</v>
      </c>
      <c r="C2051">
        <v>44802</v>
      </c>
      <c r="D2051">
        <v>0</v>
      </c>
      <c r="F2051">
        <v>0</v>
      </c>
    </row>
    <row r="2052" spans="1:6" x14ac:dyDescent="0.25">
      <c r="A2052" t="s">
        <v>16</v>
      </c>
      <c r="B2052" t="s">
        <v>2382</v>
      </c>
      <c r="C2052">
        <v>44803</v>
      </c>
      <c r="D2052">
        <v>0</v>
      </c>
      <c r="F2052">
        <v>0</v>
      </c>
    </row>
    <row r="2053" spans="1:6" x14ac:dyDescent="0.25">
      <c r="A2053" t="s">
        <v>25</v>
      </c>
      <c r="B2053" t="s">
        <v>2383</v>
      </c>
      <c r="C2053">
        <v>44804</v>
      </c>
      <c r="D2053">
        <v>0</v>
      </c>
      <c r="F2053">
        <v>0</v>
      </c>
    </row>
    <row r="2054" spans="1:6" x14ac:dyDescent="0.25">
      <c r="B2054" t="s">
        <v>2461</v>
      </c>
      <c r="D2054">
        <v>0</v>
      </c>
      <c r="F2054">
        <v>0</v>
      </c>
    </row>
    <row r="2055" spans="1:6" x14ac:dyDescent="0.25">
      <c r="B2055" t="s">
        <v>2462</v>
      </c>
    </row>
    <row r="2056" spans="1:6" x14ac:dyDescent="0.25">
      <c r="A2056" t="s">
        <v>2</v>
      </c>
      <c r="B2056" t="s">
        <v>1710</v>
      </c>
      <c r="C2056">
        <v>44901</v>
      </c>
      <c r="D2056">
        <v>0</v>
      </c>
      <c r="F2056">
        <v>0</v>
      </c>
    </row>
    <row r="2057" spans="1:6" x14ac:dyDescent="0.25">
      <c r="A2057" t="s">
        <v>15</v>
      </c>
      <c r="B2057" t="s">
        <v>1711</v>
      </c>
      <c r="C2057">
        <v>44902</v>
      </c>
      <c r="D2057">
        <v>0</v>
      </c>
      <c r="F2057">
        <v>0</v>
      </c>
    </row>
    <row r="2058" spans="1:6" x14ac:dyDescent="0.25">
      <c r="A2058" t="s">
        <v>16</v>
      </c>
      <c r="B2058" t="s">
        <v>1712</v>
      </c>
      <c r="C2058">
        <v>44903</v>
      </c>
      <c r="D2058">
        <v>0</v>
      </c>
      <c r="F2058">
        <v>0</v>
      </c>
    </row>
    <row r="2059" spans="1:6" x14ac:dyDescent="0.25">
      <c r="A2059" t="s">
        <v>25</v>
      </c>
      <c r="B2059" t="s">
        <v>1713</v>
      </c>
      <c r="C2059">
        <v>44904</v>
      </c>
      <c r="D2059">
        <v>0</v>
      </c>
      <c r="F2059">
        <v>0</v>
      </c>
    </row>
    <row r="2060" spans="1:6" x14ac:dyDescent="0.25">
      <c r="A2060" t="s">
        <v>26</v>
      </c>
      <c r="B2060" t="s">
        <v>1714</v>
      </c>
      <c r="C2060">
        <v>44905</v>
      </c>
      <c r="D2060">
        <v>0</v>
      </c>
      <c r="F2060">
        <v>0</v>
      </c>
    </row>
    <row r="2061" spans="1:6" x14ac:dyDescent="0.25">
      <c r="B2061" t="s">
        <v>2463</v>
      </c>
      <c r="D2061">
        <v>0</v>
      </c>
      <c r="F2061">
        <v>0</v>
      </c>
    </row>
    <row r="2062" spans="1:6" x14ac:dyDescent="0.25">
      <c r="B2062" t="s">
        <v>1716</v>
      </c>
      <c r="D2062">
        <v>2235394</v>
      </c>
      <c r="E2062">
        <v>7771</v>
      </c>
      <c r="F2062">
        <v>2243165</v>
      </c>
    </row>
    <row r="2063" spans="1:6" x14ac:dyDescent="0.25">
      <c r="B2063" t="s">
        <v>2464</v>
      </c>
    </row>
    <row r="2064" spans="1:6" x14ac:dyDescent="0.25">
      <c r="B2064" t="s">
        <v>2465</v>
      </c>
    </row>
    <row r="2065" spans="1:6" x14ac:dyDescent="0.25">
      <c r="A2065" t="s">
        <v>2</v>
      </c>
      <c r="B2065" t="s">
        <v>1793</v>
      </c>
      <c r="C2065">
        <v>45101</v>
      </c>
      <c r="D2065">
        <v>33817918</v>
      </c>
      <c r="F2065">
        <v>33817918</v>
      </c>
    </row>
    <row r="2066" spans="1:6" x14ac:dyDescent="0.25">
      <c r="A2066" t="s">
        <v>15</v>
      </c>
      <c r="B2066" t="s">
        <v>1794</v>
      </c>
      <c r="C2066">
        <v>45102</v>
      </c>
      <c r="D2066">
        <v>4399546</v>
      </c>
      <c r="F2066">
        <v>4399546</v>
      </c>
    </row>
    <row r="2067" spans="1:6" x14ac:dyDescent="0.25">
      <c r="A2067" t="s">
        <v>16</v>
      </c>
      <c r="B2067" t="s">
        <v>1795</v>
      </c>
      <c r="C2067">
        <v>45103</v>
      </c>
      <c r="D2067">
        <v>200068</v>
      </c>
      <c r="F2067">
        <v>200068</v>
      </c>
    </row>
    <row r="2068" spans="1:6" x14ac:dyDescent="0.25">
      <c r="A2068" t="s">
        <v>25</v>
      </c>
      <c r="B2068" t="s">
        <v>1796</v>
      </c>
      <c r="C2068">
        <v>45104</v>
      </c>
      <c r="D2068">
        <v>102084792</v>
      </c>
      <c r="F2068">
        <v>102084792</v>
      </c>
    </row>
    <row r="2069" spans="1:6" x14ac:dyDescent="0.25">
      <c r="A2069" t="s">
        <v>26</v>
      </c>
      <c r="B2069" t="s">
        <v>1797</v>
      </c>
      <c r="C2069">
        <v>45105</v>
      </c>
      <c r="D2069">
        <v>0</v>
      </c>
      <c r="F2069">
        <v>0</v>
      </c>
    </row>
    <row r="2070" spans="1:6" x14ac:dyDescent="0.25">
      <c r="B2070" t="s">
        <v>2055</v>
      </c>
      <c r="D2070">
        <v>140502324</v>
      </c>
      <c r="F2070">
        <v>140502324</v>
      </c>
    </row>
    <row r="2071" spans="1:6" x14ac:dyDescent="0.25">
      <c r="B2071" t="s">
        <v>2466</v>
      </c>
    </row>
    <row r="2072" spans="1:6" x14ac:dyDescent="0.25">
      <c r="A2072" t="s">
        <v>2</v>
      </c>
      <c r="B2072" t="s">
        <v>1793</v>
      </c>
      <c r="C2072">
        <v>45201</v>
      </c>
      <c r="D2072">
        <v>0</v>
      </c>
      <c r="F2072">
        <v>0</v>
      </c>
    </row>
    <row r="2073" spans="1:6" x14ac:dyDescent="0.25">
      <c r="A2073" t="s">
        <v>15</v>
      </c>
      <c r="B2073" t="s">
        <v>1794</v>
      </c>
      <c r="C2073">
        <v>45202</v>
      </c>
      <c r="D2073">
        <v>0</v>
      </c>
      <c r="F2073">
        <v>0</v>
      </c>
    </row>
    <row r="2074" spans="1:6" x14ac:dyDescent="0.25">
      <c r="A2074" t="s">
        <v>16</v>
      </c>
      <c r="B2074" t="s">
        <v>1795</v>
      </c>
      <c r="C2074">
        <v>45203</v>
      </c>
      <c r="D2074">
        <v>0</v>
      </c>
      <c r="F2074">
        <v>0</v>
      </c>
    </row>
    <row r="2075" spans="1:6" x14ac:dyDescent="0.25">
      <c r="A2075" t="s">
        <v>25</v>
      </c>
      <c r="B2075" t="s">
        <v>1796</v>
      </c>
      <c r="C2075">
        <v>45204</v>
      </c>
      <c r="D2075">
        <v>0</v>
      </c>
      <c r="F2075">
        <v>0</v>
      </c>
    </row>
    <row r="2076" spans="1:6" x14ac:dyDescent="0.25">
      <c r="A2076" t="s">
        <v>26</v>
      </c>
      <c r="B2076" t="s">
        <v>1797</v>
      </c>
      <c r="C2076">
        <v>45205</v>
      </c>
      <c r="D2076">
        <v>0</v>
      </c>
      <c r="F2076">
        <v>0</v>
      </c>
    </row>
    <row r="2077" spans="1:6" x14ac:dyDescent="0.25">
      <c r="B2077" t="s">
        <v>2057</v>
      </c>
      <c r="D2077">
        <v>0</v>
      </c>
      <c r="F2077">
        <v>0</v>
      </c>
    </row>
    <row r="2078" spans="1:6" x14ac:dyDescent="0.25">
      <c r="B2078" t="s">
        <v>2467</v>
      </c>
    </row>
    <row r="2079" spans="1:6" x14ac:dyDescent="0.25">
      <c r="A2079" t="s">
        <v>2</v>
      </c>
      <c r="B2079" t="s">
        <v>1793</v>
      </c>
      <c r="C2079">
        <v>45301</v>
      </c>
      <c r="D2079">
        <v>12042</v>
      </c>
      <c r="F2079">
        <v>12042</v>
      </c>
    </row>
    <row r="2080" spans="1:6" x14ac:dyDescent="0.25">
      <c r="A2080" t="s">
        <v>15</v>
      </c>
      <c r="B2080" t="s">
        <v>1794</v>
      </c>
      <c r="C2080">
        <v>45302</v>
      </c>
      <c r="D2080">
        <v>0</v>
      </c>
      <c r="F2080">
        <v>0</v>
      </c>
    </row>
    <row r="2081" spans="1:6" x14ac:dyDescent="0.25">
      <c r="A2081" t="s">
        <v>16</v>
      </c>
      <c r="B2081" t="s">
        <v>1795</v>
      </c>
      <c r="C2081">
        <v>45303</v>
      </c>
      <c r="D2081">
        <v>11408</v>
      </c>
      <c r="F2081">
        <v>11408</v>
      </c>
    </row>
    <row r="2082" spans="1:6" x14ac:dyDescent="0.25">
      <c r="A2082" t="s">
        <v>25</v>
      </c>
      <c r="B2082" t="s">
        <v>1796</v>
      </c>
      <c r="C2082">
        <v>45304</v>
      </c>
      <c r="D2082">
        <v>0</v>
      </c>
      <c r="F2082">
        <v>0</v>
      </c>
    </row>
    <row r="2083" spans="1:6" x14ac:dyDescent="0.25">
      <c r="A2083" t="s">
        <v>26</v>
      </c>
      <c r="B2083" t="s">
        <v>1797</v>
      </c>
      <c r="C2083">
        <v>45305</v>
      </c>
      <c r="D2083">
        <v>0</v>
      </c>
      <c r="F2083">
        <v>0</v>
      </c>
    </row>
    <row r="2084" spans="1:6" x14ac:dyDescent="0.25">
      <c r="B2084" t="s">
        <v>2059</v>
      </c>
      <c r="D2084">
        <v>23450</v>
      </c>
      <c r="F2084">
        <v>23450</v>
      </c>
    </row>
    <row r="2085" spans="1:6" x14ac:dyDescent="0.25">
      <c r="B2085" t="s">
        <v>2468</v>
      </c>
    </row>
    <row r="2086" spans="1:6" x14ac:dyDescent="0.25">
      <c r="A2086" t="s">
        <v>2</v>
      </c>
      <c r="B2086" t="s">
        <v>1793</v>
      </c>
      <c r="C2086">
        <v>45401</v>
      </c>
      <c r="D2086">
        <v>0</v>
      </c>
      <c r="F2086">
        <v>0</v>
      </c>
    </row>
    <row r="2087" spans="1:6" x14ac:dyDescent="0.25">
      <c r="A2087" t="s">
        <v>15</v>
      </c>
      <c r="B2087" t="s">
        <v>1794</v>
      </c>
      <c r="C2087">
        <v>45402</v>
      </c>
      <c r="D2087">
        <v>0</v>
      </c>
      <c r="F2087">
        <v>0</v>
      </c>
    </row>
    <row r="2088" spans="1:6" x14ac:dyDescent="0.25">
      <c r="A2088" t="s">
        <v>16</v>
      </c>
      <c r="B2088" t="s">
        <v>1795</v>
      </c>
      <c r="C2088">
        <v>45403</v>
      </c>
      <c r="D2088">
        <v>0</v>
      </c>
      <c r="F2088">
        <v>0</v>
      </c>
    </row>
    <row r="2089" spans="1:6" x14ac:dyDescent="0.25">
      <c r="A2089" t="s">
        <v>25</v>
      </c>
      <c r="B2089" t="s">
        <v>1796</v>
      </c>
      <c r="C2089">
        <v>45404</v>
      </c>
      <c r="D2089">
        <v>0</v>
      </c>
      <c r="F2089">
        <v>0</v>
      </c>
    </row>
    <row r="2090" spans="1:6" x14ac:dyDescent="0.25">
      <c r="A2090" t="s">
        <v>26</v>
      </c>
      <c r="B2090" t="s">
        <v>1797</v>
      </c>
      <c r="C2090">
        <v>45405</v>
      </c>
      <c r="D2090">
        <v>0</v>
      </c>
      <c r="F2090">
        <v>0</v>
      </c>
    </row>
    <row r="2091" spans="1:6" x14ac:dyDescent="0.25">
      <c r="B2091" t="s">
        <v>2061</v>
      </c>
      <c r="D2091">
        <v>0</v>
      </c>
      <c r="F2091">
        <v>0</v>
      </c>
    </row>
    <row r="2092" spans="1:6" x14ac:dyDescent="0.25">
      <c r="B2092" t="s">
        <v>2469</v>
      </c>
    </row>
    <row r="2093" spans="1:6" x14ac:dyDescent="0.25">
      <c r="A2093" t="s">
        <v>2</v>
      </c>
      <c r="B2093" t="s">
        <v>1793</v>
      </c>
      <c r="C2093">
        <v>45501</v>
      </c>
      <c r="D2093">
        <v>296155</v>
      </c>
      <c r="F2093">
        <v>296155</v>
      </c>
    </row>
    <row r="2094" spans="1:6" x14ac:dyDescent="0.25">
      <c r="A2094" t="s">
        <v>15</v>
      </c>
      <c r="B2094" t="s">
        <v>1794</v>
      </c>
      <c r="C2094">
        <v>45502</v>
      </c>
      <c r="D2094">
        <v>0</v>
      </c>
      <c r="F2094">
        <v>0</v>
      </c>
    </row>
    <row r="2095" spans="1:6" x14ac:dyDescent="0.25">
      <c r="A2095" t="s">
        <v>16</v>
      </c>
      <c r="B2095" t="s">
        <v>1795</v>
      </c>
      <c r="C2095">
        <v>45503</v>
      </c>
      <c r="D2095">
        <v>116327</v>
      </c>
      <c r="F2095">
        <v>116327</v>
      </c>
    </row>
    <row r="2096" spans="1:6" x14ac:dyDescent="0.25">
      <c r="A2096" t="s">
        <v>25</v>
      </c>
      <c r="B2096" t="s">
        <v>1796</v>
      </c>
      <c r="C2096">
        <v>45504</v>
      </c>
      <c r="D2096">
        <v>41</v>
      </c>
      <c r="F2096">
        <v>41</v>
      </c>
    </row>
    <row r="2097" spans="1:6" x14ac:dyDescent="0.25">
      <c r="A2097" t="s">
        <v>26</v>
      </c>
      <c r="B2097" t="s">
        <v>1797</v>
      </c>
      <c r="C2097">
        <v>45505</v>
      </c>
      <c r="D2097">
        <v>0</v>
      </c>
      <c r="F2097">
        <v>0</v>
      </c>
    </row>
    <row r="2098" spans="1:6" x14ac:dyDescent="0.25">
      <c r="B2098" t="s">
        <v>2063</v>
      </c>
      <c r="D2098">
        <v>412523</v>
      </c>
      <c r="F2098">
        <v>412523</v>
      </c>
    </row>
    <row r="2099" spans="1:6" x14ac:dyDescent="0.25">
      <c r="B2099" t="s">
        <v>2470</v>
      </c>
    </row>
    <row r="2100" spans="1:6" x14ac:dyDescent="0.25">
      <c r="A2100" t="s">
        <v>2</v>
      </c>
      <c r="B2100" t="s">
        <v>2394</v>
      </c>
      <c r="C2100">
        <v>45601</v>
      </c>
      <c r="D2100">
        <v>0</v>
      </c>
      <c r="F2100">
        <v>0</v>
      </c>
    </row>
    <row r="2101" spans="1:6" x14ac:dyDescent="0.25">
      <c r="A2101" t="s">
        <v>15</v>
      </c>
      <c r="B2101" t="s">
        <v>2395</v>
      </c>
      <c r="C2101">
        <v>45602</v>
      </c>
      <c r="D2101">
        <v>0</v>
      </c>
      <c r="F2101">
        <v>0</v>
      </c>
    </row>
    <row r="2102" spans="1:6" x14ac:dyDescent="0.25">
      <c r="A2102" t="s">
        <v>16</v>
      </c>
      <c r="B2102" t="s">
        <v>2396</v>
      </c>
      <c r="C2102">
        <v>45603</v>
      </c>
      <c r="D2102">
        <v>0</v>
      </c>
      <c r="F2102">
        <v>0</v>
      </c>
    </row>
    <row r="2103" spans="1:6" x14ac:dyDescent="0.25">
      <c r="A2103" t="s">
        <v>25</v>
      </c>
      <c r="B2103" t="s">
        <v>2397</v>
      </c>
      <c r="C2103">
        <v>45604</v>
      </c>
      <c r="D2103">
        <v>0</v>
      </c>
      <c r="F2103">
        <v>0</v>
      </c>
    </row>
    <row r="2104" spans="1:6" x14ac:dyDescent="0.25">
      <c r="A2104" t="s">
        <v>26</v>
      </c>
      <c r="B2104" t="s">
        <v>2398</v>
      </c>
      <c r="C2104">
        <v>45605</v>
      </c>
      <c r="D2104">
        <v>0</v>
      </c>
      <c r="F2104">
        <v>0</v>
      </c>
    </row>
    <row r="2105" spans="1:6" x14ac:dyDescent="0.25">
      <c r="A2105" t="s">
        <v>27</v>
      </c>
      <c r="B2105" t="s">
        <v>2399</v>
      </c>
      <c r="C2105">
        <v>45606</v>
      </c>
      <c r="D2105">
        <v>0</v>
      </c>
      <c r="F2105">
        <v>0</v>
      </c>
    </row>
    <row r="2106" spans="1:6" x14ac:dyDescent="0.25">
      <c r="A2106" t="s">
        <v>531</v>
      </c>
      <c r="B2106" t="s">
        <v>2400</v>
      </c>
      <c r="C2106">
        <v>45607</v>
      </c>
      <c r="D2106">
        <v>0</v>
      </c>
      <c r="F2106">
        <v>0</v>
      </c>
    </row>
    <row r="2107" spans="1:6" x14ac:dyDescent="0.25">
      <c r="A2107" t="s">
        <v>1583</v>
      </c>
      <c r="B2107" t="s">
        <v>2401</v>
      </c>
      <c r="C2107">
        <v>45608</v>
      </c>
      <c r="D2107">
        <v>0</v>
      </c>
      <c r="F2107">
        <v>0</v>
      </c>
    </row>
    <row r="2108" spans="1:6" x14ac:dyDescent="0.25">
      <c r="A2108" t="s">
        <v>1585</v>
      </c>
      <c r="B2108" t="s">
        <v>2402</v>
      </c>
      <c r="C2108">
        <v>45609</v>
      </c>
      <c r="D2108">
        <v>0</v>
      </c>
      <c r="F2108">
        <v>0</v>
      </c>
    </row>
    <row r="2109" spans="1:6" x14ac:dyDescent="0.25">
      <c r="A2109" t="s">
        <v>1587</v>
      </c>
      <c r="B2109" t="s">
        <v>2403</v>
      </c>
      <c r="C2109">
        <v>45610</v>
      </c>
      <c r="D2109">
        <v>0</v>
      </c>
      <c r="F2109">
        <v>0</v>
      </c>
    </row>
    <row r="2110" spans="1:6" x14ac:dyDescent="0.25">
      <c r="A2110" t="s">
        <v>1589</v>
      </c>
      <c r="B2110" t="s">
        <v>2404</v>
      </c>
      <c r="C2110">
        <v>45611</v>
      </c>
      <c r="D2110">
        <v>0</v>
      </c>
      <c r="F2110">
        <v>0</v>
      </c>
    </row>
    <row r="2111" spans="1:6" x14ac:dyDescent="0.25">
      <c r="A2111" t="s">
        <v>1591</v>
      </c>
      <c r="B2111" t="s">
        <v>2471</v>
      </c>
      <c r="C2111">
        <v>45612</v>
      </c>
      <c r="D2111">
        <v>0</v>
      </c>
      <c r="F2111">
        <v>0</v>
      </c>
    </row>
    <row r="2112" spans="1:6" x14ac:dyDescent="0.25">
      <c r="A2112" t="s">
        <v>1593</v>
      </c>
      <c r="B2112" t="s">
        <v>2406</v>
      </c>
      <c r="C2112">
        <v>45613</v>
      </c>
      <c r="D2112">
        <v>0</v>
      </c>
      <c r="F2112">
        <v>0</v>
      </c>
    </row>
    <row r="2113" spans="1:6" x14ac:dyDescent="0.25">
      <c r="A2113" t="s">
        <v>1595</v>
      </c>
      <c r="B2113" t="s">
        <v>2407</v>
      </c>
      <c r="C2113">
        <v>45614</v>
      </c>
      <c r="D2113">
        <v>0</v>
      </c>
      <c r="F2113">
        <v>0</v>
      </c>
    </row>
    <row r="2114" spans="1:6" x14ac:dyDescent="0.25">
      <c r="A2114" t="s">
        <v>1597</v>
      </c>
      <c r="B2114" t="s">
        <v>2408</v>
      </c>
      <c r="C2114">
        <v>45615</v>
      </c>
      <c r="D2114">
        <v>0</v>
      </c>
      <c r="F2114">
        <v>0</v>
      </c>
    </row>
    <row r="2115" spans="1:6" x14ac:dyDescent="0.25">
      <c r="A2115" t="s">
        <v>1599</v>
      </c>
      <c r="B2115" t="s">
        <v>2409</v>
      </c>
      <c r="C2115">
        <v>45616</v>
      </c>
      <c r="D2115">
        <v>0</v>
      </c>
      <c r="F2115">
        <v>0</v>
      </c>
    </row>
    <row r="2116" spans="1:6" x14ac:dyDescent="0.25">
      <c r="A2116" t="s">
        <v>1601</v>
      </c>
      <c r="B2116" t="s">
        <v>2410</v>
      </c>
      <c r="C2116">
        <v>45617</v>
      </c>
      <c r="D2116">
        <v>0</v>
      </c>
      <c r="F2116">
        <v>0</v>
      </c>
    </row>
    <row r="2117" spans="1:6" x14ac:dyDescent="0.25">
      <c r="A2117" t="s">
        <v>1603</v>
      </c>
      <c r="B2117" t="s">
        <v>2411</v>
      </c>
      <c r="C2117">
        <v>45618</v>
      </c>
      <c r="D2117">
        <v>0</v>
      </c>
      <c r="F2117">
        <v>0</v>
      </c>
    </row>
    <row r="2118" spans="1:6" x14ac:dyDescent="0.25">
      <c r="A2118" t="s">
        <v>1605</v>
      </c>
      <c r="B2118" t="s">
        <v>2412</v>
      </c>
      <c r="C2118">
        <v>45619</v>
      </c>
      <c r="D2118">
        <v>0</v>
      </c>
      <c r="F2118">
        <v>0</v>
      </c>
    </row>
    <row r="2119" spans="1:6" x14ac:dyDescent="0.25">
      <c r="A2119" t="s">
        <v>1607</v>
      </c>
      <c r="B2119" t="s">
        <v>2413</v>
      </c>
      <c r="C2119">
        <v>45620</v>
      </c>
      <c r="D2119">
        <v>0</v>
      </c>
      <c r="F2119">
        <v>0</v>
      </c>
    </row>
    <row r="2120" spans="1:6" x14ac:dyDescent="0.25">
      <c r="A2120" t="s">
        <v>2336</v>
      </c>
      <c r="B2120" t="s">
        <v>2414</v>
      </c>
      <c r="C2120">
        <v>45621</v>
      </c>
      <c r="D2120">
        <v>0</v>
      </c>
      <c r="F2120">
        <v>0</v>
      </c>
    </row>
    <row r="2121" spans="1:6" x14ac:dyDescent="0.25">
      <c r="A2121" t="s">
        <v>2338</v>
      </c>
      <c r="B2121" t="s">
        <v>2472</v>
      </c>
      <c r="C2121">
        <v>45622</v>
      </c>
      <c r="D2121">
        <v>0</v>
      </c>
      <c r="F2121">
        <v>0</v>
      </c>
    </row>
    <row r="2122" spans="1:6" x14ac:dyDescent="0.25">
      <c r="A2122" t="s">
        <v>2340</v>
      </c>
      <c r="B2122" t="s">
        <v>2416</v>
      </c>
      <c r="C2122">
        <v>45623</v>
      </c>
      <c r="D2122">
        <v>0</v>
      </c>
      <c r="F2122">
        <v>0</v>
      </c>
    </row>
    <row r="2123" spans="1:6" x14ac:dyDescent="0.25">
      <c r="A2123" t="s">
        <v>2342</v>
      </c>
      <c r="B2123" t="s">
        <v>2417</v>
      </c>
      <c r="C2123">
        <v>45624</v>
      </c>
      <c r="D2123">
        <v>0</v>
      </c>
      <c r="F2123">
        <v>0</v>
      </c>
    </row>
    <row r="2124" spans="1:6" x14ac:dyDescent="0.25">
      <c r="A2124" t="s">
        <v>2344</v>
      </c>
      <c r="B2124" t="s">
        <v>2418</v>
      </c>
      <c r="C2124">
        <v>45625</v>
      </c>
      <c r="D2124">
        <v>0</v>
      </c>
      <c r="F2124">
        <v>0</v>
      </c>
    </row>
    <row r="2125" spans="1:6" x14ac:dyDescent="0.25">
      <c r="A2125" t="s">
        <v>2346</v>
      </c>
      <c r="B2125" t="s">
        <v>2419</v>
      </c>
      <c r="C2125">
        <v>45626</v>
      </c>
      <c r="D2125">
        <v>0</v>
      </c>
      <c r="F2125">
        <v>0</v>
      </c>
    </row>
    <row r="2126" spans="1:6" x14ac:dyDescent="0.25">
      <c r="A2126" t="s">
        <v>2348</v>
      </c>
      <c r="B2126" t="s">
        <v>2420</v>
      </c>
      <c r="C2126">
        <v>45627</v>
      </c>
      <c r="D2126">
        <v>0</v>
      </c>
      <c r="F2126">
        <v>0</v>
      </c>
    </row>
    <row r="2127" spans="1:6" x14ac:dyDescent="0.25">
      <c r="B2127" t="s">
        <v>2473</v>
      </c>
      <c r="D2127">
        <v>0</v>
      </c>
      <c r="F2127">
        <v>0</v>
      </c>
    </row>
    <row r="2128" spans="1:6" x14ac:dyDescent="0.25">
      <c r="B2128" t="s">
        <v>1728</v>
      </c>
      <c r="D2128">
        <v>140938297</v>
      </c>
      <c r="F2128">
        <v>140938297</v>
      </c>
    </row>
    <row r="2129" spans="1:6" x14ac:dyDescent="0.25">
      <c r="B2129" t="s">
        <v>2066</v>
      </c>
    </row>
    <row r="2130" spans="1:6" x14ac:dyDescent="0.25">
      <c r="B2130" t="s">
        <v>2067</v>
      </c>
    </row>
    <row r="2131" spans="1:6" x14ac:dyDescent="0.25">
      <c r="A2131" t="s">
        <v>2</v>
      </c>
      <c r="B2131" t="s">
        <v>2474</v>
      </c>
      <c r="C2131">
        <v>46101</v>
      </c>
      <c r="D2131">
        <v>98864</v>
      </c>
      <c r="F2131">
        <v>98864</v>
      </c>
    </row>
    <row r="2132" spans="1:6" x14ac:dyDescent="0.25">
      <c r="B2132" t="s">
        <v>2069</v>
      </c>
    </row>
    <row r="2133" spans="1:6" x14ac:dyDescent="0.25">
      <c r="A2133" t="s">
        <v>2</v>
      </c>
      <c r="B2133" t="s">
        <v>2475</v>
      </c>
      <c r="C2133">
        <v>46201</v>
      </c>
      <c r="D2133">
        <v>65401518</v>
      </c>
      <c r="F2133">
        <v>65401518</v>
      </c>
    </row>
    <row r="2134" spans="1:6" x14ac:dyDescent="0.25">
      <c r="B2134" t="s">
        <v>2604</v>
      </c>
    </row>
    <row r="2135" spans="1:6" x14ac:dyDescent="0.25">
      <c r="A2135" t="s">
        <v>2</v>
      </c>
      <c r="B2135" t="s">
        <v>2477</v>
      </c>
      <c r="C2135">
        <v>46301</v>
      </c>
      <c r="D2135">
        <v>106232875</v>
      </c>
      <c r="F2135">
        <v>106232875</v>
      </c>
    </row>
    <row r="2136" spans="1:6" x14ac:dyDescent="0.25">
      <c r="B2136" t="s">
        <v>2073</v>
      </c>
    </row>
    <row r="2137" spans="1:6" x14ac:dyDescent="0.25">
      <c r="A2137" t="s">
        <v>2</v>
      </c>
      <c r="B2137" t="s">
        <v>2478</v>
      </c>
      <c r="C2137">
        <v>46401</v>
      </c>
      <c r="D2137">
        <v>24877</v>
      </c>
      <c r="F2137">
        <v>24877</v>
      </c>
    </row>
    <row r="2138" spans="1:6" x14ac:dyDescent="0.25">
      <c r="B2138" t="s">
        <v>2280</v>
      </c>
    </row>
    <row r="2139" spans="1:6" x14ac:dyDescent="0.25">
      <c r="A2139" t="s">
        <v>2</v>
      </c>
      <c r="B2139" t="s">
        <v>2479</v>
      </c>
      <c r="C2139">
        <v>46501</v>
      </c>
      <c r="D2139">
        <v>1095422</v>
      </c>
      <c r="F2139">
        <v>1095422</v>
      </c>
    </row>
    <row r="2140" spans="1:6" x14ac:dyDescent="0.25">
      <c r="B2140" t="s">
        <v>1732</v>
      </c>
      <c r="D2140">
        <v>172853556</v>
      </c>
      <c r="F2140">
        <v>172853556</v>
      </c>
    </row>
    <row r="2141" spans="1:6" x14ac:dyDescent="0.25">
      <c r="B2141" t="s">
        <v>2077</v>
      </c>
    </row>
    <row r="2142" spans="1:6" x14ac:dyDescent="0.25">
      <c r="B2142" t="s">
        <v>2078</v>
      </c>
    </row>
    <row r="2143" spans="1:6" x14ac:dyDescent="0.25">
      <c r="A2143" t="s">
        <v>2</v>
      </c>
      <c r="B2143" t="s">
        <v>2079</v>
      </c>
      <c r="C2143">
        <v>47101</v>
      </c>
      <c r="D2143">
        <v>0</v>
      </c>
      <c r="E2143">
        <v>40673</v>
      </c>
      <c r="F2143">
        <v>40673</v>
      </c>
    </row>
    <row r="2144" spans="1:6" x14ac:dyDescent="0.25">
      <c r="A2144" t="s">
        <v>15</v>
      </c>
      <c r="B2144" t="s">
        <v>2080</v>
      </c>
      <c r="C2144">
        <v>47102</v>
      </c>
      <c r="D2144">
        <v>0</v>
      </c>
      <c r="E2144">
        <v>0</v>
      </c>
      <c r="F2144">
        <v>0</v>
      </c>
    </row>
    <row r="2145" spans="1:6" x14ac:dyDescent="0.25">
      <c r="A2145" t="s">
        <v>16</v>
      </c>
      <c r="B2145" t="s">
        <v>2081</v>
      </c>
      <c r="C2145">
        <v>47103</v>
      </c>
      <c r="D2145">
        <v>1362933</v>
      </c>
      <c r="E2145">
        <v>711985</v>
      </c>
      <c r="F2145">
        <v>2074918</v>
      </c>
    </row>
    <row r="2146" spans="1:6" x14ac:dyDescent="0.25">
      <c r="A2146" t="s">
        <v>25</v>
      </c>
      <c r="B2146" t="s">
        <v>2082</v>
      </c>
      <c r="C2146">
        <v>47104</v>
      </c>
      <c r="D2146">
        <v>82900</v>
      </c>
      <c r="E2146">
        <v>0</v>
      </c>
      <c r="F2146">
        <v>82900</v>
      </c>
    </row>
    <row r="2147" spans="1:6" x14ac:dyDescent="0.25">
      <c r="A2147" t="s">
        <v>26</v>
      </c>
      <c r="B2147" t="s">
        <v>2083</v>
      </c>
      <c r="C2147">
        <v>47105</v>
      </c>
      <c r="D2147">
        <v>3375</v>
      </c>
      <c r="E2147">
        <v>11509</v>
      </c>
      <c r="F2147">
        <v>14884</v>
      </c>
    </row>
    <row r="2148" spans="1:6" x14ac:dyDescent="0.25">
      <c r="A2148" t="s">
        <v>27</v>
      </c>
      <c r="B2148" t="s">
        <v>2084</v>
      </c>
      <c r="C2148">
        <v>47106</v>
      </c>
      <c r="D2148">
        <v>71887</v>
      </c>
      <c r="E2148">
        <v>0</v>
      </c>
      <c r="F2148">
        <v>71887</v>
      </c>
    </row>
    <row r="2149" spans="1:6" x14ac:dyDescent="0.25">
      <c r="A2149" t="s">
        <v>531</v>
      </c>
      <c r="B2149" t="s">
        <v>2086</v>
      </c>
      <c r="C2149">
        <v>47108</v>
      </c>
      <c r="D2149">
        <v>222731</v>
      </c>
      <c r="E2149">
        <v>0</v>
      </c>
      <c r="F2149">
        <v>222731</v>
      </c>
    </row>
    <row r="2150" spans="1:6" x14ac:dyDescent="0.25">
      <c r="A2150" t="s">
        <v>1583</v>
      </c>
      <c r="B2150" t="s">
        <v>2087</v>
      </c>
      <c r="C2150">
        <v>47109</v>
      </c>
      <c r="D2150">
        <v>1874</v>
      </c>
      <c r="E2150">
        <v>16</v>
      </c>
      <c r="F2150">
        <v>1890</v>
      </c>
    </row>
    <row r="2151" spans="1:6" x14ac:dyDescent="0.25">
      <c r="B2151" t="s">
        <v>2088</v>
      </c>
      <c r="D2151">
        <v>1745700</v>
      </c>
      <c r="E2151">
        <v>764183</v>
      </c>
      <c r="F2151">
        <v>2509883</v>
      </c>
    </row>
    <row r="2152" spans="1:6" x14ac:dyDescent="0.25">
      <c r="B2152" t="s">
        <v>2089</v>
      </c>
    </row>
    <row r="2153" spans="1:6" x14ac:dyDescent="0.25">
      <c r="A2153" t="s">
        <v>2</v>
      </c>
      <c r="B2153" t="s">
        <v>2090</v>
      </c>
      <c r="C2153">
        <v>47201</v>
      </c>
      <c r="D2153">
        <v>0</v>
      </c>
      <c r="F2153">
        <v>0</v>
      </c>
    </row>
    <row r="2154" spans="1:6" x14ac:dyDescent="0.25">
      <c r="A2154" t="s">
        <v>15</v>
      </c>
      <c r="B2154" t="s">
        <v>2091</v>
      </c>
      <c r="C2154">
        <v>47202</v>
      </c>
      <c r="D2154">
        <v>0</v>
      </c>
      <c r="F2154">
        <v>0</v>
      </c>
    </row>
    <row r="2155" spans="1:6" x14ac:dyDescent="0.25">
      <c r="A2155" t="s">
        <v>16</v>
      </c>
      <c r="B2155" t="s">
        <v>2092</v>
      </c>
      <c r="C2155">
        <v>47203</v>
      </c>
      <c r="D2155">
        <v>0</v>
      </c>
      <c r="F2155">
        <v>0</v>
      </c>
    </row>
    <row r="2156" spans="1:6" x14ac:dyDescent="0.25">
      <c r="A2156" t="s">
        <v>25</v>
      </c>
      <c r="B2156" t="s">
        <v>2093</v>
      </c>
      <c r="C2156">
        <v>47204</v>
      </c>
      <c r="D2156">
        <v>0</v>
      </c>
      <c r="F2156">
        <v>0</v>
      </c>
    </row>
    <row r="2157" spans="1:6" x14ac:dyDescent="0.25">
      <c r="B2157" t="s">
        <v>2094</v>
      </c>
      <c r="D2157">
        <v>0</v>
      </c>
      <c r="F2157">
        <v>0</v>
      </c>
    </row>
    <row r="2158" spans="1:6" x14ac:dyDescent="0.25">
      <c r="B2158" t="s">
        <v>2480</v>
      </c>
    </row>
    <row r="2159" spans="1:6" x14ac:dyDescent="0.25">
      <c r="A2159" t="s">
        <v>2</v>
      </c>
      <c r="B2159" t="s">
        <v>2096</v>
      </c>
      <c r="C2159">
        <v>47301</v>
      </c>
      <c r="D2159">
        <v>533521</v>
      </c>
      <c r="F2159">
        <v>533521</v>
      </c>
    </row>
    <row r="2160" spans="1:6" x14ac:dyDescent="0.25">
      <c r="A2160" t="s">
        <v>15</v>
      </c>
      <c r="B2160" t="s">
        <v>2097</v>
      </c>
      <c r="C2160">
        <v>47302</v>
      </c>
      <c r="D2160">
        <v>8872289</v>
      </c>
      <c r="F2160">
        <v>8872289</v>
      </c>
    </row>
    <row r="2161" spans="1:6" x14ac:dyDescent="0.25">
      <c r="A2161" t="s">
        <v>16</v>
      </c>
      <c r="B2161" t="s">
        <v>2550</v>
      </c>
      <c r="C2161">
        <v>47303</v>
      </c>
      <c r="D2161">
        <v>0</v>
      </c>
      <c r="F2161">
        <v>0</v>
      </c>
    </row>
    <row r="2162" spans="1:6" x14ac:dyDescent="0.25">
      <c r="A2162" t="s">
        <v>25</v>
      </c>
      <c r="B2162" t="s">
        <v>2099</v>
      </c>
      <c r="C2162">
        <v>47304</v>
      </c>
      <c r="D2162">
        <v>4763242</v>
      </c>
      <c r="F2162">
        <v>4763242</v>
      </c>
    </row>
    <row r="2163" spans="1:6" x14ac:dyDescent="0.25">
      <c r="A2163" t="s">
        <v>26</v>
      </c>
      <c r="B2163" t="s">
        <v>2481</v>
      </c>
      <c r="C2163">
        <v>47305</v>
      </c>
      <c r="D2163">
        <v>9846835</v>
      </c>
      <c r="F2163">
        <v>9846835</v>
      </c>
    </row>
    <row r="2164" spans="1:6" x14ac:dyDescent="0.25">
      <c r="B2164" t="s">
        <v>2482</v>
      </c>
      <c r="D2164">
        <v>24015887</v>
      </c>
      <c r="F2164">
        <v>24015887</v>
      </c>
    </row>
    <row r="2165" spans="1:6" x14ac:dyDescent="0.25">
      <c r="B2165" t="s">
        <v>1885</v>
      </c>
    </row>
    <row r="2166" spans="1:6" x14ac:dyDescent="0.25">
      <c r="A2166" t="s">
        <v>2</v>
      </c>
      <c r="B2166" t="s">
        <v>1886</v>
      </c>
      <c r="C2166">
        <v>47401</v>
      </c>
      <c r="D2166">
        <v>6811</v>
      </c>
      <c r="E2166">
        <v>0</v>
      </c>
      <c r="F2166">
        <v>6811</v>
      </c>
    </row>
    <row r="2167" spans="1:6" x14ac:dyDescent="0.25">
      <c r="A2167" t="s">
        <v>15</v>
      </c>
      <c r="B2167" t="s">
        <v>1887</v>
      </c>
      <c r="C2167">
        <v>47402</v>
      </c>
      <c r="D2167">
        <v>20</v>
      </c>
      <c r="E2167">
        <v>0</v>
      </c>
      <c r="F2167">
        <v>20</v>
      </c>
    </row>
    <row r="2168" spans="1:6" x14ac:dyDescent="0.25">
      <c r="B2168" t="s">
        <v>2101</v>
      </c>
      <c r="D2168">
        <v>6831</v>
      </c>
      <c r="E2168">
        <v>0</v>
      </c>
      <c r="F2168">
        <v>6831</v>
      </c>
    </row>
    <row r="2169" spans="1:6" x14ac:dyDescent="0.25">
      <c r="B2169" t="s">
        <v>2551</v>
      </c>
    </row>
    <row r="2170" spans="1:6" x14ac:dyDescent="0.25">
      <c r="A2170" t="s">
        <v>2</v>
      </c>
      <c r="B2170" t="s">
        <v>2103</v>
      </c>
      <c r="C2170">
        <v>47501</v>
      </c>
      <c r="D2170">
        <v>0</v>
      </c>
      <c r="F2170">
        <v>0</v>
      </c>
    </row>
    <row r="2171" spans="1:6" x14ac:dyDescent="0.25">
      <c r="A2171" t="s">
        <v>15</v>
      </c>
      <c r="B2171" t="s">
        <v>2104</v>
      </c>
      <c r="C2171">
        <v>47502</v>
      </c>
      <c r="D2171">
        <v>0</v>
      </c>
      <c r="F2171">
        <v>0</v>
      </c>
    </row>
    <row r="2172" spans="1:6" x14ac:dyDescent="0.25">
      <c r="A2172" t="s">
        <v>16</v>
      </c>
      <c r="B2172" t="s">
        <v>2105</v>
      </c>
      <c r="C2172">
        <v>47503</v>
      </c>
      <c r="D2172">
        <v>421</v>
      </c>
      <c r="F2172">
        <v>421</v>
      </c>
    </row>
    <row r="2173" spans="1:6" x14ac:dyDescent="0.25">
      <c r="A2173" t="s">
        <v>25</v>
      </c>
      <c r="B2173" t="s">
        <v>2106</v>
      </c>
      <c r="C2173">
        <v>47504</v>
      </c>
      <c r="D2173">
        <v>0</v>
      </c>
      <c r="E2173">
        <v>0</v>
      </c>
      <c r="F2173">
        <v>0</v>
      </c>
    </row>
    <row r="2174" spans="1:6" x14ac:dyDescent="0.25">
      <c r="A2174" t="s">
        <v>26</v>
      </c>
      <c r="B2174" t="s">
        <v>2107</v>
      </c>
      <c r="C2174">
        <v>47505</v>
      </c>
      <c r="D2174">
        <v>1627</v>
      </c>
      <c r="E2174">
        <v>0</v>
      </c>
      <c r="F2174">
        <v>1627</v>
      </c>
    </row>
    <row r="2175" spans="1:6" x14ac:dyDescent="0.25">
      <c r="A2175" t="s">
        <v>27</v>
      </c>
      <c r="B2175" t="s">
        <v>2108</v>
      </c>
      <c r="C2175">
        <v>47506</v>
      </c>
      <c r="D2175">
        <v>0</v>
      </c>
      <c r="F2175">
        <v>0</v>
      </c>
    </row>
    <row r="2176" spans="1:6" x14ac:dyDescent="0.25">
      <c r="B2176" t="s">
        <v>2109</v>
      </c>
      <c r="D2176">
        <v>2048</v>
      </c>
      <c r="E2176">
        <v>0</v>
      </c>
      <c r="F2176">
        <v>2048</v>
      </c>
    </row>
    <row r="2177" spans="1:6" x14ac:dyDescent="0.25">
      <c r="B2177" t="s">
        <v>2110</v>
      </c>
    </row>
    <row r="2178" spans="1:6" x14ac:dyDescent="0.25">
      <c r="A2178" t="s">
        <v>2</v>
      </c>
      <c r="B2178" t="s">
        <v>2111</v>
      </c>
      <c r="C2178">
        <v>47601</v>
      </c>
      <c r="D2178">
        <v>3345</v>
      </c>
      <c r="F2178">
        <v>3345</v>
      </c>
    </row>
    <row r="2179" spans="1:6" x14ac:dyDescent="0.25">
      <c r="A2179" t="s">
        <v>15</v>
      </c>
      <c r="B2179" t="s">
        <v>2112</v>
      </c>
      <c r="C2179">
        <v>47602</v>
      </c>
      <c r="D2179">
        <v>58133</v>
      </c>
      <c r="F2179">
        <v>58133</v>
      </c>
    </row>
    <row r="2180" spans="1:6" x14ac:dyDescent="0.25">
      <c r="B2180" t="s">
        <v>2113</v>
      </c>
      <c r="D2180">
        <v>61478</v>
      </c>
      <c r="F2180">
        <v>61478</v>
      </c>
    </row>
    <row r="2181" spans="1:6" x14ac:dyDescent="0.25">
      <c r="B2181" t="s">
        <v>2114</v>
      </c>
    </row>
    <row r="2182" spans="1:6" x14ac:dyDescent="0.25">
      <c r="A2182" t="s">
        <v>2</v>
      </c>
      <c r="B2182" t="s">
        <v>2115</v>
      </c>
      <c r="C2182">
        <v>47701</v>
      </c>
      <c r="D2182">
        <v>1787</v>
      </c>
      <c r="F2182">
        <v>1787</v>
      </c>
    </row>
    <row r="2183" spans="1:6" x14ac:dyDescent="0.25">
      <c r="A2183" t="s">
        <v>15</v>
      </c>
      <c r="B2183" t="s">
        <v>2116</v>
      </c>
      <c r="C2183">
        <v>47702</v>
      </c>
      <c r="D2183">
        <v>0</v>
      </c>
      <c r="F2183">
        <v>0</v>
      </c>
    </row>
    <row r="2184" spans="1:6" x14ac:dyDescent="0.25">
      <c r="A2184" t="s">
        <v>16</v>
      </c>
      <c r="B2184" t="s">
        <v>2117</v>
      </c>
      <c r="C2184">
        <v>47703</v>
      </c>
      <c r="D2184">
        <v>0</v>
      </c>
      <c r="F2184">
        <v>0</v>
      </c>
    </row>
    <row r="2185" spans="1:6" x14ac:dyDescent="0.25">
      <c r="A2185" t="s">
        <v>25</v>
      </c>
      <c r="B2185" t="s">
        <v>2118</v>
      </c>
      <c r="C2185">
        <v>47704</v>
      </c>
      <c r="D2185">
        <v>0</v>
      </c>
      <c r="F2185">
        <v>0</v>
      </c>
    </row>
    <row r="2186" spans="1:6" x14ac:dyDescent="0.25">
      <c r="B2186" t="s">
        <v>2119</v>
      </c>
      <c r="D2186">
        <v>1787</v>
      </c>
      <c r="F2186">
        <v>1787</v>
      </c>
    </row>
    <row r="2187" spans="1:6" x14ac:dyDescent="0.25">
      <c r="B2187" t="s">
        <v>2120</v>
      </c>
    </row>
    <row r="2188" spans="1:6" x14ac:dyDescent="0.25">
      <c r="A2188" t="s">
        <v>2</v>
      </c>
      <c r="B2188" t="s">
        <v>2121</v>
      </c>
      <c r="C2188">
        <v>47801</v>
      </c>
      <c r="D2188">
        <v>0</v>
      </c>
      <c r="E2188">
        <v>0</v>
      </c>
      <c r="F2188">
        <v>0</v>
      </c>
    </row>
    <row r="2189" spans="1:6" x14ac:dyDescent="0.25">
      <c r="A2189" t="s">
        <v>15</v>
      </c>
      <c r="B2189" t="s">
        <v>2123</v>
      </c>
      <c r="C2189">
        <v>47803</v>
      </c>
      <c r="D2189">
        <v>674059</v>
      </c>
      <c r="E2189">
        <v>93543</v>
      </c>
      <c r="F2189">
        <v>767602</v>
      </c>
    </row>
    <row r="2190" spans="1:6" x14ac:dyDescent="0.25">
      <c r="A2190" t="s">
        <v>16</v>
      </c>
      <c r="B2190" t="s">
        <v>2552</v>
      </c>
      <c r="C2190">
        <v>47804</v>
      </c>
      <c r="D2190">
        <v>0</v>
      </c>
      <c r="E2190">
        <v>0</v>
      </c>
      <c r="F2190">
        <v>0</v>
      </c>
    </row>
    <row r="2191" spans="1:6" x14ac:dyDescent="0.25">
      <c r="A2191" t="s">
        <v>25</v>
      </c>
      <c r="B2191" t="s">
        <v>2553</v>
      </c>
      <c r="C2191">
        <v>47805</v>
      </c>
      <c r="D2191">
        <v>32465</v>
      </c>
      <c r="E2191">
        <v>0</v>
      </c>
      <c r="F2191">
        <v>32465</v>
      </c>
    </row>
    <row r="2192" spans="1:6" x14ac:dyDescent="0.25">
      <c r="B2192" t="s">
        <v>2554</v>
      </c>
      <c r="D2192">
        <v>706524</v>
      </c>
      <c r="E2192">
        <v>93543</v>
      </c>
      <c r="F2192">
        <v>800067</v>
      </c>
    </row>
    <row r="2193" spans="1:6" x14ac:dyDescent="0.25">
      <c r="B2193" t="s">
        <v>1866</v>
      </c>
      <c r="D2193">
        <v>26540255</v>
      </c>
      <c r="E2193">
        <v>857726</v>
      </c>
      <c r="F2193">
        <v>27397981</v>
      </c>
    </row>
    <row r="2194" spans="1:6" x14ac:dyDescent="0.25">
      <c r="B2194" t="s">
        <v>2483</v>
      </c>
    </row>
    <row r="2195" spans="1:6" x14ac:dyDescent="0.25">
      <c r="B2195" t="s">
        <v>1394</v>
      </c>
    </row>
    <row r="2196" spans="1:6" x14ac:dyDescent="0.25">
      <c r="A2196" t="s">
        <v>2</v>
      </c>
      <c r="B2196" t="s">
        <v>2126</v>
      </c>
      <c r="C2196">
        <v>48101</v>
      </c>
      <c r="D2196">
        <v>5077828</v>
      </c>
      <c r="E2196">
        <v>0</v>
      </c>
      <c r="F2196">
        <v>5077828</v>
      </c>
    </row>
    <row r="2197" spans="1:6" x14ac:dyDescent="0.25">
      <c r="A2197" t="s">
        <v>15</v>
      </c>
      <c r="B2197" t="s">
        <v>2127</v>
      </c>
      <c r="C2197">
        <v>48102</v>
      </c>
      <c r="D2197">
        <v>185951</v>
      </c>
      <c r="E2197">
        <v>0</v>
      </c>
      <c r="F2197">
        <v>185951</v>
      </c>
    </row>
    <row r="2198" spans="1:6" x14ac:dyDescent="0.25">
      <c r="A2198" t="s">
        <v>16</v>
      </c>
      <c r="B2198" t="s">
        <v>2128</v>
      </c>
      <c r="C2198">
        <v>48103</v>
      </c>
      <c r="D2198">
        <v>1328409</v>
      </c>
      <c r="E2198">
        <v>0</v>
      </c>
      <c r="F2198">
        <v>1328409</v>
      </c>
    </row>
    <row r="2199" spans="1:6" x14ac:dyDescent="0.25">
      <c r="A2199" t="s">
        <v>25</v>
      </c>
      <c r="B2199" t="s">
        <v>2129</v>
      </c>
      <c r="C2199">
        <v>48104</v>
      </c>
      <c r="D2199">
        <v>0</v>
      </c>
      <c r="E2199">
        <v>0</v>
      </c>
      <c r="F2199">
        <v>0</v>
      </c>
    </row>
    <row r="2200" spans="1:6" x14ac:dyDescent="0.25">
      <c r="A2200" t="s">
        <v>26</v>
      </c>
      <c r="B2200" t="s">
        <v>2130</v>
      </c>
      <c r="C2200">
        <v>48105</v>
      </c>
      <c r="D2200">
        <v>0</v>
      </c>
      <c r="E2200">
        <v>0</v>
      </c>
      <c r="F2200">
        <v>0</v>
      </c>
    </row>
    <row r="2201" spans="1:6" x14ac:dyDescent="0.25">
      <c r="A2201" t="s">
        <v>27</v>
      </c>
      <c r="B2201" t="s">
        <v>2131</v>
      </c>
      <c r="C2201">
        <v>48106</v>
      </c>
      <c r="D2201">
        <v>0</v>
      </c>
      <c r="E2201">
        <v>0</v>
      </c>
      <c r="F2201">
        <v>0</v>
      </c>
    </row>
    <row r="2202" spans="1:6" x14ac:dyDescent="0.25">
      <c r="A2202" t="s">
        <v>531</v>
      </c>
      <c r="B2202" t="s">
        <v>2132</v>
      </c>
      <c r="C2202">
        <v>48107</v>
      </c>
      <c r="D2202">
        <v>0</v>
      </c>
      <c r="E2202">
        <v>0</v>
      </c>
      <c r="F2202">
        <v>0</v>
      </c>
    </row>
    <row r="2203" spans="1:6" x14ac:dyDescent="0.25">
      <c r="A2203" t="s">
        <v>1583</v>
      </c>
      <c r="B2203" t="s">
        <v>2133</v>
      </c>
      <c r="C2203">
        <v>48108</v>
      </c>
      <c r="D2203">
        <v>0</v>
      </c>
      <c r="E2203">
        <v>0</v>
      </c>
      <c r="F2203">
        <v>0</v>
      </c>
    </row>
    <row r="2204" spans="1:6" x14ac:dyDescent="0.25">
      <c r="A2204" t="s">
        <v>1585</v>
      </c>
      <c r="B2204" t="s">
        <v>2134</v>
      </c>
      <c r="C2204">
        <v>48109</v>
      </c>
      <c r="D2204">
        <v>46840</v>
      </c>
      <c r="E2204">
        <v>0</v>
      </c>
      <c r="F2204">
        <v>46840</v>
      </c>
    </row>
    <row r="2205" spans="1:6" x14ac:dyDescent="0.25">
      <c r="A2205" t="s">
        <v>1587</v>
      </c>
      <c r="B2205" t="s">
        <v>2135</v>
      </c>
      <c r="C2205">
        <v>48110</v>
      </c>
      <c r="D2205">
        <v>0</v>
      </c>
      <c r="E2205">
        <v>0</v>
      </c>
      <c r="F2205">
        <v>0</v>
      </c>
    </row>
    <row r="2206" spans="1:6" x14ac:dyDescent="0.25">
      <c r="A2206" t="s">
        <v>1589</v>
      </c>
      <c r="B2206" t="s">
        <v>2136</v>
      </c>
      <c r="C2206">
        <v>48111</v>
      </c>
      <c r="D2206">
        <v>0</v>
      </c>
      <c r="E2206">
        <v>0</v>
      </c>
      <c r="F2206">
        <v>0</v>
      </c>
    </row>
    <row r="2207" spans="1:6" x14ac:dyDescent="0.25">
      <c r="A2207" t="s">
        <v>1591</v>
      </c>
      <c r="B2207" t="s">
        <v>2137</v>
      </c>
      <c r="C2207">
        <v>48112</v>
      </c>
      <c r="D2207">
        <v>3413</v>
      </c>
      <c r="E2207">
        <v>0</v>
      </c>
      <c r="F2207">
        <v>3413</v>
      </c>
    </row>
    <row r="2208" spans="1:6" x14ac:dyDescent="0.25">
      <c r="A2208" t="s">
        <v>1593</v>
      </c>
      <c r="B2208" t="s">
        <v>2138</v>
      </c>
      <c r="C2208">
        <v>48113</v>
      </c>
      <c r="D2208">
        <v>8415</v>
      </c>
      <c r="E2208">
        <v>0</v>
      </c>
      <c r="F2208">
        <v>8415</v>
      </c>
    </row>
    <row r="2209" spans="1:6" x14ac:dyDescent="0.25">
      <c r="B2209" t="s">
        <v>2139</v>
      </c>
      <c r="D2209">
        <v>6650856</v>
      </c>
      <c r="E2209">
        <v>0</v>
      </c>
      <c r="F2209">
        <v>6650856</v>
      </c>
    </row>
    <row r="2210" spans="1:6" x14ac:dyDescent="0.25">
      <c r="B2210" t="s">
        <v>1395</v>
      </c>
    </row>
    <row r="2211" spans="1:6" x14ac:dyDescent="0.25">
      <c r="A2211" t="s">
        <v>2</v>
      </c>
      <c r="B2211" t="s">
        <v>2141</v>
      </c>
      <c r="C2211">
        <v>48201</v>
      </c>
      <c r="D2211">
        <v>2849</v>
      </c>
      <c r="F2211">
        <v>2849</v>
      </c>
    </row>
    <row r="2212" spans="1:6" x14ac:dyDescent="0.25">
      <c r="A2212" t="s">
        <v>15</v>
      </c>
      <c r="B2212" t="s">
        <v>2142</v>
      </c>
      <c r="C2212">
        <v>48202</v>
      </c>
      <c r="D2212">
        <v>1179</v>
      </c>
      <c r="F2212">
        <v>1179</v>
      </c>
    </row>
    <row r="2213" spans="1:6" x14ac:dyDescent="0.25">
      <c r="A2213" t="s">
        <v>16</v>
      </c>
      <c r="B2213" t="s">
        <v>2143</v>
      </c>
      <c r="C2213">
        <v>48203</v>
      </c>
      <c r="D2213">
        <v>383</v>
      </c>
      <c r="F2213">
        <v>383</v>
      </c>
    </row>
    <row r="2214" spans="1:6" x14ac:dyDescent="0.25">
      <c r="A2214" t="s">
        <v>25</v>
      </c>
      <c r="B2214" t="s">
        <v>2144</v>
      </c>
      <c r="C2214">
        <v>48204</v>
      </c>
      <c r="D2214">
        <v>667831</v>
      </c>
      <c r="F2214">
        <v>667831</v>
      </c>
    </row>
    <row r="2215" spans="1:6" x14ac:dyDescent="0.25">
      <c r="A2215" t="s">
        <v>26</v>
      </c>
      <c r="B2215" t="s">
        <v>2145</v>
      </c>
      <c r="C2215">
        <v>48205</v>
      </c>
      <c r="D2215">
        <v>0</v>
      </c>
      <c r="F2215">
        <v>0</v>
      </c>
    </row>
    <row r="2216" spans="1:6" x14ac:dyDescent="0.25">
      <c r="A2216" t="s">
        <v>27</v>
      </c>
      <c r="B2216" t="s">
        <v>2146</v>
      </c>
      <c r="C2216">
        <v>48206</v>
      </c>
      <c r="D2216">
        <v>0</v>
      </c>
      <c r="F2216">
        <v>0</v>
      </c>
    </row>
    <row r="2217" spans="1:6" x14ac:dyDescent="0.25">
      <c r="A2217" t="s">
        <v>531</v>
      </c>
      <c r="B2217" t="s">
        <v>2147</v>
      </c>
      <c r="C2217">
        <v>48207</v>
      </c>
      <c r="D2217">
        <v>0</v>
      </c>
      <c r="F2217">
        <v>0</v>
      </c>
    </row>
    <row r="2218" spans="1:6" x14ac:dyDescent="0.25">
      <c r="A2218" t="s">
        <v>1583</v>
      </c>
      <c r="B2218" t="s">
        <v>2148</v>
      </c>
      <c r="C2218">
        <v>48208</v>
      </c>
      <c r="D2218">
        <v>61338</v>
      </c>
      <c r="E2218">
        <v>0</v>
      </c>
      <c r="F2218">
        <v>61338</v>
      </c>
    </row>
    <row r="2219" spans="1:6" x14ac:dyDescent="0.25">
      <c r="A2219" t="s">
        <v>1585</v>
      </c>
      <c r="B2219" t="s">
        <v>2149</v>
      </c>
      <c r="C2219">
        <v>48209</v>
      </c>
      <c r="D2219">
        <v>315332</v>
      </c>
      <c r="E2219">
        <v>0</v>
      </c>
      <c r="F2219">
        <v>315332</v>
      </c>
    </row>
    <row r="2220" spans="1:6" x14ac:dyDescent="0.25">
      <c r="B2220" t="s">
        <v>2150</v>
      </c>
      <c r="D2220">
        <v>1048912</v>
      </c>
      <c r="E2220">
        <v>0</v>
      </c>
      <c r="F2220">
        <v>1048912</v>
      </c>
    </row>
    <row r="2221" spans="1:6" x14ac:dyDescent="0.25">
      <c r="B2221" t="s">
        <v>1396</v>
      </c>
    </row>
    <row r="2222" spans="1:6" x14ac:dyDescent="0.25">
      <c r="A2222" t="s">
        <v>2</v>
      </c>
      <c r="B2222" t="s">
        <v>2152</v>
      </c>
      <c r="C2222">
        <v>48301</v>
      </c>
      <c r="D2222">
        <v>469946</v>
      </c>
      <c r="F2222">
        <v>469946</v>
      </c>
    </row>
    <row r="2223" spans="1:6" x14ac:dyDescent="0.25">
      <c r="A2223" t="s">
        <v>15</v>
      </c>
      <c r="B2223" t="s">
        <v>2555</v>
      </c>
      <c r="C2223">
        <v>48302</v>
      </c>
      <c r="D2223">
        <v>582733</v>
      </c>
      <c r="F2223">
        <v>582733</v>
      </c>
    </row>
    <row r="2224" spans="1:6" x14ac:dyDescent="0.25">
      <c r="A2224" t="s">
        <v>16</v>
      </c>
      <c r="B2224" t="s">
        <v>2154</v>
      </c>
      <c r="C2224">
        <v>48303</v>
      </c>
      <c r="D2224">
        <v>542063</v>
      </c>
      <c r="F2224">
        <v>542063</v>
      </c>
    </row>
    <row r="2225" spans="1:6" x14ac:dyDescent="0.25">
      <c r="B2225" t="s">
        <v>2155</v>
      </c>
      <c r="D2225">
        <v>1594742</v>
      </c>
      <c r="F2225">
        <v>1594742</v>
      </c>
    </row>
    <row r="2226" spans="1:6" x14ac:dyDescent="0.25">
      <c r="B2226" t="s">
        <v>1397</v>
      </c>
    </row>
    <row r="2227" spans="1:6" x14ac:dyDescent="0.25">
      <c r="A2227" t="s">
        <v>2</v>
      </c>
      <c r="B2227" t="s">
        <v>2556</v>
      </c>
      <c r="C2227">
        <v>48401</v>
      </c>
      <c r="D2227">
        <v>26772</v>
      </c>
      <c r="E2227">
        <v>0</v>
      </c>
      <c r="F2227">
        <v>26772</v>
      </c>
    </row>
    <row r="2228" spans="1:6" x14ac:dyDescent="0.25">
      <c r="A2228" t="s">
        <v>15</v>
      </c>
      <c r="B2228" t="s">
        <v>2157</v>
      </c>
      <c r="C2228">
        <v>48402</v>
      </c>
      <c r="D2228">
        <v>0</v>
      </c>
      <c r="E2228">
        <v>0</v>
      </c>
      <c r="F2228">
        <v>0</v>
      </c>
    </row>
    <row r="2229" spans="1:6" x14ac:dyDescent="0.25">
      <c r="A2229" t="s">
        <v>16</v>
      </c>
      <c r="B2229" t="s">
        <v>1468</v>
      </c>
      <c r="C2229">
        <v>48403</v>
      </c>
      <c r="D2229">
        <v>220889</v>
      </c>
      <c r="E2229">
        <v>30526</v>
      </c>
      <c r="F2229">
        <v>251415</v>
      </c>
    </row>
    <row r="2230" spans="1:6" x14ac:dyDescent="0.25">
      <c r="A2230" t="s">
        <v>25</v>
      </c>
      <c r="B2230" t="s">
        <v>2158</v>
      </c>
      <c r="C2230">
        <v>48404</v>
      </c>
      <c r="D2230">
        <v>267385</v>
      </c>
      <c r="E2230">
        <v>0</v>
      </c>
      <c r="F2230">
        <v>267385</v>
      </c>
    </row>
    <row r="2231" spans="1:6" x14ac:dyDescent="0.25">
      <c r="A2231" t="s">
        <v>26</v>
      </c>
      <c r="B2231" t="s">
        <v>2159</v>
      </c>
      <c r="C2231">
        <v>48405</v>
      </c>
      <c r="D2231">
        <v>29853</v>
      </c>
      <c r="E2231">
        <v>0</v>
      </c>
      <c r="F2231">
        <v>29853</v>
      </c>
    </row>
    <row r="2232" spans="1:6" x14ac:dyDescent="0.25">
      <c r="A2232" t="s">
        <v>27</v>
      </c>
      <c r="B2232" t="s">
        <v>2160</v>
      </c>
      <c r="C2232">
        <v>48406</v>
      </c>
      <c r="D2232">
        <v>45983</v>
      </c>
      <c r="E2232">
        <v>0</v>
      </c>
      <c r="F2232">
        <v>45983</v>
      </c>
    </row>
    <row r="2233" spans="1:6" x14ac:dyDescent="0.25">
      <c r="A2233" t="s">
        <v>531</v>
      </c>
      <c r="B2233" t="s">
        <v>1479</v>
      </c>
      <c r="C2233">
        <v>48407</v>
      </c>
      <c r="D2233">
        <v>2474332</v>
      </c>
      <c r="E2233">
        <v>10000</v>
      </c>
      <c r="F2233">
        <v>2484332</v>
      </c>
    </row>
    <row r="2234" spans="1:6" x14ac:dyDescent="0.25">
      <c r="A2234" t="s">
        <v>1583</v>
      </c>
      <c r="B2234" t="s">
        <v>2161</v>
      </c>
      <c r="C2234">
        <v>48408</v>
      </c>
      <c r="D2234">
        <v>79099</v>
      </c>
      <c r="E2234">
        <v>1666</v>
      </c>
      <c r="F2234">
        <v>80765</v>
      </c>
    </row>
    <row r="2235" spans="1:6" x14ac:dyDescent="0.25">
      <c r="A2235" t="s">
        <v>1585</v>
      </c>
      <c r="B2235" t="s">
        <v>1480</v>
      </c>
      <c r="C2235">
        <v>48409</v>
      </c>
      <c r="D2235">
        <v>257796</v>
      </c>
      <c r="E2235">
        <v>35771</v>
      </c>
      <c r="F2235">
        <v>293567</v>
      </c>
    </row>
    <row r="2236" spans="1:6" x14ac:dyDescent="0.25">
      <c r="A2236" t="s">
        <v>1587</v>
      </c>
      <c r="B2236" t="s">
        <v>2162</v>
      </c>
      <c r="C2236">
        <v>48410</v>
      </c>
      <c r="D2236">
        <v>23313</v>
      </c>
      <c r="E2236">
        <v>0</v>
      </c>
      <c r="F2236">
        <v>23313</v>
      </c>
    </row>
    <row r="2237" spans="1:6" x14ac:dyDescent="0.25">
      <c r="A2237" t="s">
        <v>1589</v>
      </c>
      <c r="B2237" t="s">
        <v>2163</v>
      </c>
      <c r="C2237">
        <v>48411</v>
      </c>
      <c r="D2237">
        <v>16</v>
      </c>
      <c r="E2237">
        <v>0</v>
      </c>
      <c r="F2237">
        <v>16</v>
      </c>
    </row>
    <row r="2238" spans="1:6" x14ac:dyDescent="0.25">
      <c r="A2238" t="s">
        <v>1591</v>
      </c>
      <c r="B2238" t="s">
        <v>1481</v>
      </c>
      <c r="C2238">
        <v>48412</v>
      </c>
      <c r="D2238">
        <v>782572</v>
      </c>
      <c r="E2238">
        <v>0</v>
      </c>
      <c r="F2238">
        <v>782572</v>
      </c>
    </row>
    <row r="2239" spans="1:6" x14ac:dyDescent="0.25">
      <c r="A2239" t="s">
        <v>1593</v>
      </c>
      <c r="B2239" t="s">
        <v>2164</v>
      </c>
      <c r="C2239">
        <v>48413</v>
      </c>
      <c r="D2239">
        <v>787248</v>
      </c>
      <c r="E2239">
        <v>0</v>
      </c>
      <c r="F2239">
        <v>787248</v>
      </c>
    </row>
    <row r="2240" spans="1:6" x14ac:dyDescent="0.25">
      <c r="A2240" t="s">
        <v>1595</v>
      </c>
      <c r="B2240" t="s">
        <v>1482</v>
      </c>
      <c r="C2240">
        <v>48414</v>
      </c>
      <c r="D2240">
        <v>1566180</v>
      </c>
      <c r="E2240">
        <v>236349</v>
      </c>
      <c r="F2240">
        <v>1802529</v>
      </c>
    </row>
    <row r="2241" spans="1:6" x14ac:dyDescent="0.25">
      <c r="B2241" t="s">
        <v>2165</v>
      </c>
      <c r="D2241">
        <v>6561438</v>
      </c>
      <c r="E2241">
        <v>314312</v>
      </c>
      <c r="F2241">
        <v>6875750</v>
      </c>
    </row>
    <row r="2242" spans="1:6" x14ac:dyDescent="0.25">
      <c r="B2242" t="s">
        <v>2166</v>
      </c>
    </row>
    <row r="2243" spans="1:6" x14ac:dyDescent="0.25">
      <c r="A2243" t="s">
        <v>2</v>
      </c>
      <c r="B2243" t="s">
        <v>1932</v>
      </c>
      <c r="C2243">
        <v>48501</v>
      </c>
      <c r="D2243">
        <v>6115</v>
      </c>
      <c r="F2243">
        <v>6115</v>
      </c>
    </row>
    <row r="2244" spans="1:6" x14ac:dyDescent="0.25">
      <c r="A2244" t="s">
        <v>15</v>
      </c>
      <c r="B2244" t="s">
        <v>1933</v>
      </c>
      <c r="C2244">
        <v>48502</v>
      </c>
      <c r="D2244">
        <v>0</v>
      </c>
      <c r="F2244">
        <v>0</v>
      </c>
    </row>
    <row r="2245" spans="1:6" x14ac:dyDescent="0.25">
      <c r="A2245" t="s">
        <v>16</v>
      </c>
      <c r="B2245" t="s">
        <v>1934</v>
      </c>
      <c r="C2245">
        <v>48503</v>
      </c>
      <c r="D2245">
        <v>0</v>
      </c>
      <c r="F2245">
        <v>0</v>
      </c>
    </row>
    <row r="2246" spans="1:6" x14ac:dyDescent="0.25">
      <c r="A2246" t="s">
        <v>25</v>
      </c>
      <c r="B2246" t="s">
        <v>1935</v>
      </c>
      <c r="C2246">
        <v>48504</v>
      </c>
      <c r="D2246">
        <v>0</v>
      </c>
      <c r="F2246">
        <v>0</v>
      </c>
    </row>
    <row r="2247" spans="1:6" x14ac:dyDescent="0.25">
      <c r="A2247" t="s">
        <v>26</v>
      </c>
      <c r="B2247" t="s">
        <v>2484</v>
      </c>
      <c r="C2247">
        <v>48505</v>
      </c>
      <c r="D2247">
        <v>0</v>
      </c>
      <c r="F2247">
        <v>0</v>
      </c>
    </row>
    <row r="2248" spans="1:6" x14ac:dyDescent="0.25">
      <c r="B2248" t="s">
        <v>2168</v>
      </c>
      <c r="D2248">
        <v>6115</v>
      </c>
      <c r="F2248">
        <v>6115</v>
      </c>
    </row>
    <row r="2249" spans="1:6" x14ac:dyDescent="0.25">
      <c r="B2249" t="s">
        <v>2169</v>
      </c>
    </row>
    <row r="2250" spans="1:6" x14ac:dyDescent="0.25">
      <c r="A2250" t="s">
        <v>2</v>
      </c>
      <c r="B2250" t="s">
        <v>1938</v>
      </c>
      <c r="C2250">
        <v>48601</v>
      </c>
      <c r="D2250">
        <v>30462</v>
      </c>
      <c r="E2250">
        <v>0</v>
      </c>
      <c r="F2250">
        <v>30462</v>
      </c>
    </row>
    <row r="2251" spans="1:6" x14ac:dyDescent="0.25">
      <c r="A2251" t="s">
        <v>15</v>
      </c>
      <c r="B2251" t="s">
        <v>2170</v>
      </c>
      <c r="C2251">
        <v>48602</v>
      </c>
      <c r="D2251">
        <v>2256</v>
      </c>
      <c r="E2251">
        <v>20</v>
      </c>
      <c r="F2251">
        <v>2276</v>
      </c>
    </row>
    <row r="2252" spans="1:6" x14ac:dyDescent="0.25">
      <c r="A2252" t="s">
        <v>16</v>
      </c>
      <c r="B2252" t="s">
        <v>2171</v>
      </c>
      <c r="C2252">
        <v>48603</v>
      </c>
      <c r="D2252">
        <v>13855</v>
      </c>
      <c r="E2252">
        <v>2</v>
      </c>
      <c r="F2252">
        <v>13857</v>
      </c>
    </row>
    <row r="2253" spans="1:6" x14ac:dyDescent="0.25">
      <c r="A2253" t="s">
        <v>25</v>
      </c>
      <c r="B2253" t="s">
        <v>2172</v>
      </c>
      <c r="C2253">
        <v>48604</v>
      </c>
      <c r="D2253">
        <v>0</v>
      </c>
      <c r="E2253">
        <v>0</v>
      </c>
      <c r="F2253">
        <v>0</v>
      </c>
    </row>
    <row r="2254" spans="1:6" x14ac:dyDescent="0.25">
      <c r="A2254" t="s">
        <v>26</v>
      </c>
      <c r="B2254" t="s">
        <v>2173</v>
      </c>
      <c r="C2254">
        <v>48605</v>
      </c>
      <c r="D2254">
        <v>2</v>
      </c>
      <c r="E2254">
        <v>0</v>
      </c>
      <c r="F2254">
        <v>2</v>
      </c>
    </row>
    <row r="2255" spans="1:6" x14ac:dyDescent="0.25">
      <c r="A2255" t="s">
        <v>27</v>
      </c>
      <c r="B2255" t="s">
        <v>2174</v>
      </c>
      <c r="C2255">
        <v>48606</v>
      </c>
      <c r="D2255">
        <v>0</v>
      </c>
      <c r="E2255">
        <v>0</v>
      </c>
      <c r="F2255">
        <v>0</v>
      </c>
    </row>
    <row r="2256" spans="1:6" x14ac:dyDescent="0.25">
      <c r="A2256" t="s">
        <v>531</v>
      </c>
      <c r="B2256" t="s">
        <v>2175</v>
      </c>
      <c r="C2256">
        <v>48607</v>
      </c>
      <c r="D2256">
        <v>580533</v>
      </c>
      <c r="E2256">
        <v>0</v>
      </c>
      <c r="F2256">
        <v>580533</v>
      </c>
    </row>
    <row r="2257" spans="1:6" x14ac:dyDescent="0.25">
      <c r="A2257" t="s">
        <v>1583</v>
      </c>
      <c r="B2257" t="s">
        <v>2176</v>
      </c>
      <c r="C2257">
        <v>48608</v>
      </c>
      <c r="D2257">
        <v>33616</v>
      </c>
      <c r="E2257">
        <v>9</v>
      </c>
      <c r="F2257">
        <v>33625</v>
      </c>
    </row>
    <row r="2258" spans="1:6" x14ac:dyDescent="0.25">
      <c r="A2258" t="s">
        <v>1585</v>
      </c>
      <c r="B2258" t="s">
        <v>2177</v>
      </c>
      <c r="C2258">
        <v>48609</v>
      </c>
      <c r="D2258">
        <v>0</v>
      </c>
      <c r="E2258">
        <v>0</v>
      </c>
      <c r="F2258">
        <v>0</v>
      </c>
    </row>
    <row r="2259" spans="1:6" x14ac:dyDescent="0.25">
      <c r="A2259" t="s">
        <v>1587</v>
      </c>
      <c r="B2259" t="s">
        <v>2178</v>
      </c>
      <c r="C2259">
        <v>48610</v>
      </c>
      <c r="D2259">
        <v>0</v>
      </c>
      <c r="E2259">
        <v>0</v>
      </c>
      <c r="F2259">
        <v>0</v>
      </c>
    </row>
    <row r="2260" spans="1:6" x14ac:dyDescent="0.25">
      <c r="A2260" t="s">
        <v>1589</v>
      </c>
      <c r="B2260" t="s">
        <v>2179</v>
      </c>
      <c r="C2260">
        <v>48611</v>
      </c>
      <c r="D2260">
        <v>559186</v>
      </c>
      <c r="E2260">
        <v>0</v>
      </c>
      <c r="F2260">
        <v>559186</v>
      </c>
    </row>
    <row r="2261" spans="1:6" x14ac:dyDescent="0.25">
      <c r="B2261" t="s">
        <v>2180</v>
      </c>
      <c r="D2261">
        <v>1219910</v>
      </c>
      <c r="E2261">
        <v>31</v>
      </c>
      <c r="F2261">
        <v>1219941</v>
      </c>
    </row>
    <row r="2262" spans="1:6" x14ac:dyDescent="0.25">
      <c r="B2262" t="s">
        <v>1910</v>
      </c>
      <c r="D2262">
        <v>17081973</v>
      </c>
      <c r="E2262">
        <v>314343</v>
      </c>
      <c r="F2262">
        <v>17396316</v>
      </c>
    </row>
    <row r="2263" spans="1:6" x14ac:dyDescent="0.25">
      <c r="B2263" t="s">
        <v>2281</v>
      </c>
      <c r="D2263">
        <v>361419759</v>
      </c>
      <c r="E2263">
        <v>1179840</v>
      </c>
      <c r="F2263">
        <v>362599599</v>
      </c>
    </row>
    <row r="2264" spans="1:6" x14ac:dyDescent="0.25">
      <c r="B2264" t="s">
        <v>2182</v>
      </c>
      <c r="D2264">
        <v>434766257</v>
      </c>
      <c r="E2264">
        <v>5362031</v>
      </c>
      <c r="F2264">
        <v>440128288</v>
      </c>
    </row>
    <row r="2265" spans="1:6" x14ac:dyDescent="0.25">
      <c r="B2265" t="s">
        <v>2282</v>
      </c>
      <c r="C2265">
        <v>1000</v>
      </c>
      <c r="F2265">
        <v>7408271</v>
      </c>
    </row>
    <row r="2266" spans="1:6" x14ac:dyDescent="0.25">
      <c r="B2266" t="s">
        <v>2283</v>
      </c>
      <c r="C2266">
        <v>2000</v>
      </c>
      <c r="F2266">
        <v>0</v>
      </c>
    </row>
    <row r="2267" spans="1:6" x14ac:dyDescent="0.25">
      <c r="B2267" t="s">
        <v>2185</v>
      </c>
    </row>
    <row r="2268" spans="1:6" x14ac:dyDescent="0.25">
      <c r="B2268" t="s">
        <v>2186</v>
      </c>
    </row>
    <row r="2269" spans="1:6" x14ac:dyDescent="0.25">
      <c r="B2269" t="s">
        <v>2187</v>
      </c>
    </row>
    <row r="2270" spans="1:6" x14ac:dyDescent="0.25">
      <c r="A2270" t="s">
        <v>2</v>
      </c>
      <c r="B2270" t="s">
        <v>2284</v>
      </c>
      <c r="C2270">
        <v>51101</v>
      </c>
      <c r="D2270">
        <v>925200</v>
      </c>
      <c r="E2270">
        <v>0</v>
      </c>
      <c r="F2270">
        <v>925200</v>
      </c>
    </row>
    <row r="2271" spans="1:6" x14ac:dyDescent="0.25">
      <c r="B2271" t="s">
        <v>2189</v>
      </c>
    </row>
    <row r="2272" spans="1:6" x14ac:dyDescent="0.25">
      <c r="A2272" t="s">
        <v>2</v>
      </c>
      <c r="B2272" t="s">
        <v>2285</v>
      </c>
      <c r="C2272">
        <v>51201</v>
      </c>
      <c r="D2272">
        <v>300392</v>
      </c>
      <c r="F2272">
        <v>300392</v>
      </c>
    </row>
    <row r="2273" spans="1:6" x14ac:dyDescent="0.25">
      <c r="A2273" t="s">
        <v>15</v>
      </c>
      <c r="B2273" t="s">
        <v>2286</v>
      </c>
      <c r="C2273">
        <v>51202</v>
      </c>
      <c r="D2273">
        <v>135315</v>
      </c>
      <c r="F2273">
        <v>135315</v>
      </c>
    </row>
    <row r="2274" spans="1:6" x14ac:dyDescent="0.25">
      <c r="A2274" t="s">
        <v>16</v>
      </c>
      <c r="B2274" t="s">
        <v>2192</v>
      </c>
      <c r="C2274">
        <v>3000</v>
      </c>
      <c r="D2274">
        <v>1090277</v>
      </c>
      <c r="E2274">
        <v>0</v>
      </c>
      <c r="F2274">
        <v>1090277</v>
      </c>
    </row>
    <row r="2275" spans="1:6" x14ac:dyDescent="0.25">
      <c r="A2275" t="s">
        <v>25</v>
      </c>
      <c r="B2275" t="s">
        <v>2193</v>
      </c>
      <c r="C2275">
        <v>4000</v>
      </c>
      <c r="D2275">
        <v>0</v>
      </c>
      <c r="E2275">
        <v>0</v>
      </c>
      <c r="F2275">
        <v>0</v>
      </c>
    </row>
    <row r="2276" spans="1:6" x14ac:dyDescent="0.25">
      <c r="B2276" t="s">
        <v>2194</v>
      </c>
    </row>
    <row r="2277" spans="1:6" x14ac:dyDescent="0.25">
      <c r="B2277" t="s">
        <v>2195</v>
      </c>
    </row>
    <row r="2278" spans="1:6" x14ac:dyDescent="0.25">
      <c r="B2278" t="s">
        <v>2196</v>
      </c>
    </row>
    <row r="2279" spans="1:6" x14ac:dyDescent="0.25">
      <c r="A2279" t="s">
        <v>2</v>
      </c>
      <c r="B2279" t="s">
        <v>2197</v>
      </c>
      <c r="C2279">
        <v>61101</v>
      </c>
      <c r="F2279">
        <v>6317994</v>
      </c>
    </row>
    <row r="2280" spans="1:6" x14ac:dyDescent="0.25">
      <c r="A2280" t="s">
        <v>15</v>
      </c>
      <c r="B2280" t="s">
        <v>2198</v>
      </c>
      <c r="C2280">
        <v>61102</v>
      </c>
      <c r="F2280">
        <v>0</v>
      </c>
    </row>
    <row r="2281" spans="1:6" x14ac:dyDescent="0.25">
      <c r="B2281" t="s">
        <v>2199</v>
      </c>
    </row>
    <row r="2282" spans="1:6" x14ac:dyDescent="0.25">
      <c r="B2282" t="s">
        <v>2200</v>
      </c>
    </row>
    <row r="2283" spans="1:6" x14ac:dyDescent="0.25">
      <c r="B2283" t="s">
        <v>2485</v>
      </c>
    </row>
    <row r="2284" spans="1:6" x14ac:dyDescent="0.25">
      <c r="A2284" t="s">
        <v>2</v>
      </c>
      <c r="B2284" t="s">
        <v>2486</v>
      </c>
      <c r="C2284">
        <v>71101</v>
      </c>
      <c r="D2284">
        <v>25995855</v>
      </c>
      <c r="F2284">
        <v>25995855</v>
      </c>
    </row>
    <row r="2285" spans="1:6" x14ac:dyDescent="0.25">
      <c r="A2285" t="s">
        <v>15</v>
      </c>
      <c r="B2285" t="s">
        <v>2487</v>
      </c>
      <c r="C2285">
        <v>71102</v>
      </c>
      <c r="D2285">
        <v>11782675</v>
      </c>
      <c r="F2285">
        <v>11782675</v>
      </c>
    </row>
    <row r="2286" spans="1:6" x14ac:dyDescent="0.25">
      <c r="A2286" t="s">
        <v>16</v>
      </c>
      <c r="B2286" t="s">
        <v>2488</v>
      </c>
      <c r="C2286">
        <v>71103</v>
      </c>
      <c r="D2286">
        <v>0</v>
      </c>
      <c r="F2286">
        <v>0</v>
      </c>
    </row>
    <row r="2287" spans="1:6" x14ac:dyDescent="0.25">
      <c r="A2287" t="s">
        <v>25</v>
      </c>
      <c r="B2287" t="s">
        <v>2489</v>
      </c>
      <c r="C2287">
        <v>71104</v>
      </c>
      <c r="D2287">
        <v>0</v>
      </c>
      <c r="F2287">
        <v>0</v>
      </c>
    </row>
    <row r="2288" spans="1:6" x14ac:dyDescent="0.25">
      <c r="A2288" t="s">
        <v>26</v>
      </c>
      <c r="B2288" t="s">
        <v>2490</v>
      </c>
      <c r="C2288">
        <v>71105</v>
      </c>
      <c r="D2288">
        <v>0</v>
      </c>
      <c r="F2288">
        <v>0</v>
      </c>
    </row>
    <row r="2289" spans="1:6" x14ac:dyDescent="0.25">
      <c r="A2289" t="s">
        <v>27</v>
      </c>
      <c r="B2289" t="s">
        <v>2491</v>
      </c>
      <c r="C2289">
        <v>71106</v>
      </c>
      <c r="D2289">
        <v>0</v>
      </c>
      <c r="F2289">
        <v>0</v>
      </c>
    </row>
    <row r="2290" spans="1:6" x14ac:dyDescent="0.25">
      <c r="B2290" t="s">
        <v>2492</v>
      </c>
      <c r="D2290">
        <v>37778530</v>
      </c>
      <c r="F2290">
        <v>37778530</v>
      </c>
    </row>
    <row r="2291" spans="1:6" x14ac:dyDescent="0.25">
      <c r="B2291" t="s">
        <v>2493</v>
      </c>
    </row>
    <row r="2292" spans="1:6" x14ac:dyDescent="0.25">
      <c r="A2292" t="s">
        <v>2</v>
      </c>
      <c r="B2292" t="s">
        <v>2486</v>
      </c>
      <c r="C2292">
        <v>71201</v>
      </c>
      <c r="D2292">
        <v>3201270</v>
      </c>
      <c r="F2292">
        <v>3201270</v>
      </c>
    </row>
    <row r="2293" spans="1:6" x14ac:dyDescent="0.25">
      <c r="B2293" t="s">
        <v>2494</v>
      </c>
    </row>
    <row r="2294" spans="1:6" x14ac:dyDescent="0.25">
      <c r="A2294" t="s">
        <v>2</v>
      </c>
      <c r="B2294" t="s">
        <v>2487</v>
      </c>
      <c r="C2294">
        <v>71301</v>
      </c>
      <c r="D2294">
        <v>766804</v>
      </c>
      <c r="F2294">
        <v>766804</v>
      </c>
    </row>
    <row r="2295" spans="1:6" x14ac:dyDescent="0.25">
      <c r="A2295" t="s">
        <v>15</v>
      </c>
      <c r="B2295" t="s">
        <v>2488</v>
      </c>
      <c r="C2295">
        <v>71302</v>
      </c>
      <c r="D2295">
        <v>0</v>
      </c>
      <c r="F2295">
        <v>0</v>
      </c>
    </row>
    <row r="2296" spans="1:6" x14ac:dyDescent="0.25">
      <c r="A2296" t="s">
        <v>16</v>
      </c>
      <c r="B2296" t="s">
        <v>2489</v>
      </c>
      <c r="C2296">
        <v>71303</v>
      </c>
      <c r="D2296">
        <v>0</v>
      </c>
      <c r="F2296">
        <v>0</v>
      </c>
    </row>
    <row r="2297" spans="1:6" x14ac:dyDescent="0.25">
      <c r="A2297" t="s">
        <v>25</v>
      </c>
      <c r="B2297" t="s">
        <v>2490</v>
      </c>
      <c r="C2297">
        <v>71304</v>
      </c>
      <c r="D2297">
        <v>0</v>
      </c>
      <c r="F2297">
        <v>0</v>
      </c>
    </row>
    <row r="2298" spans="1:6" x14ac:dyDescent="0.25">
      <c r="A2298" t="s">
        <v>26</v>
      </c>
      <c r="B2298" t="s">
        <v>2491</v>
      </c>
      <c r="C2298">
        <v>71305</v>
      </c>
      <c r="D2298">
        <v>0</v>
      </c>
      <c r="F2298">
        <v>0</v>
      </c>
    </row>
    <row r="2299" spans="1:6" x14ac:dyDescent="0.25">
      <c r="B2299" t="s">
        <v>2495</v>
      </c>
      <c r="D2299">
        <v>766804</v>
      </c>
      <c r="F2299">
        <v>766804</v>
      </c>
    </row>
    <row r="2300" spans="1:6" x14ac:dyDescent="0.25">
      <c r="B2300" t="s">
        <v>2496</v>
      </c>
    </row>
    <row r="2301" spans="1:6" x14ac:dyDescent="0.25">
      <c r="A2301" t="s">
        <v>2</v>
      </c>
      <c r="B2301" t="s">
        <v>2497</v>
      </c>
      <c r="C2301">
        <v>71401</v>
      </c>
      <c r="D2301">
        <v>0</v>
      </c>
      <c r="F2301">
        <v>0</v>
      </c>
    </row>
    <row r="2302" spans="1:6" x14ac:dyDescent="0.25">
      <c r="A2302" t="s">
        <v>15</v>
      </c>
      <c r="B2302" t="s">
        <v>2498</v>
      </c>
      <c r="C2302">
        <v>71402</v>
      </c>
      <c r="D2302">
        <v>0</v>
      </c>
      <c r="F2302">
        <v>0</v>
      </c>
    </row>
    <row r="2303" spans="1:6" x14ac:dyDescent="0.25">
      <c r="A2303" t="s">
        <v>16</v>
      </c>
      <c r="B2303" t="s">
        <v>2499</v>
      </c>
      <c r="C2303">
        <v>71403</v>
      </c>
      <c r="D2303">
        <v>0</v>
      </c>
      <c r="F2303">
        <v>0</v>
      </c>
    </row>
    <row r="2304" spans="1:6" x14ac:dyDescent="0.25">
      <c r="A2304" t="s">
        <v>25</v>
      </c>
      <c r="B2304" t="s">
        <v>2500</v>
      </c>
      <c r="C2304">
        <v>71404</v>
      </c>
      <c r="D2304">
        <v>0</v>
      </c>
      <c r="F2304">
        <v>0</v>
      </c>
    </row>
    <row r="2305" spans="1:6" x14ac:dyDescent="0.25">
      <c r="A2305" t="s">
        <v>26</v>
      </c>
      <c r="B2305" t="s">
        <v>2501</v>
      </c>
      <c r="C2305">
        <v>71405</v>
      </c>
      <c r="D2305">
        <v>0</v>
      </c>
      <c r="F2305">
        <v>0</v>
      </c>
    </row>
    <row r="2306" spans="1:6" x14ac:dyDescent="0.25">
      <c r="A2306" t="s">
        <v>27</v>
      </c>
      <c r="B2306" t="s">
        <v>2502</v>
      </c>
      <c r="C2306">
        <v>71406</v>
      </c>
      <c r="D2306">
        <v>0</v>
      </c>
      <c r="F2306">
        <v>0</v>
      </c>
    </row>
    <row r="2307" spans="1:6" x14ac:dyDescent="0.25">
      <c r="A2307" t="s">
        <v>531</v>
      </c>
      <c r="B2307" t="s">
        <v>2503</v>
      </c>
      <c r="C2307">
        <v>71407</v>
      </c>
      <c r="D2307">
        <v>0</v>
      </c>
      <c r="F2307">
        <v>0</v>
      </c>
    </row>
    <row r="2308" spans="1:6" x14ac:dyDescent="0.25">
      <c r="B2308" t="s">
        <v>2504</v>
      </c>
      <c r="D2308">
        <v>0</v>
      </c>
      <c r="F2308">
        <v>0</v>
      </c>
    </row>
    <row r="2309" spans="1:6" x14ac:dyDescent="0.25">
      <c r="B2309" t="s">
        <v>2209</v>
      </c>
    </row>
    <row r="2310" spans="1:6" x14ac:dyDescent="0.25">
      <c r="A2310" t="s">
        <v>2</v>
      </c>
      <c r="B2310" t="s">
        <v>2210</v>
      </c>
      <c r="C2310">
        <v>71501</v>
      </c>
      <c r="D2310">
        <v>0</v>
      </c>
      <c r="F2310">
        <v>0</v>
      </c>
    </row>
    <row r="2311" spans="1:6" x14ac:dyDescent="0.25">
      <c r="A2311" t="s">
        <v>15</v>
      </c>
      <c r="B2311" t="s">
        <v>2211</v>
      </c>
      <c r="C2311">
        <v>71502</v>
      </c>
      <c r="D2311">
        <v>0</v>
      </c>
      <c r="F2311">
        <v>0</v>
      </c>
    </row>
    <row r="2312" spans="1:6" x14ac:dyDescent="0.25">
      <c r="B2312" t="s">
        <v>2212</v>
      </c>
      <c r="D2312">
        <v>0</v>
      </c>
      <c r="F2312">
        <v>0</v>
      </c>
    </row>
    <row r="2313" spans="1:6" x14ac:dyDescent="0.25">
      <c r="B2313" t="s">
        <v>2213</v>
      </c>
    </row>
    <row r="2314" spans="1:6" x14ac:dyDescent="0.25">
      <c r="A2314" t="s">
        <v>2</v>
      </c>
      <c r="B2314" t="s">
        <v>2214</v>
      </c>
      <c r="C2314">
        <v>71601</v>
      </c>
      <c r="D2314">
        <v>0</v>
      </c>
      <c r="F2314">
        <v>0</v>
      </c>
    </row>
    <row r="2315" spans="1:6" x14ac:dyDescent="0.25">
      <c r="A2315" t="s">
        <v>15</v>
      </c>
      <c r="B2315" t="s">
        <v>2215</v>
      </c>
      <c r="C2315">
        <v>71602</v>
      </c>
      <c r="D2315">
        <v>0</v>
      </c>
      <c r="F2315">
        <v>0</v>
      </c>
    </row>
    <row r="2316" spans="1:6" x14ac:dyDescent="0.25">
      <c r="A2316" t="s">
        <v>16</v>
      </c>
      <c r="B2316" t="s">
        <v>2216</v>
      </c>
      <c r="C2316">
        <v>71603</v>
      </c>
      <c r="D2316">
        <v>0</v>
      </c>
      <c r="F2316">
        <v>0</v>
      </c>
    </row>
    <row r="2317" spans="1:6" x14ac:dyDescent="0.25">
      <c r="A2317" t="s">
        <v>25</v>
      </c>
      <c r="B2317" t="s">
        <v>2217</v>
      </c>
      <c r="C2317">
        <v>71604</v>
      </c>
      <c r="D2317">
        <v>0</v>
      </c>
      <c r="F2317">
        <v>0</v>
      </c>
    </row>
    <row r="2318" spans="1:6" x14ac:dyDescent="0.25">
      <c r="B2318" t="s">
        <v>2218</v>
      </c>
      <c r="D2318">
        <v>0</v>
      </c>
      <c r="F2318">
        <v>0</v>
      </c>
    </row>
    <row r="2319" spans="1:6" x14ac:dyDescent="0.25">
      <c r="B2319" t="s">
        <v>2505</v>
      </c>
    </row>
    <row r="2320" spans="1:6" x14ac:dyDescent="0.25">
      <c r="A2320" t="s">
        <v>2</v>
      </c>
      <c r="B2320" t="s">
        <v>2506</v>
      </c>
      <c r="C2320">
        <v>71701</v>
      </c>
      <c r="D2320">
        <v>140590</v>
      </c>
      <c r="F2320">
        <v>140590</v>
      </c>
    </row>
    <row r="2321" spans="1:6" x14ac:dyDescent="0.25">
      <c r="A2321" t="s">
        <v>15</v>
      </c>
      <c r="B2321" t="s">
        <v>2507</v>
      </c>
      <c r="C2321">
        <v>71702</v>
      </c>
      <c r="D2321">
        <v>0</v>
      </c>
      <c r="F2321">
        <v>0</v>
      </c>
    </row>
    <row r="2322" spans="1:6" x14ac:dyDescent="0.25">
      <c r="A2322" t="s">
        <v>16</v>
      </c>
      <c r="B2322" t="s">
        <v>2508</v>
      </c>
      <c r="C2322">
        <v>71703</v>
      </c>
      <c r="D2322">
        <v>0</v>
      </c>
      <c r="F2322">
        <v>0</v>
      </c>
    </row>
    <row r="2323" spans="1:6" x14ac:dyDescent="0.25">
      <c r="A2323" t="s">
        <v>25</v>
      </c>
      <c r="B2323" t="s">
        <v>2509</v>
      </c>
      <c r="C2323">
        <v>71704</v>
      </c>
      <c r="D2323">
        <v>0</v>
      </c>
      <c r="F2323">
        <v>0</v>
      </c>
    </row>
    <row r="2324" spans="1:6" x14ac:dyDescent="0.25">
      <c r="A2324" t="s">
        <v>26</v>
      </c>
      <c r="B2324" t="s">
        <v>2510</v>
      </c>
      <c r="C2324">
        <v>71705</v>
      </c>
      <c r="D2324">
        <v>0</v>
      </c>
      <c r="F2324">
        <v>0</v>
      </c>
    </row>
    <row r="2325" spans="1:6" x14ac:dyDescent="0.25">
      <c r="A2325" t="s">
        <v>27</v>
      </c>
      <c r="B2325" t="s">
        <v>2511</v>
      </c>
      <c r="C2325">
        <v>71706</v>
      </c>
      <c r="D2325">
        <v>0</v>
      </c>
      <c r="F2325">
        <v>0</v>
      </c>
    </row>
    <row r="2326" spans="1:6" x14ac:dyDescent="0.25">
      <c r="B2326" t="s">
        <v>2512</v>
      </c>
      <c r="D2326">
        <v>140590</v>
      </c>
      <c r="F2326">
        <v>140590</v>
      </c>
    </row>
    <row r="2327" spans="1:6" x14ac:dyDescent="0.25">
      <c r="B2327" t="s">
        <v>2513</v>
      </c>
    </row>
    <row r="2328" spans="1:6" x14ac:dyDescent="0.25">
      <c r="A2328" t="s">
        <v>2</v>
      </c>
      <c r="B2328" t="s">
        <v>2220</v>
      </c>
      <c r="C2328">
        <v>71801</v>
      </c>
      <c r="D2328">
        <v>0</v>
      </c>
      <c r="F2328">
        <v>0</v>
      </c>
    </row>
    <row r="2329" spans="1:6" x14ac:dyDescent="0.25">
      <c r="A2329" t="s">
        <v>15</v>
      </c>
      <c r="B2329" t="s">
        <v>2221</v>
      </c>
      <c r="C2329">
        <v>71802</v>
      </c>
      <c r="D2329">
        <v>0</v>
      </c>
      <c r="F2329">
        <v>0</v>
      </c>
    </row>
    <row r="2330" spans="1:6" x14ac:dyDescent="0.25">
      <c r="A2330" t="s">
        <v>16</v>
      </c>
      <c r="B2330" t="s">
        <v>2514</v>
      </c>
      <c r="C2330">
        <v>71803</v>
      </c>
      <c r="D2330">
        <v>0</v>
      </c>
      <c r="F2330">
        <v>0</v>
      </c>
    </row>
    <row r="2331" spans="1:6" x14ac:dyDescent="0.25">
      <c r="A2331" t="s">
        <v>25</v>
      </c>
      <c r="B2331" t="s">
        <v>2515</v>
      </c>
      <c r="C2331">
        <v>71804</v>
      </c>
      <c r="D2331">
        <v>0</v>
      </c>
      <c r="F2331">
        <v>0</v>
      </c>
    </row>
    <row r="2332" spans="1:6" x14ac:dyDescent="0.25">
      <c r="A2332" t="s">
        <v>26</v>
      </c>
      <c r="B2332" t="s">
        <v>2516</v>
      </c>
      <c r="C2332">
        <v>71805</v>
      </c>
      <c r="D2332">
        <v>0</v>
      </c>
      <c r="F2332">
        <v>0</v>
      </c>
    </row>
    <row r="2333" spans="1:6" x14ac:dyDescent="0.25">
      <c r="A2333" t="s">
        <v>27</v>
      </c>
      <c r="B2333" t="s">
        <v>2517</v>
      </c>
      <c r="C2333">
        <v>71806</v>
      </c>
      <c r="D2333">
        <v>0</v>
      </c>
      <c r="F2333">
        <v>0</v>
      </c>
    </row>
    <row r="2334" spans="1:6" x14ac:dyDescent="0.25">
      <c r="B2334" t="s">
        <v>2518</v>
      </c>
      <c r="D2334">
        <v>0</v>
      </c>
      <c r="F2334">
        <v>0</v>
      </c>
    </row>
    <row r="2335" spans="1:6" x14ac:dyDescent="0.25">
      <c r="B2335" t="s">
        <v>2227</v>
      </c>
    </row>
    <row r="2336" spans="1:6" x14ac:dyDescent="0.25">
      <c r="A2336" t="s">
        <v>2</v>
      </c>
      <c r="B2336" t="s">
        <v>2519</v>
      </c>
      <c r="C2336">
        <v>71901</v>
      </c>
      <c r="D2336">
        <v>273288</v>
      </c>
      <c r="F2336">
        <v>273288</v>
      </c>
    </row>
    <row r="2337" spans="1:6" x14ac:dyDescent="0.25">
      <c r="A2337" t="s">
        <v>15</v>
      </c>
      <c r="B2337" t="s">
        <v>2520</v>
      </c>
      <c r="C2337">
        <v>71902</v>
      </c>
      <c r="D2337">
        <v>181054</v>
      </c>
      <c r="F2337">
        <v>181054</v>
      </c>
    </row>
    <row r="2338" spans="1:6" x14ac:dyDescent="0.25">
      <c r="A2338" t="s">
        <v>16</v>
      </c>
      <c r="B2338" t="s">
        <v>2230</v>
      </c>
      <c r="C2338">
        <v>71903</v>
      </c>
      <c r="D2338">
        <v>0</v>
      </c>
      <c r="F2338">
        <v>0</v>
      </c>
    </row>
    <row r="2339" spans="1:6" x14ac:dyDescent="0.25">
      <c r="A2339" t="s">
        <v>25</v>
      </c>
      <c r="B2339" t="s">
        <v>2231</v>
      </c>
      <c r="C2339">
        <v>71904</v>
      </c>
      <c r="D2339">
        <v>0</v>
      </c>
      <c r="F2339">
        <v>0</v>
      </c>
    </row>
    <row r="2340" spans="1:6" x14ac:dyDescent="0.25">
      <c r="A2340" t="s">
        <v>26</v>
      </c>
      <c r="B2340" t="s">
        <v>2232</v>
      </c>
      <c r="C2340">
        <v>71905</v>
      </c>
      <c r="D2340">
        <v>0</v>
      </c>
      <c r="F2340">
        <v>0</v>
      </c>
    </row>
    <row r="2341" spans="1:6" x14ac:dyDescent="0.25">
      <c r="A2341" t="s">
        <v>27</v>
      </c>
      <c r="B2341" t="s">
        <v>2233</v>
      </c>
      <c r="C2341">
        <v>71906</v>
      </c>
      <c r="D2341">
        <v>0</v>
      </c>
      <c r="F2341">
        <v>0</v>
      </c>
    </row>
    <row r="2342" spans="1:6" x14ac:dyDescent="0.25">
      <c r="A2342" t="s">
        <v>531</v>
      </c>
      <c r="B2342" t="s">
        <v>2521</v>
      </c>
      <c r="C2342">
        <v>71907</v>
      </c>
      <c r="D2342">
        <v>0</v>
      </c>
      <c r="F2342">
        <v>0</v>
      </c>
    </row>
    <row r="2343" spans="1:6" x14ac:dyDescent="0.25">
      <c r="A2343" t="s">
        <v>1583</v>
      </c>
      <c r="B2343" t="s">
        <v>2522</v>
      </c>
      <c r="C2343">
        <v>71908</v>
      </c>
      <c r="D2343">
        <v>0</v>
      </c>
      <c r="F2343">
        <v>0</v>
      </c>
    </row>
    <row r="2344" spans="1:6" x14ac:dyDescent="0.25">
      <c r="A2344" t="s">
        <v>1585</v>
      </c>
      <c r="B2344" t="s">
        <v>2523</v>
      </c>
      <c r="C2344">
        <v>71909</v>
      </c>
      <c r="D2344">
        <v>0</v>
      </c>
      <c r="F2344">
        <v>0</v>
      </c>
    </row>
    <row r="2345" spans="1:6" x14ac:dyDescent="0.25">
      <c r="B2345" t="s">
        <v>2524</v>
      </c>
      <c r="D2345">
        <v>454342</v>
      </c>
      <c r="F2345">
        <v>454342</v>
      </c>
    </row>
    <row r="2346" spans="1:6" x14ac:dyDescent="0.25">
      <c r="B2346" t="s">
        <v>1653</v>
      </c>
      <c r="D2346">
        <v>42341536</v>
      </c>
      <c r="F2346">
        <v>42341536</v>
      </c>
    </row>
    <row r="2347" spans="1:6" x14ac:dyDescent="0.25">
      <c r="B2347" t="s">
        <v>2235</v>
      </c>
    </row>
    <row r="2348" spans="1:6" x14ac:dyDescent="0.25">
      <c r="B2348" t="s">
        <v>2525</v>
      </c>
    </row>
    <row r="2349" spans="1:6" x14ac:dyDescent="0.25">
      <c r="A2349" t="s">
        <v>2</v>
      </c>
      <c r="B2349" t="s">
        <v>2486</v>
      </c>
      <c r="C2349">
        <v>72101</v>
      </c>
      <c r="D2349">
        <v>25490227</v>
      </c>
      <c r="F2349">
        <v>25490227</v>
      </c>
    </row>
    <row r="2350" spans="1:6" x14ac:dyDescent="0.25">
      <c r="A2350" t="s">
        <v>15</v>
      </c>
      <c r="B2350" t="s">
        <v>2487</v>
      </c>
      <c r="C2350">
        <v>72102</v>
      </c>
      <c r="D2350">
        <v>14088680</v>
      </c>
      <c r="F2350">
        <v>14088680</v>
      </c>
    </row>
    <row r="2351" spans="1:6" x14ac:dyDescent="0.25">
      <c r="A2351" t="s">
        <v>16</v>
      </c>
      <c r="B2351" t="s">
        <v>2488</v>
      </c>
      <c r="C2351">
        <v>72103</v>
      </c>
      <c r="D2351">
        <v>0</v>
      </c>
      <c r="F2351">
        <v>0</v>
      </c>
    </row>
    <row r="2352" spans="1:6" x14ac:dyDescent="0.25">
      <c r="A2352" t="s">
        <v>25</v>
      </c>
      <c r="B2352" t="s">
        <v>2489</v>
      </c>
      <c r="C2352">
        <v>72104</v>
      </c>
      <c r="D2352">
        <v>0</v>
      </c>
      <c r="F2352">
        <v>0</v>
      </c>
    </row>
    <row r="2353" spans="1:6" x14ac:dyDescent="0.25">
      <c r="A2353" t="s">
        <v>26</v>
      </c>
      <c r="B2353" t="s">
        <v>2490</v>
      </c>
      <c r="C2353">
        <v>72105</v>
      </c>
      <c r="D2353">
        <v>0</v>
      </c>
      <c r="F2353">
        <v>0</v>
      </c>
    </row>
    <row r="2354" spans="1:6" x14ac:dyDescent="0.25">
      <c r="A2354" t="s">
        <v>27</v>
      </c>
      <c r="B2354" t="s">
        <v>2491</v>
      </c>
      <c r="C2354">
        <v>72106</v>
      </c>
      <c r="D2354">
        <v>0</v>
      </c>
      <c r="F2354">
        <v>0</v>
      </c>
    </row>
    <row r="2355" spans="1:6" x14ac:dyDescent="0.25">
      <c r="B2355" t="s">
        <v>2526</v>
      </c>
      <c r="D2355">
        <v>39578907</v>
      </c>
      <c r="F2355">
        <v>39578907</v>
      </c>
    </row>
    <row r="2356" spans="1:6" x14ac:dyDescent="0.25">
      <c r="B2356" t="s">
        <v>2527</v>
      </c>
    </row>
    <row r="2357" spans="1:6" x14ac:dyDescent="0.25">
      <c r="A2357" t="s">
        <v>2</v>
      </c>
      <c r="B2357" t="s">
        <v>2486</v>
      </c>
      <c r="C2357">
        <v>72201</v>
      </c>
      <c r="D2357">
        <v>3201270</v>
      </c>
      <c r="F2357">
        <v>3201270</v>
      </c>
    </row>
    <row r="2358" spans="1:6" x14ac:dyDescent="0.25">
      <c r="B2358" t="s">
        <v>2528</v>
      </c>
    </row>
    <row r="2359" spans="1:6" x14ac:dyDescent="0.25">
      <c r="A2359" t="s">
        <v>2</v>
      </c>
      <c r="B2359" t="s">
        <v>2487</v>
      </c>
      <c r="C2359">
        <v>72301</v>
      </c>
      <c r="D2359">
        <v>23291</v>
      </c>
      <c r="F2359">
        <v>23291</v>
      </c>
    </row>
    <row r="2360" spans="1:6" x14ac:dyDescent="0.25">
      <c r="A2360" t="s">
        <v>15</v>
      </c>
      <c r="B2360" t="s">
        <v>2488</v>
      </c>
      <c r="C2360">
        <v>72302</v>
      </c>
      <c r="D2360">
        <v>0</v>
      </c>
      <c r="F2360">
        <v>0</v>
      </c>
    </row>
    <row r="2361" spans="1:6" x14ac:dyDescent="0.25">
      <c r="A2361" t="s">
        <v>16</v>
      </c>
      <c r="B2361" t="s">
        <v>2489</v>
      </c>
      <c r="C2361">
        <v>72303</v>
      </c>
      <c r="D2361">
        <v>0</v>
      </c>
      <c r="F2361">
        <v>0</v>
      </c>
    </row>
    <row r="2362" spans="1:6" x14ac:dyDescent="0.25">
      <c r="A2362" t="s">
        <v>25</v>
      </c>
      <c r="B2362" t="s">
        <v>2490</v>
      </c>
      <c r="C2362">
        <v>72304</v>
      </c>
      <c r="D2362">
        <v>0</v>
      </c>
      <c r="F2362">
        <v>0</v>
      </c>
    </row>
    <row r="2363" spans="1:6" x14ac:dyDescent="0.25">
      <c r="A2363" t="s">
        <v>26</v>
      </c>
      <c r="B2363" t="s">
        <v>2491</v>
      </c>
      <c r="C2363">
        <v>72305</v>
      </c>
      <c r="D2363">
        <v>0</v>
      </c>
      <c r="F2363">
        <v>0</v>
      </c>
    </row>
    <row r="2364" spans="1:6" x14ac:dyDescent="0.25">
      <c r="B2364" t="s">
        <v>2529</v>
      </c>
      <c r="D2364">
        <v>23291</v>
      </c>
      <c r="F2364">
        <v>23291</v>
      </c>
    </row>
    <row r="2365" spans="1:6" x14ac:dyDescent="0.25">
      <c r="B2365" t="s">
        <v>2530</v>
      </c>
    </row>
    <row r="2366" spans="1:6" x14ac:dyDescent="0.25">
      <c r="A2366" t="s">
        <v>2</v>
      </c>
      <c r="B2366" t="s">
        <v>2497</v>
      </c>
      <c r="C2366">
        <v>72401</v>
      </c>
      <c r="D2366">
        <v>0</v>
      </c>
      <c r="F2366">
        <v>0</v>
      </c>
    </row>
    <row r="2367" spans="1:6" x14ac:dyDescent="0.25">
      <c r="A2367" t="s">
        <v>15</v>
      </c>
      <c r="B2367" t="s">
        <v>2498</v>
      </c>
      <c r="C2367">
        <v>72402</v>
      </c>
      <c r="D2367">
        <v>0</v>
      </c>
      <c r="F2367">
        <v>0</v>
      </c>
    </row>
    <row r="2368" spans="1:6" x14ac:dyDescent="0.25">
      <c r="A2368" t="s">
        <v>16</v>
      </c>
      <c r="B2368" t="s">
        <v>2499</v>
      </c>
      <c r="C2368">
        <v>72403</v>
      </c>
      <c r="D2368">
        <v>0</v>
      </c>
      <c r="F2368">
        <v>0</v>
      </c>
    </row>
    <row r="2369" spans="1:6" x14ac:dyDescent="0.25">
      <c r="A2369" t="s">
        <v>25</v>
      </c>
      <c r="B2369" t="s">
        <v>2500</v>
      </c>
      <c r="C2369">
        <v>72404</v>
      </c>
      <c r="D2369">
        <v>0</v>
      </c>
      <c r="F2369">
        <v>0</v>
      </c>
    </row>
    <row r="2370" spans="1:6" x14ac:dyDescent="0.25">
      <c r="A2370" t="s">
        <v>26</v>
      </c>
      <c r="B2370" t="s">
        <v>2501</v>
      </c>
      <c r="C2370">
        <v>72405</v>
      </c>
      <c r="D2370">
        <v>0</v>
      </c>
      <c r="F2370">
        <v>0</v>
      </c>
    </row>
    <row r="2371" spans="1:6" x14ac:dyDescent="0.25">
      <c r="A2371" t="s">
        <v>27</v>
      </c>
      <c r="B2371" t="s">
        <v>2502</v>
      </c>
      <c r="C2371">
        <v>72406</v>
      </c>
      <c r="D2371">
        <v>0</v>
      </c>
      <c r="F2371">
        <v>0</v>
      </c>
    </row>
    <row r="2372" spans="1:6" x14ac:dyDescent="0.25">
      <c r="A2372" t="s">
        <v>531</v>
      </c>
      <c r="B2372" t="s">
        <v>2531</v>
      </c>
      <c r="C2372">
        <v>72407</v>
      </c>
      <c r="D2372">
        <v>0</v>
      </c>
      <c r="F2372">
        <v>0</v>
      </c>
    </row>
    <row r="2373" spans="1:6" x14ac:dyDescent="0.25">
      <c r="B2373" t="s">
        <v>2532</v>
      </c>
      <c r="D2373">
        <v>0</v>
      </c>
      <c r="F2373">
        <v>0</v>
      </c>
    </row>
    <row r="2374" spans="1:6" x14ac:dyDescent="0.25">
      <c r="B2374" t="s">
        <v>2244</v>
      </c>
    </row>
    <row r="2375" spans="1:6" x14ac:dyDescent="0.25">
      <c r="A2375" t="s">
        <v>2</v>
      </c>
      <c r="B2375" t="s">
        <v>2245</v>
      </c>
      <c r="C2375">
        <v>72501</v>
      </c>
      <c r="D2375">
        <v>0</v>
      </c>
      <c r="F2375">
        <v>0</v>
      </c>
    </row>
    <row r="2376" spans="1:6" x14ac:dyDescent="0.25">
      <c r="A2376" t="s">
        <v>15</v>
      </c>
      <c r="B2376" t="s">
        <v>2246</v>
      </c>
      <c r="C2376">
        <v>72502</v>
      </c>
      <c r="D2376">
        <v>0</v>
      </c>
      <c r="F2376">
        <v>0</v>
      </c>
    </row>
    <row r="2377" spans="1:6" x14ac:dyDescent="0.25">
      <c r="B2377" t="s">
        <v>2247</v>
      </c>
      <c r="D2377">
        <v>0</v>
      </c>
      <c r="F2377">
        <v>0</v>
      </c>
    </row>
    <row r="2378" spans="1:6" x14ac:dyDescent="0.25">
      <c r="B2378" t="s">
        <v>2248</v>
      </c>
    </row>
    <row r="2379" spans="1:6" x14ac:dyDescent="0.25">
      <c r="A2379" t="s">
        <v>2</v>
      </c>
      <c r="B2379" t="s">
        <v>2249</v>
      </c>
      <c r="C2379">
        <v>72601</v>
      </c>
      <c r="D2379">
        <v>0</v>
      </c>
      <c r="F2379">
        <v>0</v>
      </c>
    </row>
    <row r="2380" spans="1:6" x14ac:dyDescent="0.25">
      <c r="A2380" t="s">
        <v>15</v>
      </c>
      <c r="B2380" t="s">
        <v>2250</v>
      </c>
      <c r="C2380">
        <v>72602</v>
      </c>
      <c r="D2380">
        <v>0</v>
      </c>
      <c r="F2380">
        <v>0</v>
      </c>
    </row>
    <row r="2381" spans="1:6" x14ac:dyDescent="0.25">
      <c r="A2381" t="s">
        <v>16</v>
      </c>
      <c r="B2381" t="s">
        <v>2251</v>
      </c>
      <c r="C2381">
        <v>72603</v>
      </c>
      <c r="D2381">
        <v>0</v>
      </c>
      <c r="F2381">
        <v>0</v>
      </c>
    </row>
    <row r="2382" spans="1:6" x14ac:dyDescent="0.25">
      <c r="A2382" t="s">
        <v>25</v>
      </c>
      <c r="B2382" t="s">
        <v>2252</v>
      </c>
      <c r="C2382">
        <v>72604</v>
      </c>
      <c r="D2382">
        <v>0</v>
      </c>
      <c r="F2382">
        <v>0</v>
      </c>
    </row>
    <row r="2383" spans="1:6" x14ac:dyDescent="0.25">
      <c r="B2383" t="s">
        <v>2253</v>
      </c>
      <c r="D2383">
        <v>0</v>
      </c>
      <c r="F2383">
        <v>0</v>
      </c>
    </row>
    <row r="2384" spans="1:6" x14ac:dyDescent="0.25">
      <c r="B2384" t="s">
        <v>2533</v>
      </c>
    </row>
    <row r="2385" spans="1:6" x14ac:dyDescent="0.25">
      <c r="A2385" t="s">
        <v>2</v>
      </c>
      <c r="B2385" t="s">
        <v>2506</v>
      </c>
      <c r="C2385">
        <v>72701</v>
      </c>
      <c r="D2385">
        <v>87351</v>
      </c>
      <c r="F2385">
        <v>87351</v>
      </c>
    </row>
    <row r="2386" spans="1:6" x14ac:dyDescent="0.25">
      <c r="A2386" t="s">
        <v>15</v>
      </c>
      <c r="B2386" t="s">
        <v>2507</v>
      </c>
      <c r="C2386">
        <v>72702</v>
      </c>
      <c r="D2386">
        <v>0</v>
      </c>
      <c r="F2386">
        <v>0</v>
      </c>
    </row>
    <row r="2387" spans="1:6" x14ac:dyDescent="0.25">
      <c r="A2387" t="s">
        <v>16</v>
      </c>
      <c r="B2387" t="s">
        <v>2508</v>
      </c>
      <c r="C2387">
        <v>72703</v>
      </c>
      <c r="D2387">
        <v>0</v>
      </c>
      <c r="F2387">
        <v>0</v>
      </c>
    </row>
    <row r="2388" spans="1:6" x14ac:dyDescent="0.25">
      <c r="A2388" t="s">
        <v>25</v>
      </c>
      <c r="B2388" t="s">
        <v>2509</v>
      </c>
      <c r="C2388">
        <v>72704</v>
      </c>
      <c r="D2388">
        <v>0</v>
      </c>
      <c r="F2388">
        <v>0</v>
      </c>
    </row>
    <row r="2389" spans="1:6" x14ac:dyDescent="0.25">
      <c r="A2389" t="s">
        <v>26</v>
      </c>
      <c r="B2389" t="s">
        <v>2510</v>
      </c>
      <c r="C2389">
        <v>72705</v>
      </c>
      <c r="D2389">
        <v>0</v>
      </c>
      <c r="F2389">
        <v>0</v>
      </c>
    </row>
    <row r="2390" spans="1:6" x14ac:dyDescent="0.25">
      <c r="A2390" t="s">
        <v>27</v>
      </c>
      <c r="B2390" t="s">
        <v>2511</v>
      </c>
      <c r="C2390">
        <v>72706</v>
      </c>
      <c r="D2390">
        <v>0</v>
      </c>
      <c r="F2390">
        <v>0</v>
      </c>
    </row>
    <row r="2391" spans="1:6" x14ac:dyDescent="0.25">
      <c r="B2391" t="s">
        <v>2534</v>
      </c>
      <c r="D2391">
        <v>87351</v>
      </c>
      <c r="F2391">
        <v>87351</v>
      </c>
    </row>
    <row r="2392" spans="1:6" x14ac:dyDescent="0.25">
      <c r="B2392" t="s">
        <v>2535</v>
      </c>
    </row>
    <row r="2393" spans="1:6" x14ac:dyDescent="0.25">
      <c r="A2393" t="s">
        <v>2</v>
      </c>
      <c r="B2393" t="s">
        <v>2220</v>
      </c>
      <c r="C2393">
        <v>72801</v>
      </c>
      <c r="D2393">
        <v>0</v>
      </c>
      <c r="F2393">
        <v>0</v>
      </c>
    </row>
    <row r="2394" spans="1:6" x14ac:dyDescent="0.25">
      <c r="A2394" t="s">
        <v>15</v>
      </c>
      <c r="B2394" t="s">
        <v>2221</v>
      </c>
      <c r="C2394">
        <v>72802</v>
      </c>
      <c r="D2394">
        <v>0</v>
      </c>
      <c r="F2394">
        <v>0</v>
      </c>
    </row>
    <row r="2395" spans="1:6" x14ac:dyDescent="0.25">
      <c r="A2395" t="s">
        <v>16</v>
      </c>
      <c r="B2395" t="s">
        <v>2514</v>
      </c>
      <c r="C2395">
        <v>72803</v>
      </c>
      <c r="D2395">
        <v>0</v>
      </c>
      <c r="F2395">
        <v>0</v>
      </c>
    </row>
    <row r="2396" spans="1:6" x14ac:dyDescent="0.25">
      <c r="A2396" t="s">
        <v>25</v>
      </c>
      <c r="B2396" t="s">
        <v>2536</v>
      </c>
      <c r="C2396">
        <v>72804</v>
      </c>
      <c r="D2396">
        <v>0</v>
      </c>
      <c r="F2396">
        <v>0</v>
      </c>
    </row>
    <row r="2397" spans="1:6" x14ac:dyDescent="0.25">
      <c r="A2397" t="s">
        <v>26</v>
      </c>
      <c r="B2397" t="s">
        <v>2537</v>
      </c>
      <c r="C2397">
        <v>72805</v>
      </c>
      <c r="D2397">
        <v>0</v>
      </c>
      <c r="F2397">
        <v>0</v>
      </c>
    </row>
    <row r="2398" spans="1:6" x14ac:dyDescent="0.25">
      <c r="A2398" t="s">
        <v>27</v>
      </c>
      <c r="B2398" t="s">
        <v>2538</v>
      </c>
      <c r="C2398">
        <v>72806</v>
      </c>
      <c r="D2398">
        <v>0</v>
      </c>
      <c r="F2398">
        <v>0</v>
      </c>
    </row>
    <row r="2399" spans="1:6" x14ac:dyDescent="0.25">
      <c r="B2399" t="s">
        <v>2539</v>
      </c>
      <c r="D2399">
        <v>0</v>
      </c>
      <c r="F2399">
        <v>0</v>
      </c>
    </row>
    <row r="2400" spans="1:6" x14ac:dyDescent="0.25">
      <c r="B2400" t="s">
        <v>2258</v>
      </c>
    </row>
    <row r="2401" spans="1:6" x14ac:dyDescent="0.25">
      <c r="A2401" t="s">
        <v>2</v>
      </c>
      <c r="B2401" t="s">
        <v>2519</v>
      </c>
      <c r="C2401">
        <v>72901</v>
      </c>
      <c r="D2401">
        <v>533887</v>
      </c>
      <c r="F2401">
        <v>533887</v>
      </c>
    </row>
    <row r="2402" spans="1:6" x14ac:dyDescent="0.25">
      <c r="A2402" t="s">
        <v>15</v>
      </c>
      <c r="B2402" t="s">
        <v>2520</v>
      </c>
      <c r="C2402">
        <v>72902</v>
      </c>
      <c r="D2402">
        <v>0</v>
      </c>
      <c r="F2402">
        <v>0</v>
      </c>
    </row>
    <row r="2403" spans="1:6" x14ac:dyDescent="0.25">
      <c r="A2403" t="s">
        <v>16</v>
      </c>
      <c r="B2403" t="s">
        <v>2230</v>
      </c>
      <c r="C2403">
        <v>72903</v>
      </c>
      <c r="D2403">
        <v>0</v>
      </c>
      <c r="F2403">
        <v>0</v>
      </c>
    </row>
    <row r="2404" spans="1:6" x14ac:dyDescent="0.25">
      <c r="A2404" t="s">
        <v>25</v>
      </c>
      <c r="B2404" t="s">
        <v>2231</v>
      </c>
      <c r="C2404">
        <v>72904</v>
      </c>
      <c r="D2404">
        <v>0</v>
      </c>
      <c r="F2404">
        <v>0</v>
      </c>
    </row>
    <row r="2405" spans="1:6" x14ac:dyDescent="0.25">
      <c r="A2405" t="s">
        <v>26</v>
      </c>
      <c r="B2405" t="s">
        <v>2540</v>
      </c>
      <c r="C2405">
        <v>72905</v>
      </c>
      <c r="D2405">
        <v>0</v>
      </c>
      <c r="F2405">
        <v>0</v>
      </c>
    </row>
    <row r="2406" spans="1:6" x14ac:dyDescent="0.25">
      <c r="A2406" t="s">
        <v>27</v>
      </c>
      <c r="B2406" t="s">
        <v>2233</v>
      </c>
      <c r="C2406">
        <v>72906</v>
      </c>
      <c r="D2406">
        <v>0</v>
      </c>
      <c r="F2406">
        <v>0</v>
      </c>
    </row>
    <row r="2407" spans="1:6" x14ac:dyDescent="0.25">
      <c r="A2407" t="s">
        <v>531</v>
      </c>
      <c r="B2407" t="s">
        <v>2521</v>
      </c>
      <c r="C2407">
        <v>72907</v>
      </c>
      <c r="D2407">
        <v>0</v>
      </c>
      <c r="F2407">
        <v>0</v>
      </c>
    </row>
    <row r="2408" spans="1:6" x14ac:dyDescent="0.25">
      <c r="A2408" t="s">
        <v>1583</v>
      </c>
      <c r="B2408" t="s">
        <v>2522</v>
      </c>
      <c r="C2408">
        <v>72908</v>
      </c>
      <c r="D2408">
        <v>0</v>
      </c>
      <c r="F2408">
        <v>0</v>
      </c>
    </row>
    <row r="2409" spans="1:6" x14ac:dyDescent="0.25">
      <c r="A2409" t="s">
        <v>1585</v>
      </c>
      <c r="B2409" t="s">
        <v>2523</v>
      </c>
      <c r="C2409">
        <v>72909</v>
      </c>
      <c r="D2409">
        <v>0</v>
      </c>
      <c r="F2409">
        <v>0</v>
      </c>
    </row>
    <row r="2410" spans="1:6" x14ac:dyDescent="0.25">
      <c r="B2410" t="s">
        <v>2541</v>
      </c>
      <c r="D2410">
        <v>533887</v>
      </c>
      <c r="F2410">
        <v>533887</v>
      </c>
    </row>
    <row r="2411" spans="1:6" x14ac:dyDescent="0.25">
      <c r="B2411" t="s">
        <v>1660</v>
      </c>
      <c r="D2411">
        <v>43424706</v>
      </c>
      <c r="F2411">
        <v>43424706</v>
      </c>
    </row>
    <row r="2412" spans="1:6" x14ac:dyDescent="0.25">
      <c r="B2412" t="s">
        <v>2260</v>
      </c>
    </row>
    <row r="2413" spans="1:6" x14ac:dyDescent="0.25">
      <c r="B2413" t="s">
        <v>2261</v>
      </c>
    </row>
    <row r="2414" spans="1:6" x14ac:dyDescent="0.25">
      <c r="B2414" t="s">
        <v>2262</v>
      </c>
    </row>
    <row r="2415" spans="1:6" x14ac:dyDescent="0.25">
      <c r="A2415" t="s">
        <v>2</v>
      </c>
      <c r="B2415" t="s">
        <v>2263</v>
      </c>
      <c r="C2415">
        <v>81101</v>
      </c>
      <c r="F2415">
        <v>0</v>
      </c>
    </row>
    <row r="2416" spans="1:6" x14ac:dyDescent="0.25">
      <c r="A2416" t="s">
        <v>15</v>
      </c>
      <c r="B2416" t="s">
        <v>2264</v>
      </c>
      <c r="C2416">
        <v>81102</v>
      </c>
      <c r="F2416">
        <v>1083170</v>
      </c>
    </row>
    <row r="2417" spans="1:6" x14ac:dyDescent="0.25">
      <c r="B2417" t="s">
        <v>2265</v>
      </c>
    </row>
    <row r="2418" spans="1:6" x14ac:dyDescent="0.25">
      <c r="A2418" t="s">
        <v>2</v>
      </c>
      <c r="B2418" t="s">
        <v>2266</v>
      </c>
      <c r="C2418">
        <v>81201</v>
      </c>
      <c r="F2418">
        <v>5234824</v>
      </c>
    </row>
    <row r="2419" spans="1:6" x14ac:dyDescent="0.25">
      <c r="A2419" t="s">
        <v>15</v>
      </c>
      <c r="B2419" t="s">
        <v>2267</v>
      </c>
      <c r="C2419">
        <v>81202</v>
      </c>
      <c r="F2419">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6CD27-D5E3-4072-A7B9-0CDC3B37533F}">
  <dimension ref="A1:F2420"/>
  <sheetViews>
    <sheetView topLeftCell="A61" workbookViewId="0"/>
  </sheetViews>
  <sheetFormatPr defaultRowHeight="15" x14ac:dyDescent="0.25"/>
  <cols>
    <col min="1" max="1" width="13.140625" bestFit="1" customWidth="1"/>
    <col min="2" max="2" width="81.140625" bestFit="1" customWidth="1"/>
    <col min="3" max="3" width="12" bestFit="1" customWidth="1"/>
    <col min="4" max="4" width="10" bestFit="1" customWidth="1"/>
    <col min="5" max="5" width="13" bestFit="1" customWidth="1"/>
    <col min="6" max="6" width="10" bestFit="1" customWidth="1"/>
  </cols>
  <sheetData>
    <row r="1" spans="1:6" x14ac:dyDescent="0.25">
      <c r="A1" t="s">
        <v>1568</v>
      </c>
      <c r="B1" t="s">
        <v>1569</v>
      </c>
      <c r="C1" t="s">
        <v>1570</v>
      </c>
      <c r="D1" t="s">
        <v>1006</v>
      </c>
      <c r="E1" t="s">
        <v>2600</v>
      </c>
      <c r="F1" t="s">
        <v>2601</v>
      </c>
    </row>
    <row r="2" spans="1:6" x14ac:dyDescent="0.25">
      <c r="B2" t="s">
        <v>1573</v>
      </c>
    </row>
    <row r="3" spans="1:6" x14ac:dyDescent="0.25">
      <c r="B3" t="s">
        <v>1574</v>
      </c>
    </row>
    <row r="4" spans="1:6" x14ac:dyDescent="0.25">
      <c r="B4" t="s">
        <v>1575</v>
      </c>
    </row>
    <row r="5" spans="1:6" x14ac:dyDescent="0.25">
      <c r="A5" t="s">
        <v>2</v>
      </c>
      <c r="B5" t="s">
        <v>1576</v>
      </c>
      <c r="C5">
        <v>11101</v>
      </c>
      <c r="D5">
        <v>0</v>
      </c>
      <c r="E5">
        <v>0</v>
      </c>
      <c r="F5">
        <v>0</v>
      </c>
    </row>
    <row r="6" spans="1:6" x14ac:dyDescent="0.25">
      <c r="A6" t="s">
        <v>15</v>
      </c>
      <c r="B6" t="s">
        <v>1577</v>
      </c>
      <c r="C6">
        <v>11102</v>
      </c>
      <c r="D6">
        <v>0</v>
      </c>
      <c r="E6">
        <v>0</v>
      </c>
      <c r="F6">
        <v>0</v>
      </c>
    </row>
    <row r="7" spans="1:6" x14ac:dyDescent="0.25">
      <c r="A7" t="s">
        <v>16</v>
      </c>
      <c r="B7" t="s">
        <v>1578</v>
      </c>
      <c r="C7">
        <v>11103</v>
      </c>
      <c r="D7">
        <v>0</v>
      </c>
      <c r="E7">
        <v>0</v>
      </c>
      <c r="F7">
        <v>0</v>
      </c>
    </row>
    <row r="8" spans="1:6" x14ac:dyDescent="0.25">
      <c r="A8" t="s">
        <v>25</v>
      </c>
      <c r="B8" t="s">
        <v>1579</v>
      </c>
      <c r="C8">
        <v>11104</v>
      </c>
      <c r="D8">
        <v>0</v>
      </c>
      <c r="E8">
        <v>0</v>
      </c>
      <c r="F8">
        <v>0</v>
      </c>
    </row>
    <row r="9" spans="1:6" x14ac:dyDescent="0.25">
      <c r="A9" t="s">
        <v>26</v>
      </c>
      <c r="B9" t="s">
        <v>1580</v>
      </c>
      <c r="C9">
        <v>11105</v>
      </c>
      <c r="D9">
        <v>81951</v>
      </c>
      <c r="E9">
        <v>0</v>
      </c>
      <c r="F9">
        <v>81951</v>
      </c>
    </row>
    <row r="10" spans="1:6" x14ac:dyDescent="0.25">
      <c r="A10" t="s">
        <v>27</v>
      </c>
      <c r="B10" t="s">
        <v>1581</v>
      </c>
      <c r="C10">
        <v>11106</v>
      </c>
      <c r="D10">
        <v>38509</v>
      </c>
      <c r="E10">
        <v>0</v>
      </c>
      <c r="F10">
        <v>38509</v>
      </c>
    </row>
    <row r="11" spans="1:6" x14ac:dyDescent="0.25">
      <c r="A11" t="s">
        <v>531</v>
      </c>
      <c r="B11" t="s">
        <v>1582</v>
      </c>
      <c r="C11">
        <v>11107</v>
      </c>
      <c r="D11">
        <v>0</v>
      </c>
      <c r="E11">
        <v>0</v>
      </c>
      <c r="F11">
        <v>0</v>
      </c>
    </row>
    <row r="12" spans="1:6" x14ac:dyDescent="0.25">
      <c r="A12" t="s">
        <v>1583</v>
      </c>
      <c r="B12" t="s">
        <v>1584</v>
      </c>
      <c r="C12">
        <v>11108</v>
      </c>
      <c r="D12">
        <v>12167</v>
      </c>
      <c r="E12">
        <v>0</v>
      </c>
      <c r="F12">
        <v>12167</v>
      </c>
    </row>
    <row r="13" spans="1:6" x14ac:dyDescent="0.25">
      <c r="A13" t="s">
        <v>1585</v>
      </c>
      <c r="B13" t="s">
        <v>1586</v>
      </c>
      <c r="C13">
        <v>11109</v>
      </c>
      <c r="D13">
        <v>80366</v>
      </c>
      <c r="E13">
        <v>0</v>
      </c>
      <c r="F13">
        <v>80366</v>
      </c>
    </row>
    <row r="14" spans="1:6" x14ac:dyDescent="0.25">
      <c r="A14" t="s">
        <v>1587</v>
      </c>
      <c r="B14" t="s">
        <v>1588</v>
      </c>
      <c r="C14">
        <v>11110</v>
      </c>
      <c r="D14">
        <v>0</v>
      </c>
      <c r="E14">
        <v>0</v>
      </c>
      <c r="F14">
        <v>0</v>
      </c>
    </row>
    <row r="15" spans="1:6" x14ac:dyDescent="0.25">
      <c r="A15" t="s">
        <v>1589</v>
      </c>
      <c r="B15" t="s">
        <v>1590</v>
      </c>
      <c r="C15">
        <v>11111</v>
      </c>
      <c r="D15">
        <v>829435</v>
      </c>
      <c r="E15">
        <v>0</v>
      </c>
      <c r="F15">
        <v>829435</v>
      </c>
    </row>
    <row r="16" spans="1:6" x14ac:dyDescent="0.25">
      <c r="A16" t="s">
        <v>1591</v>
      </c>
      <c r="B16" t="s">
        <v>1592</v>
      </c>
      <c r="C16">
        <v>11112</v>
      </c>
      <c r="D16">
        <v>7637180</v>
      </c>
      <c r="E16">
        <v>17855</v>
      </c>
      <c r="F16">
        <v>7655035</v>
      </c>
    </row>
    <row r="17" spans="1:6" x14ac:dyDescent="0.25">
      <c r="A17" t="s">
        <v>1593</v>
      </c>
      <c r="B17" t="s">
        <v>1594</v>
      </c>
      <c r="C17">
        <v>11113</v>
      </c>
      <c r="D17">
        <v>207</v>
      </c>
      <c r="E17">
        <v>0</v>
      </c>
      <c r="F17">
        <v>207</v>
      </c>
    </row>
    <row r="18" spans="1:6" x14ac:dyDescent="0.25">
      <c r="A18" t="s">
        <v>1595</v>
      </c>
      <c r="B18" t="s">
        <v>1596</v>
      </c>
      <c r="C18">
        <v>11114</v>
      </c>
      <c r="D18">
        <v>404963</v>
      </c>
      <c r="E18">
        <v>0</v>
      </c>
      <c r="F18">
        <v>404963</v>
      </c>
    </row>
    <row r="19" spans="1:6" x14ac:dyDescent="0.25">
      <c r="A19" t="s">
        <v>1597</v>
      </c>
      <c r="B19" t="s">
        <v>1598</v>
      </c>
      <c r="C19">
        <v>11115</v>
      </c>
      <c r="D19">
        <v>10106102</v>
      </c>
      <c r="E19">
        <v>1971</v>
      </c>
      <c r="F19">
        <v>10108073</v>
      </c>
    </row>
    <row r="20" spans="1:6" x14ac:dyDescent="0.25">
      <c r="A20" t="s">
        <v>1599</v>
      </c>
      <c r="B20" t="s">
        <v>1600</v>
      </c>
      <c r="C20">
        <v>11116</v>
      </c>
      <c r="D20">
        <v>0</v>
      </c>
      <c r="E20">
        <v>240089</v>
      </c>
      <c r="F20">
        <v>240089</v>
      </c>
    </row>
    <row r="21" spans="1:6" x14ac:dyDescent="0.25">
      <c r="A21" t="s">
        <v>1601</v>
      </c>
      <c r="B21" t="s">
        <v>1602</v>
      </c>
      <c r="C21">
        <v>11117</v>
      </c>
      <c r="D21">
        <v>154</v>
      </c>
      <c r="E21">
        <v>0</v>
      </c>
      <c r="F21">
        <v>154</v>
      </c>
    </row>
    <row r="22" spans="1:6" x14ac:dyDescent="0.25">
      <c r="A22" t="s">
        <v>1603</v>
      </c>
      <c r="B22" t="s">
        <v>1604</v>
      </c>
      <c r="C22">
        <v>11118</v>
      </c>
      <c r="D22">
        <v>1716759</v>
      </c>
      <c r="E22">
        <v>105692</v>
      </c>
      <c r="F22">
        <v>1822451</v>
      </c>
    </row>
    <row r="23" spans="1:6" x14ac:dyDescent="0.25">
      <c r="A23" t="s">
        <v>1605</v>
      </c>
      <c r="B23" t="s">
        <v>1606</v>
      </c>
      <c r="C23">
        <v>11119</v>
      </c>
      <c r="D23">
        <v>52940</v>
      </c>
      <c r="E23">
        <v>337090</v>
      </c>
      <c r="F23">
        <v>390030</v>
      </c>
    </row>
    <row r="24" spans="1:6" x14ac:dyDescent="0.25">
      <c r="A24" t="s">
        <v>1607</v>
      </c>
      <c r="B24" t="s">
        <v>1608</v>
      </c>
      <c r="C24">
        <v>11120</v>
      </c>
      <c r="D24">
        <v>0</v>
      </c>
      <c r="E24">
        <v>0</v>
      </c>
      <c r="F24">
        <v>0</v>
      </c>
    </row>
    <row r="25" spans="1:6" x14ac:dyDescent="0.25">
      <c r="B25" t="s">
        <v>1609</v>
      </c>
      <c r="D25">
        <v>20960733</v>
      </c>
      <c r="E25">
        <v>702697</v>
      </c>
      <c r="F25">
        <v>21663430</v>
      </c>
    </row>
    <row r="26" spans="1:6" x14ac:dyDescent="0.25">
      <c r="B26" t="s">
        <v>1656</v>
      </c>
    </row>
    <row r="27" spans="1:6" x14ac:dyDescent="0.25">
      <c r="A27" t="s">
        <v>2</v>
      </c>
      <c r="B27" t="s">
        <v>1611</v>
      </c>
      <c r="C27">
        <v>11201</v>
      </c>
      <c r="D27">
        <v>0</v>
      </c>
      <c r="E27">
        <v>0</v>
      </c>
      <c r="F27">
        <v>0</v>
      </c>
    </row>
    <row r="28" spans="1:6" x14ac:dyDescent="0.25">
      <c r="A28" t="s">
        <v>15</v>
      </c>
      <c r="B28" t="s">
        <v>1612</v>
      </c>
      <c r="C28">
        <v>11202</v>
      </c>
      <c r="D28">
        <v>0</v>
      </c>
      <c r="E28">
        <v>0</v>
      </c>
      <c r="F28">
        <v>0</v>
      </c>
    </row>
    <row r="29" spans="1:6" x14ac:dyDescent="0.25">
      <c r="A29" t="s">
        <v>16</v>
      </c>
      <c r="B29" t="s">
        <v>1613</v>
      </c>
      <c r="C29">
        <v>11203</v>
      </c>
      <c r="D29">
        <v>0</v>
      </c>
      <c r="E29">
        <v>0</v>
      </c>
      <c r="F29">
        <v>0</v>
      </c>
    </row>
    <row r="30" spans="1:6" x14ac:dyDescent="0.25">
      <c r="A30" t="s">
        <v>25</v>
      </c>
      <c r="B30" t="s">
        <v>1614</v>
      </c>
      <c r="C30">
        <v>11204</v>
      </c>
      <c r="D30">
        <v>0</v>
      </c>
      <c r="E30">
        <v>0</v>
      </c>
      <c r="F30">
        <v>0</v>
      </c>
    </row>
    <row r="31" spans="1:6" x14ac:dyDescent="0.25">
      <c r="A31" t="s">
        <v>26</v>
      </c>
      <c r="B31" t="s">
        <v>1615</v>
      </c>
      <c r="C31">
        <v>11205</v>
      </c>
      <c r="D31">
        <v>0</v>
      </c>
      <c r="E31">
        <v>0</v>
      </c>
      <c r="F31">
        <v>0</v>
      </c>
    </row>
    <row r="32" spans="1:6" x14ac:dyDescent="0.25">
      <c r="A32" t="s">
        <v>27</v>
      </c>
      <c r="B32" t="s">
        <v>1616</v>
      </c>
      <c r="C32">
        <v>11206</v>
      </c>
      <c r="D32">
        <v>0</v>
      </c>
      <c r="E32">
        <v>0</v>
      </c>
      <c r="F32">
        <v>0</v>
      </c>
    </row>
    <row r="33" spans="1:6" x14ac:dyDescent="0.25">
      <c r="A33" t="s">
        <v>531</v>
      </c>
      <c r="B33" t="s">
        <v>1617</v>
      </c>
      <c r="C33">
        <v>11207</v>
      </c>
      <c r="D33">
        <v>0</v>
      </c>
      <c r="E33">
        <v>0</v>
      </c>
      <c r="F33">
        <v>0</v>
      </c>
    </row>
    <row r="34" spans="1:6" x14ac:dyDescent="0.25">
      <c r="A34" t="s">
        <v>1583</v>
      </c>
      <c r="B34" t="s">
        <v>1618</v>
      </c>
      <c r="C34">
        <v>11208</v>
      </c>
      <c r="D34">
        <v>0</v>
      </c>
      <c r="E34">
        <v>0</v>
      </c>
      <c r="F34">
        <v>0</v>
      </c>
    </row>
    <row r="35" spans="1:6" x14ac:dyDescent="0.25">
      <c r="A35" t="s">
        <v>1585</v>
      </c>
      <c r="B35" t="s">
        <v>1619</v>
      </c>
      <c r="C35">
        <v>11209</v>
      </c>
      <c r="D35">
        <v>0</v>
      </c>
      <c r="E35">
        <v>0</v>
      </c>
      <c r="F35">
        <v>0</v>
      </c>
    </row>
    <row r="36" spans="1:6" x14ac:dyDescent="0.25">
      <c r="A36" t="s">
        <v>1587</v>
      </c>
      <c r="B36" t="s">
        <v>1620</v>
      </c>
      <c r="C36">
        <v>11210</v>
      </c>
      <c r="D36">
        <v>0</v>
      </c>
      <c r="E36">
        <v>0</v>
      </c>
      <c r="F36">
        <v>0</v>
      </c>
    </row>
    <row r="37" spans="1:6" x14ac:dyDescent="0.25">
      <c r="A37" t="s">
        <v>1589</v>
      </c>
      <c r="B37" t="s">
        <v>1621</v>
      </c>
      <c r="C37">
        <v>11211</v>
      </c>
      <c r="D37">
        <v>440391</v>
      </c>
      <c r="E37">
        <v>13623</v>
      </c>
      <c r="F37">
        <v>454014</v>
      </c>
    </row>
    <row r="38" spans="1:6" x14ac:dyDescent="0.25">
      <c r="A38" t="s">
        <v>1591</v>
      </c>
      <c r="B38" t="s">
        <v>1622</v>
      </c>
      <c r="C38">
        <v>11212</v>
      </c>
      <c r="D38">
        <v>182605</v>
      </c>
      <c r="E38">
        <v>0</v>
      </c>
      <c r="F38">
        <v>182605</v>
      </c>
    </row>
    <row r="39" spans="1:6" x14ac:dyDescent="0.25">
      <c r="A39" t="s">
        <v>1593</v>
      </c>
      <c r="B39" t="s">
        <v>1623</v>
      </c>
      <c r="C39">
        <v>11213</v>
      </c>
      <c r="D39">
        <v>0</v>
      </c>
      <c r="E39">
        <v>0</v>
      </c>
      <c r="F39">
        <v>0</v>
      </c>
    </row>
    <row r="40" spans="1:6" x14ac:dyDescent="0.25">
      <c r="A40" t="s">
        <v>1595</v>
      </c>
      <c r="B40" t="s">
        <v>1624</v>
      </c>
      <c r="C40">
        <v>11214</v>
      </c>
      <c r="D40">
        <v>0</v>
      </c>
      <c r="E40">
        <v>0</v>
      </c>
      <c r="F40">
        <v>0</v>
      </c>
    </row>
    <row r="41" spans="1:6" x14ac:dyDescent="0.25">
      <c r="A41" t="s">
        <v>1597</v>
      </c>
      <c r="B41" t="s">
        <v>1625</v>
      </c>
      <c r="C41">
        <v>11215</v>
      </c>
      <c r="D41">
        <v>1734456</v>
      </c>
      <c r="E41">
        <v>3635</v>
      </c>
      <c r="F41">
        <v>1738091</v>
      </c>
    </row>
    <row r="42" spans="1:6" x14ac:dyDescent="0.25">
      <c r="A42" t="s">
        <v>1599</v>
      </c>
      <c r="B42" t="s">
        <v>1626</v>
      </c>
      <c r="C42">
        <v>11216</v>
      </c>
      <c r="D42">
        <v>0</v>
      </c>
      <c r="E42">
        <v>1539</v>
      </c>
      <c r="F42">
        <v>1539</v>
      </c>
    </row>
    <row r="43" spans="1:6" x14ac:dyDescent="0.25">
      <c r="A43" t="s">
        <v>1601</v>
      </c>
      <c r="B43" t="s">
        <v>1627</v>
      </c>
      <c r="C43">
        <v>11217</v>
      </c>
      <c r="D43">
        <v>0</v>
      </c>
      <c r="E43">
        <v>0</v>
      </c>
      <c r="F43">
        <v>0</v>
      </c>
    </row>
    <row r="44" spans="1:6" x14ac:dyDescent="0.25">
      <c r="A44" t="s">
        <v>1603</v>
      </c>
      <c r="B44" t="s">
        <v>1596</v>
      </c>
      <c r="C44">
        <v>11218</v>
      </c>
      <c r="D44">
        <v>5698</v>
      </c>
      <c r="E44">
        <v>0</v>
      </c>
      <c r="F44">
        <v>5698</v>
      </c>
    </row>
    <row r="45" spans="1:6" x14ac:dyDescent="0.25">
      <c r="A45" t="s">
        <v>1605</v>
      </c>
      <c r="B45" t="s">
        <v>1598</v>
      </c>
      <c r="C45">
        <v>11219</v>
      </c>
      <c r="D45">
        <v>0</v>
      </c>
      <c r="E45">
        <v>0</v>
      </c>
      <c r="F45">
        <v>0</v>
      </c>
    </row>
    <row r="46" spans="1:6" x14ac:dyDescent="0.25">
      <c r="A46" t="s">
        <v>1607</v>
      </c>
      <c r="B46" t="s">
        <v>1602</v>
      </c>
      <c r="C46">
        <v>11220</v>
      </c>
      <c r="D46">
        <v>0</v>
      </c>
      <c r="E46">
        <v>0</v>
      </c>
      <c r="F46">
        <v>0</v>
      </c>
    </row>
    <row r="47" spans="1:6" x14ac:dyDescent="0.25">
      <c r="B47" t="s">
        <v>1628</v>
      </c>
      <c r="D47">
        <v>2363150</v>
      </c>
      <c r="E47">
        <v>18797</v>
      </c>
      <c r="F47">
        <v>2381947</v>
      </c>
    </row>
    <row r="48" spans="1:6" x14ac:dyDescent="0.25">
      <c r="B48" t="s">
        <v>1629</v>
      </c>
    </row>
    <row r="49" spans="1:6" x14ac:dyDescent="0.25">
      <c r="A49" t="s">
        <v>2</v>
      </c>
      <c r="B49" t="s">
        <v>1627</v>
      </c>
      <c r="C49">
        <v>11301</v>
      </c>
      <c r="D49">
        <v>673154</v>
      </c>
      <c r="E49">
        <v>0</v>
      </c>
      <c r="F49">
        <v>673154</v>
      </c>
    </row>
    <row r="50" spans="1:6" x14ac:dyDescent="0.25">
      <c r="A50" t="s">
        <v>15</v>
      </c>
      <c r="B50" t="s">
        <v>1625</v>
      </c>
      <c r="C50">
        <v>11302</v>
      </c>
      <c r="D50">
        <v>5</v>
      </c>
      <c r="E50">
        <v>120</v>
      </c>
      <c r="F50">
        <v>125</v>
      </c>
    </row>
    <row r="51" spans="1:6" x14ac:dyDescent="0.25">
      <c r="A51" t="s">
        <v>16</v>
      </c>
      <c r="B51" t="s">
        <v>1626</v>
      </c>
      <c r="C51">
        <v>11303</v>
      </c>
      <c r="D51">
        <v>0</v>
      </c>
      <c r="E51">
        <v>1920</v>
      </c>
      <c r="F51">
        <v>1920</v>
      </c>
    </row>
    <row r="52" spans="1:6" x14ac:dyDescent="0.25">
      <c r="B52" t="s">
        <v>1630</v>
      </c>
      <c r="D52">
        <v>673159</v>
      </c>
      <c r="E52">
        <v>2040</v>
      </c>
      <c r="F52">
        <v>675199</v>
      </c>
    </row>
    <row r="53" spans="1:6" x14ac:dyDescent="0.25">
      <c r="B53" t="s">
        <v>1631</v>
      </c>
    </row>
    <row r="54" spans="1:6" x14ac:dyDescent="0.25">
      <c r="A54" t="s">
        <v>2</v>
      </c>
      <c r="B54" t="s">
        <v>1627</v>
      </c>
      <c r="C54">
        <v>11401</v>
      </c>
      <c r="D54">
        <v>0</v>
      </c>
      <c r="E54">
        <v>0</v>
      </c>
      <c r="F54">
        <v>0</v>
      </c>
    </row>
    <row r="55" spans="1:6" x14ac:dyDescent="0.25">
      <c r="A55" t="s">
        <v>15</v>
      </c>
      <c r="B55" t="s">
        <v>1625</v>
      </c>
      <c r="C55">
        <v>11402</v>
      </c>
      <c r="D55">
        <v>0</v>
      </c>
      <c r="E55">
        <v>0</v>
      </c>
      <c r="F55">
        <v>0</v>
      </c>
    </row>
    <row r="56" spans="1:6" x14ac:dyDescent="0.25">
      <c r="A56" t="s">
        <v>16</v>
      </c>
      <c r="B56" t="s">
        <v>1626</v>
      </c>
      <c r="C56">
        <v>11403</v>
      </c>
      <c r="D56">
        <v>0</v>
      </c>
      <c r="E56">
        <v>1146</v>
      </c>
      <c r="F56">
        <v>1146</v>
      </c>
    </row>
    <row r="57" spans="1:6" x14ac:dyDescent="0.25">
      <c r="B57" t="s">
        <v>1632</v>
      </c>
      <c r="D57">
        <v>0</v>
      </c>
      <c r="E57">
        <v>1146</v>
      </c>
      <c r="F57">
        <v>1146</v>
      </c>
    </row>
    <row r="58" spans="1:6" x14ac:dyDescent="0.25">
      <c r="B58" t="s">
        <v>1633</v>
      </c>
    </row>
    <row r="59" spans="1:6" x14ac:dyDescent="0.25">
      <c r="A59" t="s">
        <v>2</v>
      </c>
      <c r="B59" t="s">
        <v>1634</v>
      </c>
      <c r="C59">
        <v>11501</v>
      </c>
      <c r="D59">
        <v>4578</v>
      </c>
      <c r="E59">
        <v>0</v>
      </c>
      <c r="F59">
        <v>4578</v>
      </c>
    </row>
    <row r="60" spans="1:6" x14ac:dyDescent="0.25">
      <c r="A60" t="s">
        <v>15</v>
      </c>
      <c r="B60" t="s">
        <v>1635</v>
      </c>
      <c r="C60">
        <v>11502</v>
      </c>
      <c r="D60">
        <v>0</v>
      </c>
      <c r="E60">
        <v>0</v>
      </c>
      <c r="F60">
        <v>0</v>
      </c>
    </row>
    <row r="61" spans="1:6" x14ac:dyDescent="0.25">
      <c r="A61" t="s">
        <v>16</v>
      </c>
      <c r="B61" t="s">
        <v>1636</v>
      </c>
      <c r="C61">
        <v>11503</v>
      </c>
      <c r="D61">
        <v>0</v>
      </c>
      <c r="E61">
        <v>0</v>
      </c>
      <c r="F61">
        <v>0</v>
      </c>
    </row>
    <row r="62" spans="1:6" x14ac:dyDescent="0.25">
      <c r="A62" t="s">
        <v>25</v>
      </c>
      <c r="B62" t="s">
        <v>1637</v>
      </c>
      <c r="C62">
        <v>11504</v>
      </c>
      <c r="D62">
        <v>0</v>
      </c>
      <c r="E62">
        <v>0</v>
      </c>
      <c r="F62">
        <v>0</v>
      </c>
    </row>
    <row r="63" spans="1:6" x14ac:dyDescent="0.25">
      <c r="A63" t="s">
        <v>26</v>
      </c>
      <c r="B63" t="s">
        <v>1638</v>
      </c>
      <c r="C63">
        <v>11505</v>
      </c>
      <c r="D63">
        <v>26304</v>
      </c>
      <c r="E63">
        <v>0</v>
      </c>
      <c r="F63">
        <v>26304</v>
      </c>
    </row>
    <row r="64" spans="1:6" x14ac:dyDescent="0.25">
      <c r="A64" t="s">
        <v>27</v>
      </c>
      <c r="B64" t="s">
        <v>1639</v>
      </c>
      <c r="C64">
        <v>11506</v>
      </c>
      <c r="D64">
        <v>0</v>
      </c>
      <c r="E64">
        <v>0</v>
      </c>
      <c r="F64">
        <v>0</v>
      </c>
    </row>
    <row r="65" spans="1:6" x14ac:dyDescent="0.25">
      <c r="A65" t="s">
        <v>531</v>
      </c>
      <c r="B65" t="s">
        <v>1640</v>
      </c>
      <c r="C65">
        <v>11507</v>
      </c>
      <c r="D65">
        <v>0</v>
      </c>
      <c r="E65">
        <v>0</v>
      </c>
      <c r="F65">
        <v>0</v>
      </c>
    </row>
    <row r="66" spans="1:6" x14ac:dyDescent="0.25">
      <c r="A66" t="s">
        <v>1583</v>
      </c>
      <c r="B66" t="s">
        <v>1641</v>
      </c>
      <c r="C66">
        <v>11508</v>
      </c>
      <c r="D66">
        <v>0</v>
      </c>
      <c r="E66">
        <v>0</v>
      </c>
      <c r="F66">
        <v>0</v>
      </c>
    </row>
    <row r="67" spans="1:6" x14ac:dyDescent="0.25">
      <c r="B67" t="s">
        <v>1642</v>
      </c>
      <c r="D67">
        <v>30882</v>
      </c>
      <c r="E67">
        <v>0</v>
      </c>
      <c r="F67">
        <v>30882</v>
      </c>
    </row>
    <row r="68" spans="1:6" x14ac:dyDescent="0.25">
      <c r="B68" t="s">
        <v>2287</v>
      </c>
    </row>
    <row r="69" spans="1:6" x14ac:dyDescent="0.25">
      <c r="A69" t="s">
        <v>2</v>
      </c>
      <c r="B69" t="s">
        <v>1634</v>
      </c>
      <c r="C69">
        <v>11601</v>
      </c>
      <c r="D69">
        <v>500652</v>
      </c>
      <c r="E69">
        <v>0</v>
      </c>
      <c r="F69">
        <v>500652</v>
      </c>
    </row>
    <row r="70" spans="1:6" x14ac:dyDescent="0.25">
      <c r="A70" t="s">
        <v>15</v>
      </c>
      <c r="B70" t="s">
        <v>1635</v>
      </c>
      <c r="C70">
        <v>11602</v>
      </c>
      <c r="D70">
        <v>0</v>
      </c>
      <c r="E70">
        <v>0</v>
      </c>
      <c r="F70">
        <v>0</v>
      </c>
    </row>
    <row r="71" spans="1:6" x14ac:dyDescent="0.25">
      <c r="A71" t="s">
        <v>16</v>
      </c>
      <c r="B71" t="s">
        <v>1636</v>
      </c>
      <c r="C71">
        <v>11603</v>
      </c>
      <c r="D71">
        <v>0</v>
      </c>
      <c r="E71">
        <v>0</v>
      </c>
      <c r="F71">
        <v>0</v>
      </c>
    </row>
    <row r="72" spans="1:6" x14ac:dyDescent="0.25">
      <c r="A72" t="s">
        <v>25</v>
      </c>
      <c r="B72" t="s">
        <v>1637</v>
      </c>
      <c r="C72">
        <v>11604</v>
      </c>
      <c r="D72">
        <v>64734</v>
      </c>
      <c r="E72">
        <v>17482</v>
      </c>
      <c r="F72">
        <v>82216</v>
      </c>
    </row>
    <row r="73" spans="1:6" x14ac:dyDescent="0.25">
      <c r="A73" t="s">
        <v>26</v>
      </c>
      <c r="B73" t="s">
        <v>1638</v>
      </c>
      <c r="C73">
        <v>11605</v>
      </c>
      <c r="D73">
        <v>211185</v>
      </c>
      <c r="E73">
        <v>0</v>
      </c>
      <c r="F73">
        <v>211185</v>
      </c>
    </row>
    <row r="74" spans="1:6" x14ac:dyDescent="0.25">
      <c r="A74" t="s">
        <v>27</v>
      </c>
      <c r="B74" t="s">
        <v>1639</v>
      </c>
      <c r="C74">
        <v>11606</v>
      </c>
      <c r="D74">
        <v>0</v>
      </c>
      <c r="E74">
        <v>23646</v>
      </c>
      <c r="F74">
        <v>23646</v>
      </c>
    </row>
    <row r="75" spans="1:6" x14ac:dyDescent="0.25">
      <c r="A75" t="s">
        <v>531</v>
      </c>
      <c r="B75" t="s">
        <v>1640</v>
      </c>
      <c r="C75">
        <v>11607</v>
      </c>
      <c r="D75">
        <v>6611</v>
      </c>
      <c r="E75">
        <v>0</v>
      </c>
      <c r="F75">
        <v>6611</v>
      </c>
    </row>
    <row r="76" spans="1:6" x14ac:dyDescent="0.25">
      <c r="A76" t="s">
        <v>1583</v>
      </c>
      <c r="B76" t="s">
        <v>1641</v>
      </c>
      <c r="C76">
        <v>11608</v>
      </c>
      <c r="D76">
        <v>26179</v>
      </c>
      <c r="E76">
        <v>2968620</v>
      </c>
      <c r="F76">
        <v>2994799</v>
      </c>
    </row>
    <row r="77" spans="1:6" x14ac:dyDescent="0.25">
      <c r="B77" t="s">
        <v>1644</v>
      </c>
      <c r="D77">
        <v>809361</v>
      </c>
      <c r="E77">
        <v>3009748</v>
      </c>
      <c r="F77">
        <v>3819109</v>
      </c>
    </row>
    <row r="78" spans="1:6" x14ac:dyDescent="0.25">
      <c r="B78" t="s">
        <v>2288</v>
      </c>
    </row>
    <row r="79" spans="1:6" x14ac:dyDescent="0.25">
      <c r="A79" t="s">
        <v>2</v>
      </c>
      <c r="B79" t="s">
        <v>1634</v>
      </c>
      <c r="C79">
        <v>11701</v>
      </c>
      <c r="D79">
        <v>115185</v>
      </c>
      <c r="E79">
        <v>0</v>
      </c>
      <c r="F79">
        <v>115185</v>
      </c>
    </row>
    <row r="80" spans="1:6" x14ac:dyDescent="0.25">
      <c r="A80" t="s">
        <v>15</v>
      </c>
      <c r="B80" t="s">
        <v>1635</v>
      </c>
      <c r="C80">
        <v>11702</v>
      </c>
      <c r="D80">
        <v>0</v>
      </c>
      <c r="E80">
        <v>0</v>
      </c>
      <c r="F80">
        <v>0</v>
      </c>
    </row>
    <row r="81" spans="1:6" x14ac:dyDescent="0.25">
      <c r="A81" t="s">
        <v>16</v>
      </c>
      <c r="B81" t="s">
        <v>1636</v>
      </c>
      <c r="C81">
        <v>11703</v>
      </c>
      <c r="D81">
        <v>0</v>
      </c>
      <c r="E81">
        <v>0</v>
      </c>
      <c r="F81">
        <v>0</v>
      </c>
    </row>
    <row r="82" spans="1:6" x14ac:dyDescent="0.25">
      <c r="A82" t="s">
        <v>25</v>
      </c>
      <c r="B82" t="s">
        <v>1637</v>
      </c>
      <c r="C82">
        <v>11704</v>
      </c>
      <c r="D82">
        <v>204211</v>
      </c>
      <c r="E82">
        <v>51126</v>
      </c>
      <c r="F82">
        <v>255337</v>
      </c>
    </row>
    <row r="83" spans="1:6" x14ac:dyDescent="0.25">
      <c r="A83" t="s">
        <v>26</v>
      </c>
      <c r="B83" t="s">
        <v>1638</v>
      </c>
      <c r="C83">
        <v>11705</v>
      </c>
      <c r="D83">
        <v>6339722</v>
      </c>
      <c r="E83">
        <v>0</v>
      </c>
      <c r="F83">
        <v>6339722</v>
      </c>
    </row>
    <row r="84" spans="1:6" x14ac:dyDescent="0.25">
      <c r="A84" t="s">
        <v>27</v>
      </c>
      <c r="B84" t="s">
        <v>1639</v>
      </c>
      <c r="C84">
        <v>11706</v>
      </c>
      <c r="D84">
        <v>0</v>
      </c>
      <c r="E84">
        <v>44239</v>
      </c>
      <c r="F84">
        <v>44239</v>
      </c>
    </row>
    <row r="85" spans="1:6" x14ac:dyDescent="0.25">
      <c r="A85" t="s">
        <v>531</v>
      </c>
      <c r="B85" t="s">
        <v>1640</v>
      </c>
      <c r="C85">
        <v>11707</v>
      </c>
      <c r="D85">
        <v>0</v>
      </c>
      <c r="E85">
        <v>10372</v>
      </c>
      <c r="F85">
        <v>10372</v>
      </c>
    </row>
    <row r="86" spans="1:6" x14ac:dyDescent="0.25">
      <c r="A86" t="s">
        <v>1583</v>
      </c>
      <c r="B86" t="s">
        <v>1641</v>
      </c>
      <c r="C86">
        <v>11708</v>
      </c>
      <c r="D86">
        <v>229587</v>
      </c>
      <c r="E86">
        <v>1186266</v>
      </c>
      <c r="F86">
        <v>1415853</v>
      </c>
    </row>
    <row r="87" spans="1:6" x14ac:dyDescent="0.25">
      <c r="B87" t="s">
        <v>1646</v>
      </c>
      <c r="D87">
        <v>6888705</v>
      </c>
      <c r="E87">
        <v>1292003</v>
      </c>
      <c r="F87">
        <v>8180708</v>
      </c>
    </row>
    <row r="88" spans="1:6" x14ac:dyDescent="0.25">
      <c r="B88" t="s">
        <v>1647</v>
      </c>
    </row>
    <row r="89" spans="1:6" x14ac:dyDescent="0.25">
      <c r="A89" t="s">
        <v>2</v>
      </c>
      <c r="B89" t="s">
        <v>1648</v>
      </c>
      <c r="C89">
        <v>11801</v>
      </c>
      <c r="D89">
        <v>0</v>
      </c>
      <c r="E89">
        <v>0</v>
      </c>
      <c r="F89">
        <v>0</v>
      </c>
    </row>
    <row r="90" spans="1:6" x14ac:dyDescent="0.25">
      <c r="A90" t="s">
        <v>15</v>
      </c>
      <c r="B90" t="s">
        <v>1649</v>
      </c>
      <c r="C90">
        <v>11802</v>
      </c>
      <c r="D90">
        <v>0</v>
      </c>
      <c r="E90">
        <v>0</v>
      </c>
      <c r="F90">
        <v>0</v>
      </c>
    </row>
    <row r="91" spans="1:6" x14ac:dyDescent="0.25">
      <c r="A91" t="s">
        <v>16</v>
      </c>
      <c r="B91" t="s">
        <v>1637</v>
      </c>
      <c r="C91">
        <v>11803</v>
      </c>
      <c r="D91">
        <v>20</v>
      </c>
      <c r="E91">
        <v>0</v>
      </c>
      <c r="F91">
        <v>20</v>
      </c>
    </row>
    <row r="92" spans="1:6" x14ac:dyDescent="0.25">
      <c r="A92" t="s">
        <v>25</v>
      </c>
      <c r="B92" t="s">
        <v>1638</v>
      </c>
      <c r="C92">
        <v>11804</v>
      </c>
      <c r="D92">
        <v>25109</v>
      </c>
      <c r="E92">
        <v>0</v>
      </c>
      <c r="F92">
        <v>25109</v>
      </c>
    </row>
    <row r="93" spans="1:6" x14ac:dyDescent="0.25">
      <c r="A93" t="s">
        <v>26</v>
      </c>
      <c r="B93" t="s">
        <v>1650</v>
      </c>
      <c r="C93">
        <v>11805</v>
      </c>
      <c r="D93">
        <v>0</v>
      </c>
      <c r="E93">
        <v>0</v>
      </c>
      <c r="F93">
        <v>0</v>
      </c>
    </row>
    <row r="94" spans="1:6" x14ac:dyDescent="0.25">
      <c r="A94" t="s">
        <v>27</v>
      </c>
      <c r="B94" t="s">
        <v>1651</v>
      </c>
      <c r="C94">
        <v>11806</v>
      </c>
      <c r="D94">
        <v>0</v>
      </c>
      <c r="E94">
        <v>0</v>
      </c>
      <c r="F94">
        <v>0</v>
      </c>
    </row>
    <row r="95" spans="1:6" x14ac:dyDescent="0.25">
      <c r="A95" t="s">
        <v>531</v>
      </c>
      <c r="B95" t="s">
        <v>1640</v>
      </c>
      <c r="C95">
        <v>11807</v>
      </c>
      <c r="D95">
        <v>0</v>
      </c>
      <c r="E95">
        <v>0</v>
      </c>
      <c r="F95">
        <v>0</v>
      </c>
    </row>
    <row r="96" spans="1:6" x14ac:dyDescent="0.25">
      <c r="A96" t="s">
        <v>1583</v>
      </c>
      <c r="B96" t="s">
        <v>1641</v>
      </c>
      <c r="C96">
        <v>11808</v>
      </c>
      <c r="D96">
        <v>0</v>
      </c>
      <c r="E96">
        <v>0</v>
      </c>
      <c r="F96">
        <v>0</v>
      </c>
    </row>
    <row r="97" spans="1:6" x14ac:dyDescent="0.25">
      <c r="B97" t="s">
        <v>1652</v>
      </c>
      <c r="D97">
        <v>25129</v>
      </c>
      <c r="E97">
        <v>0</v>
      </c>
      <c r="F97">
        <v>25129</v>
      </c>
    </row>
    <row r="98" spans="1:6" x14ac:dyDescent="0.25">
      <c r="B98" t="s">
        <v>1653</v>
      </c>
      <c r="D98">
        <v>31751119</v>
      </c>
      <c r="E98">
        <v>5026431</v>
      </c>
      <c r="F98">
        <v>36777550</v>
      </c>
    </row>
    <row r="99" spans="1:6" x14ac:dyDescent="0.25">
      <c r="B99" t="s">
        <v>1654</v>
      </c>
    </row>
    <row r="100" spans="1:6" x14ac:dyDescent="0.25">
      <c r="B100" t="s">
        <v>1575</v>
      </c>
    </row>
    <row r="101" spans="1:6" x14ac:dyDescent="0.25">
      <c r="A101" t="s">
        <v>2</v>
      </c>
      <c r="B101" t="s">
        <v>1576</v>
      </c>
      <c r="C101">
        <v>12101</v>
      </c>
      <c r="D101">
        <v>0</v>
      </c>
      <c r="E101">
        <v>0</v>
      </c>
      <c r="F101">
        <v>0</v>
      </c>
    </row>
    <row r="102" spans="1:6" x14ac:dyDescent="0.25">
      <c r="A102" t="s">
        <v>15</v>
      </c>
      <c r="B102" t="s">
        <v>1577</v>
      </c>
      <c r="C102">
        <v>12102</v>
      </c>
      <c r="D102">
        <v>0</v>
      </c>
      <c r="E102">
        <v>0</v>
      </c>
      <c r="F102">
        <v>0</v>
      </c>
    </row>
    <row r="103" spans="1:6" x14ac:dyDescent="0.25">
      <c r="A103" t="s">
        <v>16</v>
      </c>
      <c r="B103" t="s">
        <v>1578</v>
      </c>
      <c r="C103">
        <v>12103</v>
      </c>
      <c r="D103">
        <v>0</v>
      </c>
      <c r="E103">
        <v>0</v>
      </c>
      <c r="F103">
        <v>0</v>
      </c>
    </row>
    <row r="104" spans="1:6" x14ac:dyDescent="0.25">
      <c r="A104" t="s">
        <v>25</v>
      </c>
      <c r="B104" t="s">
        <v>1579</v>
      </c>
      <c r="C104">
        <v>12104</v>
      </c>
      <c r="D104">
        <v>0</v>
      </c>
      <c r="E104">
        <v>0</v>
      </c>
      <c r="F104">
        <v>0</v>
      </c>
    </row>
    <row r="105" spans="1:6" x14ac:dyDescent="0.25">
      <c r="A105" t="s">
        <v>26</v>
      </c>
      <c r="B105" t="s">
        <v>1580</v>
      </c>
      <c r="C105">
        <v>12105</v>
      </c>
      <c r="D105">
        <v>0</v>
      </c>
      <c r="E105">
        <v>0</v>
      </c>
      <c r="F105">
        <v>0</v>
      </c>
    </row>
    <row r="106" spans="1:6" x14ac:dyDescent="0.25">
      <c r="A106" t="s">
        <v>27</v>
      </c>
      <c r="B106" t="s">
        <v>1581</v>
      </c>
      <c r="C106">
        <v>12106</v>
      </c>
      <c r="D106">
        <v>0</v>
      </c>
      <c r="E106">
        <v>0</v>
      </c>
      <c r="F106">
        <v>0</v>
      </c>
    </row>
    <row r="107" spans="1:6" x14ac:dyDescent="0.25">
      <c r="A107" t="s">
        <v>531</v>
      </c>
      <c r="B107" t="s">
        <v>1582</v>
      </c>
      <c r="C107">
        <v>12107</v>
      </c>
      <c r="D107">
        <v>0</v>
      </c>
      <c r="E107">
        <v>0</v>
      </c>
      <c r="F107">
        <v>0</v>
      </c>
    </row>
    <row r="108" spans="1:6" x14ac:dyDescent="0.25">
      <c r="A108" t="s">
        <v>1583</v>
      </c>
      <c r="B108" t="s">
        <v>1584</v>
      </c>
      <c r="C108">
        <v>12108</v>
      </c>
      <c r="D108">
        <v>0</v>
      </c>
      <c r="E108">
        <v>0</v>
      </c>
      <c r="F108">
        <v>0</v>
      </c>
    </row>
    <row r="109" spans="1:6" x14ac:dyDescent="0.25">
      <c r="A109" t="s">
        <v>1585</v>
      </c>
      <c r="B109" t="s">
        <v>1586</v>
      </c>
      <c r="C109">
        <v>12109</v>
      </c>
      <c r="D109">
        <v>0</v>
      </c>
      <c r="E109">
        <v>0</v>
      </c>
      <c r="F109">
        <v>0</v>
      </c>
    </row>
    <row r="110" spans="1:6" x14ac:dyDescent="0.25">
      <c r="A110" t="s">
        <v>1587</v>
      </c>
      <c r="B110" t="s">
        <v>1588</v>
      </c>
      <c r="C110">
        <v>12110</v>
      </c>
      <c r="D110">
        <v>0</v>
      </c>
      <c r="E110">
        <v>0</v>
      </c>
      <c r="F110">
        <v>0</v>
      </c>
    </row>
    <row r="111" spans="1:6" x14ac:dyDescent="0.25">
      <c r="A111" t="s">
        <v>1589</v>
      </c>
      <c r="B111" t="s">
        <v>1590</v>
      </c>
      <c r="C111">
        <v>12111</v>
      </c>
      <c r="D111">
        <v>0</v>
      </c>
      <c r="E111">
        <v>0</v>
      </c>
      <c r="F111">
        <v>0</v>
      </c>
    </row>
    <row r="112" spans="1:6" x14ac:dyDescent="0.25">
      <c r="A112" t="s">
        <v>1591</v>
      </c>
      <c r="B112" t="s">
        <v>1592</v>
      </c>
      <c r="C112">
        <v>12112</v>
      </c>
      <c r="D112">
        <v>865</v>
      </c>
      <c r="E112">
        <v>0</v>
      </c>
      <c r="F112">
        <v>865</v>
      </c>
    </row>
    <row r="113" spans="1:6" x14ac:dyDescent="0.25">
      <c r="A113" t="s">
        <v>1593</v>
      </c>
      <c r="B113" t="s">
        <v>1594</v>
      </c>
      <c r="C113">
        <v>12113</v>
      </c>
      <c r="D113">
        <v>0</v>
      </c>
      <c r="E113">
        <v>0</v>
      </c>
      <c r="F113">
        <v>0</v>
      </c>
    </row>
    <row r="114" spans="1:6" x14ac:dyDescent="0.25">
      <c r="A114" t="s">
        <v>1595</v>
      </c>
      <c r="B114" t="s">
        <v>1596</v>
      </c>
      <c r="C114">
        <v>12114</v>
      </c>
      <c r="D114">
        <v>88</v>
      </c>
      <c r="E114">
        <v>0</v>
      </c>
      <c r="F114">
        <v>88</v>
      </c>
    </row>
    <row r="115" spans="1:6" x14ac:dyDescent="0.25">
      <c r="A115" t="s">
        <v>1597</v>
      </c>
      <c r="B115" t="s">
        <v>1598</v>
      </c>
      <c r="C115">
        <v>12115</v>
      </c>
      <c r="D115">
        <v>0</v>
      </c>
      <c r="E115">
        <v>0</v>
      </c>
      <c r="F115">
        <v>0</v>
      </c>
    </row>
    <row r="116" spans="1:6" x14ac:dyDescent="0.25">
      <c r="A116" t="s">
        <v>1599</v>
      </c>
      <c r="B116" t="s">
        <v>1600</v>
      </c>
      <c r="C116">
        <v>12116</v>
      </c>
      <c r="D116">
        <v>0</v>
      </c>
      <c r="E116">
        <v>0</v>
      </c>
      <c r="F116">
        <v>0</v>
      </c>
    </row>
    <row r="117" spans="1:6" x14ac:dyDescent="0.25">
      <c r="A117" t="s">
        <v>1601</v>
      </c>
      <c r="B117" t="s">
        <v>1602</v>
      </c>
      <c r="C117">
        <v>12117</v>
      </c>
      <c r="D117">
        <v>0</v>
      </c>
      <c r="E117">
        <v>0</v>
      </c>
      <c r="F117">
        <v>0</v>
      </c>
    </row>
    <row r="118" spans="1:6" x14ac:dyDescent="0.25">
      <c r="A118" t="s">
        <v>1603</v>
      </c>
      <c r="B118" t="s">
        <v>1604</v>
      </c>
      <c r="C118">
        <v>12118</v>
      </c>
      <c r="D118">
        <v>0</v>
      </c>
      <c r="E118">
        <v>93829</v>
      </c>
      <c r="F118">
        <v>93829</v>
      </c>
    </row>
    <row r="119" spans="1:6" x14ac:dyDescent="0.25">
      <c r="A119" t="s">
        <v>1605</v>
      </c>
      <c r="B119" t="s">
        <v>1606</v>
      </c>
      <c r="C119">
        <v>12119</v>
      </c>
      <c r="D119">
        <v>0</v>
      </c>
      <c r="E119">
        <v>60308</v>
      </c>
      <c r="F119">
        <v>60308</v>
      </c>
    </row>
    <row r="120" spans="1:6" x14ac:dyDescent="0.25">
      <c r="A120" t="s">
        <v>1607</v>
      </c>
      <c r="B120" t="s">
        <v>1608</v>
      </c>
      <c r="C120">
        <v>12120</v>
      </c>
      <c r="D120">
        <v>0</v>
      </c>
      <c r="E120">
        <v>0</v>
      </c>
      <c r="F120">
        <v>0</v>
      </c>
    </row>
    <row r="121" spans="1:6" x14ac:dyDescent="0.25">
      <c r="B121" t="s">
        <v>1655</v>
      </c>
      <c r="D121">
        <v>953</v>
      </c>
      <c r="E121">
        <v>154137</v>
      </c>
      <c r="F121">
        <v>155090</v>
      </c>
    </row>
    <row r="122" spans="1:6" x14ac:dyDescent="0.25">
      <c r="B122" t="s">
        <v>1656</v>
      </c>
    </row>
    <row r="123" spans="1:6" x14ac:dyDescent="0.25">
      <c r="A123" t="s">
        <v>2</v>
      </c>
      <c r="B123" t="s">
        <v>1611</v>
      </c>
      <c r="C123">
        <v>12201</v>
      </c>
      <c r="D123">
        <v>0</v>
      </c>
      <c r="E123">
        <v>0</v>
      </c>
      <c r="F123">
        <v>0</v>
      </c>
    </row>
    <row r="124" spans="1:6" x14ac:dyDescent="0.25">
      <c r="A124" t="s">
        <v>15</v>
      </c>
      <c r="B124" t="s">
        <v>1612</v>
      </c>
      <c r="C124">
        <v>12202</v>
      </c>
      <c r="D124">
        <v>0</v>
      </c>
      <c r="E124">
        <v>0</v>
      </c>
      <c r="F124">
        <v>0</v>
      </c>
    </row>
    <row r="125" spans="1:6" x14ac:dyDescent="0.25">
      <c r="A125" t="s">
        <v>16</v>
      </c>
      <c r="B125" t="s">
        <v>1613</v>
      </c>
      <c r="C125">
        <v>12203</v>
      </c>
      <c r="D125">
        <v>0</v>
      </c>
      <c r="E125">
        <v>0</v>
      </c>
      <c r="F125">
        <v>0</v>
      </c>
    </row>
    <row r="126" spans="1:6" x14ac:dyDescent="0.25">
      <c r="A126" t="s">
        <v>25</v>
      </c>
      <c r="B126" t="s">
        <v>1614</v>
      </c>
      <c r="C126">
        <v>12204</v>
      </c>
      <c r="D126">
        <v>0</v>
      </c>
      <c r="E126">
        <v>0</v>
      </c>
      <c r="F126">
        <v>0</v>
      </c>
    </row>
    <row r="127" spans="1:6" x14ac:dyDescent="0.25">
      <c r="A127" t="s">
        <v>26</v>
      </c>
      <c r="B127" t="s">
        <v>1615</v>
      </c>
      <c r="C127">
        <v>12205</v>
      </c>
      <c r="D127">
        <v>0</v>
      </c>
      <c r="E127">
        <v>0</v>
      </c>
      <c r="F127">
        <v>0</v>
      </c>
    </row>
    <row r="128" spans="1:6" x14ac:dyDescent="0.25">
      <c r="A128" t="s">
        <v>27</v>
      </c>
      <c r="B128" t="s">
        <v>1616</v>
      </c>
      <c r="C128">
        <v>12206</v>
      </c>
      <c r="D128">
        <v>0</v>
      </c>
      <c r="E128">
        <v>0</v>
      </c>
      <c r="F128">
        <v>0</v>
      </c>
    </row>
    <row r="129" spans="1:6" x14ac:dyDescent="0.25">
      <c r="A129" t="s">
        <v>531</v>
      </c>
      <c r="B129" t="s">
        <v>1617</v>
      </c>
      <c r="C129">
        <v>12207</v>
      </c>
      <c r="D129">
        <v>0</v>
      </c>
      <c r="E129">
        <v>0</v>
      </c>
      <c r="F129">
        <v>0</v>
      </c>
    </row>
    <row r="130" spans="1:6" x14ac:dyDescent="0.25">
      <c r="A130" t="s">
        <v>1583</v>
      </c>
      <c r="B130" t="s">
        <v>1618</v>
      </c>
      <c r="C130">
        <v>12208</v>
      </c>
      <c r="D130">
        <v>0</v>
      </c>
      <c r="E130">
        <v>0</v>
      </c>
      <c r="F130">
        <v>0</v>
      </c>
    </row>
    <row r="131" spans="1:6" x14ac:dyDescent="0.25">
      <c r="A131" t="s">
        <v>1585</v>
      </c>
      <c r="B131" t="s">
        <v>1619</v>
      </c>
      <c r="C131">
        <v>12209</v>
      </c>
      <c r="D131">
        <v>0</v>
      </c>
      <c r="E131">
        <v>0</v>
      </c>
      <c r="F131">
        <v>0</v>
      </c>
    </row>
    <row r="132" spans="1:6" x14ac:dyDescent="0.25">
      <c r="A132" t="s">
        <v>1587</v>
      </c>
      <c r="B132" t="s">
        <v>1620</v>
      </c>
      <c r="C132">
        <v>12210</v>
      </c>
      <c r="D132">
        <v>0</v>
      </c>
      <c r="E132">
        <v>0</v>
      </c>
      <c r="F132">
        <v>0</v>
      </c>
    </row>
    <row r="133" spans="1:6" x14ac:dyDescent="0.25">
      <c r="A133" t="s">
        <v>1589</v>
      </c>
      <c r="B133" t="s">
        <v>1621</v>
      </c>
      <c r="C133">
        <v>12211</v>
      </c>
      <c r="D133">
        <v>0</v>
      </c>
      <c r="E133">
        <v>0</v>
      </c>
      <c r="F133">
        <v>0</v>
      </c>
    </row>
    <row r="134" spans="1:6" x14ac:dyDescent="0.25">
      <c r="A134" t="s">
        <v>1591</v>
      </c>
      <c r="B134" t="s">
        <v>1622</v>
      </c>
      <c r="C134">
        <v>12212</v>
      </c>
      <c r="D134">
        <v>0</v>
      </c>
      <c r="E134">
        <v>0</v>
      </c>
      <c r="F134">
        <v>0</v>
      </c>
    </row>
    <row r="135" spans="1:6" x14ac:dyDescent="0.25">
      <c r="A135" t="s">
        <v>1593</v>
      </c>
      <c r="B135" t="s">
        <v>1623</v>
      </c>
      <c r="C135">
        <v>12213</v>
      </c>
      <c r="D135">
        <v>0</v>
      </c>
      <c r="E135">
        <v>0</v>
      </c>
      <c r="F135">
        <v>0</v>
      </c>
    </row>
    <row r="136" spans="1:6" x14ac:dyDescent="0.25">
      <c r="A136" t="s">
        <v>1595</v>
      </c>
      <c r="B136" t="s">
        <v>1624</v>
      </c>
      <c r="C136">
        <v>12214</v>
      </c>
      <c r="D136">
        <v>0</v>
      </c>
      <c r="E136">
        <v>0</v>
      </c>
      <c r="F136">
        <v>0</v>
      </c>
    </row>
    <row r="137" spans="1:6" x14ac:dyDescent="0.25">
      <c r="A137" t="s">
        <v>1597</v>
      </c>
      <c r="B137" t="s">
        <v>1625</v>
      </c>
      <c r="C137">
        <v>12215</v>
      </c>
      <c r="D137">
        <v>0</v>
      </c>
      <c r="E137">
        <v>0</v>
      </c>
      <c r="F137">
        <v>0</v>
      </c>
    </row>
    <row r="138" spans="1:6" x14ac:dyDescent="0.25">
      <c r="A138" t="s">
        <v>1599</v>
      </c>
      <c r="B138" t="s">
        <v>1626</v>
      </c>
      <c r="C138">
        <v>12216</v>
      </c>
      <c r="D138">
        <v>0</v>
      </c>
      <c r="E138">
        <v>16733</v>
      </c>
      <c r="F138">
        <v>16733</v>
      </c>
    </row>
    <row r="139" spans="1:6" x14ac:dyDescent="0.25">
      <c r="A139" t="s">
        <v>1601</v>
      </c>
      <c r="B139" t="s">
        <v>1627</v>
      </c>
      <c r="C139">
        <v>12217</v>
      </c>
      <c r="D139">
        <v>0</v>
      </c>
      <c r="E139">
        <v>0</v>
      </c>
      <c r="F139">
        <v>0</v>
      </c>
    </row>
    <row r="140" spans="1:6" x14ac:dyDescent="0.25">
      <c r="A140" t="s">
        <v>1603</v>
      </c>
      <c r="B140" t="s">
        <v>1596</v>
      </c>
      <c r="C140">
        <v>12218</v>
      </c>
      <c r="D140">
        <v>0</v>
      </c>
      <c r="E140">
        <v>0</v>
      </c>
      <c r="F140">
        <v>0</v>
      </c>
    </row>
    <row r="141" spans="1:6" x14ac:dyDescent="0.25">
      <c r="A141" t="s">
        <v>1605</v>
      </c>
      <c r="B141" t="s">
        <v>1598</v>
      </c>
      <c r="C141">
        <v>12219</v>
      </c>
      <c r="D141">
        <v>0</v>
      </c>
      <c r="E141">
        <v>0</v>
      </c>
      <c r="F141">
        <v>0</v>
      </c>
    </row>
    <row r="142" spans="1:6" x14ac:dyDescent="0.25">
      <c r="A142" t="s">
        <v>1607</v>
      </c>
      <c r="B142" t="s">
        <v>1602</v>
      </c>
      <c r="C142">
        <v>12220</v>
      </c>
      <c r="D142">
        <v>0</v>
      </c>
      <c r="E142">
        <v>0</v>
      </c>
      <c r="F142">
        <v>0</v>
      </c>
    </row>
    <row r="143" spans="1:6" x14ac:dyDescent="0.25">
      <c r="B143" t="s">
        <v>1657</v>
      </c>
      <c r="D143">
        <v>0</v>
      </c>
      <c r="E143">
        <v>16733</v>
      </c>
      <c r="F143">
        <v>16733</v>
      </c>
    </row>
    <row r="144" spans="1:6" x14ac:dyDescent="0.25">
      <c r="B144" t="s">
        <v>1658</v>
      </c>
    </row>
    <row r="145" spans="1:6" x14ac:dyDescent="0.25">
      <c r="A145" t="s">
        <v>2</v>
      </c>
      <c r="B145" t="s">
        <v>1627</v>
      </c>
      <c r="C145">
        <v>12301</v>
      </c>
      <c r="D145">
        <v>0</v>
      </c>
      <c r="E145">
        <v>0</v>
      </c>
      <c r="F145">
        <v>0</v>
      </c>
    </row>
    <row r="146" spans="1:6" x14ac:dyDescent="0.25">
      <c r="A146" t="s">
        <v>15</v>
      </c>
      <c r="B146" t="s">
        <v>1625</v>
      </c>
      <c r="C146">
        <v>12302</v>
      </c>
      <c r="D146">
        <v>0</v>
      </c>
      <c r="E146">
        <v>0</v>
      </c>
      <c r="F146">
        <v>0</v>
      </c>
    </row>
    <row r="147" spans="1:6" x14ac:dyDescent="0.25">
      <c r="A147" t="s">
        <v>16</v>
      </c>
      <c r="B147" t="s">
        <v>1626</v>
      </c>
      <c r="C147">
        <v>12303</v>
      </c>
      <c r="D147">
        <v>0</v>
      </c>
      <c r="E147">
        <v>0</v>
      </c>
      <c r="F147">
        <v>0</v>
      </c>
    </row>
    <row r="148" spans="1:6" x14ac:dyDescent="0.25">
      <c r="B148" t="s">
        <v>1659</v>
      </c>
      <c r="D148">
        <v>0</v>
      </c>
      <c r="E148">
        <v>0</v>
      </c>
      <c r="F148">
        <v>0</v>
      </c>
    </row>
    <row r="149" spans="1:6" x14ac:dyDescent="0.25">
      <c r="B149" t="s">
        <v>1660</v>
      </c>
      <c r="D149">
        <v>953</v>
      </c>
      <c r="E149">
        <v>170870</v>
      </c>
      <c r="F149">
        <v>171823</v>
      </c>
    </row>
    <row r="150" spans="1:6" x14ac:dyDescent="0.25">
      <c r="B150" t="s">
        <v>2289</v>
      </c>
    </row>
    <row r="151" spans="1:6" x14ac:dyDescent="0.25">
      <c r="B151" t="s">
        <v>1575</v>
      </c>
    </row>
    <row r="152" spans="1:6" x14ac:dyDescent="0.25">
      <c r="A152" t="s">
        <v>2</v>
      </c>
      <c r="B152" t="s">
        <v>1576</v>
      </c>
      <c r="C152">
        <v>13101</v>
      </c>
      <c r="D152">
        <v>0</v>
      </c>
      <c r="E152">
        <v>0</v>
      </c>
      <c r="F152">
        <v>0</v>
      </c>
    </row>
    <row r="153" spans="1:6" x14ac:dyDescent="0.25">
      <c r="A153" t="s">
        <v>15</v>
      </c>
      <c r="B153" t="s">
        <v>1577</v>
      </c>
      <c r="C153">
        <v>13102</v>
      </c>
      <c r="D153">
        <v>0</v>
      </c>
      <c r="E153">
        <v>0</v>
      </c>
      <c r="F153">
        <v>0</v>
      </c>
    </row>
    <row r="154" spans="1:6" x14ac:dyDescent="0.25">
      <c r="A154" t="s">
        <v>16</v>
      </c>
      <c r="B154" t="s">
        <v>1578</v>
      </c>
      <c r="C154">
        <v>13103</v>
      </c>
      <c r="D154">
        <v>0</v>
      </c>
      <c r="E154">
        <v>0</v>
      </c>
      <c r="F154">
        <v>0</v>
      </c>
    </row>
    <row r="155" spans="1:6" x14ac:dyDescent="0.25">
      <c r="A155" t="s">
        <v>25</v>
      </c>
      <c r="B155" t="s">
        <v>1579</v>
      </c>
      <c r="C155">
        <v>13104</v>
      </c>
      <c r="D155">
        <v>0</v>
      </c>
      <c r="E155">
        <v>0</v>
      </c>
      <c r="F155">
        <v>0</v>
      </c>
    </row>
    <row r="156" spans="1:6" x14ac:dyDescent="0.25">
      <c r="A156" t="s">
        <v>26</v>
      </c>
      <c r="B156" t="s">
        <v>1580</v>
      </c>
      <c r="C156">
        <v>13105</v>
      </c>
      <c r="D156">
        <v>101709</v>
      </c>
      <c r="E156">
        <v>0</v>
      </c>
      <c r="F156">
        <v>101709</v>
      </c>
    </row>
    <row r="157" spans="1:6" x14ac:dyDescent="0.25">
      <c r="A157" t="s">
        <v>27</v>
      </c>
      <c r="B157" t="s">
        <v>1581</v>
      </c>
      <c r="C157">
        <v>13106</v>
      </c>
      <c r="D157">
        <v>667</v>
      </c>
      <c r="E157">
        <v>0</v>
      </c>
      <c r="F157">
        <v>667</v>
      </c>
    </row>
    <row r="158" spans="1:6" x14ac:dyDescent="0.25">
      <c r="A158" t="s">
        <v>531</v>
      </c>
      <c r="B158" t="s">
        <v>1582</v>
      </c>
      <c r="C158">
        <v>13107</v>
      </c>
      <c r="D158">
        <v>0</v>
      </c>
      <c r="E158">
        <v>0</v>
      </c>
      <c r="F158">
        <v>0</v>
      </c>
    </row>
    <row r="159" spans="1:6" x14ac:dyDescent="0.25">
      <c r="A159" t="s">
        <v>1583</v>
      </c>
      <c r="B159" t="s">
        <v>1584</v>
      </c>
      <c r="C159">
        <v>13108</v>
      </c>
      <c r="D159">
        <v>418</v>
      </c>
      <c r="E159">
        <v>0</v>
      </c>
      <c r="F159">
        <v>418</v>
      </c>
    </row>
    <row r="160" spans="1:6" x14ac:dyDescent="0.25">
      <c r="A160" t="s">
        <v>1585</v>
      </c>
      <c r="B160" t="s">
        <v>1586</v>
      </c>
      <c r="C160">
        <v>13109</v>
      </c>
      <c r="D160">
        <v>1705</v>
      </c>
      <c r="E160">
        <v>0</v>
      </c>
      <c r="F160">
        <v>1705</v>
      </c>
    </row>
    <row r="161" spans="1:6" x14ac:dyDescent="0.25">
      <c r="A161" t="s">
        <v>1587</v>
      </c>
      <c r="B161" t="s">
        <v>1588</v>
      </c>
      <c r="C161">
        <v>13110</v>
      </c>
      <c r="D161">
        <v>0</v>
      </c>
      <c r="E161">
        <v>0</v>
      </c>
      <c r="F161">
        <v>0</v>
      </c>
    </row>
    <row r="162" spans="1:6" x14ac:dyDescent="0.25">
      <c r="A162" t="s">
        <v>1589</v>
      </c>
      <c r="B162" t="s">
        <v>1590</v>
      </c>
      <c r="C162">
        <v>13111</v>
      </c>
      <c r="D162">
        <v>111066</v>
      </c>
      <c r="E162">
        <v>0</v>
      </c>
      <c r="F162">
        <v>111066</v>
      </c>
    </row>
    <row r="163" spans="1:6" x14ac:dyDescent="0.25">
      <c r="A163" t="s">
        <v>1591</v>
      </c>
      <c r="B163" t="s">
        <v>1592</v>
      </c>
      <c r="C163">
        <v>13112</v>
      </c>
      <c r="D163">
        <v>704371</v>
      </c>
      <c r="E163">
        <v>0</v>
      </c>
      <c r="F163">
        <v>704371</v>
      </c>
    </row>
    <row r="164" spans="1:6" x14ac:dyDescent="0.25">
      <c r="A164" t="s">
        <v>1593</v>
      </c>
      <c r="B164" t="s">
        <v>1594</v>
      </c>
      <c r="C164">
        <v>13113</v>
      </c>
      <c r="D164">
        <v>319</v>
      </c>
      <c r="E164">
        <v>0</v>
      </c>
      <c r="F164">
        <v>319</v>
      </c>
    </row>
    <row r="165" spans="1:6" x14ac:dyDescent="0.25">
      <c r="A165" t="s">
        <v>1595</v>
      </c>
      <c r="B165" t="s">
        <v>1596</v>
      </c>
      <c r="C165">
        <v>13114</v>
      </c>
      <c r="D165">
        <v>54283</v>
      </c>
      <c r="E165">
        <v>0</v>
      </c>
      <c r="F165">
        <v>54283</v>
      </c>
    </row>
    <row r="166" spans="1:6" x14ac:dyDescent="0.25">
      <c r="A166" t="s">
        <v>1597</v>
      </c>
      <c r="B166" t="s">
        <v>1598</v>
      </c>
      <c r="C166">
        <v>13115</v>
      </c>
      <c r="D166">
        <v>187309</v>
      </c>
      <c r="E166">
        <v>0</v>
      </c>
      <c r="F166">
        <v>187309</v>
      </c>
    </row>
    <row r="167" spans="1:6" x14ac:dyDescent="0.25">
      <c r="A167" t="s">
        <v>1599</v>
      </c>
      <c r="B167" t="s">
        <v>1600</v>
      </c>
      <c r="C167">
        <v>13116</v>
      </c>
      <c r="D167">
        <v>0</v>
      </c>
      <c r="E167">
        <v>0</v>
      </c>
      <c r="F167">
        <v>0</v>
      </c>
    </row>
    <row r="168" spans="1:6" x14ac:dyDescent="0.25">
      <c r="A168" t="s">
        <v>1601</v>
      </c>
      <c r="B168" t="s">
        <v>1602</v>
      </c>
      <c r="C168">
        <v>13117</v>
      </c>
      <c r="D168">
        <v>0</v>
      </c>
      <c r="E168">
        <v>0</v>
      </c>
      <c r="F168">
        <v>0</v>
      </c>
    </row>
    <row r="169" spans="1:6" x14ac:dyDescent="0.25">
      <c r="A169" t="s">
        <v>1603</v>
      </c>
      <c r="B169" t="s">
        <v>1604</v>
      </c>
      <c r="C169">
        <v>13118</v>
      </c>
      <c r="D169">
        <v>838</v>
      </c>
      <c r="E169">
        <v>0</v>
      </c>
      <c r="F169">
        <v>838</v>
      </c>
    </row>
    <row r="170" spans="1:6" x14ac:dyDescent="0.25">
      <c r="A170" t="s">
        <v>1605</v>
      </c>
      <c r="B170" t="s">
        <v>1606</v>
      </c>
      <c r="C170">
        <v>13119</v>
      </c>
      <c r="D170">
        <v>76635</v>
      </c>
      <c r="E170">
        <v>0</v>
      </c>
      <c r="F170">
        <v>76635</v>
      </c>
    </row>
    <row r="171" spans="1:6" x14ac:dyDescent="0.25">
      <c r="A171" t="s">
        <v>1607</v>
      </c>
      <c r="B171" t="s">
        <v>1608</v>
      </c>
      <c r="C171">
        <v>13120</v>
      </c>
      <c r="D171">
        <v>0</v>
      </c>
      <c r="E171">
        <v>0</v>
      </c>
      <c r="F171">
        <v>0</v>
      </c>
    </row>
    <row r="172" spans="1:6" x14ac:dyDescent="0.25">
      <c r="B172" t="s">
        <v>1662</v>
      </c>
      <c r="D172">
        <v>1239320</v>
      </c>
      <c r="E172">
        <v>0</v>
      </c>
      <c r="F172">
        <v>1239320</v>
      </c>
    </row>
    <row r="173" spans="1:6" x14ac:dyDescent="0.25">
      <c r="B173" t="s">
        <v>1656</v>
      </c>
    </row>
    <row r="174" spans="1:6" x14ac:dyDescent="0.25">
      <c r="A174" t="s">
        <v>2</v>
      </c>
      <c r="B174" t="s">
        <v>1611</v>
      </c>
      <c r="C174">
        <v>13201</v>
      </c>
      <c r="D174">
        <v>0</v>
      </c>
      <c r="E174">
        <v>0</v>
      </c>
      <c r="F174">
        <v>0</v>
      </c>
    </row>
    <row r="175" spans="1:6" x14ac:dyDescent="0.25">
      <c r="A175" t="s">
        <v>15</v>
      </c>
      <c r="B175" t="s">
        <v>1612</v>
      </c>
      <c r="C175">
        <v>13202</v>
      </c>
      <c r="D175">
        <v>0</v>
      </c>
      <c r="E175">
        <v>0</v>
      </c>
      <c r="F175">
        <v>0</v>
      </c>
    </row>
    <row r="176" spans="1:6" x14ac:dyDescent="0.25">
      <c r="A176" t="s">
        <v>16</v>
      </c>
      <c r="B176" t="s">
        <v>1613</v>
      </c>
      <c r="C176">
        <v>13203</v>
      </c>
      <c r="D176">
        <v>0</v>
      </c>
      <c r="E176">
        <v>0</v>
      </c>
      <c r="F176">
        <v>0</v>
      </c>
    </row>
    <row r="177" spans="1:6" x14ac:dyDescent="0.25">
      <c r="A177" t="s">
        <v>25</v>
      </c>
      <c r="B177" t="s">
        <v>1614</v>
      </c>
      <c r="C177">
        <v>13204</v>
      </c>
      <c r="D177">
        <v>0</v>
      </c>
      <c r="E177">
        <v>0</v>
      </c>
      <c r="F177">
        <v>0</v>
      </c>
    </row>
    <row r="178" spans="1:6" x14ac:dyDescent="0.25">
      <c r="A178" t="s">
        <v>26</v>
      </c>
      <c r="B178" t="s">
        <v>1615</v>
      </c>
      <c r="C178">
        <v>13205</v>
      </c>
      <c r="D178">
        <v>0</v>
      </c>
      <c r="E178">
        <v>0</v>
      </c>
      <c r="F178">
        <v>0</v>
      </c>
    </row>
    <row r="179" spans="1:6" x14ac:dyDescent="0.25">
      <c r="A179" t="s">
        <v>27</v>
      </c>
      <c r="B179" t="s">
        <v>1616</v>
      </c>
      <c r="C179">
        <v>13206</v>
      </c>
      <c r="D179">
        <v>0</v>
      </c>
      <c r="E179">
        <v>0</v>
      </c>
      <c r="F179">
        <v>0</v>
      </c>
    </row>
    <row r="180" spans="1:6" x14ac:dyDescent="0.25">
      <c r="A180" t="s">
        <v>531</v>
      </c>
      <c r="B180" t="s">
        <v>1617</v>
      </c>
      <c r="C180">
        <v>13207</v>
      </c>
      <c r="D180">
        <v>0</v>
      </c>
      <c r="E180">
        <v>0</v>
      </c>
      <c r="F180">
        <v>0</v>
      </c>
    </row>
    <row r="181" spans="1:6" x14ac:dyDescent="0.25">
      <c r="A181" t="s">
        <v>1583</v>
      </c>
      <c r="B181" t="s">
        <v>1618</v>
      </c>
      <c r="C181">
        <v>13208</v>
      </c>
      <c r="D181">
        <v>0</v>
      </c>
      <c r="E181">
        <v>0</v>
      </c>
      <c r="F181">
        <v>0</v>
      </c>
    </row>
    <row r="182" spans="1:6" x14ac:dyDescent="0.25">
      <c r="A182" t="s">
        <v>1585</v>
      </c>
      <c r="B182" t="s">
        <v>1619</v>
      </c>
      <c r="C182">
        <v>13209</v>
      </c>
      <c r="D182">
        <v>0</v>
      </c>
      <c r="E182">
        <v>0</v>
      </c>
      <c r="F182">
        <v>0</v>
      </c>
    </row>
    <row r="183" spans="1:6" x14ac:dyDescent="0.25">
      <c r="A183" t="s">
        <v>1587</v>
      </c>
      <c r="B183" t="s">
        <v>1620</v>
      </c>
      <c r="C183">
        <v>13210</v>
      </c>
      <c r="D183">
        <v>0</v>
      </c>
      <c r="E183">
        <v>0</v>
      </c>
      <c r="F183">
        <v>0</v>
      </c>
    </row>
    <row r="184" spans="1:6" x14ac:dyDescent="0.25">
      <c r="A184" t="s">
        <v>1589</v>
      </c>
      <c r="B184" t="s">
        <v>1621</v>
      </c>
      <c r="C184">
        <v>13211</v>
      </c>
      <c r="D184">
        <v>0</v>
      </c>
      <c r="E184">
        <v>0</v>
      </c>
      <c r="F184">
        <v>0</v>
      </c>
    </row>
    <row r="185" spans="1:6" x14ac:dyDescent="0.25">
      <c r="A185" t="s">
        <v>1591</v>
      </c>
      <c r="B185" t="s">
        <v>1622</v>
      </c>
      <c r="C185">
        <v>13212</v>
      </c>
      <c r="D185">
        <v>2928</v>
      </c>
      <c r="E185">
        <v>0</v>
      </c>
      <c r="F185">
        <v>2928</v>
      </c>
    </row>
    <row r="186" spans="1:6" x14ac:dyDescent="0.25">
      <c r="A186" t="s">
        <v>1593</v>
      </c>
      <c r="B186" t="s">
        <v>1623</v>
      </c>
      <c r="C186">
        <v>13213</v>
      </c>
      <c r="D186">
        <v>0</v>
      </c>
      <c r="E186">
        <v>0</v>
      </c>
      <c r="F186">
        <v>0</v>
      </c>
    </row>
    <row r="187" spans="1:6" x14ac:dyDescent="0.25">
      <c r="A187" t="s">
        <v>1595</v>
      </c>
      <c r="B187" t="s">
        <v>1624</v>
      </c>
      <c r="C187">
        <v>13214</v>
      </c>
      <c r="D187">
        <v>0</v>
      </c>
      <c r="E187">
        <v>0</v>
      </c>
      <c r="F187">
        <v>0</v>
      </c>
    </row>
    <row r="188" spans="1:6" x14ac:dyDescent="0.25">
      <c r="A188" t="s">
        <v>1597</v>
      </c>
      <c r="B188" t="s">
        <v>1625</v>
      </c>
      <c r="C188">
        <v>13215</v>
      </c>
      <c r="D188">
        <v>0</v>
      </c>
      <c r="E188">
        <v>0</v>
      </c>
      <c r="F188">
        <v>0</v>
      </c>
    </row>
    <row r="189" spans="1:6" x14ac:dyDescent="0.25">
      <c r="A189" t="s">
        <v>1599</v>
      </c>
      <c r="B189" t="s">
        <v>1626</v>
      </c>
      <c r="C189">
        <v>13216</v>
      </c>
      <c r="D189">
        <v>0</v>
      </c>
      <c r="E189">
        <v>0</v>
      </c>
      <c r="F189">
        <v>0</v>
      </c>
    </row>
    <row r="190" spans="1:6" x14ac:dyDescent="0.25">
      <c r="A190" t="s">
        <v>1601</v>
      </c>
      <c r="B190" t="s">
        <v>1627</v>
      </c>
      <c r="C190">
        <v>13217</v>
      </c>
      <c r="D190">
        <v>0</v>
      </c>
      <c r="E190">
        <v>0</v>
      </c>
      <c r="F190">
        <v>0</v>
      </c>
    </row>
    <row r="191" spans="1:6" x14ac:dyDescent="0.25">
      <c r="A191" t="s">
        <v>1603</v>
      </c>
      <c r="B191" t="s">
        <v>1596</v>
      </c>
      <c r="C191">
        <v>13218</v>
      </c>
      <c r="D191">
        <v>0</v>
      </c>
      <c r="E191">
        <v>0</v>
      </c>
      <c r="F191">
        <v>0</v>
      </c>
    </row>
    <row r="192" spans="1:6" x14ac:dyDescent="0.25">
      <c r="A192" t="s">
        <v>1605</v>
      </c>
      <c r="B192" t="s">
        <v>1598</v>
      </c>
      <c r="C192">
        <v>13219</v>
      </c>
      <c r="D192">
        <v>0</v>
      </c>
      <c r="E192">
        <v>0</v>
      </c>
      <c r="F192">
        <v>0</v>
      </c>
    </row>
    <row r="193" spans="1:6" x14ac:dyDescent="0.25">
      <c r="A193" t="s">
        <v>1607</v>
      </c>
      <c r="B193" t="s">
        <v>1602</v>
      </c>
      <c r="C193">
        <v>13220</v>
      </c>
      <c r="D193">
        <v>0</v>
      </c>
      <c r="E193">
        <v>0</v>
      </c>
      <c r="F193">
        <v>0</v>
      </c>
    </row>
    <row r="194" spans="1:6" x14ac:dyDescent="0.25">
      <c r="B194" t="s">
        <v>1663</v>
      </c>
      <c r="D194">
        <v>2928</v>
      </c>
      <c r="E194">
        <v>0</v>
      </c>
      <c r="F194">
        <v>2928</v>
      </c>
    </row>
    <row r="195" spans="1:6" x14ac:dyDescent="0.25">
      <c r="B195" t="s">
        <v>1629</v>
      </c>
    </row>
    <row r="196" spans="1:6" x14ac:dyDescent="0.25">
      <c r="A196" t="s">
        <v>2</v>
      </c>
      <c r="B196" t="s">
        <v>1627</v>
      </c>
      <c r="C196">
        <v>13301</v>
      </c>
      <c r="D196">
        <v>0</v>
      </c>
      <c r="E196">
        <v>0</v>
      </c>
      <c r="F196">
        <v>0</v>
      </c>
    </row>
    <row r="197" spans="1:6" x14ac:dyDescent="0.25">
      <c r="A197" t="s">
        <v>15</v>
      </c>
      <c r="B197" t="s">
        <v>1625</v>
      </c>
      <c r="C197">
        <v>13302</v>
      </c>
      <c r="D197">
        <v>0</v>
      </c>
      <c r="E197">
        <v>0</v>
      </c>
      <c r="F197">
        <v>0</v>
      </c>
    </row>
    <row r="198" spans="1:6" x14ac:dyDescent="0.25">
      <c r="A198" t="s">
        <v>16</v>
      </c>
      <c r="B198" t="s">
        <v>1626</v>
      </c>
      <c r="C198">
        <v>13303</v>
      </c>
      <c r="D198">
        <v>0</v>
      </c>
      <c r="E198">
        <v>0</v>
      </c>
      <c r="F198">
        <v>0</v>
      </c>
    </row>
    <row r="199" spans="1:6" x14ac:dyDescent="0.25">
      <c r="B199" t="s">
        <v>1664</v>
      </c>
      <c r="D199">
        <v>0</v>
      </c>
      <c r="E199">
        <v>0</v>
      </c>
      <c r="F199">
        <v>0</v>
      </c>
    </row>
    <row r="200" spans="1:6" x14ac:dyDescent="0.25">
      <c r="B200" t="s">
        <v>1631</v>
      </c>
    </row>
    <row r="201" spans="1:6" x14ac:dyDescent="0.25">
      <c r="A201" t="s">
        <v>2</v>
      </c>
      <c r="B201" t="s">
        <v>1627</v>
      </c>
      <c r="C201">
        <v>13401</v>
      </c>
      <c r="D201">
        <v>0</v>
      </c>
      <c r="E201">
        <v>0</v>
      </c>
      <c r="F201">
        <v>0</v>
      </c>
    </row>
    <row r="202" spans="1:6" x14ac:dyDescent="0.25">
      <c r="A202" t="s">
        <v>15</v>
      </c>
      <c r="B202" t="s">
        <v>1625</v>
      </c>
      <c r="C202">
        <v>13402</v>
      </c>
      <c r="D202">
        <v>0</v>
      </c>
      <c r="E202">
        <v>0</v>
      </c>
      <c r="F202">
        <v>0</v>
      </c>
    </row>
    <row r="203" spans="1:6" x14ac:dyDescent="0.25">
      <c r="A203" t="s">
        <v>16</v>
      </c>
      <c r="B203" t="s">
        <v>1626</v>
      </c>
      <c r="C203">
        <v>13403</v>
      </c>
      <c r="D203">
        <v>0</v>
      </c>
      <c r="E203">
        <v>0</v>
      </c>
      <c r="F203">
        <v>0</v>
      </c>
    </row>
    <row r="204" spans="1:6" x14ac:dyDescent="0.25">
      <c r="B204" t="s">
        <v>1665</v>
      </c>
      <c r="D204">
        <v>0</v>
      </c>
      <c r="E204">
        <v>0</v>
      </c>
      <c r="F204">
        <v>0</v>
      </c>
    </row>
    <row r="205" spans="1:6" x14ac:dyDescent="0.25">
      <c r="B205" t="s">
        <v>1633</v>
      </c>
    </row>
    <row r="206" spans="1:6" x14ac:dyDescent="0.25">
      <c r="A206" t="s">
        <v>2</v>
      </c>
      <c r="B206" t="s">
        <v>1634</v>
      </c>
      <c r="C206">
        <v>13501</v>
      </c>
      <c r="D206">
        <v>0</v>
      </c>
      <c r="E206">
        <v>0</v>
      </c>
      <c r="F206">
        <v>0</v>
      </c>
    </row>
    <row r="207" spans="1:6" x14ac:dyDescent="0.25">
      <c r="A207" t="s">
        <v>15</v>
      </c>
      <c r="B207" t="s">
        <v>1635</v>
      </c>
      <c r="C207">
        <v>13502</v>
      </c>
      <c r="D207">
        <v>0</v>
      </c>
      <c r="E207">
        <v>0</v>
      </c>
      <c r="F207">
        <v>0</v>
      </c>
    </row>
    <row r="208" spans="1:6" x14ac:dyDescent="0.25">
      <c r="A208" t="s">
        <v>16</v>
      </c>
      <c r="B208" t="s">
        <v>1636</v>
      </c>
      <c r="C208">
        <v>13503</v>
      </c>
      <c r="D208">
        <v>0</v>
      </c>
      <c r="E208">
        <v>0</v>
      </c>
      <c r="F208">
        <v>0</v>
      </c>
    </row>
    <row r="209" spans="1:6" x14ac:dyDescent="0.25">
      <c r="A209" t="s">
        <v>25</v>
      </c>
      <c r="B209" t="s">
        <v>1637</v>
      </c>
      <c r="C209">
        <v>13504</v>
      </c>
      <c r="D209">
        <v>0</v>
      </c>
      <c r="E209">
        <v>0</v>
      </c>
      <c r="F209">
        <v>0</v>
      </c>
    </row>
    <row r="210" spans="1:6" x14ac:dyDescent="0.25">
      <c r="A210" t="s">
        <v>26</v>
      </c>
      <c r="B210" t="s">
        <v>1638</v>
      </c>
      <c r="C210">
        <v>13505</v>
      </c>
      <c r="D210">
        <v>0</v>
      </c>
      <c r="E210">
        <v>0</v>
      </c>
      <c r="F210">
        <v>0</v>
      </c>
    </row>
    <row r="211" spans="1:6" x14ac:dyDescent="0.25">
      <c r="A211" t="s">
        <v>27</v>
      </c>
      <c r="B211" t="s">
        <v>1639</v>
      </c>
      <c r="C211">
        <v>13506</v>
      </c>
      <c r="D211">
        <v>0</v>
      </c>
      <c r="E211">
        <v>0</v>
      </c>
      <c r="F211">
        <v>0</v>
      </c>
    </row>
    <row r="212" spans="1:6" x14ac:dyDescent="0.25">
      <c r="A212" t="s">
        <v>531</v>
      </c>
      <c r="B212" t="s">
        <v>1640</v>
      </c>
      <c r="C212">
        <v>13507</v>
      </c>
      <c r="D212">
        <v>0</v>
      </c>
      <c r="E212">
        <v>0</v>
      </c>
      <c r="F212">
        <v>0</v>
      </c>
    </row>
    <row r="213" spans="1:6" x14ac:dyDescent="0.25">
      <c r="A213" t="s">
        <v>1583</v>
      </c>
      <c r="B213" t="s">
        <v>1641</v>
      </c>
      <c r="C213">
        <v>13508</v>
      </c>
      <c r="D213">
        <v>16595</v>
      </c>
      <c r="E213">
        <v>0</v>
      </c>
      <c r="F213">
        <v>16595</v>
      </c>
    </row>
    <row r="214" spans="1:6" x14ac:dyDescent="0.25">
      <c r="B214" t="s">
        <v>1666</v>
      </c>
      <c r="D214">
        <v>16595</v>
      </c>
      <c r="E214">
        <v>0</v>
      </c>
      <c r="F214">
        <v>16595</v>
      </c>
    </row>
    <row r="215" spans="1:6" x14ac:dyDescent="0.25">
      <c r="B215" t="s">
        <v>2287</v>
      </c>
    </row>
    <row r="216" spans="1:6" x14ac:dyDescent="0.25">
      <c r="A216" t="s">
        <v>2</v>
      </c>
      <c r="B216" t="s">
        <v>1634</v>
      </c>
      <c r="C216">
        <v>13601</v>
      </c>
      <c r="D216">
        <v>0</v>
      </c>
      <c r="E216">
        <v>0</v>
      </c>
      <c r="F216">
        <v>0</v>
      </c>
    </row>
    <row r="217" spans="1:6" x14ac:dyDescent="0.25">
      <c r="A217" t="s">
        <v>15</v>
      </c>
      <c r="B217" t="s">
        <v>1635</v>
      </c>
      <c r="C217">
        <v>13602</v>
      </c>
      <c r="D217">
        <v>0</v>
      </c>
      <c r="E217">
        <v>0</v>
      </c>
      <c r="F217">
        <v>0</v>
      </c>
    </row>
    <row r="218" spans="1:6" x14ac:dyDescent="0.25">
      <c r="A218" t="s">
        <v>16</v>
      </c>
      <c r="B218" t="s">
        <v>1636</v>
      </c>
      <c r="C218">
        <v>13603</v>
      </c>
      <c r="D218">
        <v>0</v>
      </c>
      <c r="E218">
        <v>0</v>
      </c>
      <c r="F218">
        <v>0</v>
      </c>
    </row>
    <row r="219" spans="1:6" x14ac:dyDescent="0.25">
      <c r="A219" t="s">
        <v>25</v>
      </c>
      <c r="B219" t="s">
        <v>1637</v>
      </c>
      <c r="C219">
        <v>13604</v>
      </c>
      <c r="D219">
        <v>0</v>
      </c>
      <c r="E219">
        <v>0</v>
      </c>
      <c r="F219">
        <v>0</v>
      </c>
    </row>
    <row r="220" spans="1:6" x14ac:dyDescent="0.25">
      <c r="A220" t="s">
        <v>26</v>
      </c>
      <c r="B220" t="s">
        <v>1638</v>
      </c>
      <c r="C220">
        <v>13605</v>
      </c>
      <c r="D220">
        <v>0</v>
      </c>
      <c r="E220">
        <v>0</v>
      </c>
      <c r="F220">
        <v>0</v>
      </c>
    </row>
    <row r="221" spans="1:6" x14ac:dyDescent="0.25">
      <c r="A221" t="s">
        <v>27</v>
      </c>
      <c r="B221" t="s">
        <v>1639</v>
      </c>
      <c r="C221">
        <v>13606</v>
      </c>
      <c r="D221">
        <v>0</v>
      </c>
      <c r="E221">
        <v>0</v>
      </c>
      <c r="F221">
        <v>0</v>
      </c>
    </row>
    <row r="222" spans="1:6" x14ac:dyDescent="0.25">
      <c r="A222" t="s">
        <v>531</v>
      </c>
      <c r="B222" t="s">
        <v>1640</v>
      </c>
      <c r="C222">
        <v>13607</v>
      </c>
      <c r="D222">
        <v>0</v>
      </c>
      <c r="E222">
        <v>0</v>
      </c>
      <c r="F222">
        <v>0</v>
      </c>
    </row>
    <row r="223" spans="1:6" x14ac:dyDescent="0.25">
      <c r="A223" t="s">
        <v>1583</v>
      </c>
      <c r="B223" t="s">
        <v>1641</v>
      </c>
      <c r="C223">
        <v>13608</v>
      </c>
      <c r="D223">
        <v>0</v>
      </c>
      <c r="E223">
        <v>0</v>
      </c>
      <c r="F223">
        <v>0</v>
      </c>
    </row>
    <row r="224" spans="1:6" x14ac:dyDescent="0.25">
      <c r="B224" t="s">
        <v>1667</v>
      </c>
      <c r="D224">
        <v>0</v>
      </c>
      <c r="E224">
        <v>0</v>
      </c>
      <c r="F224">
        <v>0</v>
      </c>
    </row>
    <row r="225" spans="1:6" x14ac:dyDescent="0.25">
      <c r="B225" t="s">
        <v>2288</v>
      </c>
    </row>
    <row r="226" spans="1:6" x14ac:dyDescent="0.25">
      <c r="A226" t="s">
        <v>2</v>
      </c>
      <c r="B226" t="s">
        <v>1634</v>
      </c>
      <c r="C226">
        <v>13701</v>
      </c>
      <c r="D226">
        <v>0</v>
      </c>
      <c r="E226">
        <v>0</v>
      </c>
      <c r="F226">
        <v>0</v>
      </c>
    </row>
    <row r="227" spans="1:6" x14ac:dyDescent="0.25">
      <c r="A227" t="s">
        <v>15</v>
      </c>
      <c r="B227" t="s">
        <v>1635</v>
      </c>
      <c r="C227">
        <v>13702</v>
      </c>
      <c r="D227">
        <v>0</v>
      </c>
      <c r="E227">
        <v>0</v>
      </c>
      <c r="F227">
        <v>0</v>
      </c>
    </row>
    <row r="228" spans="1:6" x14ac:dyDescent="0.25">
      <c r="A228" t="s">
        <v>16</v>
      </c>
      <c r="B228" t="s">
        <v>1636</v>
      </c>
      <c r="C228">
        <v>13703</v>
      </c>
      <c r="D228">
        <v>0</v>
      </c>
      <c r="E228">
        <v>0</v>
      </c>
      <c r="F228">
        <v>0</v>
      </c>
    </row>
    <row r="229" spans="1:6" x14ac:dyDescent="0.25">
      <c r="A229" t="s">
        <v>25</v>
      </c>
      <c r="B229" t="s">
        <v>1637</v>
      </c>
      <c r="C229">
        <v>13704</v>
      </c>
      <c r="D229">
        <v>0</v>
      </c>
      <c r="E229">
        <v>0</v>
      </c>
      <c r="F229">
        <v>0</v>
      </c>
    </row>
    <row r="230" spans="1:6" x14ac:dyDescent="0.25">
      <c r="A230" t="s">
        <v>26</v>
      </c>
      <c r="B230" t="s">
        <v>1638</v>
      </c>
      <c r="C230">
        <v>13705</v>
      </c>
      <c r="D230">
        <v>0</v>
      </c>
      <c r="E230">
        <v>0</v>
      </c>
      <c r="F230">
        <v>0</v>
      </c>
    </row>
    <row r="231" spans="1:6" x14ac:dyDescent="0.25">
      <c r="A231" t="s">
        <v>27</v>
      </c>
      <c r="B231" t="s">
        <v>1639</v>
      </c>
      <c r="C231">
        <v>13706</v>
      </c>
      <c r="D231">
        <v>0</v>
      </c>
      <c r="E231">
        <v>0</v>
      </c>
      <c r="F231">
        <v>0</v>
      </c>
    </row>
    <row r="232" spans="1:6" x14ac:dyDescent="0.25">
      <c r="A232" t="s">
        <v>531</v>
      </c>
      <c r="B232" t="s">
        <v>1640</v>
      </c>
      <c r="C232">
        <v>13707</v>
      </c>
      <c r="D232">
        <v>0</v>
      </c>
      <c r="E232">
        <v>0</v>
      </c>
      <c r="F232">
        <v>0</v>
      </c>
    </row>
    <row r="233" spans="1:6" x14ac:dyDescent="0.25">
      <c r="A233" t="s">
        <v>1583</v>
      </c>
      <c r="B233" t="s">
        <v>1641</v>
      </c>
      <c r="C233">
        <v>13708</v>
      </c>
      <c r="D233">
        <v>0</v>
      </c>
      <c r="E233">
        <v>0</v>
      </c>
      <c r="F233">
        <v>0</v>
      </c>
    </row>
    <row r="234" spans="1:6" x14ac:dyDescent="0.25">
      <c r="B234" t="s">
        <v>1668</v>
      </c>
      <c r="D234">
        <v>0</v>
      </c>
      <c r="E234">
        <v>0</v>
      </c>
      <c r="F234">
        <v>0</v>
      </c>
    </row>
    <row r="235" spans="1:6" x14ac:dyDescent="0.25">
      <c r="B235" t="s">
        <v>1647</v>
      </c>
    </row>
    <row r="236" spans="1:6" x14ac:dyDescent="0.25">
      <c r="A236" t="s">
        <v>2</v>
      </c>
      <c r="B236" t="s">
        <v>1648</v>
      </c>
      <c r="C236">
        <v>13801</v>
      </c>
      <c r="D236">
        <v>0</v>
      </c>
      <c r="E236">
        <v>0</v>
      </c>
      <c r="F236">
        <v>0</v>
      </c>
    </row>
    <row r="237" spans="1:6" x14ac:dyDescent="0.25">
      <c r="A237" t="s">
        <v>15</v>
      </c>
      <c r="B237" t="s">
        <v>1649</v>
      </c>
      <c r="C237">
        <v>13802</v>
      </c>
      <c r="D237">
        <v>0</v>
      </c>
      <c r="E237">
        <v>0</v>
      </c>
      <c r="F237">
        <v>0</v>
      </c>
    </row>
    <row r="238" spans="1:6" x14ac:dyDescent="0.25">
      <c r="A238" t="s">
        <v>16</v>
      </c>
      <c r="B238" t="s">
        <v>1637</v>
      </c>
      <c r="C238">
        <v>13803</v>
      </c>
      <c r="D238">
        <v>0</v>
      </c>
      <c r="E238">
        <v>0</v>
      </c>
      <c r="F238">
        <v>0</v>
      </c>
    </row>
    <row r="239" spans="1:6" x14ac:dyDescent="0.25">
      <c r="A239" t="s">
        <v>25</v>
      </c>
      <c r="B239" t="s">
        <v>1638</v>
      </c>
      <c r="C239">
        <v>13804</v>
      </c>
      <c r="D239">
        <v>4069</v>
      </c>
      <c r="E239">
        <v>0</v>
      </c>
      <c r="F239">
        <v>4069</v>
      </c>
    </row>
    <row r="240" spans="1:6" x14ac:dyDescent="0.25">
      <c r="A240" t="s">
        <v>26</v>
      </c>
      <c r="B240" t="s">
        <v>1650</v>
      </c>
      <c r="C240">
        <v>13805</v>
      </c>
      <c r="D240">
        <v>0</v>
      </c>
      <c r="E240">
        <v>0</v>
      </c>
      <c r="F240">
        <v>0</v>
      </c>
    </row>
    <row r="241" spans="1:6" x14ac:dyDescent="0.25">
      <c r="A241" t="s">
        <v>27</v>
      </c>
      <c r="B241" t="s">
        <v>1651</v>
      </c>
      <c r="C241">
        <v>13806</v>
      </c>
      <c r="D241">
        <v>0</v>
      </c>
      <c r="E241">
        <v>0</v>
      </c>
      <c r="F241">
        <v>0</v>
      </c>
    </row>
    <row r="242" spans="1:6" x14ac:dyDescent="0.25">
      <c r="A242" t="s">
        <v>531</v>
      </c>
      <c r="B242" t="s">
        <v>1640</v>
      </c>
      <c r="C242">
        <v>13807</v>
      </c>
      <c r="D242">
        <v>0</v>
      </c>
      <c r="E242">
        <v>0</v>
      </c>
      <c r="F242">
        <v>0</v>
      </c>
    </row>
    <row r="243" spans="1:6" x14ac:dyDescent="0.25">
      <c r="A243" t="s">
        <v>1583</v>
      </c>
      <c r="B243" t="s">
        <v>1641</v>
      </c>
      <c r="C243">
        <v>13808</v>
      </c>
      <c r="D243">
        <v>0</v>
      </c>
      <c r="E243">
        <v>0</v>
      </c>
      <c r="F243">
        <v>0</v>
      </c>
    </row>
    <row r="244" spans="1:6" x14ac:dyDescent="0.25">
      <c r="B244" t="s">
        <v>1669</v>
      </c>
      <c r="D244">
        <v>4069</v>
      </c>
      <c r="E244">
        <v>0</v>
      </c>
      <c r="F244">
        <v>4069</v>
      </c>
    </row>
    <row r="245" spans="1:6" x14ac:dyDescent="0.25">
      <c r="B245" t="s">
        <v>1670</v>
      </c>
      <c r="D245">
        <v>1262912</v>
      </c>
      <c r="E245">
        <v>0</v>
      </c>
      <c r="F245">
        <v>1262912</v>
      </c>
    </row>
    <row r="246" spans="1:6" x14ac:dyDescent="0.25">
      <c r="B246" t="s">
        <v>2290</v>
      </c>
    </row>
    <row r="247" spans="1:6" x14ac:dyDescent="0.25">
      <c r="B247" t="s">
        <v>1672</v>
      </c>
    </row>
    <row r="248" spans="1:6" x14ac:dyDescent="0.25">
      <c r="A248" t="s">
        <v>2</v>
      </c>
      <c r="B248" t="s">
        <v>1673</v>
      </c>
      <c r="C248">
        <v>14101</v>
      </c>
      <c r="D248">
        <v>40875</v>
      </c>
      <c r="E248">
        <v>0</v>
      </c>
      <c r="F248">
        <v>40875</v>
      </c>
    </row>
    <row r="249" spans="1:6" x14ac:dyDescent="0.25">
      <c r="A249" t="s">
        <v>15</v>
      </c>
      <c r="B249" t="s">
        <v>1674</v>
      </c>
      <c r="C249">
        <v>14102</v>
      </c>
      <c r="D249">
        <v>545</v>
      </c>
      <c r="E249">
        <v>0</v>
      </c>
      <c r="F249">
        <v>545</v>
      </c>
    </row>
    <row r="250" spans="1:6" x14ac:dyDescent="0.25">
      <c r="A250" t="s">
        <v>16</v>
      </c>
      <c r="B250" t="s">
        <v>1675</v>
      </c>
      <c r="C250">
        <v>14103</v>
      </c>
      <c r="D250">
        <v>149</v>
      </c>
      <c r="E250">
        <v>0</v>
      </c>
      <c r="F250">
        <v>149</v>
      </c>
    </row>
    <row r="251" spans="1:6" x14ac:dyDescent="0.25">
      <c r="A251" t="s">
        <v>25</v>
      </c>
      <c r="B251" t="s">
        <v>1676</v>
      </c>
      <c r="C251">
        <v>14104</v>
      </c>
      <c r="D251">
        <v>0</v>
      </c>
      <c r="E251">
        <v>0</v>
      </c>
      <c r="F251">
        <v>0</v>
      </c>
    </row>
    <row r="252" spans="1:6" x14ac:dyDescent="0.25">
      <c r="A252" t="s">
        <v>26</v>
      </c>
      <c r="B252" t="s">
        <v>1677</v>
      </c>
      <c r="C252">
        <v>14105</v>
      </c>
      <c r="D252">
        <v>0</v>
      </c>
      <c r="E252">
        <v>0</v>
      </c>
      <c r="F252">
        <v>0</v>
      </c>
    </row>
    <row r="253" spans="1:6" x14ac:dyDescent="0.25">
      <c r="B253" t="s">
        <v>1678</v>
      </c>
      <c r="D253">
        <v>41569</v>
      </c>
      <c r="E253">
        <v>0</v>
      </c>
      <c r="F253">
        <v>41569</v>
      </c>
    </row>
    <row r="254" spans="1:6" x14ac:dyDescent="0.25">
      <c r="B254" t="s">
        <v>1679</v>
      </c>
    </row>
    <row r="255" spans="1:6" x14ac:dyDescent="0.25">
      <c r="A255" t="s">
        <v>2</v>
      </c>
      <c r="B255" t="s">
        <v>1680</v>
      </c>
      <c r="C255">
        <v>14201</v>
      </c>
      <c r="D255">
        <v>0</v>
      </c>
      <c r="E255">
        <v>0</v>
      </c>
      <c r="F255">
        <v>0</v>
      </c>
    </row>
    <row r="256" spans="1:6" x14ac:dyDescent="0.25">
      <c r="A256" t="s">
        <v>15</v>
      </c>
      <c r="B256" t="s">
        <v>1681</v>
      </c>
      <c r="C256">
        <v>14202</v>
      </c>
      <c r="D256">
        <v>0</v>
      </c>
      <c r="E256">
        <v>0</v>
      </c>
      <c r="F256">
        <v>0</v>
      </c>
    </row>
    <row r="257" spans="1:6" x14ac:dyDescent="0.25">
      <c r="A257" t="s">
        <v>16</v>
      </c>
      <c r="B257" t="s">
        <v>1682</v>
      </c>
      <c r="C257">
        <v>14203</v>
      </c>
      <c r="D257">
        <v>0</v>
      </c>
      <c r="E257">
        <v>0</v>
      </c>
      <c r="F257">
        <v>0</v>
      </c>
    </row>
    <row r="258" spans="1:6" x14ac:dyDescent="0.25">
      <c r="A258" t="s">
        <v>25</v>
      </c>
      <c r="B258" t="s">
        <v>1683</v>
      </c>
      <c r="C258">
        <v>14204</v>
      </c>
      <c r="D258">
        <v>0</v>
      </c>
      <c r="E258">
        <v>0</v>
      </c>
      <c r="F258">
        <v>0</v>
      </c>
    </row>
    <row r="259" spans="1:6" x14ac:dyDescent="0.25">
      <c r="A259" t="s">
        <v>26</v>
      </c>
      <c r="B259" t="s">
        <v>1684</v>
      </c>
      <c r="C259">
        <v>14205</v>
      </c>
      <c r="D259">
        <v>0</v>
      </c>
      <c r="E259">
        <v>0</v>
      </c>
      <c r="F259">
        <v>0</v>
      </c>
    </row>
    <row r="260" spans="1:6" x14ac:dyDescent="0.25">
      <c r="A260" t="s">
        <v>27</v>
      </c>
      <c r="B260" t="s">
        <v>1685</v>
      </c>
      <c r="C260">
        <v>14206</v>
      </c>
      <c r="D260">
        <v>0</v>
      </c>
      <c r="E260">
        <v>0</v>
      </c>
      <c r="F260">
        <v>0</v>
      </c>
    </row>
    <row r="261" spans="1:6" x14ac:dyDescent="0.25">
      <c r="A261" t="s">
        <v>531</v>
      </c>
      <c r="B261" t="s">
        <v>1686</v>
      </c>
      <c r="C261">
        <v>14207</v>
      </c>
      <c r="D261">
        <v>0</v>
      </c>
      <c r="E261">
        <v>0</v>
      </c>
      <c r="F261">
        <v>0</v>
      </c>
    </row>
    <row r="262" spans="1:6" x14ac:dyDescent="0.25">
      <c r="A262" t="s">
        <v>1583</v>
      </c>
      <c r="B262" t="s">
        <v>1687</v>
      </c>
      <c r="C262">
        <v>14208</v>
      </c>
      <c r="D262">
        <v>0</v>
      </c>
      <c r="E262">
        <v>0</v>
      </c>
      <c r="F262">
        <v>0</v>
      </c>
    </row>
    <row r="263" spans="1:6" x14ac:dyDescent="0.25">
      <c r="A263" t="s">
        <v>1585</v>
      </c>
      <c r="B263" t="s">
        <v>1688</v>
      </c>
      <c r="C263">
        <v>14209</v>
      </c>
      <c r="D263">
        <v>0</v>
      </c>
      <c r="E263">
        <v>0</v>
      </c>
      <c r="F263">
        <v>0</v>
      </c>
    </row>
    <row r="264" spans="1:6" x14ac:dyDescent="0.25">
      <c r="A264" t="s">
        <v>1587</v>
      </c>
      <c r="B264" t="s">
        <v>1637</v>
      </c>
      <c r="C264">
        <v>14210</v>
      </c>
      <c r="D264">
        <v>0</v>
      </c>
      <c r="E264">
        <v>0</v>
      </c>
      <c r="F264">
        <v>0</v>
      </c>
    </row>
    <row r="265" spans="1:6" x14ac:dyDescent="0.25">
      <c r="A265" t="s">
        <v>1589</v>
      </c>
      <c r="B265" t="s">
        <v>1640</v>
      </c>
      <c r="C265">
        <v>14211</v>
      </c>
      <c r="D265">
        <v>0</v>
      </c>
      <c r="E265">
        <v>0</v>
      </c>
      <c r="F265">
        <v>0</v>
      </c>
    </row>
    <row r="266" spans="1:6" x14ac:dyDescent="0.25">
      <c r="A266" t="s">
        <v>1591</v>
      </c>
      <c r="B266" t="s">
        <v>1689</v>
      </c>
      <c r="C266">
        <v>14212</v>
      </c>
      <c r="D266">
        <v>0</v>
      </c>
      <c r="E266">
        <v>0</v>
      </c>
      <c r="F266">
        <v>0</v>
      </c>
    </row>
    <row r="267" spans="1:6" x14ac:dyDescent="0.25">
      <c r="A267" t="s">
        <v>1593</v>
      </c>
      <c r="B267" t="s">
        <v>1690</v>
      </c>
      <c r="C267">
        <v>14213</v>
      </c>
      <c r="D267">
        <v>0</v>
      </c>
      <c r="E267">
        <v>0</v>
      </c>
      <c r="F267">
        <v>0</v>
      </c>
    </row>
    <row r="268" spans="1:6" x14ac:dyDescent="0.25">
      <c r="B268" t="s">
        <v>1691</v>
      </c>
      <c r="D268">
        <v>0</v>
      </c>
      <c r="E268">
        <v>0</v>
      </c>
      <c r="F268">
        <v>0</v>
      </c>
    </row>
    <row r="269" spans="1:6" x14ac:dyDescent="0.25">
      <c r="B269" t="s">
        <v>1692</v>
      </c>
    </row>
    <row r="270" spans="1:6" x14ac:dyDescent="0.25">
      <c r="A270" t="s">
        <v>2</v>
      </c>
      <c r="B270" t="s">
        <v>1693</v>
      </c>
      <c r="C270">
        <v>14301</v>
      </c>
      <c r="D270">
        <v>0</v>
      </c>
      <c r="E270">
        <v>0</v>
      </c>
      <c r="F270">
        <v>0</v>
      </c>
    </row>
    <row r="271" spans="1:6" x14ac:dyDescent="0.25">
      <c r="A271" t="s">
        <v>15</v>
      </c>
      <c r="B271" t="s">
        <v>1694</v>
      </c>
      <c r="C271">
        <v>14302</v>
      </c>
      <c r="D271">
        <v>0</v>
      </c>
      <c r="E271">
        <v>0</v>
      </c>
      <c r="F271">
        <v>0</v>
      </c>
    </row>
    <row r="272" spans="1:6" x14ac:dyDescent="0.25">
      <c r="A272" t="s">
        <v>16</v>
      </c>
      <c r="B272" t="s">
        <v>1695</v>
      </c>
      <c r="C272">
        <v>14303</v>
      </c>
      <c r="D272">
        <v>0</v>
      </c>
      <c r="E272">
        <v>0</v>
      </c>
      <c r="F272">
        <v>0</v>
      </c>
    </row>
    <row r="273" spans="1:6" x14ac:dyDescent="0.25">
      <c r="A273" t="s">
        <v>25</v>
      </c>
      <c r="B273" t="s">
        <v>1696</v>
      </c>
      <c r="C273">
        <v>14304</v>
      </c>
      <c r="D273">
        <v>0</v>
      </c>
      <c r="E273">
        <v>0</v>
      </c>
      <c r="F273">
        <v>0</v>
      </c>
    </row>
    <row r="274" spans="1:6" x14ac:dyDescent="0.25">
      <c r="A274" t="s">
        <v>26</v>
      </c>
      <c r="B274" t="s">
        <v>1680</v>
      </c>
      <c r="C274">
        <v>14305</v>
      </c>
      <c r="D274">
        <v>0</v>
      </c>
      <c r="E274">
        <v>0</v>
      </c>
      <c r="F274">
        <v>0</v>
      </c>
    </row>
    <row r="275" spans="1:6" x14ac:dyDescent="0.25">
      <c r="A275" t="s">
        <v>27</v>
      </c>
      <c r="B275" t="s">
        <v>1681</v>
      </c>
      <c r="C275">
        <v>14306</v>
      </c>
      <c r="D275">
        <v>0</v>
      </c>
      <c r="E275">
        <v>0</v>
      </c>
      <c r="F275">
        <v>0</v>
      </c>
    </row>
    <row r="276" spans="1:6" x14ac:dyDescent="0.25">
      <c r="A276" t="s">
        <v>531</v>
      </c>
      <c r="B276" t="s">
        <v>1682</v>
      </c>
      <c r="C276">
        <v>14307</v>
      </c>
      <c r="D276">
        <v>0</v>
      </c>
      <c r="E276">
        <v>0</v>
      </c>
      <c r="F276">
        <v>0</v>
      </c>
    </row>
    <row r="277" spans="1:6" x14ac:dyDescent="0.25">
      <c r="A277" t="s">
        <v>1583</v>
      </c>
      <c r="B277" t="s">
        <v>1683</v>
      </c>
      <c r="C277">
        <v>14308</v>
      </c>
      <c r="D277">
        <v>0</v>
      </c>
      <c r="E277">
        <v>0</v>
      </c>
      <c r="F277">
        <v>0</v>
      </c>
    </row>
    <row r="278" spans="1:6" x14ac:dyDescent="0.25">
      <c r="A278" t="s">
        <v>1585</v>
      </c>
      <c r="B278" t="s">
        <v>1684</v>
      </c>
      <c r="C278">
        <v>14309</v>
      </c>
      <c r="D278">
        <v>124</v>
      </c>
      <c r="E278">
        <v>0</v>
      </c>
      <c r="F278">
        <v>124</v>
      </c>
    </row>
    <row r="279" spans="1:6" x14ac:dyDescent="0.25">
      <c r="A279" t="s">
        <v>1587</v>
      </c>
      <c r="B279" t="s">
        <v>1685</v>
      </c>
      <c r="C279">
        <v>14310</v>
      </c>
      <c r="D279">
        <v>99171</v>
      </c>
      <c r="E279">
        <v>0</v>
      </c>
      <c r="F279">
        <v>99171</v>
      </c>
    </row>
    <row r="280" spans="1:6" x14ac:dyDescent="0.25">
      <c r="A280" t="s">
        <v>1589</v>
      </c>
      <c r="B280" t="s">
        <v>1686</v>
      </c>
      <c r="C280">
        <v>14311</v>
      </c>
      <c r="D280">
        <v>1919</v>
      </c>
      <c r="E280">
        <v>0</v>
      </c>
      <c r="F280">
        <v>1919</v>
      </c>
    </row>
    <row r="281" spans="1:6" x14ac:dyDescent="0.25">
      <c r="A281" t="s">
        <v>1591</v>
      </c>
      <c r="B281" t="s">
        <v>1687</v>
      </c>
      <c r="C281">
        <v>14312</v>
      </c>
      <c r="D281">
        <v>14931</v>
      </c>
      <c r="E281">
        <v>0</v>
      </c>
      <c r="F281">
        <v>14931</v>
      </c>
    </row>
    <row r="282" spans="1:6" x14ac:dyDescent="0.25">
      <c r="A282" t="s">
        <v>1593</v>
      </c>
      <c r="B282" t="s">
        <v>1688</v>
      </c>
      <c r="C282">
        <v>14313</v>
      </c>
      <c r="D282">
        <v>250</v>
      </c>
      <c r="E282">
        <v>0</v>
      </c>
      <c r="F282">
        <v>250</v>
      </c>
    </row>
    <row r="283" spans="1:6" x14ac:dyDescent="0.25">
      <c r="A283" t="s">
        <v>1595</v>
      </c>
      <c r="B283" t="s">
        <v>1690</v>
      </c>
      <c r="C283">
        <v>14314</v>
      </c>
      <c r="D283">
        <v>0</v>
      </c>
      <c r="E283">
        <v>0</v>
      </c>
      <c r="F283">
        <v>0</v>
      </c>
    </row>
    <row r="284" spans="1:6" x14ac:dyDescent="0.25">
      <c r="A284" t="s">
        <v>1597</v>
      </c>
      <c r="B284" t="s">
        <v>1637</v>
      </c>
      <c r="C284">
        <v>14315</v>
      </c>
      <c r="D284">
        <v>0</v>
      </c>
      <c r="E284">
        <v>0</v>
      </c>
      <c r="F284">
        <v>0</v>
      </c>
    </row>
    <row r="285" spans="1:6" x14ac:dyDescent="0.25">
      <c r="A285" t="s">
        <v>1599</v>
      </c>
      <c r="B285" t="s">
        <v>1640</v>
      </c>
      <c r="C285">
        <v>14316</v>
      </c>
      <c r="D285">
        <v>0</v>
      </c>
      <c r="E285">
        <v>0</v>
      </c>
      <c r="F285">
        <v>0</v>
      </c>
    </row>
    <row r="286" spans="1:6" x14ac:dyDescent="0.25">
      <c r="A286" t="s">
        <v>1601</v>
      </c>
      <c r="B286" t="s">
        <v>1636</v>
      </c>
      <c r="C286">
        <v>14317</v>
      </c>
      <c r="D286">
        <v>0</v>
      </c>
      <c r="E286">
        <v>0</v>
      </c>
      <c r="F286">
        <v>0</v>
      </c>
    </row>
    <row r="287" spans="1:6" x14ac:dyDescent="0.25">
      <c r="A287" t="s">
        <v>1603</v>
      </c>
      <c r="B287" t="s">
        <v>1689</v>
      </c>
      <c r="C287">
        <v>14318</v>
      </c>
      <c r="D287">
        <v>1718</v>
      </c>
      <c r="E287">
        <v>0</v>
      </c>
      <c r="F287">
        <v>1718</v>
      </c>
    </row>
    <row r="288" spans="1:6" x14ac:dyDescent="0.25">
      <c r="B288" t="s">
        <v>1697</v>
      </c>
      <c r="D288">
        <v>118113</v>
      </c>
      <c r="E288">
        <v>0</v>
      </c>
      <c r="F288">
        <v>118113</v>
      </c>
    </row>
    <row r="289" spans="1:6" x14ac:dyDescent="0.25">
      <c r="B289" t="s">
        <v>1698</v>
      </c>
    </row>
    <row r="290" spans="1:6" x14ac:dyDescent="0.25">
      <c r="A290" t="s">
        <v>2</v>
      </c>
      <c r="B290" t="s">
        <v>1699</v>
      </c>
      <c r="C290">
        <v>14401</v>
      </c>
      <c r="D290">
        <v>0</v>
      </c>
      <c r="E290">
        <v>0</v>
      </c>
      <c r="F290">
        <v>0</v>
      </c>
    </row>
    <row r="291" spans="1:6" x14ac:dyDescent="0.25">
      <c r="A291" t="s">
        <v>15</v>
      </c>
      <c r="B291" t="s">
        <v>1694</v>
      </c>
      <c r="C291">
        <v>14402</v>
      </c>
      <c r="D291">
        <v>0</v>
      </c>
      <c r="E291">
        <v>0</v>
      </c>
      <c r="F291">
        <v>0</v>
      </c>
    </row>
    <row r="292" spans="1:6" x14ac:dyDescent="0.25">
      <c r="A292" t="s">
        <v>16</v>
      </c>
      <c r="B292" t="s">
        <v>1695</v>
      </c>
      <c r="C292">
        <v>14403</v>
      </c>
      <c r="D292">
        <v>0</v>
      </c>
      <c r="E292">
        <v>0</v>
      </c>
      <c r="F292">
        <v>0</v>
      </c>
    </row>
    <row r="293" spans="1:6" x14ac:dyDescent="0.25">
      <c r="A293" t="s">
        <v>25</v>
      </c>
      <c r="B293" t="s">
        <v>1696</v>
      </c>
      <c r="C293">
        <v>14404</v>
      </c>
      <c r="D293">
        <v>0</v>
      </c>
      <c r="E293">
        <v>0</v>
      </c>
      <c r="F293">
        <v>0</v>
      </c>
    </row>
    <row r="294" spans="1:6" x14ac:dyDescent="0.25">
      <c r="A294" t="s">
        <v>26</v>
      </c>
      <c r="B294" t="s">
        <v>1680</v>
      </c>
      <c r="C294">
        <v>14405</v>
      </c>
      <c r="D294">
        <v>0</v>
      </c>
      <c r="E294">
        <v>0</v>
      </c>
      <c r="F294">
        <v>0</v>
      </c>
    </row>
    <row r="295" spans="1:6" x14ac:dyDescent="0.25">
      <c r="A295" t="s">
        <v>27</v>
      </c>
      <c r="B295" t="s">
        <v>1681</v>
      </c>
      <c r="C295">
        <v>14406</v>
      </c>
      <c r="D295">
        <v>0</v>
      </c>
      <c r="E295">
        <v>0</v>
      </c>
      <c r="F295">
        <v>0</v>
      </c>
    </row>
    <row r="296" spans="1:6" x14ac:dyDescent="0.25">
      <c r="A296" t="s">
        <v>531</v>
      </c>
      <c r="B296" t="s">
        <v>1682</v>
      </c>
      <c r="C296">
        <v>14407</v>
      </c>
      <c r="D296">
        <v>0</v>
      </c>
      <c r="E296">
        <v>0</v>
      </c>
      <c r="F296">
        <v>0</v>
      </c>
    </row>
    <row r="297" spans="1:6" x14ac:dyDescent="0.25">
      <c r="A297" t="s">
        <v>1583</v>
      </c>
      <c r="B297" t="s">
        <v>1683</v>
      </c>
      <c r="C297">
        <v>14408</v>
      </c>
      <c r="D297">
        <v>0</v>
      </c>
      <c r="E297">
        <v>0</v>
      </c>
      <c r="F297">
        <v>0</v>
      </c>
    </row>
    <row r="298" spans="1:6" x14ac:dyDescent="0.25">
      <c r="A298" t="s">
        <v>1585</v>
      </c>
      <c r="B298" t="s">
        <v>1684</v>
      </c>
      <c r="C298">
        <v>14409</v>
      </c>
      <c r="D298">
        <v>0</v>
      </c>
      <c r="E298">
        <v>0</v>
      </c>
      <c r="F298">
        <v>0</v>
      </c>
    </row>
    <row r="299" spans="1:6" x14ac:dyDescent="0.25">
      <c r="A299" t="s">
        <v>1587</v>
      </c>
      <c r="B299" t="s">
        <v>1685</v>
      </c>
      <c r="C299">
        <v>14410</v>
      </c>
      <c r="D299">
        <v>0</v>
      </c>
      <c r="E299">
        <v>0</v>
      </c>
      <c r="F299">
        <v>0</v>
      </c>
    </row>
    <row r="300" spans="1:6" x14ac:dyDescent="0.25">
      <c r="A300" t="s">
        <v>1589</v>
      </c>
      <c r="B300" t="s">
        <v>1686</v>
      </c>
      <c r="C300">
        <v>14411</v>
      </c>
      <c r="D300">
        <v>0</v>
      </c>
      <c r="E300">
        <v>0</v>
      </c>
      <c r="F300">
        <v>0</v>
      </c>
    </row>
    <row r="301" spans="1:6" x14ac:dyDescent="0.25">
      <c r="A301" t="s">
        <v>1591</v>
      </c>
      <c r="B301" t="s">
        <v>1687</v>
      </c>
      <c r="C301">
        <v>14412</v>
      </c>
      <c r="D301">
        <v>0</v>
      </c>
      <c r="E301">
        <v>0</v>
      </c>
      <c r="F301">
        <v>0</v>
      </c>
    </row>
    <row r="302" spans="1:6" x14ac:dyDescent="0.25">
      <c r="A302" t="s">
        <v>1593</v>
      </c>
      <c r="B302" t="s">
        <v>1688</v>
      </c>
      <c r="C302">
        <v>14413</v>
      </c>
      <c r="D302">
        <v>0</v>
      </c>
      <c r="E302">
        <v>0</v>
      </c>
      <c r="F302">
        <v>0</v>
      </c>
    </row>
    <row r="303" spans="1:6" x14ac:dyDescent="0.25">
      <c r="A303" t="s">
        <v>1595</v>
      </c>
      <c r="B303" t="s">
        <v>1690</v>
      </c>
      <c r="C303">
        <v>14414</v>
      </c>
      <c r="D303">
        <v>0</v>
      </c>
      <c r="E303">
        <v>0</v>
      </c>
      <c r="F303">
        <v>0</v>
      </c>
    </row>
    <row r="304" spans="1:6" x14ac:dyDescent="0.25">
      <c r="A304" t="s">
        <v>1597</v>
      </c>
      <c r="B304" t="s">
        <v>1637</v>
      </c>
      <c r="C304">
        <v>14415</v>
      </c>
      <c r="D304">
        <v>0</v>
      </c>
      <c r="E304">
        <v>0</v>
      </c>
      <c r="F304">
        <v>0</v>
      </c>
    </row>
    <row r="305" spans="1:6" x14ac:dyDescent="0.25">
      <c r="A305" t="s">
        <v>1599</v>
      </c>
      <c r="B305" t="s">
        <v>1640</v>
      </c>
      <c r="C305">
        <v>14416</v>
      </c>
      <c r="D305">
        <v>0</v>
      </c>
      <c r="E305">
        <v>0</v>
      </c>
      <c r="F305">
        <v>0</v>
      </c>
    </row>
    <row r="306" spans="1:6" x14ac:dyDescent="0.25">
      <c r="A306" t="s">
        <v>1601</v>
      </c>
      <c r="B306" t="s">
        <v>1636</v>
      </c>
      <c r="C306">
        <v>14417</v>
      </c>
      <c r="D306">
        <v>0</v>
      </c>
      <c r="E306">
        <v>0</v>
      </c>
      <c r="F306">
        <v>0</v>
      </c>
    </row>
    <row r="307" spans="1:6" x14ac:dyDescent="0.25">
      <c r="A307" t="s">
        <v>1603</v>
      </c>
      <c r="B307" t="s">
        <v>1689</v>
      </c>
      <c r="C307">
        <v>14418</v>
      </c>
      <c r="D307">
        <v>0</v>
      </c>
      <c r="E307">
        <v>0</v>
      </c>
      <c r="F307">
        <v>0</v>
      </c>
    </row>
    <row r="308" spans="1:6" x14ac:dyDescent="0.25">
      <c r="B308" t="s">
        <v>1700</v>
      </c>
      <c r="D308">
        <v>0</v>
      </c>
      <c r="E308">
        <v>0</v>
      </c>
      <c r="F308">
        <v>0</v>
      </c>
    </row>
    <row r="309" spans="1:6" x14ac:dyDescent="0.25">
      <c r="B309" t="s">
        <v>1701</v>
      </c>
    </row>
    <row r="310" spans="1:6" x14ac:dyDescent="0.25">
      <c r="A310" t="s">
        <v>2</v>
      </c>
      <c r="B310" t="s">
        <v>1702</v>
      </c>
      <c r="C310">
        <v>14501</v>
      </c>
      <c r="D310">
        <v>0</v>
      </c>
      <c r="E310">
        <v>0</v>
      </c>
      <c r="F310">
        <v>0</v>
      </c>
    </row>
    <row r="311" spans="1:6" x14ac:dyDescent="0.25">
      <c r="A311" t="s">
        <v>15</v>
      </c>
      <c r="B311" t="s">
        <v>1703</v>
      </c>
      <c r="C311">
        <v>14502</v>
      </c>
      <c r="D311">
        <v>0</v>
      </c>
      <c r="E311">
        <v>0</v>
      </c>
      <c r="F311">
        <v>0</v>
      </c>
    </row>
    <row r="312" spans="1:6" x14ac:dyDescent="0.25">
      <c r="B312" t="s">
        <v>1704</v>
      </c>
      <c r="D312">
        <v>0</v>
      </c>
      <c r="E312">
        <v>0</v>
      </c>
      <c r="F312">
        <v>0</v>
      </c>
    </row>
    <row r="313" spans="1:6" x14ac:dyDescent="0.25">
      <c r="B313" t="s">
        <v>1705</v>
      </c>
    </row>
    <row r="314" spans="1:6" x14ac:dyDescent="0.25">
      <c r="A314" t="s">
        <v>2</v>
      </c>
      <c r="B314" t="s">
        <v>1702</v>
      </c>
      <c r="C314">
        <v>14601</v>
      </c>
      <c r="D314">
        <v>0</v>
      </c>
      <c r="E314">
        <v>0</v>
      </c>
      <c r="F314">
        <v>0</v>
      </c>
    </row>
    <row r="315" spans="1:6" x14ac:dyDescent="0.25">
      <c r="A315" t="s">
        <v>15</v>
      </c>
      <c r="B315" t="s">
        <v>1703</v>
      </c>
      <c r="C315">
        <v>14602</v>
      </c>
      <c r="D315">
        <v>0</v>
      </c>
      <c r="E315">
        <v>0</v>
      </c>
      <c r="F315">
        <v>0</v>
      </c>
    </row>
    <row r="316" spans="1:6" x14ac:dyDescent="0.25">
      <c r="B316" t="s">
        <v>1706</v>
      </c>
      <c r="D316">
        <v>0</v>
      </c>
      <c r="E316">
        <v>0</v>
      </c>
      <c r="F316">
        <v>0</v>
      </c>
    </row>
    <row r="317" spans="1:6" x14ac:dyDescent="0.25">
      <c r="B317" t="s">
        <v>1707</v>
      </c>
    </row>
    <row r="318" spans="1:6" x14ac:dyDescent="0.25">
      <c r="A318" t="s">
        <v>2</v>
      </c>
      <c r="B318" t="s">
        <v>1702</v>
      </c>
      <c r="C318">
        <v>14701</v>
      </c>
      <c r="D318">
        <v>0</v>
      </c>
      <c r="E318">
        <v>0</v>
      </c>
      <c r="F318">
        <v>0</v>
      </c>
    </row>
    <row r="319" spans="1:6" x14ac:dyDescent="0.25">
      <c r="A319" t="s">
        <v>15</v>
      </c>
      <c r="B319" t="s">
        <v>1703</v>
      </c>
      <c r="C319">
        <v>14702</v>
      </c>
      <c r="D319">
        <v>0</v>
      </c>
      <c r="E319">
        <v>0</v>
      </c>
      <c r="F319">
        <v>0</v>
      </c>
    </row>
    <row r="320" spans="1:6" x14ac:dyDescent="0.25">
      <c r="B320" t="s">
        <v>1708</v>
      </c>
      <c r="D320">
        <v>0</v>
      </c>
      <c r="E320">
        <v>0</v>
      </c>
      <c r="F320">
        <v>0</v>
      </c>
    </row>
    <row r="321" spans="1:6" x14ac:dyDescent="0.25">
      <c r="B321" t="s">
        <v>1709</v>
      </c>
    </row>
    <row r="322" spans="1:6" x14ac:dyDescent="0.25">
      <c r="A322" t="s">
        <v>2</v>
      </c>
      <c r="B322" t="s">
        <v>1710</v>
      </c>
      <c r="C322">
        <v>14801</v>
      </c>
      <c r="D322">
        <v>0</v>
      </c>
      <c r="E322">
        <v>0</v>
      </c>
      <c r="F322">
        <v>0</v>
      </c>
    </row>
    <row r="323" spans="1:6" x14ac:dyDescent="0.25">
      <c r="A323" t="s">
        <v>15</v>
      </c>
      <c r="B323" t="s">
        <v>1711</v>
      </c>
      <c r="C323">
        <v>14802</v>
      </c>
      <c r="D323">
        <v>0</v>
      </c>
      <c r="E323">
        <v>0</v>
      </c>
      <c r="F323">
        <v>0</v>
      </c>
    </row>
    <row r="324" spans="1:6" x14ac:dyDescent="0.25">
      <c r="A324" t="s">
        <v>16</v>
      </c>
      <c r="B324" t="s">
        <v>1712</v>
      </c>
      <c r="C324">
        <v>14803</v>
      </c>
      <c r="D324">
        <v>0</v>
      </c>
      <c r="E324">
        <v>0</v>
      </c>
      <c r="F324">
        <v>0</v>
      </c>
    </row>
    <row r="325" spans="1:6" x14ac:dyDescent="0.25">
      <c r="A325" t="s">
        <v>25</v>
      </c>
      <c r="B325" t="s">
        <v>1713</v>
      </c>
      <c r="C325">
        <v>14804</v>
      </c>
      <c r="D325">
        <v>3986</v>
      </c>
      <c r="E325">
        <v>0</v>
      </c>
      <c r="F325">
        <v>3986</v>
      </c>
    </row>
    <row r="326" spans="1:6" x14ac:dyDescent="0.25">
      <c r="A326" t="s">
        <v>26</v>
      </c>
      <c r="B326" t="s">
        <v>1714</v>
      </c>
      <c r="C326">
        <v>14805</v>
      </c>
      <c r="D326">
        <v>0</v>
      </c>
      <c r="E326">
        <v>0</v>
      </c>
      <c r="F326">
        <v>0</v>
      </c>
    </row>
    <row r="327" spans="1:6" x14ac:dyDescent="0.25">
      <c r="B327" t="s">
        <v>1715</v>
      </c>
      <c r="D327">
        <v>3986</v>
      </c>
      <c r="E327">
        <v>0</v>
      </c>
      <c r="F327">
        <v>3986</v>
      </c>
    </row>
    <row r="328" spans="1:6" x14ac:dyDescent="0.25">
      <c r="B328" t="s">
        <v>1716</v>
      </c>
      <c r="D328">
        <v>163668</v>
      </c>
      <c r="E328">
        <v>0</v>
      </c>
      <c r="F328">
        <v>163668</v>
      </c>
    </row>
    <row r="329" spans="1:6" x14ac:dyDescent="0.25">
      <c r="B329" t="s">
        <v>1717</v>
      </c>
    </row>
    <row r="330" spans="1:6" x14ac:dyDescent="0.25">
      <c r="B330" t="s">
        <v>1575</v>
      </c>
    </row>
    <row r="331" spans="1:6" x14ac:dyDescent="0.25">
      <c r="A331" t="s">
        <v>2</v>
      </c>
      <c r="B331" t="s">
        <v>1576</v>
      </c>
      <c r="C331">
        <v>15101</v>
      </c>
      <c r="D331">
        <v>0</v>
      </c>
      <c r="F331">
        <v>0</v>
      </c>
    </row>
    <row r="332" spans="1:6" x14ac:dyDescent="0.25">
      <c r="A332" t="s">
        <v>15</v>
      </c>
      <c r="B332" t="s">
        <v>1577</v>
      </c>
      <c r="C332">
        <v>15102</v>
      </c>
      <c r="D332">
        <v>51</v>
      </c>
      <c r="F332">
        <v>51</v>
      </c>
    </row>
    <row r="333" spans="1:6" x14ac:dyDescent="0.25">
      <c r="A333" t="s">
        <v>16</v>
      </c>
      <c r="B333" t="s">
        <v>1578</v>
      </c>
      <c r="C333">
        <v>15103</v>
      </c>
      <c r="D333">
        <v>0</v>
      </c>
      <c r="F333">
        <v>0</v>
      </c>
    </row>
    <row r="334" spans="1:6" x14ac:dyDescent="0.25">
      <c r="A334" t="s">
        <v>25</v>
      </c>
      <c r="B334" t="s">
        <v>1579</v>
      </c>
      <c r="C334">
        <v>15104</v>
      </c>
      <c r="D334">
        <v>0</v>
      </c>
      <c r="F334">
        <v>0</v>
      </c>
    </row>
    <row r="335" spans="1:6" x14ac:dyDescent="0.25">
      <c r="A335" t="s">
        <v>26</v>
      </c>
      <c r="B335" t="s">
        <v>1580</v>
      </c>
      <c r="C335">
        <v>15105</v>
      </c>
      <c r="D335">
        <v>0</v>
      </c>
      <c r="F335">
        <v>0</v>
      </c>
    </row>
    <row r="336" spans="1:6" x14ac:dyDescent="0.25">
      <c r="A336" t="s">
        <v>27</v>
      </c>
      <c r="B336" t="s">
        <v>1581</v>
      </c>
      <c r="C336">
        <v>15106</v>
      </c>
      <c r="D336">
        <v>1924</v>
      </c>
      <c r="F336">
        <v>1924</v>
      </c>
    </row>
    <row r="337" spans="1:6" x14ac:dyDescent="0.25">
      <c r="A337" t="s">
        <v>531</v>
      </c>
      <c r="B337" t="s">
        <v>1582</v>
      </c>
      <c r="C337">
        <v>15107</v>
      </c>
      <c r="D337">
        <v>0</v>
      </c>
      <c r="F337">
        <v>0</v>
      </c>
    </row>
    <row r="338" spans="1:6" x14ac:dyDescent="0.25">
      <c r="A338" t="s">
        <v>1583</v>
      </c>
      <c r="B338" t="s">
        <v>1584</v>
      </c>
      <c r="C338">
        <v>15108</v>
      </c>
      <c r="D338">
        <v>0</v>
      </c>
      <c r="F338">
        <v>0</v>
      </c>
    </row>
    <row r="339" spans="1:6" x14ac:dyDescent="0.25">
      <c r="A339" t="s">
        <v>1585</v>
      </c>
      <c r="B339" t="s">
        <v>1586</v>
      </c>
      <c r="C339">
        <v>15109</v>
      </c>
      <c r="D339">
        <v>73506</v>
      </c>
      <c r="F339">
        <v>73506</v>
      </c>
    </row>
    <row r="340" spans="1:6" x14ac:dyDescent="0.25">
      <c r="A340" t="s">
        <v>1587</v>
      </c>
      <c r="B340" t="s">
        <v>1588</v>
      </c>
      <c r="C340">
        <v>15110</v>
      </c>
      <c r="D340">
        <v>0</v>
      </c>
      <c r="F340">
        <v>0</v>
      </c>
    </row>
    <row r="341" spans="1:6" x14ac:dyDescent="0.25">
      <c r="A341" t="s">
        <v>1589</v>
      </c>
      <c r="B341" t="s">
        <v>1590</v>
      </c>
      <c r="C341">
        <v>15111</v>
      </c>
      <c r="D341">
        <v>301872</v>
      </c>
      <c r="F341">
        <v>301872</v>
      </c>
    </row>
    <row r="342" spans="1:6" x14ac:dyDescent="0.25">
      <c r="A342" t="s">
        <v>1591</v>
      </c>
      <c r="B342" t="s">
        <v>1592</v>
      </c>
      <c r="C342">
        <v>15112</v>
      </c>
      <c r="D342">
        <v>10852165</v>
      </c>
      <c r="F342">
        <v>10852165</v>
      </c>
    </row>
    <row r="343" spans="1:6" x14ac:dyDescent="0.25">
      <c r="A343" t="s">
        <v>1593</v>
      </c>
      <c r="B343" t="s">
        <v>1594</v>
      </c>
      <c r="C343">
        <v>15113</v>
      </c>
      <c r="D343">
        <v>23</v>
      </c>
      <c r="F343">
        <v>23</v>
      </c>
    </row>
    <row r="344" spans="1:6" x14ac:dyDescent="0.25">
      <c r="A344" t="s">
        <v>1595</v>
      </c>
      <c r="B344" t="s">
        <v>1596</v>
      </c>
      <c r="C344">
        <v>15114</v>
      </c>
      <c r="D344">
        <v>223217</v>
      </c>
      <c r="F344">
        <v>223217</v>
      </c>
    </row>
    <row r="345" spans="1:6" x14ac:dyDescent="0.25">
      <c r="A345" t="s">
        <v>1597</v>
      </c>
      <c r="B345" t="s">
        <v>1598</v>
      </c>
      <c r="C345">
        <v>15115</v>
      </c>
      <c r="D345">
        <v>4069751</v>
      </c>
      <c r="F345">
        <v>4069751</v>
      </c>
    </row>
    <row r="346" spans="1:6" x14ac:dyDescent="0.25">
      <c r="A346" t="s">
        <v>1599</v>
      </c>
      <c r="B346" t="s">
        <v>1600</v>
      </c>
      <c r="C346">
        <v>15116</v>
      </c>
      <c r="D346">
        <v>7830</v>
      </c>
      <c r="F346">
        <v>7830</v>
      </c>
    </row>
    <row r="347" spans="1:6" x14ac:dyDescent="0.25">
      <c r="A347" t="s">
        <v>1601</v>
      </c>
      <c r="B347" t="s">
        <v>1602</v>
      </c>
      <c r="C347">
        <v>15117</v>
      </c>
      <c r="D347">
        <v>0</v>
      </c>
      <c r="F347">
        <v>0</v>
      </c>
    </row>
    <row r="348" spans="1:6" x14ac:dyDescent="0.25">
      <c r="A348" t="s">
        <v>1603</v>
      </c>
      <c r="B348" t="s">
        <v>1604</v>
      </c>
      <c r="C348">
        <v>15118</v>
      </c>
      <c r="D348">
        <v>12652</v>
      </c>
      <c r="F348">
        <v>12652</v>
      </c>
    </row>
    <row r="349" spans="1:6" x14ac:dyDescent="0.25">
      <c r="A349" t="s">
        <v>1605</v>
      </c>
      <c r="B349" t="s">
        <v>1606</v>
      </c>
      <c r="C349">
        <v>15119</v>
      </c>
      <c r="D349">
        <v>53661</v>
      </c>
      <c r="F349">
        <v>53661</v>
      </c>
    </row>
    <row r="350" spans="1:6" x14ac:dyDescent="0.25">
      <c r="A350" t="s">
        <v>1607</v>
      </c>
      <c r="B350" t="s">
        <v>1608</v>
      </c>
      <c r="C350">
        <v>15120</v>
      </c>
      <c r="D350">
        <v>0</v>
      </c>
      <c r="F350">
        <v>0</v>
      </c>
    </row>
    <row r="351" spans="1:6" x14ac:dyDescent="0.25">
      <c r="B351" t="s">
        <v>1718</v>
      </c>
      <c r="D351">
        <v>15596652</v>
      </c>
      <c r="F351">
        <v>15596652</v>
      </c>
    </row>
    <row r="352" spans="1:6" x14ac:dyDescent="0.25">
      <c r="B352" t="s">
        <v>1656</v>
      </c>
    </row>
    <row r="353" spans="1:6" x14ac:dyDescent="0.25">
      <c r="A353" t="s">
        <v>2</v>
      </c>
      <c r="B353" t="s">
        <v>1611</v>
      </c>
      <c r="C353">
        <v>15201</v>
      </c>
      <c r="D353">
        <v>0</v>
      </c>
      <c r="F353">
        <v>0</v>
      </c>
    </row>
    <row r="354" spans="1:6" x14ac:dyDescent="0.25">
      <c r="A354" t="s">
        <v>15</v>
      </c>
      <c r="B354" t="s">
        <v>1612</v>
      </c>
      <c r="C354">
        <v>15202</v>
      </c>
      <c r="D354">
        <v>78018</v>
      </c>
      <c r="F354">
        <v>78018</v>
      </c>
    </row>
    <row r="355" spans="1:6" x14ac:dyDescent="0.25">
      <c r="A355" t="s">
        <v>16</v>
      </c>
      <c r="B355" t="s">
        <v>1613</v>
      </c>
      <c r="C355">
        <v>15203</v>
      </c>
      <c r="D355">
        <v>0</v>
      </c>
      <c r="F355">
        <v>0</v>
      </c>
    </row>
    <row r="356" spans="1:6" x14ac:dyDescent="0.25">
      <c r="A356" t="s">
        <v>25</v>
      </c>
      <c r="B356" t="s">
        <v>1614</v>
      </c>
      <c r="C356">
        <v>15204</v>
      </c>
      <c r="D356">
        <v>73210</v>
      </c>
      <c r="F356">
        <v>73210</v>
      </c>
    </row>
    <row r="357" spans="1:6" x14ac:dyDescent="0.25">
      <c r="A357" t="s">
        <v>26</v>
      </c>
      <c r="B357" t="s">
        <v>1615</v>
      </c>
      <c r="C357">
        <v>15205</v>
      </c>
      <c r="D357">
        <v>0</v>
      </c>
      <c r="F357">
        <v>0</v>
      </c>
    </row>
    <row r="358" spans="1:6" x14ac:dyDescent="0.25">
      <c r="A358" t="s">
        <v>27</v>
      </c>
      <c r="B358" t="s">
        <v>1616</v>
      </c>
      <c r="C358">
        <v>15206</v>
      </c>
      <c r="D358">
        <v>0</v>
      </c>
      <c r="F358">
        <v>0</v>
      </c>
    </row>
    <row r="359" spans="1:6" x14ac:dyDescent="0.25">
      <c r="A359" t="s">
        <v>531</v>
      </c>
      <c r="B359" t="s">
        <v>1617</v>
      </c>
      <c r="C359">
        <v>15207</v>
      </c>
      <c r="D359">
        <v>0</v>
      </c>
      <c r="F359">
        <v>0</v>
      </c>
    </row>
    <row r="360" spans="1:6" x14ac:dyDescent="0.25">
      <c r="A360" t="s">
        <v>1583</v>
      </c>
      <c r="B360" t="s">
        <v>1618</v>
      </c>
      <c r="C360">
        <v>15208</v>
      </c>
      <c r="D360">
        <v>0</v>
      </c>
      <c r="F360">
        <v>0</v>
      </c>
    </row>
    <row r="361" spans="1:6" x14ac:dyDescent="0.25">
      <c r="A361" t="s">
        <v>1585</v>
      </c>
      <c r="B361" t="s">
        <v>1619</v>
      </c>
      <c r="C361">
        <v>15209</v>
      </c>
      <c r="D361">
        <v>0</v>
      </c>
      <c r="F361">
        <v>0</v>
      </c>
    </row>
    <row r="362" spans="1:6" x14ac:dyDescent="0.25">
      <c r="A362" t="s">
        <v>1587</v>
      </c>
      <c r="B362" t="s">
        <v>1620</v>
      </c>
      <c r="C362">
        <v>15210</v>
      </c>
      <c r="D362">
        <v>0</v>
      </c>
      <c r="F362">
        <v>0</v>
      </c>
    </row>
    <row r="363" spans="1:6" x14ac:dyDescent="0.25">
      <c r="A363" t="s">
        <v>1589</v>
      </c>
      <c r="B363" t="s">
        <v>1621</v>
      </c>
      <c r="C363">
        <v>15211</v>
      </c>
      <c r="D363">
        <v>6606</v>
      </c>
      <c r="F363">
        <v>6606</v>
      </c>
    </row>
    <row r="364" spans="1:6" x14ac:dyDescent="0.25">
      <c r="A364" t="s">
        <v>1591</v>
      </c>
      <c r="B364" t="s">
        <v>1622</v>
      </c>
      <c r="C364">
        <v>15212</v>
      </c>
      <c r="D364">
        <v>1657301</v>
      </c>
      <c r="F364">
        <v>1657301</v>
      </c>
    </row>
    <row r="365" spans="1:6" x14ac:dyDescent="0.25">
      <c r="A365" t="s">
        <v>1593</v>
      </c>
      <c r="B365" t="s">
        <v>1623</v>
      </c>
      <c r="C365">
        <v>15213</v>
      </c>
      <c r="D365">
        <v>0</v>
      </c>
      <c r="F365">
        <v>0</v>
      </c>
    </row>
    <row r="366" spans="1:6" x14ac:dyDescent="0.25">
      <c r="A366" t="s">
        <v>1595</v>
      </c>
      <c r="B366" t="s">
        <v>1624</v>
      </c>
      <c r="C366">
        <v>15214</v>
      </c>
      <c r="D366">
        <v>0</v>
      </c>
      <c r="F366">
        <v>0</v>
      </c>
    </row>
    <row r="367" spans="1:6" x14ac:dyDescent="0.25">
      <c r="A367" t="s">
        <v>1597</v>
      </c>
      <c r="B367" t="s">
        <v>1625</v>
      </c>
      <c r="C367">
        <v>15215</v>
      </c>
      <c r="D367">
        <v>0</v>
      </c>
      <c r="F367">
        <v>0</v>
      </c>
    </row>
    <row r="368" spans="1:6" x14ac:dyDescent="0.25">
      <c r="A368" t="s">
        <v>1599</v>
      </c>
      <c r="B368" t="s">
        <v>1626</v>
      </c>
      <c r="C368">
        <v>15216</v>
      </c>
      <c r="D368">
        <v>0</v>
      </c>
      <c r="F368">
        <v>0</v>
      </c>
    </row>
    <row r="369" spans="1:6" x14ac:dyDescent="0.25">
      <c r="A369" t="s">
        <v>1601</v>
      </c>
      <c r="B369" t="s">
        <v>1627</v>
      </c>
      <c r="C369">
        <v>15217</v>
      </c>
      <c r="D369">
        <v>0</v>
      </c>
      <c r="F369">
        <v>0</v>
      </c>
    </row>
    <row r="370" spans="1:6" x14ac:dyDescent="0.25">
      <c r="A370" t="s">
        <v>1603</v>
      </c>
      <c r="B370" t="s">
        <v>1596</v>
      </c>
      <c r="C370">
        <v>15218</v>
      </c>
      <c r="D370">
        <v>0</v>
      </c>
      <c r="F370">
        <v>0</v>
      </c>
    </row>
    <row r="371" spans="1:6" x14ac:dyDescent="0.25">
      <c r="A371" t="s">
        <v>1605</v>
      </c>
      <c r="B371" t="s">
        <v>1598</v>
      </c>
      <c r="C371">
        <v>15219</v>
      </c>
      <c r="D371">
        <v>104093</v>
      </c>
      <c r="F371">
        <v>104093</v>
      </c>
    </row>
    <row r="372" spans="1:6" x14ac:dyDescent="0.25">
      <c r="A372" t="s">
        <v>1607</v>
      </c>
      <c r="B372" t="s">
        <v>1602</v>
      </c>
      <c r="C372">
        <v>15220</v>
      </c>
      <c r="D372">
        <v>0</v>
      </c>
      <c r="F372">
        <v>0</v>
      </c>
    </row>
    <row r="373" spans="1:6" x14ac:dyDescent="0.25">
      <c r="B373" t="s">
        <v>1719</v>
      </c>
      <c r="D373">
        <v>1919228</v>
      </c>
      <c r="F373">
        <v>1919228</v>
      </c>
    </row>
    <row r="374" spans="1:6" x14ac:dyDescent="0.25">
      <c r="B374" t="s">
        <v>1629</v>
      </c>
    </row>
    <row r="375" spans="1:6" x14ac:dyDescent="0.25">
      <c r="A375" t="s">
        <v>2</v>
      </c>
      <c r="B375" t="s">
        <v>1627</v>
      </c>
      <c r="C375">
        <v>15301</v>
      </c>
      <c r="D375">
        <v>0</v>
      </c>
      <c r="F375">
        <v>0</v>
      </c>
    </row>
    <row r="376" spans="1:6" x14ac:dyDescent="0.25">
      <c r="A376" t="s">
        <v>15</v>
      </c>
      <c r="B376" t="s">
        <v>1625</v>
      </c>
      <c r="C376">
        <v>15302</v>
      </c>
      <c r="D376">
        <v>107030</v>
      </c>
      <c r="F376">
        <v>107030</v>
      </c>
    </row>
    <row r="377" spans="1:6" x14ac:dyDescent="0.25">
      <c r="A377" t="s">
        <v>16</v>
      </c>
      <c r="B377" t="s">
        <v>1626</v>
      </c>
      <c r="C377">
        <v>15303</v>
      </c>
      <c r="D377">
        <v>0</v>
      </c>
      <c r="F377">
        <v>0</v>
      </c>
    </row>
    <row r="378" spans="1:6" x14ac:dyDescent="0.25">
      <c r="B378" t="s">
        <v>1720</v>
      </c>
      <c r="D378">
        <v>107030</v>
      </c>
      <c r="F378">
        <v>107030</v>
      </c>
    </row>
    <row r="379" spans="1:6" x14ac:dyDescent="0.25">
      <c r="B379" t="s">
        <v>1631</v>
      </c>
    </row>
    <row r="380" spans="1:6" x14ac:dyDescent="0.25">
      <c r="A380" t="s">
        <v>2</v>
      </c>
      <c r="B380" t="s">
        <v>1627</v>
      </c>
      <c r="C380">
        <v>15401</v>
      </c>
      <c r="D380">
        <v>0</v>
      </c>
      <c r="F380">
        <v>0</v>
      </c>
    </row>
    <row r="381" spans="1:6" x14ac:dyDescent="0.25">
      <c r="A381" t="s">
        <v>15</v>
      </c>
      <c r="B381" t="s">
        <v>1625</v>
      </c>
      <c r="C381">
        <v>15402</v>
      </c>
      <c r="D381">
        <v>0</v>
      </c>
      <c r="F381">
        <v>0</v>
      </c>
    </row>
    <row r="382" spans="1:6" x14ac:dyDescent="0.25">
      <c r="A382" t="s">
        <v>16</v>
      </c>
      <c r="B382" t="s">
        <v>1626</v>
      </c>
      <c r="C382">
        <v>15403</v>
      </c>
      <c r="D382">
        <v>0</v>
      </c>
      <c r="F382">
        <v>0</v>
      </c>
    </row>
    <row r="383" spans="1:6" x14ac:dyDescent="0.25">
      <c r="B383" t="s">
        <v>1721</v>
      </c>
      <c r="D383">
        <v>0</v>
      </c>
      <c r="F383">
        <v>0</v>
      </c>
    </row>
    <row r="384" spans="1:6" x14ac:dyDescent="0.25">
      <c r="B384" t="s">
        <v>2291</v>
      </c>
    </row>
    <row r="385" spans="1:6" x14ac:dyDescent="0.25">
      <c r="A385" t="s">
        <v>2</v>
      </c>
      <c r="B385" t="s">
        <v>1634</v>
      </c>
      <c r="C385">
        <v>15501</v>
      </c>
      <c r="D385">
        <v>0</v>
      </c>
      <c r="F385">
        <v>0</v>
      </c>
    </row>
    <row r="386" spans="1:6" x14ac:dyDescent="0.25">
      <c r="A386" t="s">
        <v>15</v>
      </c>
      <c r="B386" t="s">
        <v>1635</v>
      </c>
      <c r="C386">
        <v>15502</v>
      </c>
      <c r="D386">
        <v>0</v>
      </c>
      <c r="F386">
        <v>0</v>
      </c>
    </row>
    <row r="387" spans="1:6" x14ac:dyDescent="0.25">
      <c r="A387" t="s">
        <v>16</v>
      </c>
      <c r="B387" t="s">
        <v>1636</v>
      </c>
      <c r="C387">
        <v>15503</v>
      </c>
      <c r="D387">
        <v>0</v>
      </c>
      <c r="F387">
        <v>0</v>
      </c>
    </row>
    <row r="388" spans="1:6" x14ac:dyDescent="0.25">
      <c r="A388" t="s">
        <v>25</v>
      </c>
      <c r="B388" t="s">
        <v>1637</v>
      </c>
      <c r="C388">
        <v>15504</v>
      </c>
      <c r="D388">
        <v>0</v>
      </c>
      <c r="F388">
        <v>0</v>
      </c>
    </row>
    <row r="389" spans="1:6" x14ac:dyDescent="0.25">
      <c r="A389" t="s">
        <v>26</v>
      </c>
      <c r="B389" t="s">
        <v>1638</v>
      </c>
      <c r="C389">
        <v>15505</v>
      </c>
      <c r="D389">
        <v>4782</v>
      </c>
      <c r="F389">
        <v>4782</v>
      </c>
    </row>
    <row r="390" spans="1:6" x14ac:dyDescent="0.25">
      <c r="A390" t="s">
        <v>27</v>
      </c>
      <c r="B390" t="s">
        <v>1639</v>
      </c>
      <c r="C390">
        <v>15506</v>
      </c>
      <c r="D390">
        <v>0</v>
      </c>
      <c r="F390">
        <v>0</v>
      </c>
    </row>
    <row r="391" spans="1:6" x14ac:dyDescent="0.25">
      <c r="A391" t="s">
        <v>531</v>
      </c>
      <c r="B391" t="s">
        <v>1640</v>
      </c>
      <c r="C391">
        <v>15507</v>
      </c>
      <c r="D391">
        <v>0</v>
      </c>
      <c r="F391">
        <v>0</v>
      </c>
    </row>
    <row r="392" spans="1:6" x14ac:dyDescent="0.25">
      <c r="A392" t="s">
        <v>1583</v>
      </c>
      <c r="B392" t="s">
        <v>1641</v>
      </c>
      <c r="C392">
        <v>15508</v>
      </c>
      <c r="D392">
        <v>0</v>
      </c>
      <c r="F392">
        <v>0</v>
      </c>
    </row>
    <row r="393" spans="1:6" x14ac:dyDescent="0.25">
      <c r="B393" t="s">
        <v>1723</v>
      </c>
      <c r="D393">
        <v>4782</v>
      </c>
      <c r="F393">
        <v>4782</v>
      </c>
    </row>
    <row r="394" spans="1:6" x14ac:dyDescent="0.25">
      <c r="B394" t="s">
        <v>2292</v>
      </c>
    </row>
    <row r="395" spans="1:6" x14ac:dyDescent="0.25">
      <c r="A395" t="s">
        <v>2</v>
      </c>
      <c r="B395" t="s">
        <v>1634</v>
      </c>
      <c r="C395">
        <v>15601</v>
      </c>
      <c r="D395">
        <v>0</v>
      </c>
      <c r="F395">
        <v>0</v>
      </c>
    </row>
    <row r="396" spans="1:6" x14ac:dyDescent="0.25">
      <c r="A396" t="s">
        <v>15</v>
      </c>
      <c r="B396" t="s">
        <v>1635</v>
      </c>
      <c r="C396">
        <v>15602</v>
      </c>
      <c r="D396">
        <v>0</v>
      </c>
      <c r="F396">
        <v>0</v>
      </c>
    </row>
    <row r="397" spans="1:6" x14ac:dyDescent="0.25">
      <c r="A397" t="s">
        <v>16</v>
      </c>
      <c r="B397" t="s">
        <v>1636</v>
      </c>
      <c r="C397">
        <v>15603</v>
      </c>
      <c r="D397">
        <v>0</v>
      </c>
      <c r="F397">
        <v>0</v>
      </c>
    </row>
    <row r="398" spans="1:6" x14ac:dyDescent="0.25">
      <c r="A398" t="s">
        <v>25</v>
      </c>
      <c r="B398" t="s">
        <v>1637</v>
      </c>
      <c r="C398">
        <v>15604</v>
      </c>
      <c r="D398">
        <v>0</v>
      </c>
      <c r="F398">
        <v>0</v>
      </c>
    </row>
    <row r="399" spans="1:6" x14ac:dyDescent="0.25">
      <c r="A399" t="s">
        <v>26</v>
      </c>
      <c r="B399" t="s">
        <v>1638</v>
      </c>
      <c r="C399">
        <v>15605</v>
      </c>
      <c r="D399">
        <v>18336</v>
      </c>
      <c r="F399">
        <v>18336</v>
      </c>
    </row>
    <row r="400" spans="1:6" x14ac:dyDescent="0.25">
      <c r="A400" t="s">
        <v>27</v>
      </c>
      <c r="B400" t="s">
        <v>1639</v>
      </c>
      <c r="C400">
        <v>15606</v>
      </c>
      <c r="D400">
        <v>0</v>
      </c>
      <c r="F400">
        <v>0</v>
      </c>
    </row>
    <row r="401" spans="1:6" x14ac:dyDescent="0.25">
      <c r="A401" t="s">
        <v>531</v>
      </c>
      <c r="B401" t="s">
        <v>1640</v>
      </c>
      <c r="C401">
        <v>15607</v>
      </c>
      <c r="D401">
        <v>0</v>
      </c>
      <c r="F401">
        <v>0</v>
      </c>
    </row>
    <row r="402" spans="1:6" x14ac:dyDescent="0.25">
      <c r="A402" t="s">
        <v>1583</v>
      </c>
      <c r="B402" t="s">
        <v>1641</v>
      </c>
      <c r="C402">
        <v>15608</v>
      </c>
      <c r="D402">
        <v>163440</v>
      </c>
      <c r="F402">
        <v>163440</v>
      </c>
    </row>
    <row r="403" spans="1:6" x14ac:dyDescent="0.25">
      <c r="B403" t="s">
        <v>1725</v>
      </c>
      <c r="D403">
        <v>181776</v>
      </c>
      <c r="F403">
        <v>181776</v>
      </c>
    </row>
    <row r="404" spans="1:6" x14ac:dyDescent="0.25">
      <c r="B404" t="s">
        <v>1726</v>
      </c>
    </row>
    <row r="405" spans="1:6" x14ac:dyDescent="0.25">
      <c r="A405" t="s">
        <v>2</v>
      </c>
      <c r="B405" t="s">
        <v>1648</v>
      </c>
      <c r="C405">
        <v>15701</v>
      </c>
      <c r="D405">
        <v>0</v>
      </c>
      <c r="F405">
        <v>0</v>
      </c>
    </row>
    <row r="406" spans="1:6" x14ac:dyDescent="0.25">
      <c r="A406" t="s">
        <v>15</v>
      </c>
      <c r="B406" t="s">
        <v>1649</v>
      </c>
      <c r="C406">
        <v>15702</v>
      </c>
      <c r="D406">
        <v>0</v>
      </c>
      <c r="F406">
        <v>0</v>
      </c>
    </row>
    <row r="407" spans="1:6" x14ac:dyDescent="0.25">
      <c r="A407" t="s">
        <v>16</v>
      </c>
      <c r="B407" t="s">
        <v>1637</v>
      </c>
      <c r="C407">
        <v>15703</v>
      </c>
      <c r="D407">
        <v>0</v>
      </c>
      <c r="F407">
        <v>0</v>
      </c>
    </row>
    <row r="408" spans="1:6" x14ac:dyDescent="0.25">
      <c r="A408" t="s">
        <v>25</v>
      </c>
      <c r="B408" t="s">
        <v>1638</v>
      </c>
      <c r="C408">
        <v>15704</v>
      </c>
      <c r="D408">
        <v>1402</v>
      </c>
      <c r="F408">
        <v>1402</v>
      </c>
    </row>
    <row r="409" spans="1:6" x14ac:dyDescent="0.25">
      <c r="A409" t="s">
        <v>26</v>
      </c>
      <c r="B409" t="s">
        <v>1650</v>
      </c>
      <c r="C409">
        <v>15705</v>
      </c>
      <c r="D409">
        <v>0</v>
      </c>
      <c r="F409">
        <v>0</v>
      </c>
    </row>
    <row r="410" spans="1:6" x14ac:dyDescent="0.25">
      <c r="A410" t="s">
        <v>27</v>
      </c>
      <c r="B410" t="s">
        <v>1651</v>
      </c>
      <c r="C410">
        <v>15706</v>
      </c>
      <c r="D410">
        <v>0</v>
      </c>
      <c r="F410">
        <v>0</v>
      </c>
    </row>
    <row r="411" spans="1:6" x14ac:dyDescent="0.25">
      <c r="A411" t="s">
        <v>531</v>
      </c>
      <c r="B411" t="s">
        <v>1640</v>
      </c>
      <c r="C411">
        <v>15707</v>
      </c>
      <c r="D411">
        <v>0</v>
      </c>
      <c r="F411">
        <v>0</v>
      </c>
    </row>
    <row r="412" spans="1:6" x14ac:dyDescent="0.25">
      <c r="A412" t="s">
        <v>1583</v>
      </c>
      <c r="B412" t="s">
        <v>1641</v>
      </c>
      <c r="C412">
        <v>15708</v>
      </c>
      <c r="D412">
        <v>0</v>
      </c>
      <c r="F412">
        <v>0</v>
      </c>
    </row>
    <row r="413" spans="1:6" x14ac:dyDescent="0.25">
      <c r="B413" t="s">
        <v>1727</v>
      </c>
      <c r="D413">
        <v>1402</v>
      </c>
      <c r="F413">
        <v>1402</v>
      </c>
    </row>
    <row r="414" spans="1:6" x14ac:dyDescent="0.25">
      <c r="B414" t="s">
        <v>1728</v>
      </c>
      <c r="D414">
        <v>17810870</v>
      </c>
      <c r="F414">
        <v>17810870</v>
      </c>
    </row>
    <row r="415" spans="1:6" x14ac:dyDescent="0.25">
      <c r="B415" t="s">
        <v>1729</v>
      </c>
    </row>
    <row r="416" spans="1:6" x14ac:dyDescent="0.25">
      <c r="B416" t="s">
        <v>1730</v>
      </c>
    </row>
    <row r="417" spans="1:6" x14ac:dyDescent="0.25">
      <c r="A417" t="s">
        <v>2</v>
      </c>
      <c r="B417" t="s">
        <v>1710</v>
      </c>
      <c r="C417">
        <v>16101</v>
      </c>
      <c r="D417">
        <v>0</v>
      </c>
      <c r="E417">
        <v>0</v>
      </c>
      <c r="F417">
        <v>0</v>
      </c>
    </row>
    <row r="418" spans="1:6" x14ac:dyDescent="0.25">
      <c r="A418" t="s">
        <v>15</v>
      </c>
      <c r="B418" t="s">
        <v>1711</v>
      </c>
      <c r="C418">
        <v>16102</v>
      </c>
      <c r="D418">
        <v>0</v>
      </c>
      <c r="E418">
        <v>0</v>
      </c>
      <c r="F418">
        <v>0</v>
      </c>
    </row>
    <row r="419" spans="1:6" x14ac:dyDescent="0.25">
      <c r="A419" t="s">
        <v>16</v>
      </c>
      <c r="B419" t="s">
        <v>1712</v>
      </c>
      <c r="C419">
        <v>16103</v>
      </c>
      <c r="D419">
        <v>0</v>
      </c>
      <c r="E419">
        <v>0</v>
      </c>
      <c r="F419">
        <v>0</v>
      </c>
    </row>
    <row r="420" spans="1:6" x14ac:dyDescent="0.25">
      <c r="A420" t="s">
        <v>25</v>
      </c>
      <c r="B420" t="s">
        <v>1713</v>
      </c>
      <c r="C420">
        <v>16104</v>
      </c>
      <c r="D420">
        <v>0</v>
      </c>
      <c r="E420">
        <v>0</v>
      </c>
      <c r="F420">
        <v>0</v>
      </c>
    </row>
    <row r="421" spans="1:6" x14ac:dyDescent="0.25">
      <c r="A421" t="s">
        <v>26</v>
      </c>
      <c r="B421" t="s">
        <v>1714</v>
      </c>
      <c r="C421">
        <v>16105</v>
      </c>
      <c r="D421">
        <v>0</v>
      </c>
      <c r="E421">
        <v>0</v>
      </c>
      <c r="F421">
        <v>0</v>
      </c>
    </row>
    <row r="422" spans="1:6" x14ac:dyDescent="0.25">
      <c r="B422" t="s">
        <v>1731</v>
      </c>
      <c r="D422">
        <v>0</v>
      </c>
      <c r="E422">
        <v>0</v>
      </c>
      <c r="F422">
        <v>0</v>
      </c>
    </row>
    <row r="423" spans="1:6" x14ac:dyDescent="0.25">
      <c r="B423" t="s">
        <v>1732</v>
      </c>
      <c r="D423">
        <v>0</v>
      </c>
      <c r="E423">
        <v>0</v>
      </c>
      <c r="F423">
        <v>0</v>
      </c>
    </row>
    <row r="424" spans="1:6" x14ac:dyDescent="0.25">
      <c r="B424" t="s">
        <v>2293</v>
      </c>
    </row>
    <row r="425" spans="1:6" x14ac:dyDescent="0.25">
      <c r="B425" t="s">
        <v>1575</v>
      </c>
    </row>
    <row r="426" spans="1:6" x14ac:dyDescent="0.25">
      <c r="A426" t="s">
        <v>2</v>
      </c>
      <c r="B426" t="s">
        <v>1576</v>
      </c>
      <c r="C426">
        <v>17101</v>
      </c>
      <c r="D426">
        <v>0</v>
      </c>
      <c r="F426">
        <v>0</v>
      </c>
    </row>
    <row r="427" spans="1:6" x14ac:dyDescent="0.25">
      <c r="A427" t="s">
        <v>15</v>
      </c>
      <c r="B427" t="s">
        <v>1577</v>
      </c>
      <c r="C427">
        <v>17102</v>
      </c>
      <c r="D427">
        <v>0</v>
      </c>
      <c r="F427">
        <v>0</v>
      </c>
    </row>
    <row r="428" spans="1:6" x14ac:dyDescent="0.25">
      <c r="A428" t="s">
        <v>16</v>
      </c>
      <c r="B428" t="s">
        <v>1578</v>
      </c>
      <c r="C428">
        <v>17103</v>
      </c>
      <c r="D428">
        <v>0</v>
      </c>
      <c r="F428">
        <v>0</v>
      </c>
    </row>
    <row r="429" spans="1:6" x14ac:dyDescent="0.25">
      <c r="A429" t="s">
        <v>25</v>
      </c>
      <c r="B429" t="s">
        <v>1579</v>
      </c>
      <c r="C429">
        <v>17104</v>
      </c>
      <c r="D429">
        <v>0</v>
      </c>
      <c r="F429">
        <v>0</v>
      </c>
    </row>
    <row r="430" spans="1:6" x14ac:dyDescent="0.25">
      <c r="A430" t="s">
        <v>26</v>
      </c>
      <c r="B430" t="s">
        <v>1580</v>
      </c>
      <c r="C430">
        <v>17105</v>
      </c>
      <c r="D430">
        <v>19718</v>
      </c>
      <c r="F430">
        <v>19718</v>
      </c>
    </row>
    <row r="431" spans="1:6" x14ac:dyDescent="0.25">
      <c r="A431" t="s">
        <v>27</v>
      </c>
      <c r="B431" t="s">
        <v>1581</v>
      </c>
      <c r="C431">
        <v>17106</v>
      </c>
      <c r="D431">
        <v>112856</v>
      </c>
      <c r="F431">
        <v>112856</v>
      </c>
    </row>
    <row r="432" spans="1:6" x14ac:dyDescent="0.25">
      <c r="A432" t="s">
        <v>531</v>
      </c>
      <c r="B432" t="s">
        <v>1582</v>
      </c>
      <c r="C432">
        <v>17107</v>
      </c>
      <c r="D432">
        <v>0</v>
      </c>
      <c r="F432">
        <v>0</v>
      </c>
    </row>
    <row r="433" spans="1:6" x14ac:dyDescent="0.25">
      <c r="A433" t="s">
        <v>1583</v>
      </c>
      <c r="B433" t="s">
        <v>1584</v>
      </c>
      <c r="C433">
        <v>17108</v>
      </c>
      <c r="D433">
        <v>36117</v>
      </c>
      <c r="F433">
        <v>36117</v>
      </c>
    </row>
    <row r="434" spans="1:6" x14ac:dyDescent="0.25">
      <c r="A434" t="s">
        <v>1585</v>
      </c>
      <c r="B434" t="s">
        <v>1586</v>
      </c>
      <c r="C434">
        <v>17109</v>
      </c>
      <c r="D434">
        <v>80779</v>
      </c>
      <c r="F434">
        <v>80779</v>
      </c>
    </row>
    <row r="435" spans="1:6" x14ac:dyDescent="0.25">
      <c r="A435" t="s">
        <v>1587</v>
      </c>
      <c r="B435" t="s">
        <v>1588</v>
      </c>
      <c r="C435">
        <v>17110</v>
      </c>
      <c r="D435">
        <v>0</v>
      </c>
      <c r="F435">
        <v>0</v>
      </c>
    </row>
    <row r="436" spans="1:6" x14ac:dyDescent="0.25">
      <c r="A436" t="s">
        <v>1589</v>
      </c>
      <c r="B436" t="s">
        <v>1590</v>
      </c>
      <c r="C436">
        <v>17111</v>
      </c>
      <c r="D436">
        <v>1373257</v>
      </c>
      <c r="F436">
        <v>1373257</v>
      </c>
    </row>
    <row r="437" spans="1:6" x14ac:dyDescent="0.25">
      <c r="A437" t="s">
        <v>1591</v>
      </c>
      <c r="B437" t="s">
        <v>1592</v>
      </c>
      <c r="C437">
        <v>17112</v>
      </c>
      <c r="D437">
        <v>23932478</v>
      </c>
      <c r="F437">
        <v>23932478</v>
      </c>
    </row>
    <row r="438" spans="1:6" x14ac:dyDescent="0.25">
      <c r="A438" t="s">
        <v>1593</v>
      </c>
      <c r="B438" t="s">
        <v>1594</v>
      </c>
      <c r="C438">
        <v>17113</v>
      </c>
      <c r="D438">
        <v>1581</v>
      </c>
      <c r="F438">
        <v>1581</v>
      </c>
    </row>
    <row r="439" spans="1:6" x14ac:dyDescent="0.25">
      <c r="A439" t="s">
        <v>1595</v>
      </c>
      <c r="B439" t="s">
        <v>1596</v>
      </c>
      <c r="C439">
        <v>17114</v>
      </c>
      <c r="D439">
        <v>530433</v>
      </c>
      <c r="F439">
        <v>530433</v>
      </c>
    </row>
    <row r="440" spans="1:6" x14ac:dyDescent="0.25">
      <c r="A440" t="s">
        <v>1597</v>
      </c>
      <c r="B440" t="s">
        <v>1598</v>
      </c>
      <c r="C440">
        <v>17115</v>
      </c>
      <c r="D440">
        <v>6928718</v>
      </c>
      <c r="F440">
        <v>6928718</v>
      </c>
    </row>
    <row r="441" spans="1:6" x14ac:dyDescent="0.25">
      <c r="A441" t="s">
        <v>1599</v>
      </c>
      <c r="B441" t="s">
        <v>1600</v>
      </c>
      <c r="C441">
        <v>17116</v>
      </c>
      <c r="D441">
        <v>530664</v>
      </c>
      <c r="F441">
        <v>530664</v>
      </c>
    </row>
    <row r="442" spans="1:6" x14ac:dyDescent="0.25">
      <c r="A442" t="s">
        <v>1601</v>
      </c>
      <c r="B442" t="s">
        <v>1602</v>
      </c>
      <c r="C442">
        <v>17117</v>
      </c>
      <c r="D442">
        <v>10</v>
      </c>
      <c r="F442">
        <v>10</v>
      </c>
    </row>
    <row r="443" spans="1:6" x14ac:dyDescent="0.25">
      <c r="A443" t="s">
        <v>1603</v>
      </c>
      <c r="B443" t="s">
        <v>1604</v>
      </c>
      <c r="C443">
        <v>17118</v>
      </c>
      <c r="D443">
        <v>130236</v>
      </c>
      <c r="F443">
        <v>130236</v>
      </c>
    </row>
    <row r="444" spans="1:6" x14ac:dyDescent="0.25">
      <c r="A444" t="s">
        <v>1605</v>
      </c>
      <c r="B444" t="s">
        <v>1606</v>
      </c>
      <c r="C444">
        <v>17119</v>
      </c>
      <c r="D444">
        <v>481370</v>
      </c>
      <c r="F444">
        <v>481370</v>
      </c>
    </row>
    <row r="445" spans="1:6" x14ac:dyDescent="0.25">
      <c r="A445" t="s">
        <v>1607</v>
      </c>
      <c r="B445" t="s">
        <v>1608</v>
      </c>
      <c r="C445">
        <v>17120</v>
      </c>
      <c r="D445">
        <v>0</v>
      </c>
      <c r="F445">
        <v>0</v>
      </c>
    </row>
    <row r="446" spans="1:6" x14ac:dyDescent="0.25">
      <c r="B446" t="s">
        <v>2294</v>
      </c>
      <c r="D446">
        <v>34158217</v>
      </c>
      <c r="F446">
        <v>34158217</v>
      </c>
    </row>
    <row r="447" spans="1:6" x14ac:dyDescent="0.25">
      <c r="B447" t="s">
        <v>1656</v>
      </c>
    </row>
    <row r="448" spans="1:6" x14ac:dyDescent="0.25">
      <c r="A448" t="s">
        <v>2</v>
      </c>
      <c r="B448" t="s">
        <v>1611</v>
      </c>
      <c r="C448">
        <v>17201</v>
      </c>
      <c r="D448">
        <v>0</v>
      </c>
      <c r="F448">
        <v>0</v>
      </c>
    </row>
    <row r="449" spans="1:6" x14ac:dyDescent="0.25">
      <c r="A449" t="s">
        <v>15</v>
      </c>
      <c r="B449" t="s">
        <v>1612</v>
      </c>
      <c r="C449">
        <v>17202</v>
      </c>
      <c r="D449">
        <v>0</v>
      </c>
      <c r="F449">
        <v>0</v>
      </c>
    </row>
    <row r="450" spans="1:6" x14ac:dyDescent="0.25">
      <c r="A450" t="s">
        <v>16</v>
      </c>
      <c r="B450" t="s">
        <v>1613</v>
      </c>
      <c r="C450">
        <v>17203</v>
      </c>
      <c r="D450">
        <v>0</v>
      </c>
      <c r="F450">
        <v>0</v>
      </c>
    </row>
    <row r="451" spans="1:6" x14ac:dyDescent="0.25">
      <c r="A451" t="s">
        <v>25</v>
      </c>
      <c r="B451" t="s">
        <v>1614</v>
      </c>
      <c r="C451">
        <v>17204</v>
      </c>
      <c r="D451">
        <v>0</v>
      </c>
      <c r="F451">
        <v>0</v>
      </c>
    </row>
    <row r="452" spans="1:6" x14ac:dyDescent="0.25">
      <c r="A452" t="s">
        <v>26</v>
      </c>
      <c r="B452" t="s">
        <v>1615</v>
      </c>
      <c r="C452">
        <v>17205</v>
      </c>
      <c r="D452">
        <v>0</v>
      </c>
      <c r="F452">
        <v>0</v>
      </c>
    </row>
    <row r="453" spans="1:6" x14ac:dyDescent="0.25">
      <c r="A453" t="s">
        <v>27</v>
      </c>
      <c r="B453" t="s">
        <v>1616</v>
      </c>
      <c r="C453">
        <v>17206</v>
      </c>
      <c r="D453">
        <v>0</v>
      </c>
      <c r="F453">
        <v>0</v>
      </c>
    </row>
    <row r="454" spans="1:6" x14ac:dyDescent="0.25">
      <c r="A454" t="s">
        <v>531</v>
      </c>
      <c r="B454" t="s">
        <v>1617</v>
      </c>
      <c r="C454">
        <v>17207</v>
      </c>
      <c r="D454">
        <v>0</v>
      </c>
      <c r="F454">
        <v>0</v>
      </c>
    </row>
    <row r="455" spans="1:6" x14ac:dyDescent="0.25">
      <c r="A455" t="s">
        <v>1583</v>
      </c>
      <c r="B455" t="s">
        <v>1618</v>
      </c>
      <c r="C455">
        <v>17208</v>
      </c>
      <c r="D455">
        <v>0</v>
      </c>
      <c r="F455">
        <v>0</v>
      </c>
    </row>
    <row r="456" spans="1:6" x14ac:dyDescent="0.25">
      <c r="A456" t="s">
        <v>1585</v>
      </c>
      <c r="B456" t="s">
        <v>1619</v>
      </c>
      <c r="C456">
        <v>17209</v>
      </c>
      <c r="D456">
        <v>0</v>
      </c>
      <c r="F456">
        <v>0</v>
      </c>
    </row>
    <row r="457" spans="1:6" x14ac:dyDescent="0.25">
      <c r="A457" t="s">
        <v>1587</v>
      </c>
      <c r="B457" t="s">
        <v>1620</v>
      </c>
      <c r="C457">
        <v>17210</v>
      </c>
      <c r="D457">
        <v>40134</v>
      </c>
      <c r="F457">
        <v>40134</v>
      </c>
    </row>
    <row r="458" spans="1:6" x14ac:dyDescent="0.25">
      <c r="A458" t="s">
        <v>1589</v>
      </c>
      <c r="B458" t="s">
        <v>1621</v>
      </c>
      <c r="C458">
        <v>17211</v>
      </c>
      <c r="D458">
        <v>2607</v>
      </c>
      <c r="F458">
        <v>2607</v>
      </c>
    </row>
    <row r="459" spans="1:6" x14ac:dyDescent="0.25">
      <c r="A459" t="s">
        <v>1591</v>
      </c>
      <c r="B459" t="s">
        <v>1622</v>
      </c>
      <c r="C459">
        <v>17212</v>
      </c>
      <c r="D459">
        <v>2463970</v>
      </c>
      <c r="F459">
        <v>2463970</v>
      </c>
    </row>
    <row r="460" spans="1:6" x14ac:dyDescent="0.25">
      <c r="A460" t="s">
        <v>1593</v>
      </c>
      <c r="B460" t="s">
        <v>1623</v>
      </c>
      <c r="C460">
        <v>17213</v>
      </c>
      <c r="D460">
        <v>0</v>
      </c>
      <c r="F460">
        <v>0</v>
      </c>
    </row>
    <row r="461" spans="1:6" x14ac:dyDescent="0.25">
      <c r="A461" t="s">
        <v>1595</v>
      </c>
      <c r="B461" t="s">
        <v>1624</v>
      </c>
      <c r="C461">
        <v>17214</v>
      </c>
      <c r="D461">
        <v>0</v>
      </c>
      <c r="F461">
        <v>0</v>
      </c>
    </row>
    <row r="462" spans="1:6" x14ac:dyDescent="0.25">
      <c r="A462" t="s">
        <v>1597</v>
      </c>
      <c r="B462" t="s">
        <v>1625</v>
      </c>
      <c r="C462">
        <v>17215</v>
      </c>
      <c r="D462">
        <v>15657</v>
      </c>
      <c r="F462">
        <v>15657</v>
      </c>
    </row>
    <row r="463" spans="1:6" x14ac:dyDescent="0.25">
      <c r="A463" t="s">
        <v>1599</v>
      </c>
      <c r="B463" t="s">
        <v>1626</v>
      </c>
      <c r="C463">
        <v>17216</v>
      </c>
      <c r="D463">
        <v>0</v>
      </c>
      <c r="F463">
        <v>0</v>
      </c>
    </row>
    <row r="464" spans="1:6" x14ac:dyDescent="0.25">
      <c r="A464" t="s">
        <v>1601</v>
      </c>
      <c r="B464" t="s">
        <v>1627</v>
      </c>
      <c r="C464">
        <v>17217</v>
      </c>
      <c r="D464">
        <v>0</v>
      </c>
      <c r="F464">
        <v>0</v>
      </c>
    </row>
    <row r="465" spans="1:6" x14ac:dyDescent="0.25">
      <c r="A465" t="s">
        <v>1603</v>
      </c>
      <c r="B465" t="s">
        <v>1596</v>
      </c>
      <c r="C465">
        <v>17218</v>
      </c>
      <c r="D465">
        <v>2668508</v>
      </c>
      <c r="F465">
        <v>2668508</v>
      </c>
    </row>
    <row r="466" spans="1:6" x14ac:dyDescent="0.25">
      <c r="A466" t="s">
        <v>1605</v>
      </c>
      <c r="B466" t="s">
        <v>1598</v>
      </c>
      <c r="C466">
        <v>17219</v>
      </c>
      <c r="D466">
        <v>0</v>
      </c>
      <c r="F466">
        <v>0</v>
      </c>
    </row>
    <row r="467" spans="1:6" x14ac:dyDescent="0.25">
      <c r="A467" t="s">
        <v>1607</v>
      </c>
      <c r="B467" t="s">
        <v>1602</v>
      </c>
      <c r="C467">
        <v>17220</v>
      </c>
      <c r="D467">
        <v>0</v>
      </c>
      <c r="F467">
        <v>0</v>
      </c>
    </row>
    <row r="468" spans="1:6" x14ac:dyDescent="0.25">
      <c r="B468" t="s">
        <v>2295</v>
      </c>
      <c r="D468">
        <v>5190876</v>
      </c>
      <c r="F468">
        <v>5190876</v>
      </c>
    </row>
    <row r="469" spans="1:6" x14ac:dyDescent="0.25">
      <c r="B469" t="s">
        <v>1629</v>
      </c>
    </row>
    <row r="470" spans="1:6" x14ac:dyDescent="0.25">
      <c r="A470" t="s">
        <v>2</v>
      </c>
      <c r="B470" t="s">
        <v>1627</v>
      </c>
      <c r="C470">
        <v>17301</v>
      </c>
      <c r="D470">
        <v>0</v>
      </c>
      <c r="F470">
        <v>0</v>
      </c>
    </row>
    <row r="471" spans="1:6" x14ac:dyDescent="0.25">
      <c r="A471" t="s">
        <v>15</v>
      </c>
      <c r="B471" t="s">
        <v>1625</v>
      </c>
      <c r="C471">
        <v>17302</v>
      </c>
      <c r="D471">
        <v>0</v>
      </c>
      <c r="F471">
        <v>0</v>
      </c>
    </row>
    <row r="472" spans="1:6" x14ac:dyDescent="0.25">
      <c r="B472" t="s">
        <v>1626</v>
      </c>
      <c r="C472">
        <v>17303</v>
      </c>
      <c r="D472">
        <v>0</v>
      </c>
      <c r="F472">
        <v>0</v>
      </c>
    </row>
    <row r="473" spans="1:6" x14ac:dyDescent="0.25">
      <c r="B473" t="s">
        <v>2296</v>
      </c>
      <c r="D473">
        <v>0</v>
      </c>
      <c r="F473">
        <v>0</v>
      </c>
    </row>
    <row r="474" spans="1:6" x14ac:dyDescent="0.25">
      <c r="B474" t="s">
        <v>1631</v>
      </c>
    </row>
    <row r="475" spans="1:6" x14ac:dyDescent="0.25">
      <c r="A475" t="s">
        <v>2</v>
      </c>
      <c r="B475" t="s">
        <v>1627</v>
      </c>
      <c r="C475">
        <v>17401</v>
      </c>
      <c r="D475">
        <v>0</v>
      </c>
      <c r="F475">
        <v>0</v>
      </c>
    </row>
    <row r="476" spans="1:6" x14ac:dyDescent="0.25">
      <c r="A476" t="s">
        <v>15</v>
      </c>
      <c r="B476" t="s">
        <v>1625</v>
      </c>
      <c r="C476">
        <v>17402</v>
      </c>
      <c r="D476">
        <v>0</v>
      </c>
      <c r="F476">
        <v>0</v>
      </c>
    </row>
    <row r="477" spans="1:6" x14ac:dyDescent="0.25">
      <c r="A477" t="s">
        <v>16</v>
      </c>
      <c r="B477" t="s">
        <v>1626</v>
      </c>
      <c r="C477">
        <v>17403</v>
      </c>
      <c r="D477">
        <v>0</v>
      </c>
      <c r="F477">
        <v>0</v>
      </c>
    </row>
    <row r="478" spans="1:6" x14ac:dyDescent="0.25">
      <c r="B478" t="s">
        <v>2297</v>
      </c>
      <c r="D478">
        <v>0</v>
      </c>
      <c r="F478">
        <v>0</v>
      </c>
    </row>
    <row r="479" spans="1:6" x14ac:dyDescent="0.25">
      <c r="B479" t="s">
        <v>2291</v>
      </c>
    </row>
    <row r="480" spans="1:6" x14ac:dyDescent="0.25">
      <c r="A480" t="s">
        <v>2</v>
      </c>
      <c r="B480" t="s">
        <v>1634</v>
      </c>
      <c r="C480">
        <v>17501</v>
      </c>
      <c r="D480">
        <v>2274</v>
      </c>
      <c r="F480">
        <v>2274</v>
      </c>
    </row>
    <row r="481" spans="1:6" x14ac:dyDescent="0.25">
      <c r="A481" t="s">
        <v>15</v>
      </c>
      <c r="B481" t="s">
        <v>1635</v>
      </c>
      <c r="C481">
        <v>17502</v>
      </c>
      <c r="D481">
        <v>0</v>
      </c>
      <c r="F481">
        <v>0</v>
      </c>
    </row>
    <row r="482" spans="1:6" x14ac:dyDescent="0.25">
      <c r="A482" t="s">
        <v>16</v>
      </c>
      <c r="B482" t="s">
        <v>1636</v>
      </c>
      <c r="C482">
        <v>17503</v>
      </c>
      <c r="D482">
        <v>0</v>
      </c>
      <c r="F482">
        <v>0</v>
      </c>
    </row>
    <row r="483" spans="1:6" x14ac:dyDescent="0.25">
      <c r="A483" t="s">
        <v>25</v>
      </c>
      <c r="B483" t="s">
        <v>1637</v>
      </c>
      <c r="C483">
        <v>17504</v>
      </c>
      <c r="D483">
        <v>189408</v>
      </c>
      <c r="F483">
        <v>189408</v>
      </c>
    </row>
    <row r="484" spans="1:6" x14ac:dyDescent="0.25">
      <c r="A484" t="s">
        <v>26</v>
      </c>
      <c r="B484" t="s">
        <v>1638</v>
      </c>
      <c r="C484">
        <v>17505</v>
      </c>
      <c r="D484">
        <v>63261</v>
      </c>
      <c r="F484">
        <v>63261</v>
      </c>
    </row>
    <row r="485" spans="1:6" x14ac:dyDescent="0.25">
      <c r="A485" t="s">
        <v>27</v>
      </c>
      <c r="B485" t="s">
        <v>1639</v>
      </c>
      <c r="C485">
        <v>17506</v>
      </c>
      <c r="D485">
        <v>4392</v>
      </c>
      <c r="F485">
        <v>4392</v>
      </c>
    </row>
    <row r="486" spans="1:6" x14ac:dyDescent="0.25">
      <c r="A486" t="s">
        <v>531</v>
      </c>
      <c r="B486" t="s">
        <v>1640</v>
      </c>
      <c r="C486">
        <v>17507</v>
      </c>
      <c r="D486">
        <v>2</v>
      </c>
      <c r="F486">
        <v>2</v>
      </c>
    </row>
    <row r="487" spans="1:6" x14ac:dyDescent="0.25">
      <c r="A487" t="s">
        <v>1583</v>
      </c>
      <c r="B487" t="s">
        <v>1641</v>
      </c>
      <c r="C487">
        <v>17508</v>
      </c>
      <c r="D487">
        <v>14018</v>
      </c>
      <c r="F487">
        <v>14018</v>
      </c>
    </row>
    <row r="488" spans="1:6" x14ac:dyDescent="0.25">
      <c r="B488" t="s">
        <v>2298</v>
      </c>
      <c r="D488">
        <v>273355</v>
      </c>
      <c r="F488">
        <v>273355</v>
      </c>
    </row>
    <row r="489" spans="1:6" x14ac:dyDescent="0.25">
      <c r="B489" t="s">
        <v>2292</v>
      </c>
    </row>
    <row r="490" spans="1:6" x14ac:dyDescent="0.25">
      <c r="A490" t="s">
        <v>2</v>
      </c>
      <c r="B490" t="s">
        <v>1634</v>
      </c>
      <c r="C490">
        <v>17601</v>
      </c>
      <c r="D490">
        <v>612</v>
      </c>
      <c r="F490">
        <v>612</v>
      </c>
    </row>
    <row r="491" spans="1:6" x14ac:dyDescent="0.25">
      <c r="A491" t="s">
        <v>15</v>
      </c>
      <c r="B491" t="s">
        <v>1635</v>
      </c>
      <c r="C491">
        <v>17602</v>
      </c>
      <c r="D491">
        <v>0</v>
      </c>
      <c r="F491">
        <v>0</v>
      </c>
    </row>
    <row r="492" spans="1:6" x14ac:dyDescent="0.25">
      <c r="A492" t="s">
        <v>16</v>
      </c>
      <c r="B492" t="s">
        <v>1636</v>
      </c>
      <c r="C492">
        <v>17603</v>
      </c>
      <c r="D492">
        <v>0</v>
      </c>
      <c r="F492">
        <v>0</v>
      </c>
    </row>
    <row r="493" spans="1:6" x14ac:dyDescent="0.25">
      <c r="A493" t="s">
        <v>25</v>
      </c>
      <c r="B493" t="s">
        <v>1637</v>
      </c>
      <c r="C493">
        <v>17604</v>
      </c>
      <c r="D493">
        <v>345963</v>
      </c>
      <c r="F493">
        <v>345963</v>
      </c>
    </row>
    <row r="494" spans="1:6" x14ac:dyDescent="0.25">
      <c r="A494" t="s">
        <v>26</v>
      </c>
      <c r="B494" t="s">
        <v>1638</v>
      </c>
      <c r="C494">
        <v>17605</v>
      </c>
      <c r="D494">
        <v>280711</v>
      </c>
      <c r="F494">
        <v>280711</v>
      </c>
    </row>
    <row r="495" spans="1:6" x14ac:dyDescent="0.25">
      <c r="A495" t="s">
        <v>27</v>
      </c>
      <c r="B495" t="s">
        <v>1639</v>
      </c>
      <c r="C495">
        <v>17606</v>
      </c>
      <c r="D495">
        <v>6657</v>
      </c>
      <c r="F495">
        <v>6657</v>
      </c>
    </row>
    <row r="496" spans="1:6" x14ac:dyDescent="0.25">
      <c r="A496" t="s">
        <v>531</v>
      </c>
      <c r="B496" t="s">
        <v>1640</v>
      </c>
      <c r="C496">
        <v>17607</v>
      </c>
      <c r="D496">
        <v>1826</v>
      </c>
      <c r="F496">
        <v>1826</v>
      </c>
    </row>
    <row r="497" spans="1:6" x14ac:dyDescent="0.25">
      <c r="A497" t="s">
        <v>1583</v>
      </c>
      <c r="B497" t="s">
        <v>1641</v>
      </c>
      <c r="C497">
        <v>17608</v>
      </c>
      <c r="D497">
        <v>459641</v>
      </c>
      <c r="F497">
        <v>459641</v>
      </c>
    </row>
    <row r="498" spans="1:6" x14ac:dyDescent="0.25">
      <c r="B498" t="s">
        <v>2299</v>
      </c>
      <c r="D498">
        <v>1095410</v>
      </c>
      <c r="F498">
        <v>1095410</v>
      </c>
    </row>
    <row r="499" spans="1:6" x14ac:dyDescent="0.25">
      <c r="B499" t="s">
        <v>1726</v>
      </c>
    </row>
    <row r="500" spans="1:6" x14ac:dyDescent="0.25">
      <c r="A500" t="s">
        <v>2</v>
      </c>
      <c r="B500" t="s">
        <v>1648</v>
      </c>
      <c r="C500">
        <v>17701</v>
      </c>
      <c r="D500">
        <v>0</v>
      </c>
      <c r="F500">
        <v>0</v>
      </c>
    </row>
    <row r="501" spans="1:6" x14ac:dyDescent="0.25">
      <c r="A501" t="s">
        <v>15</v>
      </c>
      <c r="B501" t="s">
        <v>1649</v>
      </c>
      <c r="C501">
        <v>17702</v>
      </c>
      <c r="D501">
        <v>0</v>
      </c>
      <c r="F501">
        <v>0</v>
      </c>
    </row>
    <row r="502" spans="1:6" x14ac:dyDescent="0.25">
      <c r="A502" t="s">
        <v>16</v>
      </c>
      <c r="B502" t="s">
        <v>1637</v>
      </c>
      <c r="C502">
        <v>17703</v>
      </c>
      <c r="D502">
        <v>0</v>
      </c>
      <c r="F502">
        <v>0</v>
      </c>
    </row>
    <row r="503" spans="1:6" x14ac:dyDescent="0.25">
      <c r="A503" t="s">
        <v>25</v>
      </c>
      <c r="B503" t="s">
        <v>1638</v>
      </c>
      <c r="C503">
        <v>17704</v>
      </c>
      <c r="D503">
        <v>72201</v>
      </c>
      <c r="F503">
        <v>72201</v>
      </c>
    </row>
    <row r="504" spans="1:6" x14ac:dyDescent="0.25">
      <c r="A504" t="s">
        <v>26</v>
      </c>
      <c r="B504" t="s">
        <v>1650</v>
      </c>
      <c r="C504">
        <v>17705</v>
      </c>
      <c r="D504">
        <v>0</v>
      </c>
      <c r="F504">
        <v>0</v>
      </c>
    </row>
    <row r="505" spans="1:6" x14ac:dyDescent="0.25">
      <c r="A505" t="s">
        <v>27</v>
      </c>
      <c r="B505" t="s">
        <v>1651</v>
      </c>
      <c r="C505">
        <v>17706</v>
      </c>
      <c r="D505">
        <v>0</v>
      </c>
      <c r="F505">
        <v>0</v>
      </c>
    </row>
    <row r="506" spans="1:6" x14ac:dyDescent="0.25">
      <c r="A506" t="s">
        <v>531</v>
      </c>
      <c r="B506" t="s">
        <v>1640</v>
      </c>
      <c r="C506">
        <v>17707</v>
      </c>
      <c r="D506">
        <v>0</v>
      </c>
      <c r="F506">
        <v>0</v>
      </c>
    </row>
    <row r="507" spans="1:6" x14ac:dyDescent="0.25">
      <c r="A507" t="s">
        <v>1583</v>
      </c>
      <c r="B507" t="s">
        <v>1641</v>
      </c>
      <c r="C507">
        <v>17708</v>
      </c>
      <c r="D507">
        <v>0</v>
      </c>
      <c r="F507">
        <v>0</v>
      </c>
    </row>
    <row r="508" spans="1:6" x14ac:dyDescent="0.25">
      <c r="B508" t="s">
        <v>2300</v>
      </c>
      <c r="D508">
        <v>72201</v>
      </c>
      <c r="F508">
        <v>72201</v>
      </c>
    </row>
    <row r="509" spans="1:6" x14ac:dyDescent="0.25">
      <c r="B509" t="s">
        <v>1866</v>
      </c>
      <c r="D509">
        <v>40790059</v>
      </c>
      <c r="F509">
        <v>40790059</v>
      </c>
    </row>
    <row r="510" spans="1:6" x14ac:dyDescent="0.25">
      <c r="B510" t="s">
        <v>2301</v>
      </c>
      <c r="D510">
        <v>91779581</v>
      </c>
      <c r="E510">
        <v>5197301</v>
      </c>
      <c r="F510">
        <v>96976882</v>
      </c>
    </row>
    <row r="511" spans="1:6" x14ac:dyDescent="0.25">
      <c r="B511" t="s">
        <v>1734</v>
      </c>
    </row>
    <row r="512" spans="1:6" x14ac:dyDescent="0.25">
      <c r="B512" t="s">
        <v>1735</v>
      </c>
    </row>
    <row r="513" spans="1:6" x14ac:dyDescent="0.25">
      <c r="B513" t="s">
        <v>1736</v>
      </c>
    </row>
    <row r="514" spans="1:6" x14ac:dyDescent="0.25">
      <c r="A514" t="s">
        <v>2</v>
      </c>
      <c r="B514" t="s">
        <v>1576</v>
      </c>
      <c r="C514">
        <v>21101</v>
      </c>
      <c r="D514">
        <v>0</v>
      </c>
      <c r="E514">
        <v>0</v>
      </c>
      <c r="F514">
        <v>0</v>
      </c>
    </row>
    <row r="515" spans="1:6" x14ac:dyDescent="0.25">
      <c r="A515" t="s">
        <v>15</v>
      </c>
      <c r="B515" t="s">
        <v>1577</v>
      </c>
      <c r="C515">
        <v>21102</v>
      </c>
      <c r="D515">
        <v>0</v>
      </c>
      <c r="E515">
        <v>0</v>
      </c>
      <c r="F515">
        <v>0</v>
      </c>
    </row>
    <row r="516" spans="1:6" x14ac:dyDescent="0.25">
      <c r="A516" t="s">
        <v>16</v>
      </c>
      <c r="B516" t="s">
        <v>1578</v>
      </c>
      <c r="C516">
        <v>21103</v>
      </c>
      <c r="D516">
        <v>0</v>
      </c>
      <c r="E516">
        <v>0</v>
      </c>
      <c r="F516">
        <v>0</v>
      </c>
    </row>
    <row r="517" spans="1:6" x14ac:dyDescent="0.25">
      <c r="A517" t="s">
        <v>25</v>
      </c>
      <c r="B517" t="s">
        <v>1579</v>
      </c>
      <c r="C517">
        <v>21104</v>
      </c>
      <c r="D517">
        <v>0</v>
      </c>
      <c r="E517">
        <v>0</v>
      </c>
      <c r="F517">
        <v>0</v>
      </c>
    </row>
    <row r="518" spans="1:6" x14ac:dyDescent="0.25">
      <c r="A518" t="s">
        <v>26</v>
      </c>
      <c r="B518" t="s">
        <v>1580</v>
      </c>
      <c r="C518">
        <v>21105</v>
      </c>
      <c r="D518">
        <v>133631</v>
      </c>
      <c r="E518">
        <v>0</v>
      </c>
      <c r="F518">
        <v>133631</v>
      </c>
    </row>
    <row r="519" spans="1:6" x14ac:dyDescent="0.25">
      <c r="A519" t="s">
        <v>27</v>
      </c>
      <c r="B519" t="s">
        <v>1581</v>
      </c>
      <c r="C519">
        <v>21106</v>
      </c>
      <c r="D519">
        <v>0</v>
      </c>
      <c r="E519">
        <v>0</v>
      </c>
      <c r="F519">
        <v>0</v>
      </c>
    </row>
    <row r="520" spans="1:6" x14ac:dyDescent="0.25">
      <c r="A520" t="s">
        <v>531</v>
      </c>
      <c r="B520" t="s">
        <v>1582</v>
      </c>
      <c r="C520">
        <v>21107</v>
      </c>
      <c r="D520">
        <v>0</v>
      </c>
      <c r="E520">
        <v>0</v>
      </c>
      <c r="F520">
        <v>0</v>
      </c>
    </row>
    <row r="521" spans="1:6" x14ac:dyDescent="0.25">
      <c r="A521" t="s">
        <v>1583</v>
      </c>
      <c r="B521" t="s">
        <v>1584</v>
      </c>
      <c r="C521">
        <v>21108</v>
      </c>
      <c r="D521">
        <v>1354</v>
      </c>
      <c r="E521">
        <v>0</v>
      </c>
      <c r="F521">
        <v>1354</v>
      </c>
    </row>
    <row r="522" spans="1:6" x14ac:dyDescent="0.25">
      <c r="A522" t="s">
        <v>1585</v>
      </c>
      <c r="B522" t="s">
        <v>1586</v>
      </c>
      <c r="C522">
        <v>21109</v>
      </c>
      <c r="D522">
        <v>64803</v>
      </c>
      <c r="E522">
        <v>0</v>
      </c>
      <c r="F522">
        <v>64803</v>
      </c>
    </row>
    <row r="523" spans="1:6" x14ac:dyDescent="0.25">
      <c r="A523" t="s">
        <v>1587</v>
      </c>
      <c r="B523" t="s">
        <v>1588</v>
      </c>
      <c r="C523">
        <v>21110</v>
      </c>
      <c r="D523">
        <v>0</v>
      </c>
      <c r="E523">
        <v>0</v>
      </c>
      <c r="F523">
        <v>0</v>
      </c>
    </row>
    <row r="524" spans="1:6" x14ac:dyDescent="0.25">
      <c r="A524" t="s">
        <v>1589</v>
      </c>
      <c r="B524" t="s">
        <v>1590</v>
      </c>
      <c r="C524">
        <v>21111</v>
      </c>
      <c r="D524">
        <v>3672216</v>
      </c>
      <c r="E524">
        <v>0</v>
      </c>
      <c r="F524">
        <v>3672216</v>
      </c>
    </row>
    <row r="525" spans="1:6" x14ac:dyDescent="0.25">
      <c r="A525" t="s">
        <v>1591</v>
      </c>
      <c r="B525" t="s">
        <v>1592</v>
      </c>
      <c r="C525">
        <v>21112</v>
      </c>
      <c r="D525">
        <v>10064847</v>
      </c>
      <c r="E525">
        <v>0</v>
      </c>
      <c r="F525">
        <v>10064847</v>
      </c>
    </row>
    <row r="526" spans="1:6" x14ac:dyDescent="0.25">
      <c r="A526" t="s">
        <v>1593</v>
      </c>
      <c r="B526" t="s">
        <v>1594</v>
      </c>
      <c r="C526">
        <v>21113</v>
      </c>
      <c r="D526">
        <v>1584</v>
      </c>
      <c r="E526">
        <v>0</v>
      </c>
      <c r="F526">
        <v>1584</v>
      </c>
    </row>
    <row r="527" spans="1:6" x14ac:dyDescent="0.25">
      <c r="A527" t="s">
        <v>1595</v>
      </c>
      <c r="B527" t="s">
        <v>1596</v>
      </c>
      <c r="C527">
        <v>21114</v>
      </c>
      <c r="D527">
        <v>50691</v>
      </c>
      <c r="E527">
        <v>0</v>
      </c>
      <c r="F527">
        <v>50691</v>
      </c>
    </row>
    <row r="528" spans="1:6" x14ac:dyDescent="0.25">
      <c r="A528" t="s">
        <v>1597</v>
      </c>
      <c r="B528" t="s">
        <v>1598</v>
      </c>
      <c r="C528">
        <v>21115</v>
      </c>
      <c r="D528">
        <v>107066</v>
      </c>
      <c r="E528">
        <v>0</v>
      </c>
      <c r="F528">
        <v>107066</v>
      </c>
    </row>
    <row r="529" spans="1:6" x14ac:dyDescent="0.25">
      <c r="A529" t="s">
        <v>1599</v>
      </c>
      <c r="B529" t="s">
        <v>1600</v>
      </c>
      <c r="C529">
        <v>21116</v>
      </c>
      <c r="D529">
        <v>0</v>
      </c>
      <c r="E529">
        <v>0</v>
      </c>
      <c r="F529">
        <v>0</v>
      </c>
    </row>
    <row r="530" spans="1:6" x14ac:dyDescent="0.25">
      <c r="A530" t="s">
        <v>1601</v>
      </c>
      <c r="B530" t="s">
        <v>1602</v>
      </c>
      <c r="C530">
        <v>21117</v>
      </c>
      <c r="D530">
        <v>0</v>
      </c>
      <c r="E530">
        <v>0</v>
      </c>
      <c r="F530">
        <v>0</v>
      </c>
    </row>
    <row r="531" spans="1:6" x14ac:dyDescent="0.25">
      <c r="A531" t="s">
        <v>1603</v>
      </c>
      <c r="B531" t="s">
        <v>1604</v>
      </c>
      <c r="C531">
        <v>21118</v>
      </c>
      <c r="D531">
        <v>770</v>
      </c>
      <c r="E531">
        <v>0</v>
      </c>
      <c r="F531">
        <v>770</v>
      </c>
    </row>
    <row r="532" spans="1:6" x14ac:dyDescent="0.25">
      <c r="A532" t="s">
        <v>1605</v>
      </c>
      <c r="B532" t="s">
        <v>1606</v>
      </c>
      <c r="C532">
        <v>21119</v>
      </c>
      <c r="D532">
        <v>110264</v>
      </c>
      <c r="E532">
        <v>0</v>
      </c>
      <c r="F532">
        <v>110264</v>
      </c>
    </row>
    <row r="533" spans="1:6" x14ac:dyDescent="0.25">
      <c r="A533" t="s">
        <v>1607</v>
      </c>
      <c r="B533" t="s">
        <v>1608</v>
      </c>
      <c r="C533">
        <v>21120</v>
      </c>
      <c r="D533">
        <v>0</v>
      </c>
      <c r="E533">
        <v>0</v>
      </c>
      <c r="F533">
        <v>0</v>
      </c>
    </row>
    <row r="534" spans="1:6" x14ac:dyDescent="0.25">
      <c r="B534" t="s">
        <v>1737</v>
      </c>
      <c r="D534">
        <v>14207226</v>
      </c>
      <c r="E534">
        <v>0</v>
      </c>
      <c r="F534">
        <v>14207226</v>
      </c>
    </row>
    <row r="535" spans="1:6" x14ac:dyDescent="0.25">
      <c r="B535" t="s">
        <v>1738</v>
      </c>
    </row>
    <row r="536" spans="1:6" x14ac:dyDescent="0.25">
      <c r="A536" t="s">
        <v>2</v>
      </c>
      <c r="B536" t="s">
        <v>1611</v>
      </c>
      <c r="C536">
        <v>21201</v>
      </c>
      <c r="D536">
        <v>0</v>
      </c>
      <c r="E536">
        <v>0</v>
      </c>
      <c r="F536">
        <v>0</v>
      </c>
    </row>
    <row r="537" spans="1:6" x14ac:dyDescent="0.25">
      <c r="A537" t="s">
        <v>15</v>
      </c>
      <c r="B537" t="s">
        <v>1612</v>
      </c>
      <c r="C537">
        <v>21202</v>
      </c>
      <c r="D537">
        <v>0</v>
      </c>
      <c r="E537">
        <v>0</v>
      </c>
      <c r="F537">
        <v>0</v>
      </c>
    </row>
    <row r="538" spans="1:6" x14ac:dyDescent="0.25">
      <c r="A538" t="s">
        <v>16</v>
      </c>
      <c r="B538" t="s">
        <v>1613</v>
      </c>
      <c r="C538">
        <v>21203</v>
      </c>
      <c r="D538">
        <v>0</v>
      </c>
      <c r="E538">
        <v>0</v>
      </c>
      <c r="F538">
        <v>0</v>
      </c>
    </row>
    <row r="539" spans="1:6" x14ac:dyDescent="0.25">
      <c r="A539" t="s">
        <v>25</v>
      </c>
      <c r="B539" t="s">
        <v>1614</v>
      </c>
      <c r="C539">
        <v>21204</v>
      </c>
      <c r="D539">
        <v>27369</v>
      </c>
      <c r="E539">
        <v>0</v>
      </c>
      <c r="F539">
        <v>27369</v>
      </c>
    </row>
    <row r="540" spans="1:6" x14ac:dyDescent="0.25">
      <c r="A540" t="s">
        <v>26</v>
      </c>
      <c r="B540" t="s">
        <v>1615</v>
      </c>
      <c r="C540">
        <v>21205</v>
      </c>
      <c r="D540">
        <v>0</v>
      </c>
      <c r="E540">
        <v>0</v>
      </c>
      <c r="F540">
        <v>0</v>
      </c>
    </row>
    <row r="541" spans="1:6" x14ac:dyDescent="0.25">
      <c r="A541" t="s">
        <v>27</v>
      </c>
      <c r="B541" t="s">
        <v>1616</v>
      </c>
      <c r="C541">
        <v>21206</v>
      </c>
      <c r="D541">
        <v>0</v>
      </c>
      <c r="E541">
        <v>0</v>
      </c>
      <c r="F541">
        <v>0</v>
      </c>
    </row>
    <row r="542" spans="1:6" x14ac:dyDescent="0.25">
      <c r="A542" t="s">
        <v>531</v>
      </c>
      <c r="B542" t="s">
        <v>1617</v>
      </c>
      <c r="C542">
        <v>21207</v>
      </c>
      <c r="D542">
        <v>0</v>
      </c>
      <c r="E542">
        <v>0</v>
      </c>
      <c r="F542">
        <v>0</v>
      </c>
    </row>
    <row r="543" spans="1:6" x14ac:dyDescent="0.25">
      <c r="A543" t="s">
        <v>1583</v>
      </c>
      <c r="B543" t="s">
        <v>1618</v>
      </c>
      <c r="C543">
        <v>21208</v>
      </c>
      <c r="D543">
        <v>0</v>
      </c>
      <c r="E543">
        <v>0</v>
      </c>
      <c r="F543">
        <v>0</v>
      </c>
    </row>
    <row r="544" spans="1:6" x14ac:dyDescent="0.25">
      <c r="A544" t="s">
        <v>1585</v>
      </c>
      <c r="B544" t="s">
        <v>1619</v>
      </c>
      <c r="C544">
        <v>21209</v>
      </c>
      <c r="D544">
        <v>0</v>
      </c>
      <c r="E544">
        <v>0</v>
      </c>
      <c r="F544">
        <v>0</v>
      </c>
    </row>
    <row r="545" spans="1:6" x14ac:dyDescent="0.25">
      <c r="A545" t="s">
        <v>1587</v>
      </c>
      <c r="B545" t="s">
        <v>1620</v>
      </c>
      <c r="C545">
        <v>21210</v>
      </c>
      <c r="D545">
        <v>0</v>
      </c>
      <c r="E545">
        <v>0</v>
      </c>
      <c r="F545">
        <v>0</v>
      </c>
    </row>
    <row r="546" spans="1:6" x14ac:dyDescent="0.25">
      <c r="A546" t="s">
        <v>1589</v>
      </c>
      <c r="B546" t="s">
        <v>1621</v>
      </c>
      <c r="C546">
        <v>21211</v>
      </c>
      <c r="D546">
        <v>0</v>
      </c>
      <c r="E546">
        <v>0</v>
      </c>
      <c r="F546">
        <v>0</v>
      </c>
    </row>
    <row r="547" spans="1:6" x14ac:dyDescent="0.25">
      <c r="A547" t="s">
        <v>1591</v>
      </c>
      <c r="B547" t="s">
        <v>1622</v>
      </c>
      <c r="C547">
        <v>21212</v>
      </c>
      <c r="D547">
        <v>112</v>
      </c>
      <c r="E547">
        <v>0</v>
      </c>
      <c r="F547">
        <v>112</v>
      </c>
    </row>
    <row r="548" spans="1:6" x14ac:dyDescent="0.25">
      <c r="A548" t="s">
        <v>1593</v>
      </c>
      <c r="B548" t="s">
        <v>1623</v>
      </c>
      <c r="C548">
        <v>21213</v>
      </c>
      <c r="D548">
        <v>0</v>
      </c>
      <c r="E548">
        <v>0</v>
      </c>
      <c r="F548">
        <v>0</v>
      </c>
    </row>
    <row r="549" spans="1:6" x14ac:dyDescent="0.25">
      <c r="A549" t="s">
        <v>1595</v>
      </c>
      <c r="B549" t="s">
        <v>1624</v>
      </c>
      <c r="C549">
        <v>21214</v>
      </c>
      <c r="D549">
        <v>0</v>
      </c>
      <c r="E549">
        <v>0</v>
      </c>
      <c r="F549">
        <v>0</v>
      </c>
    </row>
    <row r="550" spans="1:6" x14ac:dyDescent="0.25">
      <c r="A550" t="s">
        <v>1597</v>
      </c>
      <c r="B550" t="s">
        <v>1625</v>
      </c>
      <c r="C550">
        <v>21215</v>
      </c>
      <c r="D550">
        <v>27070</v>
      </c>
      <c r="E550">
        <v>0</v>
      </c>
      <c r="F550">
        <v>27070</v>
      </c>
    </row>
    <row r="551" spans="1:6" x14ac:dyDescent="0.25">
      <c r="A551" t="s">
        <v>1599</v>
      </c>
      <c r="B551" t="s">
        <v>1626</v>
      </c>
      <c r="C551">
        <v>21216</v>
      </c>
      <c r="D551">
        <v>0</v>
      </c>
      <c r="E551">
        <v>0</v>
      </c>
      <c r="F551">
        <v>0</v>
      </c>
    </row>
    <row r="552" spans="1:6" x14ac:dyDescent="0.25">
      <c r="A552" t="s">
        <v>1601</v>
      </c>
      <c r="B552" t="s">
        <v>1627</v>
      </c>
      <c r="C552">
        <v>21217</v>
      </c>
      <c r="D552">
        <v>0</v>
      </c>
      <c r="E552">
        <v>0</v>
      </c>
      <c r="F552">
        <v>0</v>
      </c>
    </row>
    <row r="553" spans="1:6" x14ac:dyDescent="0.25">
      <c r="A553" t="s">
        <v>1603</v>
      </c>
      <c r="B553" t="s">
        <v>1596</v>
      </c>
      <c r="C553">
        <v>21218</v>
      </c>
      <c r="D553">
        <v>0</v>
      </c>
      <c r="E553">
        <v>0</v>
      </c>
      <c r="F553">
        <v>0</v>
      </c>
    </row>
    <row r="554" spans="1:6" x14ac:dyDescent="0.25">
      <c r="A554" t="s">
        <v>1605</v>
      </c>
      <c r="B554" t="s">
        <v>1598</v>
      </c>
      <c r="C554">
        <v>21219</v>
      </c>
      <c r="D554">
        <v>0</v>
      </c>
      <c r="E554">
        <v>0</v>
      </c>
      <c r="F554">
        <v>0</v>
      </c>
    </row>
    <row r="555" spans="1:6" x14ac:dyDescent="0.25">
      <c r="A555" t="s">
        <v>1607</v>
      </c>
      <c r="B555" t="s">
        <v>1602</v>
      </c>
      <c r="C555">
        <v>21220</v>
      </c>
      <c r="D555">
        <v>0</v>
      </c>
      <c r="E555">
        <v>0</v>
      </c>
      <c r="F555">
        <v>0</v>
      </c>
    </row>
    <row r="556" spans="1:6" x14ac:dyDescent="0.25">
      <c r="B556" t="s">
        <v>1739</v>
      </c>
      <c r="D556">
        <v>54551</v>
      </c>
      <c r="E556">
        <v>0</v>
      </c>
      <c r="F556">
        <v>54551</v>
      </c>
    </row>
    <row r="557" spans="1:6" x14ac:dyDescent="0.25">
      <c r="B557" t="s">
        <v>1740</v>
      </c>
    </row>
    <row r="558" spans="1:6" x14ac:dyDescent="0.25">
      <c r="A558" t="s">
        <v>2</v>
      </c>
      <c r="B558" t="s">
        <v>1627</v>
      </c>
      <c r="C558">
        <v>21301</v>
      </c>
      <c r="D558">
        <v>0</v>
      </c>
      <c r="E558">
        <v>0</v>
      </c>
      <c r="F558">
        <v>0</v>
      </c>
    </row>
    <row r="559" spans="1:6" x14ac:dyDescent="0.25">
      <c r="A559" t="s">
        <v>15</v>
      </c>
      <c r="B559" t="s">
        <v>1625</v>
      </c>
      <c r="C559">
        <v>21302</v>
      </c>
      <c r="D559">
        <v>0</v>
      </c>
      <c r="E559">
        <v>0</v>
      </c>
      <c r="F559">
        <v>0</v>
      </c>
    </row>
    <row r="560" spans="1:6" x14ac:dyDescent="0.25">
      <c r="A560" t="s">
        <v>16</v>
      </c>
      <c r="B560" t="s">
        <v>1626</v>
      </c>
      <c r="C560">
        <v>21303</v>
      </c>
      <c r="D560">
        <v>0</v>
      </c>
      <c r="E560">
        <v>0</v>
      </c>
      <c r="F560">
        <v>0</v>
      </c>
    </row>
    <row r="561" spans="1:6" x14ac:dyDescent="0.25">
      <c r="B561" t="s">
        <v>1741</v>
      </c>
      <c r="D561">
        <v>0</v>
      </c>
      <c r="E561">
        <v>0</v>
      </c>
      <c r="F561">
        <v>0</v>
      </c>
    </row>
    <row r="562" spans="1:6" x14ac:dyDescent="0.25">
      <c r="B562" t="s">
        <v>2302</v>
      </c>
    </row>
    <row r="563" spans="1:6" x14ac:dyDescent="0.25">
      <c r="A563" t="s">
        <v>2</v>
      </c>
      <c r="B563" t="s">
        <v>1576</v>
      </c>
      <c r="C563">
        <v>21401</v>
      </c>
      <c r="D563">
        <v>0</v>
      </c>
      <c r="F563">
        <v>0</v>
      </c>
    </row>
    <row r="564" spans="1:6" x14ac:dyDescent="0.25">
      <c r="A564" t="s">
        <v>15</v>
      </c>
      <c r="B564" t="s">
        <v>1577</v>
      </c>
      <c r="C564">
        <v>21402</v>
      </c>
      <c r="D564">
        <v>0</v>
      </c>
      <c r="F564">
        <v>0</v>
      </c>
    </row>
    <row r="565" spans="1:6" x14ac:dyDescent="0.25">
      <c r="A565" t="s">
        <v>16</v>
      </c>
      <c r="B565" t="s">
        <v>1578</v>
      </c>
      <c r="C565">
        <v>21403</v>
      </c>
      <c r="D565">
        <v>0</v>
      </c>
      <c r="F565">
        <v>0</v>
      </c>
    </row>
    <row r="566" spans="1:6" x14ac:dyDescent="0.25">
      <c r="A566" t="s">
        <v>25</v>
      </c>
      <c r="B566" t="s">
        <v>1579</v>
      </c>
      <c r="C566">
        <v>21404</v>
      </c>
      <c r="D566">
        <v>0</v>
      </c>
      <c r="F566">
        <v>0</v>
      </c>
    </row>
    <row r="567" spans="1:6" x14ac:dyDescent="0.25">
      <c r="A567" t="s">
        <v>26</v>
      </c>
      <c r="B567" t="s">
        <v>1580</v>
      </c>
      <c r="C567">
        <v>21405</v>
      </c>
      <c r="D567">
        <v>0</v>
      </c>
      <c r="F567">
        <v>0</v>
      </c>
    </row>
    <row r="568" spans="1:6" x14ac:dyDescent="0.25">
      <c r="A568" t="s">
        <v>27</v>
      </c>
      <c r="B568" t="s">
        <v>1581</v>
      </c>
      <c r="C568">
        <v>21406</v>
      </c>
      <c r="D568">
        <v>0</v>
      </c>
      <c r="F568">
        <v>0</v>
      </c>
    </row>
    <row r="569" spans="1:6" x14ac:dyDescent="0.25">
      <c r="A569" t="s">
        <v>531</v>
      </c>
      <c r="B569" t="s">
        <v>1582</v>
      </c>
      <c r="C569">
        <v>21407</v>
      </c>
      <c r="D569">
        <v>0</v>
      </c>
      <c r="F569">
        <v>0</v>
      </c>
    </row>
    <row r="570" spans="1:6" x14ac:dyDescent="0.25">
      <c r="A570" t="s">
        <v>1583</v>
      </c>
      <c r="B570" t="s">
        <v>1584</v>
      </c>
      <c r="C570">
        <v>21408</v>
      </c>
      <c r="D570">
        <v>0</v>
      </c>
      <c r="F570">
        <v>0</v>
      </c>
    </row>
    <row r="571" spans="1:6" x14ac:dyDescent="0.25">
      <c r="A571" t="s">
        <v>1585</v>
      </c>
      <c r="B571" t="s">
        <v>1586</v>
      </c>
      <c r="C571">
        <v>21409</v>
      </c>
      <c r="D571">
        <v>0</v>
      </c>
      <c r="F571">
        <v>0</v>
      </c>
    </row>
    <row r="572" spans="1:6" x14ac:dyDescent="0.25">
      <c r="A572" t="s">
        <v>1587</v>
      </c>
      <c r="B572" t="s">
        <v>1588</v>
      </c>
      <c r="C572">
        <v>21410</v>
      </c>
      <c r="D572">
        <v>0</v>
      </c>
      <c r="F572">
        <v>0</v>
      </c>
    </row>
    <row r="573" spans="1:6" x14ac:dyDescent="0.25">
      <c r="A573" t="s">
        <v>1589</v>
      </c>
      <c r="B573" t="s">
        <v>1590</v>
      </c>
      <c r="C573">
        <v>21411</v>
      </c>
      <c r="D573">
        <v>0</v>
      </c>
      <c r="F573">
        <v>0</v>
      </c>
    </row>
    <row r="574" spans="1:6" x14ac:dyDescent="0.25">
      <c r="A574" t="s">
        <v>1591</v>
      </c>
      <c r="B574" t="s">
        <v>1592</v>
      </c>
      <c r="C574">
        <v>21412</v>
      </c>
      <c r="D574">
        <v>0</v>
      </c>
      <c r="F574">
        <v>0</v>
      </c>
    </row>
    <row r="575" spans="1:6" x14ac:dyDescent="0.25">
      <c r="A575" t="s">
        <v>1593</v>
      </c>
      <c r="B575" t="s">
        <v>1594</v>
      </c>
      <c r="C575">
        <v>21413</v>
      </c>
      <c r="D575">
        <v>0</v>
      </c>
      <c r="F575">
        <v>0</v>
      </c>
    </row>
    <row r="576" spans="1:6" x14ac:dyDescent="0.25">
      <c r="A576" t="s">
        <v>1595</v>
      </c>
      <c r="B576" t="s">
        <v>1596</v>
      </c>
      <c r="C576">
        <v>21414</v>
      </c>
      <c r="D576">
        <v>0</v>
      </c>
      <c r="F576">
        <v>0</v>
      </c>
    </row>
    <row r="577" spans="1:6" x14ac:dyDescent="0.25">
      <c r="A577" t="s">
        <v>1597</v>
      </c>
      <c r="B577" t="s">
        <v>1598</v>
      </c>
      <c r="C577">
        <v>21415</v>
      </c>
      <c r="D577">
        <v>0</v>
      </c>
      <c r="F577">
        <v>0</v>
      </c>
    </row>
    <row r="578" spans="1:6" x14ac:dyDescent="0.25">
      <c r="A578" t="s">
        <v>1599</v>
      </c>
      <c r="B578" t="s">
        <v>1600</v>
      </c>
      <c r="C578">
        <v>21416</v>
      </c>
      <c r="D578">
        <v>0</v>
      </c>
      <c r="F578">
        <v>0</v>
      </c>
    </row>
    <row r="579" spans="1:6" x14ac:dyDescent="0.25">
      <c r="A579" t="s">
        <v>1601</v>
      </c>
      <c r="B579" t="s">
        <v>1602</v>
      </c>
      <c r="C579">
        <v>21417</v>
      </c>
      <c r="D579">
        <v>0</v>
      </c>
      <c r="F579">
        <v>0</v>
      </c>
    </row>
    <row r="580" spans="1:6" x14ac:dyDescent="0.25">
      <c r="A580" t="s">
        <v>1603</v>
      </c>
      <c r="B580" t="s">
        <v>1604</v>
      </c>
      <c r="C580">
        <v>21418</v>
      </c>
      <c r="D580">
        <v>0</v>
      </c>
      <c r="F580">
        <v>0</v>
      </c>
    </row>
    <row r="581" spans="1:6" x14ac:dyDescent="0.25">
      <c r="A581" t="s">
        <v>1605</v>
      </c>
      <c r="B581" t="s">
        <v>1606</v>
      </c>
      <c r="C581">
        <v>21419</v>
      </c>
      <c r="D581">
        <v>0</v>
      </c>
      <c r="F581">
        <v>0</v>
      </c>
    </row>
    <row r="582" spans="1:6" x14ac:dyDescent="0.25">
      <c r="A582" t="s">
        <v>1607</v>
      </c>
      <c r="B582" t="s">
        <v>1608</v>
      </c>
      <c r="C582">
        <v>21420</v>
      </c>
      <c r="D582">
        <v>0</v>
      </c>
      <c r="F582">
        <v>0</v>
      </c>
    </row>
    <row r="583" spans="1:6" x14ac:dyDescent="0.25">
      <c r="B583" t="s">
        <v>2303</v>
      </c>
      <c r="D583">
        <v>0</v>
      </c>
      <c r="F583">
        <v>0</v>
      </c>
    </row>
    <row r="584" spans="1:6" x14ac:dyDescent="0.25">
      <c r="B584" t="s">
        <v>2304</v>
      </c>
    </row>
    <row r="585" spans="1:6" x14ac:dyDescent="0.25">
      <c r="A585" t="s">
        <v>2</v>
      </c>
      <c r="B585" t="s">
        <v>1611</v>
      </c>
      <c r="C585">
        <v>21501</v>
      </c>
      <c r="D585">
        <v>0</v>
      </c>
      <c r="F585">
        <v>0</v>
      </c>
    </row>
    <row r="586" spans="1:6" x14ac:dyDescent="0.25">
      <c r="A586" t="s">
        <v>15</v>
      </c>
      <c r="B586" t="s">
        <v>1612</v>
      </c>
      <c r="C586">
        <v>21502</v>
      </c>
      <c r="D586">
        <v>0</v>
      </c>
      <c r="F586">
        <v>0</v>
      </c>
    </row>
    <row r="587" spans="1:6" x14ac:dyDescent="0.25">
      <c r="A587" t="s">
        <v>16</v>
      </c>
      <c r="B587" t="s">
        <v>1613</v>
      </c>
      <c r="C587">
        <v>21503</v>
      </c>
      <c r="D587">
        <v>0</v>
      </c>
      <c r="F587">
        <v>0</v>
      </c>
    </row>
    <row r="588" spans="1:6" x14ac:dyDescent="0.25">
      <c r="A588" t="s">
        <v>25</v>
      </c>
      <c r="B588" t="s">
        <v>1614</v>
      </c>
      <c r="C588">
        <v>21504</v>
      </c>
      <c r="D588">
        <v>0</v>
      </c>
      <c r="F588">
        <v>0</v>
      </c>
    </row>
    <row r="589" spans="1:6" x14ac:dyDescent="0.25">
      <c r="A589" t="s">
        <v>26</v>
      </c>
      <c r="B589" t="s">
        <v>1615</v>
      </c>
      <c r="C589">
        <v>21505</v>
      </c>
      <c r="D589">
        <v>0</v>
      </c>
      <c r="F589">
        <v>0</v>
      </c>
    </row>
    <row r="590" spans="1:6" x14ac:dyDescent="0.25">
      <c r="A590" t="s">
        <v>27</v>
      </c>
      <c r="B590" t="s">
        <v>1616</v>
      </c>
      <c r="C590">
        <v>21506</v>
      </c>
      <c r="D590">
        <v>0</v>
      </c>
      <c r="F590">
        <v>0</v>
      </c>
    </row>
    <row r="591" spans="1:6" x14ac:dyDescent="0.25">
      <c r="A591" t="s">
        <v>531</v>
      </c>
      <c r="B591" t="s">
        <v>1617</v>
      </c>
      <c r="C591">
        <v>21507</v>
      </c>
      <c r="D591">
        <v>0</v>
      </c>
      <c r="F591">
        <v>0</v>
      </c>
    </row>
    <row r="592" spans="1:6" x14ac:dyDescent="0.25">
      <c r="A592" t="s">
        <v>1583</v>
      </c>
      <c r="B592" t="s">
        <v>1618</v>
      </c>
      <c r="C592">
        <v>21508</v>
      </c>
      <c r="D592">
        <v>0</v>
      </c>
      <c r="F592">
        <v>0</v>
      </c>
    </row>
    <row r="593" spans="1:6" x14ac:dyDescent="0.25">
      <c r="A593" t="s">
        <v>1585</v>
      </c>
      <c r="B593" t="s">
        <v>1619</v>
      </c>
      <c r="C593">
        <v>21509</v>
      </c>
      <c r="D593">
        <v>0</v>
      </c>
      <c r="F593">
        <v>0</v>
      </c>
    </row>
    <row r="594" spans="1:6" x14ac:dyDescent="0.25">
      <c r="A594" t="s">
        <v>1587</v>
      </c>
      <c r="B594" t="s">
        <v>1620</v>
      </c>
      <c r="C594">
        <v>21510</v>
      </c>
      <c r="D594">
        <v>0</v>
      </c>
      <c r="F594">
        <v>0</v>
      </c>
    </row>
    <row r="595" spans="1:6" x14ac:dyDescent="0.25">
      <c r="A595" t="s">
        <v>1589</v>
      </c>
      <c r="B595" t="s">
        <v>1621</v>
      </c>
      <c r="C595">
        <v>21511</v>
      </c>
      <c r="D595">
        <v>0</v>
      </c>
      <c r="F595">
        <v>0</v>
      </c>
    </row>
    <row r="596" spans="1:6" x14ac:dyDescent="0.25">
      <c r="A596" t="s">
        <v>1591</v>
      </c>
      <c r="B596" t="s">
        <v>1622</v>
      </c>
      <c r="C596">
        <v>21512</v>
      </c>
      <c r="D596">
        <v>0</v>
      </c>
      <c r="F596">
        <v>0</v>
      </c>
    </row>
    <row r="597" spans="1:6" x14ac:dyDescent="0.25">
      <c r="A597" t="s">
        <v>1593</v>
      </c>
      <c r="B597" t="s">
        <v>1623</v>
      </c>
      <c r="C597">
        <v>21513</v>
      </c>
      <c r="D597">
        <v>0</v>
      </c>
      <c r="F597">
        <v>0</v>
      </c>
    </row>
    <row r="598" spans="1:6" x14ac:dyDescent="0.25">
      <c r="A598" t="s">
        <v>1595</v>
      </c>
      <c r="B598" t="s">
        <v>1624</v>
      </c>
      <c r="C598">
        <v>21514</v>
      </c>
      <c r="D598">
        <v>0</v>
      </c>
      <c r="F598">
        <v>0</v>
      </c>
    </row>
    <row r="599" spans="1:6" x14ac:dyDescent="0.25">
      <c r="A599" t="s">
        <v>1597</v>
      </c>
      <c r="B599" t="s">
        <v>1625</v>
      </c>
      <c r="C599">
        <v>21515</v>
      </c>
      <c r="D599">
        <v>0</v>
      </c>
      <c r="F599">
        <v>0</v>
      </c>
    </row>
    <row r="600" spans="1:6" x14ac:dyDescent="0.25">
      <c r="A600" t="s">
        <v>1599</v>
      </c>
      <c r="B600" t="s">
        <v>1626</v>
      </c>
      <c r="C600">
        <v>21516</v>
      </c>
      <c r="D600">
        <v>0</v>
      </c>
      <c r="F600">
        <v>0</v>
      </c>
    </row>
    <row r="601" spans="1:6" x14ac:dyDescent="0.25">
      <c r="A601" t="s">
        <v>1601</v>
      </c>
      <c r="B601" t="s">
        <v>1627</v>
      </c>
      <c r="C601">
        <v>21517</v>
      </c>
      <c r="D601">
        <v>0</v>
      </c>
      <c r="F601">
        <v>0</v>
      </c>
    </row>
    <row r="602" spans="1:6" x14ac:dyDescent="0.25">
      <c r="A602" t="s">
        <v>1603</v>
      </c>
      <c r="B602" t="s">
        <v>1596</v>
      </c>
      <c r="C602">
        <v>21518</v>
      </c>
      <c r="D602">
        <v>0</v>
      </c>
      <c r="F602">
        <v>0</v>
      </c>
    </row>
    <row r="603" spans="1:6" x14ac:dyDescent="0.25">
      <c r="A603" t="s">
        <v>1605</v>
      </c>
      <c r="B603" t="s">
        <v>1598</v>
      </c>
      <c r="C603">
        <v>21519</v>
      </c>
      <c r="D603">
        <v>0</v>
      </c>
      <c r="F603">
        <v>0</v>
      </c>
    </row>
    <row r="604" spans="1:6" x14ac:dyDescent="0.25">
      <c r="A604" t="s">
        <v>1607</v>
      </c>
      <c r="B604" t="s">
        <v>1602</v>
      </c>
      <c r="C604">
        <v>21520</v>
      </c>
      <c r="D604">
        <v>0</v>
      </c>
      <c r="F604">
        <v>0</v>
      </c>
    </row>
    <row r="605" spans="1:6" x14ac:dyDescent="0.25">
      <c r="B605" t="s">
        <v>2305</v>
      </c>
      <c r="D605">
        <v>0</v>
      </c>
      <c r="F605">
        <v>0</v>
      </c>
    </row>
    <row r="606" spans="1:6" x14ac:dyDescent="0.25">
      <c r="B606" t="s">
        <v>2306</v>
      </c>
    </row>
    <row r="607" spans="1:6" x14ac:dyDescent="0.25">
      <c r="A607" t="s">
        <v>2</v>
      </c>
      <c r="B607" t="s">
        <v>1627</v>
      </c>
      <c r="C607">
        <v>21601</v>
      </c>
      <c r="D607">
        <v>0</v>
      </c>
      <c r="F607">
        <v>0</v>
      </c>
    </row>
    <row r="608" spans="1:6" x14ac:dyDescent="0.25">
      <c r="A608" t="s">
        <v>15</v>
      </c>
      <c r="B608" t="s">
        <v>1625</v>
      </c>
      <c r="C608">
        <v>21602</v>
      </c>
      <c r="D608">
        <v>0</v>
      </c>
      <c r="F608">
        <v>0</v>
      </c>
    </row>
    <row r="609" spans="1:6" x14ac:dyDescent="0.25">
      <c r="A609" t="s">
        <v>16</v>
      </c>
      <c r="B609" t="s">
        <v>1626</v>
      </c>
      <c r="C609">
        <v>21603</v>
      </c>
      <c r="D609">
        <v>0</v>
      </c>
      <c r="F609">
        <v>0</v>
      </c>
    </row>
    <row r="610" spans="1:6" x14ac:dyDescent="0.25">
      <c r="B610" t="s">
        <v>2307</v>
      </c>
      <c r="D610">
        <v>0</v>
      </c>
      <c r="F610">
        <v>0</v>
      </c>
    </row>
    <row r="611" spans="1:6" x14ac:dyDescent="0.25">
      <c r="B611" t="s">
        <v>1653</v>
      </c>
      <c r="D611">
        <v>14261777</v>
      </c>
      <c r="E611">
        <v>0</v>
      </c>
      <c r="F611">
        <v>14261777</v>
      </c>
    </row>
    <row r="612" spans="1:6" x14ac:dyDescent="0.25">
      <c r="B612" t="s">
        <v>1742</v>
      </c>
    </row>
    <row r="613" spans="1:6" x14ac:dyDescent="0.25">
      <c r="B613" t="s">
        <v>1743</v>
      </c>
    </row>
    <row r="614" spans="1:6" x14ac:dyDescent="0.25">
      <c r="A614" t="s">
        <v>2</v>
      </c>
      <c r="B614" t="s">
        <v>1634</v>
      </c>
      <c r="C614">
        <v>22101</v>
      </c>
      <c r="D614">
        <v>0</v>
      </c>
      <c r="F614">
        <v>0</v>
      </c>
    </row>
    <row r="615" spans="1:6" x14ac:dyDescent="0.25">
      <c r="A615" t="s">
        <v>15</v>
      </c>
      <c r="B615" t="s">
        <v>1635</v>
      </c>
      <c r="C615">
        <v>22102</v>
      </c>
      <c r="D615">
        <v>0</v>
      </c>
      <c r="F615">
        <v>0</v>
      </c>
    </row>
    <row r="616" spans="1:6" x14ac:dyDescent="0.25">
      <c r="A616" t="s">
        <v>16</v>
      </c>
      <c r="B616" t="s">
        <v>1636</v>
      </c>
      <c r="C616">
        <v>22103</v>
      </c>
      <c r="D616">
        <v>0</v>
      </c>
      <c r="F616">
        <v>0</v>
      </c>
    </row>
    <row r="617" spans="1:6" x14ac:dyDescent="0.25">
      <c r="A617" t="s">
        <v>25</v>
      </c>
      <c r="B617" t="s">
        <v>1637</v>
      </c>
      <c r="C617">
        <v>22104</v>
      </c>
      <c r="D617">
        <v>0</v>
      </c>
      <c r="F617">
        <v>0</v>
      </c>
    </row>
    <row r="618" spans="1:6" x14ac:dyDescent="0.25">
      <c r="A618" t="s">
        <v>26</v>
      </c>
      <c r="B618" t="s">
        <v>1638</v>
      </c>
      <c r="C618">
        <v>22105</v>
      </c>
      <c r="D618">
        <v>0</v>
      </c>
      <c r="F618">
        <v>0</v>
      </c>
    </row>
    <row r="619" spans="1:6" x14ac:dyDescent="0.25">
      <c r="A619" t="s">
        <v>27</v>
      </c>
      <c r="B619" t="s">
        <v>1639</v>
      </c>
      <c r="C619">
        <v>22106</v>
      </c>
      <c r="D619">
        <v>0</v>
      </c>
      <c r="F619">
        <v>0</v>
      </c>
    </row>
    <row r="620" spans="1:6" x14ac:dyDescent="0.25">
      <c r="A620" t="s">
        <v>531</v>
      </c>
      <c r="B620" t="s">
        <v>1640</v>
      </c>
      <c r="C620">
        <v>22107</v>
      </c>
      <c r="D620">
        <v>0</v>
      </c>
      <c r="F620">
        <v>0</v>
      </c>
    </row>
    <row r="621" spans="1:6" x14ac:dyDescent="0.25">
      <c r="A621" t="s">
        <v>1583</v>
      </c>
      <c r="B621" t="s">
        <v>1641</v>
      </c>
      <c r="C621">
        <v>22108</v>
      </c>
      <c r="D621">
        <v>0</v>
      </c>
      <c r="F621">
        <v>0</v>
      </c>
    </row>
    <row r="622" spans="1:6" x14ac:dyDescent="0.25">
      <c r="B622" t="s">
        <v>1744</v>
      </c>
      <c r="D622">
        <v>0</v>
      </c>
      <c r="F622">
        <v>0</v>
      </c>
    </row>
    <row r="623" spans="1:6" x14ac:dyDescent="0.25">
      <c r="B623" t="s">
        <v>2308</v>
      </c>
    </row>
    <row r="624" spans="1:6" x14ac:dyDescent="0.25">
      <c r="A624" t="s">
        <v>2</v>
      </c>
      <c r="B624" t="s">
        <v>1634</v>
      </c>
      <c r="C624">
        <v>22201</v>
      </c>
      <c r="D624">
        <v>0</v>
      </c>
      <c r="F624">
        <v>0</v>
      </c>
    </row>
    <row r="625" spans="1:6" x14ac:dyDescent="0.25">
      <c r="A625" t="s">
        <v>15</v>
      </c>
      <c r="B625" t="s">
        <v>1635</v>
      </c>
      <c r="C625">
        <v>22202</v>
      </c>
      <c r="D625">
        <v>0</v>
      </c>
      <c r="F625">
        <v>0</v>
      </c>
    </row>
    <row r="626" spans="1:6" x14ac:dyDescent="0.25">
      <c r="A626" t="s">
        <v>16</v>
      </c>
      <c r="B626" t="s">
        <v>1636</v>
      </c>
      <c r="C626">
        <v>22203</v>
      </c>
      <c r="D626">
        <v>0</v>
      </c>
      <c r="F626">
        <v>0</v>
      </c>
    </row>
    <row r="627" spans="1:6" x14ac:dyDescent="0.25">
      <c r="A627" t="s">
        <v>25</v>
      </c>
      <c r="B627" t="s">
        <v>1637</v>
      </c>
      <c r="C627">
        <v>22204</v>
      </c>
      <c r="D627">
        <v>0</v>
      </c>
      <c r="F627">
        <v>0</v>
      </c>
    </row>
    <row r="628" spans="1:6" x14ac:dyDescent="0.25">
      <c r="A628" t="s">
        <v>26</v>
      </c>
      <c r="B628" t="s">
        <v>1638</v>
      </c>
      <c r="C628">
        <v>22205</v>
      </c>
      <c r="D628">
        <v>0</v>
      </c>
      <c r="F628">
        <v>0</v>
      </c>
    </row>
    <row r="629" spans="1:6" x14ac:dyDescent="0.25">
      <c r="A629" t="s">
        <v>27</v>
      </c>
      <c r="B629" t="s">
        <v>1639</v>
      </c>
      <c r="C629">
        <v>22206</v>
      </c>
      <c r="D629">
        <v>0</v>
      </c>
      <c r="F629">
        <v>0</v>
      </c>
    </row>
    <row r="630" spans="1:6" x14ac:dyDescent="0.25">
      <c r="A630" t="s">
        <v>531</v>
      </c>
      <c r="B630" t="s">
        <v>1640</v>
      </c>
      <c r="C630">
        <v>22207</v>
      </c>
      <c r="D630">
        <v>0</v>
      </c>
      <c r="F630">
        <v>0</v>
      </c>
    </row>
    <row r="631" spans="1:6" x14ac:dyDescent="0.25">
      <c r="A631" t="s">
        <v>1583</v>
      </c>
      <c r="B631" t="s">
        <v>1641</v>
      </c>
      <c r="C631">
        <v>22208</v>
      </c>
      <c r="D631">
        <v>0</v>
      </c>
      <c r="F631">
        <v>0</v>
      </c>
    </row>
    <row r="632" spans="1:6" x14ac:dyDescent="0.25">
      <c r="B632" t="s">
        <v>1746</v>
      </c>
      <c r="D632">
        <v>0</v>
      </c>
      <c r="F632">
        <v>0</v>
      </c>
    </row>
    <row r="633" spans="1:6" x14ac:dyDescent="0.25">
      <c r="B633" t="s">
        <v>2309</v>
      </c>
    </row>
    <row r="634" spans="1:6" x14ac:dyDescent="0.25">
      <c r="A634" t="s">
        <v>2</v>
      </c>
      <c r="B634" t="s">
        <v>1634</v>
      </c>
      <c r="C634">
        <v>22301</v>
      </c>
      <c r="D634">
        <v>245581</v>
      </c>
      <c r="F634">
        <v>245581</v>
      </c>
    </row>
    <row r="635" spans="1:6" x14ac:dyDescent="0.25">
      <c r="A635" t="s">
        <v>15</v>
      </c>
      <c r="B635" t="s">
        <v>1635</v>
      </c>
      <c r="C635">
        <v>22302</v>
      </c>
      <c r="D635">
        <v>0</v>
      </c>
      <c r="F635">
        <v>0</v>
      </c>
    </row>
    <row r="636" spans="1:6" x14ac:dyDescent="0.25">
      <c r="A636" t="s">
        <v>16</v>
      </c>
      <c r="B636" t="s">
        <v>1636</v>
      </c>
      <c r="C636">
        <v>22303</v>
      </c>
      <c r="D636">
        <v>0</v>
      </c>
      <c r="F636">
        <v>0</v>
      </c>
    </row>
    <row r="637" spans="1:6" x14ac:dyDescent="0.25">
      <c r="A637" t="s">
        <v>25</v>
      </c>
      <c r="B637" t="s">
        <v>1637</v>
      </c>
      <c r="C637">
        <v>22304</v>
      </c>
      <c r="D637">
        <v>36937</v>
      </c>
      <c r="F637">
        <v>36937</v>
      </c>
    </row>
    <row r="638" spans="1:6" x14ac:dyDescent="0.25">
      <c r="A638" t="s">
        <v>26</v>
      </c>
      <c r="B638" t="s">
        <v>1638</v>
      </c>
      <c r="C638">
        <v>22305</v>
      </c>
      <c r="D638">
        <v>60022</v>
      </c>
      <c r="F638">
        <v>60022</v>
      </c>
    </row>
    <row r="639" spans="1:6" x14ac:dyDescent="0.25">
      <c r="A639" t="s">
        <v>27</v>
      </c>
      <c r="B639" t="s">
        <v>1639</v>
      </c>
      <c r="C639">
        <v>22306</v>
      </c>
      <c r="D639">
        <v>11251</v>
      </c>
      <c r="F639">
        <v>11251</v>
      </c>
    </row>
    <row r="640" spans="1:6" x14ac:dyDescent="0.25">
      <c r="A640" t="s">
        <v>531</v>
      </c>
      <c r="B640" t="s">
        <v>1640</v>
      </c>
      <c r="C640">
        <v>22307</v>
      </c>
      <c r="D640">
        <v>12715</v>
      </c>
      <c r="F640">
        <v>12715</v>
      </c>
    </row>
    <row r="641" spans="1:6" x14ac:dyDescent="0.25">
      <c r="A641" t="s">
        <v>1583</v>
      </c>
      <c r="B641" t="s">
        <v>1641</v>
      </c>
      <c r="C641">
        <v>22308</v>
      </c>
      <c r="D641">
        <v>286503</v>
      </c>
      <c r="F641">
        <v>286503</v>
      </c>
    </row>
    <row r="642" spans="1:6" x14ac:dyDescent="0.25">
      <c r="B642" t="s">
        <v>1748</v>
      </c>
      <c r="D642">
        <v>653009</v>
      </c>
      <c r="F642">
        <v>653009</v>
      </c>
    </row>
    <row r="643" spans="1:6" x14ac:dyDescent="0.25">
      <c r="B643" t="s">
        <v>2310</v>
      </c>
    </row>
    <row r="644" spans="1:6" x14ac:dyDescent="0.25">
      <c r="A644" t="s">
        <v>2</v>
      </c>
      <c r="B644" t="s">
        <v>1634</v>
      </c>
      <c r="C644">
        <v>22401</v>
      </c>
      <c r="D644">
        <v>0</v>
      </c>
      <c r="F644">
        <v>0</v>
      </c>
    </row>
    <row r="645" spans="1:6" x14ac:dyDescent="0.25">
      <c r="A645" t="s">
        <v>15</v>
      </c>
      <c r="B645" t="s">
        <v>1635</v>
      </c>
      <c r="C645">
        <v>22402</v>
      </c>
      <c r="D645">
        <v>0</v>
      </c>
      <c r="F645">
        <v>0</v>
      </c>
    </row>
    <row r="646" spans="1:6" x14ac:dyDescent="0.25">
      <c r="A646" t="s">
        <v>16</v>
      </c>
      <c r="B646" t="s">
        <v>1636</v>
      </c>
      <c r="C646">
        <v>22403</v>
      </c>
      <c r="D646">
        <v>0</v>
      </c>
      <c r="F646">
        <v>0</v>
      </c>
    </row>
    <row r="647" spans="1:6" x14ac:dyDescent="0.25">
      <c r="A647" t="s">
        <v>25</v>
      </c>
      <c r="B647" t="s">
        <v>1637</v>
      </c>
      <c r="C647">
        <v>22404</v>
      </c>
      <c r="D647">
        <v>30683</v>
      </c>
      <c r="F647">
        <v>30683</v>
      </c>
    </row>
    <row r="648" spans="1:6" x14ac:dyDescent="0.25">
      <c r="A648" t="s">
        <v>26</v>
      </c>
      <c r="B648" t="s">
        <v>1638</v>
      </c>
      <c r="C648">
        <v>22405</v>
      </c>
      <c r="D648">
        <v>26386</v>
      </c>
      <c r="F648">
        <v>26386</v>
      </c>
    </row>
    <row r="649" spans="1:6" x14ac:dyDescent="0.25">
      <c r="A649" t="s">
        <v>27</v>
      </c>
      <c r="B649" t="s">
        <v>1639</v>
      </c>
      <c r="C649">
        <v>22406</v>
      </c>
      <c r="D649">
        <v>25512</v>
      </c>
      <c r="F649">
        <v>25512</v>
      </c>
    </row>
    <row r="650" spans="1:6" x14ac:dyDescent="0.25">
      <c r="A650" t="s">
        <v>531</v>
      </c>
      <c r="B650" t="s">
        <v>1640</v>
      </c>
      <c r="C650">
        <v>22407</v>
      </c>
      <c r="D650">
        <v>0</v>
      </c>
      <c r="F650">
        <v>0</v>
      </c>
    </row>
    <row r="651" spans="1:6" x14ac:dyDescent="0.25">
      <c r="A651" t="s">
        <v>1583</v>
      </c>
      <c r="B651" t="s">
        <v>1641</v>
      </c>
      <c r="C651">
        <v>22408</v>
      </c>
      <c r="D651">
        <v>323982</v>
      </c>
      <c r="F651">
        <v>323982</v>
      </c>
    </row>
    <row r="652" spans="1:6" x14ac:dyDescent="0.25">
      <c r="B652" t="s">
        <v>1750</v>
      </c>
      <c r="D652">
        <v>406563</v>
      </c>
      <c r="F652">
        <v>406563</v>
      </c>
    </row>
    <row r="653" spans="1:6" x14ac:dyDescent="0.25">
      <c r="B653" t="s">
        <v>1751</v>
      </c>
    </row>
    <row r="654" spans="1:6" x14ac:dyDescent="0.25">
      <c r="A654" t="s">
        <v>2</v>
      </c>
      <c r="B654" t="s">
        <v>1648</v>
      </c>
      <c r="C654">
        <v>22501</v>
      </c>
      <c r="D654">
        <v>0</v>
      </c>
      <c r="F654">
        <v>0</v>
      </c>
    </row>
    <row r="655" spans="1:6" x14ac:dyDescent="0.25">
      <c r="A655" t="s">
        <v>15</v>
      </c>
      <c r="B655" t="s">
        <v>1649</v>
      </c>
      <c r="C655">
        <v>22502</v>
      </c>
      <c r="D655">
        <v>0</v>
      </c>
      <c r="F655">
        <v>0</v>
      </c>
    </row>
    <row r="656" spans="1:6" x14ac:dyDescent="0.25">
      <c r="A656" t="s">
        <v>16</v>
      </c>
      <c r="B656" t="s">
        <v>1637</v>
      </c>
      <c r="C656">
        <v>22503</v>
      </c>
      <c r="D656">
        <v>788</v>
      </c>
      <c r="F656">
        <v>788</v>
      </c>
    </row>
    <row r="657" spans="1:6" x14ac:dyDescent="0.25">
      <c r="A657" t="s">
        <v>25</v>
      </c>
      <c r="B657" t="s">
        <v>1638</v>
      </c>
      <c r="C657">
        <v>22504</v>
      </c>
      <c r="D657">
        <v>23398</v>
      </c>
      <c r="F657">
        <v>23398</v>
      </c>
    </row>
    <row r="658" spans="1:6" x14ac:dyDescent="0.25">
      <c r="A658" t="s">
        <v>26</v>
      </c>
      <c r="B658" t="s">
        <v>1650</v>
      </c>
      <c r="C658">
        <v>22505</v>
      </c>
      <c r="D658">
        <v>0</v>
      </c>
      <c r="F658">
        <v>0</v>
      </c>
    </row>
    <row r="659" spans="1:6" x14ac:dyDescent="0.25">
      <c r="A659" t="s">
        <v>27</v>
      </c>
      <c r="B659" t="s">
        <v>1651</v>
      </c>
      <c r="C659">
        <v>22506</v>
      </c>
      <c r="D659">
        <v>0</v>
      </c>
      <c r="F659">
        <v>0</v>
      </c>
    </row>
    <row r="660" spans="1:6" x14ac:dyDescent="0.25">
      <c r="A660" t="s">
        <v>531</v>
      </c>
      <c r="B660" t="s">
        <v>1640</v>
      </c>
      <c r="C660">
        <v>22507</v>
      </c>
      <c r="D660">
        <v>0</v>
      </c>
      <c r="F660">
        <v>0</v>
      </c>
    </row>
    <row r="661" spans="1:6" x14ac:dyDescent="0.25">
      <c r="A661" t="s">
        <v>1583</v>
      </c>
      <c r="B661" t="s">
        <v>1641</v>
      </c>
      <c r="C661">
        <v>22508</v>
      </c>
      <c r="D661">
        <v>0</v>
      </c>
      <c r="F661">
        <v>0</v>
      </c>
    </row>
    <row r="662" spans="1:6" x14ac:dyDescent="0.25">
      <c r="B662" t="s">
        <v>1752</v>
      </c>
      <c r="D662">
        <v>24186</v>
      </c>
      <c r="F662">
        <v>24186</v>
      </c>
    </row>
    <row r="663" spans="1:6" x14ac:dyDescent="0.25">
      <c r="B663" t="s">
        <v>2311</v>
      </c>
    </row>
    <row r="664" spans="1:6" x14ac:dyDescent="0.25">
      <c r="A664" t="s">
        <v>2</v>
      </c>
      <c r="B664" t="s">
        <v>1648</v>
      </c>
      <c r="C664">
        <v>22601</v>
      </c>
      <c r="D664">
        <v>0</v>
      </c>
      <c r="F664">
        <v>0</v>
      </c>
    </row>
    <row r="665" spans="1:6" x14ac:dyDescent="0.25">
      <c r="A665" t="s">
        <v>15</v>
      </c>
      <c r="B665" t="s">
        <v>1649</v>
      </c>
      <c r="C665">
        <v>22602</v>
      </c>
      <c r="D665">
        <v>0</v>
      </c>
      <c r="F665">
        <v>0</v>
      </c>
    </row>
    <row r="666" spans="1:6" x14ac:dyDescent="0.25">
      <c r="A666" t="s">
        <v>16</v>
      </c>
      <c r="B666" t="s">
        <v>1637</v>
      </c>
      <c r="C666">
        <v>22603</v>
      </c>
      <c r="D666">
        <v>0</v>
      </c>
      <c r="F666">
        <v>0</v>
      </c>
    </row>
    <row r="667" spans="1:6" x14ac:dyDescent="0.25">
      <c r="A667" t="s">
        <v>25</v>
      </c>
      <c r="B667" t="s">
        <v>1638</v>
      </c>
      <c r="C667">
        <v>22604</v>
      </c>
      <c r="D667">
        <v>0</v>
      </c>
      <c r="F667">
        <v>0</v>
      </c>
    </row>
    <row r="668" spans="1:6" x14ac:dyDescent="0.25">
      <c r="A668" t="s">
        <v>26</v>
      </c>
      <c r="B668" t="s">
        <v>1650</v>
      </c>
      <c r="C668">
        <v>22605</v>
      </c>
      <c r="D668">
        <v>0</v>
      </c>
      <c r="F668">
        <v>0</v>
      </c>
    </row>
    <row r="669" spans="1:6" x14ac:dyDescent="0.25">
      <c r="A669" t="s">
        <v>27</v>
      </c>
      <c r="B669" t="s">
        <v>1651</v>
      </c>
      <c r="C669">
        <v>22606</v>
      </c>
      <c r="D669">
        <v>0</v>
      </c>
      <c r="F669">
        <v>0</v>
      </c>
    </row>
    <row r="670" spans="1:6" x14ac:dyDescent="0.25">
      <c r="A670" t="s">
        <v>531</v>
      </c>
      <c r="B670" t="s">
        <v>1640</v>
      </c>
      <c r="C670">
        <v>22607</v>
      </c>
      <c r="D670">
        <v>0</v>
      </c>
      <c r="F670">
        <v>0</v>
      </c>
    </row>
    <row r="671" spans="1:6" x14ac:dyDescent="0.25">
      <c r="A671" t="s">
        <v>1583</v>
      </c>
      <c r="B671" t="s">
        <v>1641</v>
      </c>
      <c r="C671">
        <v>22608</v>
      </c>
      <c r="D671">
        <v>0</v>
      </c>
      <c r="F671">
        <v>0</v>
      </c>
    </row>
    <row r="672" spans="1:6" x14ac:dyDescent="0.25">
      <c r="B672" t="s">
        <v>2312</v>
      </c>
      <c r="D672">
        <v>0</v>
      </c>
      <c r="F672">
        <v>0</v>
      </c>
    </row>
    <row r="673" spans="1:6" x14ac:dyDescent="0.25">
      <c r="B673" t="s">
        <v>1660</v>
      </c>
      <c r="D673">
        <v>1083758</v>
      </c>
      <c r="F673">
        <v>1083758</v>
      </c>
    </row>
    <row r="674" spans="1:6" x14ac:dyDescent="0.25">
      <c r="B674" t="s">
        <v>1753</v>
      </c>
    </row>
    <row r="675" spans="1:6" x14ac:dyDescent="0.25">
      <c r="B675" t="s">
        <v>1754</v>
      </c>
    </row>
    <row r="676" spans="1:6" x14ac:dyDescent="0.25">
      <c r="A676" t="s">
        <v>2</v>
      </c>
      <c r="B676" t="s">
        <v>1637</v>
      </c>
      <c r="C676">
        <v>23101</v>
      </c>
      <c r="D676">
        <v>13468</v>
      </c>
      <c r="F676">
        <v>13468</v>
      </c>
    </row>
    <row r="677" spans="1:6" x14ac:dyDescent="0.25">
      <c r="A677" t="s">
        <v>15</v>
      </c>
      <c r="B677" t="s">
        <v>1638</v>
      </c>
      <c r="C677">
        <v>23102</v>
      </c>
      <c r="D677">
        <v>49828</v>
      </c>
      <c r="F677">
        <v>49828</v>
      </c>
    </row>
    <row r="678" spans="1:6" x14ac:dyDescent="0.25">
      <c r="A678" t="s">
        <v>16</v>
      </c>
      <c r="B678" t="s">
        <v>1640</v>
      </c>
      <c r="C678">
        <v>23103</v>
      </c>
      <c r="D678">
        <v>0</v>
      </c>
      <c r="F678">
        <v>0</v>
      </c>
    </row>
    <row r="679" spans="1:6" x14ac:dyDescent="0.25">
      <c r="A679" t="s">
        <v>25</v>
      </c>
      <c r="B679" t="s">
        <v>1641</v>
      </c>
      <c r="C679">
        <v>23104</v>
      </c>
      <c r="D679">
        <v>0</v>
      </c>
      <c r="F679">
        <v>0</v>
      </c>
    </row>
    <row r="680" spans="1:6" x14ac:dyDescent="0.25">
      <c r="B680" t="s">
        <v>1755</v>
      </c>
      <c r="D680">
        <v>63296</v>
      </c>
      <c r="F680">
        <v>63296</v>
      </c>
    </row>
    <row r="681" spans="1:6" x14ac:dyDescent="0.25">
      <c r="B681" t="s">
        <v>2270</v>
      </c>
    </row>
    <row r="682" spans="1:6" x14ac:dyDescent="0.25">
      <c r="A682" t="s">
        <v>2</v>
      </c>
      <c r="B682" t="s">
        <v>1637</v>
      </c>
      <c r="C682">
        <v>23201</v>
      </c>
      <c r="D682">
        <v>390615</v>
      </c>
      <c r="F682">
        <v>390615</v>
      </c>
    </row>
    <row r="683" spans="1:6" x14ac:dyDescent="0.25">
      <c r="A683" t="s">
        <v>15</v>
      </c>
      <c r="B683" t="s">
        <v>1638</v>
      </c>
      <c r="C683">
        <v>23202</v>
      </c>
      <c r="D683">
        <v>805544</v>
      </c>
      <c r="F683">
        <v>805544</v>
      </c>
    </row>
    <row r="684" spans="1:6" x14ac:dyDescent="0.25">
      <c r="A684" t="s">
        <v>16</v>
      </c>
      <c r="B684" t="s">
        <v>1640</v>
      </c>
      <c r="C684">
        <v>23203</v>
      </c>
      <c r="D684">
        <v>66</v>
      </c>
      <c r="F684">
        <v>66</v>
      </c>
    </row>
    <row r="685" spans="1:6" x14ac:dyDescent="0.25">
      <c r="A685" t="s">
        <v>25</v>
      </c>
      <c r="B685" t="s">
        <v>1641</v>
      </c>
      <c r="C685">
        <v>23204</v>
      </c>
      <c r="D685">
        <v>0</v>
      </c>
      <c r="F685">
        <v>0</v>
      </c>
    </row>
    <row r="686" spans="1:6" x14ac:dyDescent="0.25">
      <c r="B686" t="s">
        <v>1757</v>
      </c>
      <c r="D686">
        <v>1196225</v>
      </c>
      <c r="F686">
        <v>1196225</v>
      </c>
    </row>
    <row r="687" spans="1:6" x14ac:dyDescent="0.25">
      <c r="B687" t="s">
        <v>2313</v>
      </c>
    </row>
    <row r="688" spans="1:6" x14ac:dyDescent="0.25">
      <c r="A688" t="s">
        <v>2</v>
      </c>
      <c r="B688" t="s">
        <v>1637</v>
      </c>
      <c r="C688">
        <v>23301</v>
      </c>
      <c r="D688">
        <v>0</v>
      </c>
      <c r="F688">
        <v>0</v>
      </c>
    </row>
    <row r="689" spans="1:6" x14ac:dyDescent="0.25">
      <c r="A689" t="s">
        <v>15</v>
      </c>
      <c r="B689" t="s">
        <v>1638</v>
      </c>
      <c r="C689">
        <v>23302</v>
      </c>
      <c r="D689">
        <v>0</v>
      </c>
      <c r="F689">
        <v>0</v>
      </c>
    </row>
    <row r="690" spans="1:6" x14ac:dyDescent="0.25">
      <c r="A690" t="s">
        <v>16</v>
      </c>
      <c r="B690" t="s">
        <v>1640</v>
      </c>
      <c r="C690">
        <v>23303</v>
      </c>
      <c r="D690">
        <v>0</v>
      </c>
      <c r="F690">
        <v>0</v>
      </c>
    </row>
    <row r="691" spans="1:6" x14ac:dyDescent="0.25">
      <c r="A691" t="s">
        <v>25</v>
      </c>
      <c r="B691" t="s">
        <v>1641</v>
      </c>
      <c r="C691">
        <v>23304</v>
      </c>
      <c r="D691">
        <v>0</v>
      </c>
      <c r="F691">
        <v>0</v>
      </c>
    </row>
    <row r="692" spans="1:6" x14ac:dyDescent="0.25">
      <c r="B692" t="s">
        <v>1759</v>
      </c>
      <c r="D692">
        <v>0</v>
      </c>
      <c r="F692">
        <v>0</v>
      </c>
    </row>
    <row r="693" spans="1:6" x14ac:dyDescent="0.25">
      <c r="B693" t="s">
        <v>1762</v>
      </c>
    </row>
    <row r="694" spans="1:6" x14ac:dyDescent="0.25">
      <c r="A694" t="s">
        <v>2</v>
      </c>
      <c r="B694" t="s">
        <v>1637</v>
      </c>
      <c r="C694">
        <v>23501</v>
      </c>
      <c r="D694">
        <v>10587</v>
      </c>
      <c r="E694">
        <v>0</v>
      </c>
      <c r="F694">
        <v>10587</v>
      </c>
    </row>
    <row r="695" spans="1:6" x14ac:dyDescent="0.25">
      <c r="A695" t="s">
        <v>15</v>
      </c>
      <c r="B695" t="s">
        <v>1763</v>
      </c>
      <c r="C695">
        <v>23502</v>
      </c>
      <c r="D695">
        <v>1172047</v>
      </c>
      <c r="E695">
        <v>0</v>
      </c>
      <c r="F695">
        <v>1172047</v>
      </c>
    </row>
    <row r="696" spans="1:6" x14ac:dyDescent="0.25">
      <c r="A696" t="s">
        <v>16</v>
      </c>
      <c r="B696" t="s">
        <v>1640</v>
      </c>
      <c r="C696">
        <v>23503</v>
      </c>
      <c r="D696">
        <v>0</v>
      </c>
      <c r="E696">
        <v>0</v>
      </c>
      <c r="F696">
        <v>0</v>
      </c>
    </row>
    <row r="697" spans="1:6" x14ac:dyDescent="0.25">
      <c r="A697" t="s">
        <v>25</v>
      </c>
      <c r="B697" t="s">
        <v>1764</v>
      </c>
      <c r="C697">
        <v>23504</v>
      </c>
      <c r="D697">
        <v>0</v>
      </c>
      <c r="E697">
        <v>0</v>
      </c>
      <c r="F697">
        <v>0</v>
      </c>
    </row>
    <row r="698" spans="1:6" x14ac:dyDescent="0.25">
      <c r="B698" t="s">
        <v>1765</v>
      </c>
      <c r="D698">
        <v>1182634</v>
      </c>
      <c r="E698">
        <v>0</v>
      </c>
      <c r="F698">
        <v>1182634</v>
      </c>
    </row>
    <row r="699" spans="1:6" x14ac:dyDescent="0.25">
      <c r="B699" t="s">
        <v>1766</v>
      </c>
    </row>
    <row r="700" spans="1:6" x14ac:dyDescent="0.25">
      <c r="A700" t="s">
        <v>2</v>
      </c>
      <c r="B700" t="s">
        <v>1637</v>
      </c>
      <c r="C700">
        <v>23601</v>
      </c>
      <c r="D700">
        <v>0</v>
      </c>
      <c r="E700">
        <v>0</v>
      </c>
      <c r="F700">
        <v>0</v>
      </c>
    </row>
    <row r="701" spans="1:6" x14ac:dyDescent="0.25">
      <c r="A701" t="s">
        <v>15</v>
      </c>
      <c r="B701" t="s">
        <v>1763</v>
      </c>
      <c r="C701">
        <v>23602</v>
      </c>
      <c r="D701">
        <v>0</v>
      </c>
      <c r="E701">
        <v>0</v>
      </c>
      <c r="F701">
        <v>0</v>
      </c>
    </row>
    <row r="702" spans="1:6" x14ac:dyDescent="0.25">
      <c r="A702" t="s">
        <v>16</v>
      </c>
      <c r="B702" t="s">
        <v>1640</v>
      </c>
      <c r="C702">
        <v>23603</v>
      </c>
      <c r="D702">
        <v>0</v>
      </c>
      <c r="E702">
        <v>0</v>
      </c>
      <c r="F702">
        <v>0</v>
      </c>
    </row>
    <row r="703" spans="1:6" x14ac:dyDescent="0.25">
      <c r="A703" t="s">
        <v>25</v>
      </c>
      <c r="B703" t="s">
        <v>1764</v>
      </c>
      <c r="C703">
        <v>23604</v>
      </c>
      <c r="D703">
        <v>0</v>
      </c>
      <c r="E703">
        <v>0</v>
      </c>
      <c r="F703">
        <v>0</v>
      </c>
    </row>
    <row r="704" spans="1:6" x14ac:dyDescent="0.25">
      <c r="B704" t="s">
        <v>1767</v>
      </c>
      <c r="D704">
        <v>0</v>
      </c>
      <c r="E704">
        <v>0</v>
      </c>
      <c r="F704">
        <v>0</v>
      </c>
    </row>
    <row r="705" spans="1:6" x14ac:dyDescent="0.25">
      <c r="B705" t="s">
        <v>1768</v>
      </c>
    </row>
    <row r="706" spans="1:6" x14ac:dyDescent="0.25">
      <c r="A706" t="s">
        <v>2</v>
      </c>
      <c r="B706" t="s">
        <v>1769</v>
      </c>
      <c r="C706">
        <v>23701</v>
      </c>
      <c r="D706">
        <v>0</v>
      </c>
      <c r="E706">
        <v>0</v>
      </c>
      <c r="F706">
        <v>0</v>
      </c>
    </row>
    <row r="707" spans="1:6" x14ac:dyDescent="0.25">
      <c r="A707" t="s">
        <v>15</v>
      </c>
      <c r="B707" t="s">
        <v>1770</v>
      </c>
      <c r="C707">
        <v>23702</v>
      </c>
      <c r="D707">
        <v>80000</v>
      </c>
      <c r="E707">
        <v>0</v>
      </c>
      <c r="F707">
        <v>80000</v>
      </c>
    </row>
    <row r="708" spans="1:6" x14ac:dyDescent="0.25">
      <c r="A708" t="s">
        <v>16</v>
      </c>
      <c r="B708" t="s">
        <v>1771</v>
      </c>
      <c r="C708">
        <v>23703</v>
      </c>
      <c r="D708">
        <v>0</v>
      </c>
      <c r="E708">
        <v>0</v>
      </c>
      <c r="F708">
        <v>0</v>
      </c>
    </row>
    <row r="709" spans="1:6" x14ac:dyDescent="0.25">
      <c r="A709" t="s">
        <v>25</v>
      </c>
      <c r="B709" t="s">
        <v>1772</v>
      </c>
      <c r="C709">
        <v>23704</v>
      </c>
      <c r="D709">
        <v>0</v>
      </c>
      <c r="E709">
        <v>0</v>
      </c>
      <c r="F709">
        <v>0</v>
      </c>
    </row>
    <row r="710" spans="1:6" x14ac:dyDescent="0.25">
      <c r="B710" t="s">
        <v>1773</v>
      </c>
      <c r="D710">
        <v>80000</v>
      </c>
      <c r="E710">
        <v>0</v>
      </c>
      <c r="F710">
        <v>80000</v>
      </c>
    </row>
    <row r="711" spans="1:6" x14ac:dyDescent="0.25">
      <c r="B711" t="s">
        <v>1774</v>
      </c>
    </row>
    <row r="712" spans="1:6" x14ac:dyDescent="0.25">
      <c r="A712" t="s">
        <v>2</v>
      </c>
      <c r="B712" t="s">
        <v>1769</v>
      </c>
      <c r="C712">
        <v>23801</v>
      </c>
      <c r="D712">
        <v>0</v>
      </c>
      <c r="E712">
        <v>0</v>
      </c>
      <c r="F712">
        <v>0</v>
      </c>
    </row>
    <row r="713" spans="1:6" x14ac:dyDescent="0.25">
      <c r="A713" t="s">
        <v>15</v>
      </c>
      <c r="B713" t="s">
        <v>1770</v>
      </c>
      <c r="C713">
        <v>23802</v>
      </c>
      <c r="D713">
        <v>0</v>
      </c>
      <c r="E713">
        <v>0</v>
      </c>
      <c r="F713">
        <v>0</v>
      </c>
    </row>
    <row r="714" spans="1:6" x14ac:dyDescent="0.25">
      <c r="A714" t="s">
        <v>16</v>
      </c>
      <c r="B714" t="s">
        <v>1771</v>
      </c>
      <c r="C714">
        <v>23803</v>
      </c>
      <c r="D714">
        <v>0</v>
      </c>
      <c r="E714">
        <v>0</v>
      </c>
      <c r="F714">
        <v>0</v>
      </c>
    </row>
    <row r="715" spans="1:6" x14ac:dyDescent="0.25">
      <c r="A715" t="s">
        <v>25</v>
      </c>
      <c r="B715" t="s">
        <v>1772</v>
      </c>
      <c r="C715">
        <v>23804</v>
      </c>
      <c r="D715">
        <v>0</v>
      </c>
      <c r="E715">
        <v>0</v>
      </c>
      <c r="F715">
        <v>0</v>
      </c>
    </row>
    <row r="716" spans="1:6" x14ac:dyDescent="0.25">
      <c r="B716" t="s">
        <v>1775</v>
      </c>
      <c r="D716">
        <v>0</v>
      </c>
      <c r="E716">
        <v>0</v>
      </c>
      <c r="F716">
        <v>0</v>
      </c>
    </row>
    <row r="717" spans="1:6" x14ac:dyDescent="0.25">
      <c r="B717" t="s">
        <v>2314</v>
      </c>
    </row>
    <row r="718" spans="1:6" x14ac:dyDescent="0.25">
      <c r="A718" t="s">
        <v>2</v>
      </c>
      <c r="B718" t="s">
        <v>1637</v>
      </c>
      <c r="C718">
        <v>23901</v>
      </c>
      <c r="D718">
        <v>0</v>
      </c>
      <c r="F718">
        <v>0</v>
      </c>
    </row>
    <row r="719" spans="1:6" x14ac:dyDescent="0.25">
      <c r="A719" t="s">
        <v>15</v>
      </c>
      <c r="B719" t="s">
        <v>1763</v>
      </c>
      <c r="C719">
        <v>23902</v>
      </c>
      <c r="D719">
        <v>0</v>
      </c>
      <c r="F719">
        <v>0</v>
      </c>
    </row>
    <row r="720" spans="1:6" x14ac:dyDescent="0.25">
      <c r="A720" t="s">
        <v>16</v>
      </c>
      <c r="B720" t="s">
        <v>1640</v>
      </c>
      <c r="C720">
        <v>23903</v>
      </c>
      <c r="D720">
        <v>0</v>
      </c>
      <c r="F720">
        <v>0</v>
      </c>
    </row>
    <row r="721" spans="1:6" x14ac:dyDescent="0.25">
      <c r="A721" t="s">
        <v>25</v>
      </c>
      <c r="B721" t="s">
        <v>1764</v>
      </c>
      <c r="C721">
        <v>23904</v>
      </c>
      <c r="D721">
        <v>0</v>
      </c>
      <c r="F721">
        <v>0</v>
      </c>
    </row>
    <row r="722" spans="1:6" x14ac:dyDescent="0.25">
      <c r="B722" t="s">
        <v>1778</v>
      </c>
      <c r="D722">
        <v>0</v>
      </c>
      <c r="F722">
        <v>0</v>
      </c>
    </row>
    <row r="723" spans="1:6" x14ac:dyDescent="0.25">
      <c r="B723" t="s">
        <v>1670</v>
      </c>
      <c r="D723">
        <v>2522155</v>
      </c>
      <c r="E723">
        <v>0</v>
      </c>
      <c r="F723">
        <v>2522155</v>
      </c>
    </row>
    <row r="724" spans="1:6" x14ac:dyDescent="0.25">
      <c r="B724" t="s">
        <v>1779</v>
      </c>
    </row>
    <row r="725" spans="1:6" x14ac:dyDescent="0.25">
      <c r="B725" t="s">
        <v>1672</v>
      </c>
    </row>
    <row r="726" spans="1:6" x14ac:dyDescent="0.25">
      <c r="A726" t="s">
        <v>2</v>
      </c>
      <c r="B726" t="s">
        <v>1673</v>
      </c>
      <c r="C726">
        <v>24101</v>
      </c>
      <c r="D726">
        <v>2857</v>
      </c>
      <c r="E726">
        <v>0</v>
      </c>
      <c r="F726">
        <v>2857</v>
      </c>
    </row>
    <row r="727" spans="1:6" x14ac:dyDescent="0.25">
      <c r="A727" t="s">
        <v>15</v>
      </c>
      <c r="B727" t="s">
        <v>1674</v>
      </c>
      <c r="C727">
        <v>24102</v>
      </c>
      <c r="D727">
        <v>16</v>
      </c>
      <c r="E727">
        <v>0</v>
      </c>
      <c r="F727">
        <v>16</v>
      </c>
    </row>
    <row r="728" spans="1:6" x14ac:dyDescent="0.25">
      <c r="A728" t="s">
        <v>16</v>
      </c>
      <c r="B728" t="s">
        <v>1675</v>
      </c>
      <c r="C728">
        <v>24103</v>
      </c>
      <c r="D728">
        <v>110</v>
      </c>
      <c r="E728">
        <v>0</v>
      </c>
      <c r="F728">
        <v>110</v>
      </c>
    </row>
    <row r="729" spans="1:6" x14ac:dyDescent="0.25">
      <c r="A729" t="s">
        <v>25</v>
      </c>
      <c r="B729" t="s">
        <v>1676</v>
      </c>
      <c r="C729">
        <v>24104</v>
      </c>
      <c r="D729">
        <v>0</v>
      </c>
      <c r="E729">
        <v>0</v>
      </c>
      <c r="F729">
        <v>0</v>
      </c>
    </row>
    <row r="730" spans="1:6" x14ac:dyDescent="0.25">
      <c r="A730" t="s">
        <v>26</v>
      </c>
      <c r="B730" t="s">
        <v>1677</v>
      </c>
      <c r="C730">
        <v>24105</v>
      </c>
      <c r="D730">
        <v>0</v>
      </c>
      <c r="E730">
        <v>0</v>
      </c>
      <c r="F730">
        <v>0</v>
      </c>
    </row>
    <row r="731" spans="1:6" x14ac:dyDescent="0.25">
      <c r="B731" t="s">
        <v>1780</v>
      </c>
      <c r="D731">
        <v>2983</v>
      </c>
      <c r="E731">
        <v>0</v>
      </c>
      <c r="F731">
        <v>2983</v>
      </c>
    </row>
    <row r="732" spans="1:6" x14ac:dyDescent="0.25">
      <c r="B732" t="s">
        <v>1781</v>
      </c>
    </row>
    <row r="733" spans="1:6" x14ac:dyDescent="0.25">
      <c r="A733" t="s">
        <v>2</v>
      </c>
      <c r="B733" t="s">
        <v>1693</v>
      </c>
      <c r="C733">
        <v>24201</v>
      </c>
      <c r="D733">
        <v>0</v>
      </c>
      <c r="E733">
        <v>0</v>
      </c>
      <c r="F733">
        <v>0</v>
      </c>
    </row>
    <row r="734" spans="1:6" x14ac:dyDescent="0.25">
      <c r="A734" t="s">
        <v>15</v>
      </c>
      <c r="B734" t="s">
        <v>1694</v>
      </c>
      <c r="C734">
        <v>24202</v>
      </c>
      <c r="D734">
        <v>0</v>
      </c>
      <c r="E734">
        <v>0</v>
      </c>
      <c r="F734">
        <v>0</v>
      </c>
    </row>
    <row r="735" spans="1:6" x14ac:dyDescent="0.25">
      <c r="A735" t="s">
        <v>16</v>
      </c>
      <c r="B735" t="s">
        <v>1695</v>
      </c>
      <c r="C735">
        <v>24203</v>
      </c>
      <c r="D735">
        <v>0</v>
      </c>
      <c r="E735">
        <v>0</v>
      </c>
      <c r="F735">
        <v>0</v>
      </c>
    </row>
    <row r="736" spans="1:6" x14ac:dyDescent="0.25">
      <c r="A736" t="s">
        <v>25</v>
      </c>
      <c r="B736" t="s">
        <v>1696</v>
      </c>
      <c r="C736">
        <v>24204</v>
      </c>
      <c r="D736">
        <v>0</v>
      </c>
      <c r="E736">
        <v>0</v>
      </c>
      <c r="F736">
        <v>0</v>
      </c>
    </row>
    <row r="737" spans="1:6" x14ac:dyDescent="0.25">
      <c r="A737" t="s">
        <v>26</v>
      </c>
      <c r="B737" t="s">
        <v>1680</v>
      </c>
      <c r="C737">
        <v>24205</v>
      </c>
      <c r="D737">
        <v>0</v>
      </c>
      <c r="E737">
        <v>0</v>
      </c>
      <c r="F737">
        <v>0</v>
      </c>
    </row>
    <row r="738" spans="1:6" x14ac:dyDescent="0.25">
      <c r="A738" t="s">
        <v>27</v>
      </c>
      <c r="B738" t="s">
        <v>1681</v>
      </c>
      <c r="C738">
        <v>24206</v>
      </c>
      <c r="D738">
        <v>0</v>
      </c>
      <c r="E738">
        <v>0</v>
      </c>
      <c r="F738">
        <v>0</v>
      </c>
    </row>
    <row r="739" spans="1:6" x14ac:dyDescent="0.25">
      <c r="A739" t="s">
        <v>531</v>
      </c>
      <c r="B739" t="s">
        <v>1682</v>
      </c>
      <c r="C739">
        <v>24207</v>
      </c>
      <c r="D739">
        <v>0</v>
      </c>
      <c r="E739">
        <v>0</v>
      </c>
      <c r="F739">
        <v>0</v>
      </c>
    </row>
    <row r="740" spans="1:6" x14ac:dyDescent="0.25">
      <c r="A740" t="s">
        <v>1583</v>
      </c>
      <c r="B740" t="s">
        <v>1683</v>
      </c>
      <c r="C740">
        <v>24208</v>
      </c>
      <c r="D740">
        <v>0</v>
      </c>
      <c r="E740">
        <v>0</v>
      </c>
      <c r="F740">
        <v>0</v>
      </c>
    </row>
    <row r="741" spans="1:6" x14ac:dyDescent="0.25">
      <c r="A741" t="s">
        <v>1585</v>
      </c>
      <c r="B741" t="s">
        <v>1684</v>
      </c>
      <c r="C741">
        <v>24209</v>
      </c>
      <c r="D741">
        <v>410</v>
      </c>
      <c r="E741">
        <v>0</v>
      </c>
      <c r="F741">
        <v>410</v>
      </c>
    </row>
    <row r="742" spans="1:6" x14ac:dyDescent="0.25">
      <c r="A742" t="s">
        <v>1587</v>
      </c>
      <c r="B742" t="s">
        <v>1685</v>
      </c>
      <c r="C742">
        <v>24210</v>
      </c>
      <c r="D742">
        <v>7369</v>
      </c>
      <c r="E742">
        <v>0</v>
      </c>
      <c r="F742">
        <v>7369</v>
      </c>
    </row>
    <row r="743" spans="1:6" x14ac:dyDescent="0.25">
      <c r="A743" t="s">
        <v>1589</v>
      </c>
      <c r="B743" t="s">
        <v>1686</v>
      </c>
      <c r="C743">
        <v>24211</v>
      </c>
      <c r="D743">
        <v>38650</v>
      </c>
      <c r="E743">
        <v>0</v>
      </c>
      <c r="F743">
        <v>38650</v>
      </c>
    </row>
    <row r="744" spans="1:6" x14ac:dyDescent="0.25">
      <c r="A744" t="s">
        <v>1591</v>
      </c>
      <c r="B744" t="s">
        <v>1687</v>
      </c>
      <c r="C744">
        <v>24212</v>
      </c>
      <c r="D744">
        <v>115836</v>
      </c>
      <c r="E744">
        <v>0</v>
      </c>
      <c r="F744">
        <v>115836</v>
      </c>
    </row>
    <row r="745" spans="1:6" x14ac:dyDescent="0.25">
      <c r="A745" t="s">
        <v>1593</v>
      </c>
      <c r="B745" t="s">
        <v>1688</v>
      </c>
      <c r="C745">
        <v>24213</v>
      </c>
      <c r="D745">
        <v>1663381</v>
      </c>
      <c r="E745">
        <v>0</v>
      </c>
      <c r="F745">
        <v>1663381</v>
      </c>
    </row>
    <row r="746" spans="1:6" x14ac:dyDescent="0.25">
      <c r="A746" t="s">
        <v>1595</v>
      </c>
      <c r="B746" t="s">
        <v>1690</v>
      </c>
      <c r="C746">
        <v>24214</v>
      </c>
      <c r="D746">
        <v>0</v>
      </c>
      <c r="E746">
        <v>0</v>
      </c>
      <c r="F746">
        <v>0</v>
      </c>
    </row>
    <row r="747" spans="1:6" x14ac:dyDescent="0.25">
      <c r="A747" t="s">
        <v>1597</v>
      </c>
      <c r="B747" t="s">
        <v>1637</v>
      </c>
      <c r="C747">
        <v>24215</v>
      </c>
      <c r="D747">
        <v>0</v>
      </c>
      <c r="E747">
        <v>0</v>
      </c>
      <c r="F747">
        <v>0</v>
      </c>
    </row>
    <row r="748" spans="1:6" x14ac:dyDescent="0.25">
      <c r="A748" t="s">
        <v>1599</v>
      </c>
      <c r="B748" t="s">
        <v>1640</v>
      </c>
      <c r="C748">
        <v>24216</v>
      </c>
      <c r="D748">
        <v>0</v>
      </c>
      <c r="E748">
        <v>0</v>
      </c>
      <c r="F748">
        <v>0</v>
      </c>
    </row>
    <row r="749" spans="1:6" x14ac:dyDescent="0.25">
      <c r="A749" t="s">
        <v>1601</v>
      </c>
      <c r="B749" t="s">
        <v>1636</v>
      </c>
      <c r="C749">
        <v>24217</v>
      </c>
      <c r="D749">
        <v>0</v>
      </c>
      <c r="E749">
        <v>0</v>
      </c>
      <c r="F749">
        <v>0</v>
      </c>
    </row>
    <row r="750" spans="1:6" x14ac:dyDescent="0.25">
      <c r="A750" t="s">
        <v>1603</v>
      </c>
      <c r="B750" t="s">
        <v>1689</v>
      </c>
      <c r="C750">
        <v>24218</v>
      </c>
      <c r="D750">
        <v>492</v>
      </c>
      <c r="E750">
        <v>45</v>
      </c>
      <c r="F750">
        <v>537</v>
      </c>
    </row>
    <row r="751" spans="1:6" x14ac:dyDescent="0.25">
      <c r="B751" t="s">
        <v>1782</v>
      </c>
      <c r="D751">
        <v>1826138</v>
      </c>
      <c r="E751">
        <v>45</v>
      </c>
      <c r="F751">
        <v>1826183</v>
      </c>
    </row>
    <row r="752" spans="1:6" x14ac:dyDescent="0.25">
      <c r="B752" t="s">
        <v>1783</v>
      </c>
    </row>
    <row r="753" spans="1:6" x14ac:dyDescent="0.25">
      <c r="A753" t="s">
        <v>2</v>
      </c>
      <c r="B753" t="s">
        <v>1699</v>
      </c>
      <c r="C753">
        <v>24301</v>
      </c>
      <c r="D753">
        <v>0</v>
      </c>
      <c r="E753">
        <v>0</v>
      </c>
      <c r="F753">
        <v>0</v>
      </c>
    </row>
    <row r="754" spans="1:6" x14ac:dyDescent="0.25">
      <c r="A754" t="s">
        <v>15</v>
      </c>
      <c r="B754" t="s">
        <v>1694</v>
      </c>
      <c r="C754">
        <v>24302</v>
      </c>
      <c r="D754">
        <v>0</v>
      </c>
      <c r="E754">
        <v>0</v>
      </c>
      <c r="F754">
        <v>0</v>
      </c>
    </row>
    <row r="755" spans="1:6" x14ac:dyDescent="0.25">
      <c r="A755" t="s">
        <v>16</v>
      </c>
      <c r="B755" t="s">
        <v>1695</v>
      </c>
      <c r="C755">
        <v>24303</v>
      </c>
      <c r="D755">
        <v>0</v>
      </c>
      <c r="E755">
        <v>0</v>
      </c>
      <c r="F755">
        <v>0</v>
      </c>
    </row>
    <row r="756" spans="1:6" x14ac:dyDescent="0.25">
      <c r="A756" t="s">
        <v>25</v>
      </c>
      <c r="B756" t="s">
        <v>1696</v>
      </c>
      <c r="C756">
        <v>24304</v>
      </c>
      <c r="D756">
        <v>0</v>
      </c>
      <c r="E756">
        <v>0</v>
      </c>
      <c r="F756">
        <v>0</v>
      </c>
    </row>
    <row r="757" spans="1:6" x14ac:dyDescent="0.25">
      <c r="A757" t="s">
        <v>26</v>
      </c>
      <c r="B757" t="s">
        <v>1680</v>
      </c>
      <c r="C757">
        <v>24305</v>
      </c>
      <c r="D757">
        <v>0</v>
      </c>
      <c r="E757">
        <v>0</v>
      </c>
      <c r="F757">
        <v>0</v>
      </c>
    </row>
    <row r="758" spans="1:6" x14ac:dyDescent="0.25">
      <c r="A758" t="s">
        <v>27</v>
      </c>
      <c r="B758" t="s">
        <v>1681</v>
      </c>
      <c r="C758">
        <v>24306</v>
      </c>
      <c r="D758">
        <v>0</v>
      </c>
      <c r="E758">
        <v>0</v>
      </c>
      <c r="F758">
        <v>0</v>
      </c>
    </row>
    <row r="759" spans="1:6" x14ac:dyDescent="0.25">
      <c r="A759" t="s">
        <v>531</v>
      </c>
      <c r="B759" t="s">
        <v>1682</v>
      </c>
      <c r="C759">
        <v>24307</v>
      </c>
      <c r="D759">
        <v>0</v>
      </c>
      <c r="E759">
        <v>0</v>
      </c>
      <c r="F759">
        <v>0</v>
      </c>
    </row>
    <row r="760" spans="1:6" x14ac:dyDescent="0.25">
      <c r="A760" t="s">
        <v>1583</v>
      </c>
      <c r="B760" t="s">
        <v>1683</v>
      </c>
      <c r="C760">
        <v>24308</v>
      </c>
      <c r="D760">
        <v>0</v>
      </c>
      <c r="E760">
        <v>0</v>
      </c>
      <c r="F760">
        <v>0</v>
      </c>
    </row>
    <row r="761" spans="1:6" x14ac:dyDescent="0.25">
      <c r="A761" t="s">
        <v>1585</v>
      </c>
      <c r="B761" t="s">
        <v>1684</v>
      </c>
      <c r="C761">
        <v>24309</v>
      </c>
      <c r="D761">
        <v>0</v>
      </c>
      <c r="E761">
        <v>0</v>
      </c>
      <c r="F761">
        <v>0</v>
      </c>
    </row>
    <row r="762" spans="1:6" x14ac:dyDescent="0.25">
      <c r="A762" t="s">
        <v>1587</v>
      </c>
      <c r="B762" t="s">
        <v>1685</v>
      </c>
      <c r="C762">
        <v>24310</v>
      </c>
      <c r="D762">
        <v>0</v>
      </c>
      <c r="E762">
        <v>0</v>
      </c>
      <c r="F762">
        <v>0</v>
      </c>
    </row>
    <row r="763" spans="1:6" x14ac:dyDescent="0.25">
      <c r="A763" t="s">
        <v>1589</v>
      </c>
      <c r="B763" t="s">
        <v>1686</v>
      </c>
      <c r="C763">
        <v>24311</v>
      </c>
      <c r="D763">
        <v>0</v>
      </c>
      <c r="E763">
        <v>0</v>
      </c>
      <c r="F763">
        <v>0</v>
      </c>
    </row>
    <row r="764" spans="1:6" x14ac:dyDescent="0.25">
      <c r="A764" t="s">
        <v>1591</v>
      </c>
      <c r="B764" t="s">
        <v>1687</v>
      </c>
      <c r="C764">
        <v>24312</v>
      </c>
      <c r="D764">
        <v>14</v>
      </c>
      <c r="E764">
        <v>1</v>
      </c>
      <c r="F764">
        <v>15</v>
      </c>
    </row>
    <row r="765" spans="1:6" x14ac:dyDescent="0.25">
      <c r="A765" t="s">
        <v>1593</v>
      </c>
      <c r="B765" t="s">
        <v>1688</v>
      </c>
      <c r="C765">
        <v>24313</v>
      </c>
      <c r="D765">
        <v>0</v>
      </c>
      <c r="E765">
        <v>0</v>
      </c>
      <c r="F765">
        <v>0</v>
      </c>
    </row>
    <row r="766" spans="1:6" x14ac:dyDescent="0.25">
      <c r="A766" t="s">
        <v>1595</v>
      </c>
      <c r="B766" t="s">
        <v>1690</v>
      </c>
      <c r="C766">
        <v>24314</v>
      </c>
      <c r="D766">
        <v>0</v>
      </c>
      <c r="E766">
        <v>0</v>
      </c>
      <c r="F766">
        <v>0</v>
      </c>
    </row>
    <row r="767" spans="1:6" x14ac:dyDescent="0.25">
      <c r="A767" t="s">
        <v>1597</v>
      </c>
      <c r="B767" t="s">
        <v>1637</v>
      </c>
      <c r="C767">
        <v>24315</v>
      </c>
      <c r="D767">
        <v>0</v>
      </c>
      <c r="E767">
        <v>0</v>
      </c>
      <c r="F767">
        <v>0</v>
      </c>
    </row>
    <row r="768" spans="1:6" x14ac:dyDescent="0.25">
      <c r="A768" t="s">
        <v>1599</v>
      </c>
      <c r="B768" t="s">
        <v>1640</v>
      </c>
      <c r="C768">
        <v>24316</v>
      </c>
      <c r="D768">
        <v>0</v>
      </c>
      <c r="E768">
        <v>0</v>
      </c>
      <c r="F768">
        <v>0</v>
      </c>
    </row>
    <row r="769" spans="1:6" x14ac:dyDescent="0.25">
      <c r="A769" t="s">
        <v>1601</v>
      </c>
      <c r="B769" t="s">
        <v>1636</v>
      </c>
      <c r="C769">
        <v>24317</v>
      </c>
      <c r="D769">
        <v>0</v>
      </c>
      <c r="E769">
        <v>0</v>
      </c>
      <c r="F769">
        <v>0</v>
      </c>
    </row>
    <row r="770" spans="1:6" x14ac:dyDescent="0.25">
      <c r="A770" t="s">
        <v>1603</v>
      </c>
      <c r="B770" t="s">
        <v>1689</v>
      </c>
      <c r="C770">
        <v>24318</v>
      </c>
      <c r="D770">
        <v>16</v>
      </c>
      <c r="E770">
        <v>0</v>
      </c>
      <c r="F770">
        <v>16</v>
      </c>
    </row>
    <row r="771" spans="1:6" x14ac:dyDescent="0.25">
      <c r="B771" t="s">
        <v>1784</v>
      </c>
      <c r="D771">
        <v>30</v>
      </c>
      <c r="E771">
        <v>1</v>
      </c>
      <c r="F771">
        <v>31</v>
      </c>
    </row>
    <row r="772" spans="1:6" x14ac:dyDescent="0.25">
      <c r="B772" t="s">
        <v>1785</v>
      </c>
    </row>
    <row r="773" spans="1:6" x14ac:dyDescent="0.25">
      <c r="A773" t="s">
        <v>2</v>
      </c>
      <c r="B773" t="s">
        <v>1702</v>
      </c>
      <c r="C773">
        <v>24401</v>
      </c>
      <c r="D773">
        <v>135476</v>
      </c>
      <c r="E773">
        <v>3871</v>
      </c>
      <c r="F773">
        <v>139347</v>
      </c>
    </row>
    <row r="774" spans="1:6" x14ac:dyDescent="0.25">
      <c r="A774" t="s">
        <v>15</v>
      </c>
      <c r="B774" t="s">
        <v>1703</v>
      </c>
      <c r="C774">
        <v>24402</v>
      </c>
      <c r="D774">
        <v>298</v>
      </c>
      <c r="E774">
        <v>6</v>
      </c>
      <c r="F774">
        <v>304</v>
      </c>
    </row>
    <row r="775" spans="1:6" x14ac:dyDescent="0.25">
      <c r="B775" t="s">
        <v>1786</v>
      </c>
      <c r="D775">
        <v>135774</v>
      </c>
      <c r="E775">
        <v>3877</v>
      </c>
      <c r="F775">
        <v>139651</v>
      </c>
    </row>
    <row r="776" spans="1:6" x14ac:dyDescent="0.25">
      <c r="B776" t="s">
        <v>1787</v>
      </c>
    </row>
    <row r="777" spans="1:6" x14ac:dyDescent="0.25">
      <c r="A777" t="s">
        <v>2</v>
      </c>
      <c r="B777" t="s">
        <v>1702</v>
      </c>
      <c r="C777">
        <v>24501</v>
      </c>
      <c r="D777">
        <v>0</v>
      </c>
      <c r="E777">
        <v>0</v>
      </c>
      <c r="F777">
        <v>0</v>
      </c>
    </row>
    <row r="778" spans="1:6" x14ac:dyDescent="0.25">
      <c r="A778" t="s">
        <v>15</v>
      </c>
      <c r="B778" t="s">
        <v>1703</v>
      </c>
      <c r="C778">
        <v>24502</v>
      </c>
      <c r="D778">
        <v>0</v>
      </c>
      <c r="E778">
        <v>0</v>
      </c>
      <c r="F778">
        <v>0</v>
      </c>
    </row>
    <row r="779" spans="1:6" x14ac:dyDescent="0.25">
      <c r="B779" t="s">
        <v>1788</v>
      </c>
      <c r="D779">
        <v>0</v>
      </c>
      <c r="E779">
        <v>0</v>
      </c>
      <c r="F779">
        <v>0</v>
      </c>
    </row>
    <row r="780" spans="1:6" x14ac:dyDescent="0.25">
      <c r="B780" t="s">
        <v>1789</v>
      </c>
    </row>
    <row r="781" spans="1:6" x14ac:dyDescent="0.25">
      <c r="A781" t="s">
        <v>2</v>
      </c>
      <c r="B781" t="s">
        <v>1710</v>
      </c>
      <c r="C781">
        <v>24601</v>
      </c>
      <c r="D781">
        <v>0</v>
      </c>
      <c r="E781">
        <v>0</v>
      </c>
      <c r="F781">
        <v>0</v>
      </c>
    </row>
    <row r="782" spans="1:6" x14ac:dyDescent="0.25">
      <c r="A782" t="s">
        <v>15</v>
      </c>
      <c r="B782" t="s">
        <v>1711</v>
      </c>
      <c r="C782">
        <v>24602</v>
      </c>
      <c r="D782">
        <v>0</v>
      </c>
      <c r="E782">
        <v>0</v>
      </c>
      <c r="F782">
        <v>0</v>
      </c>
    </row>
    <row r="783" spans="1:6" x14ac:dyDescent="0.25">
      <c r="A783" t="s">
        <v>16</v>
      </c>
      <c r="B783" t="s">
        <v>1712</v>
      </c>
      <c r="C783">
        <v>24603</v>
      </c>
      <c r="D783">
        <v>0</v>
      </c>
      <c r="E783">
        <v>0</v>
      </c>
      <c r="F783">
        <v>0</v>
      </c>
    </row>
    <row r="784" spans="1:6" x14ac:dyDescent="0.25">
      <c r="A784" t="s">
        <v>25</v>
      </c>
      <c r="B784" t="s">
        <v>1713</v>
      </c>
      <c r="C784">
        <v>24604</v>
      </c>
      <c r="D784">
        <v>16919</v>
      </c>
      <c r="E784">
        <v>0</v>
      </c>
      <c r="F784">
        <v>16919</v>
      </c>
    </row>
    <row r="785" spans="1:6" x14ac:dyDescent="0.25">
      <c r="A785" t="s">
        <v>26</v>
      </c>
      <c r="B785" t="s">
        <v>1714</v>
      </c>
      <c r="C785">
        <v>24605</v>
      </c>
      <c r="D785">
        <v>0</v>
      </c>
      <c r="E785">
        <v>0</v>
      </c>
      <c r="F785">
        <v>0</v>
      </c>
    </row>
    <row r="786" spans="1:6" x14ac:dyDescent="0.25">
      <c r="B786" t="s">
        <v>1790</v>
      </c>
      <c r="D786">
        <v>16919</v>
      </c>
      <c r="E786">
        <v>0</v>
      </c>
      <c r="F786">
        <v>16919</v>
      </c>
    </row>
    <row r="787" spans="1:6" x14ac:dyDescent="0.25">
      <c r="B787" t="s">
        <v>2315</v>
      </c>
    </row>
    <row r="788" spans="1:6" x14ac:dyDescent="0.25">
      <c r="A788" t="s">
        <v>2</v>
      </c>
      <c r="B788" t="s">
        <v>2316</v>
      </c>
      <c r="C788">
        <v>24701</v>
      </c>
      <c r="D788">
        <v>0</v>
      </c>
      <c r="F788">
        <v>0</v>
      </c>
    </row>
    <row r="789" spans="1:6" x14ac:dyDescent="0.25">
      <c r="A789" t="s">
        <v>15</v>
      </c>
      <c r="B789" t="s">
        <v>2317</v>
      </c>
      <c r="C789">
        <v>24702</v>
      </c>
      <c r="D789">
        <v>0</v>
      </c>
      <c r="F789">
        <v>0</v>
      </c>
    </row>
    <row r="790" spans="1:6" x14ac:dyDescent="0.25">
      <c r="A790" t="s">
        <v>16</v>
      </c>
      <c r="B790" t="s">
        <v>2318</v>
      </c>
      <c r="C790">
        <v>24703</v>
      </c>
      <c r="D790">
        <v>0</v>
      </c>
      <c r="F790">
        <v>0</v>
      </c>
    </row>
    <row r="791" spans="1:6" x14ac:dyDescent="0.25">
      <c r="A791" t="s">
        <v>25</v>
      </c>
      <c r="B791" t="s">
        <v>2319</v>
      </c>
      <c r="C791">
        <v>24704</v>
      </c>
      <c r="D791">
        <v>0</v>
      </c>
      <c r="F791">
        <v>0</v>
      </c>
    </row>
    <row r="792" spans="1:6" x14ac:dyDescent="0.25">
      <c r="A792" t="s">
        <v>26</v>
      </c>
      <c r="B792" t="s">
        <v>2320</v>
      </c>
      <c r="C792">
        <v>24705</v>
      </c>
      <c r="D792">
        <v>0</v>
      </c>
      <c r="F792">
        <v>0</v>
      </c>
    </row>
    <row r="793" spans="1:6" x14ac:dyDescent="0.25">
      <c r="A793" t="s">
        <v>27</v>
      </c>
      <c r="B793" t="s">
        <v>2321</v>
      </c>
      <c r="C793">
        <v>24706</v>
      </c>
      <c r="D793">
        <v>0</v>
      </c>
      <c r="F793">
        <v>0</v>
      </c>
    </row>
    <row r="794" spans="1:6" x14ac:dyDescent="0.25">
      <c r="A794" t="s">
        <v>531</v>
      </c>
      <c r="B794" t="s">
        <v>2322</v>
      </c>
      <c r="C794">
        <v>24707</v>
      </c>
      <c r="D794">
        <v>0</v>
      </c>
      <c r="F794">
        <v>0</v>
      </c>
    </row>
    <row r="795" spans="1:6" x14ac:dyDescent="0.25">
      <c r="A795" t="s">
        <v>1583</v>
      </c>
      <c r="B795" t="s">
        <v>2323</v>
      </c>
      <c r="C795">
        <v>24708</v>
      </c>
      <c r="D795">
        <v>0</v>
      </c>
      <c r="F795">
        <v>0</v>
      </c>
    </row>
    <row r="796" spans="1:6" x14ac:dyDescent="0.25">
      <c r="A796" t="s">
        <v>1585</v>
      </c>
      <c r="B796" t="s">
        <v>2324</v>
      </c>
      <c r="C796">
        <v>24709</v>
      </c>
      <c r="D796">
        <v>0</v>
      </c>
      <c r="F796">
        <v>0</v>
      </c>
    </row>
    <row r="797" spans="1:6" x14ac:dyDescent="0.25">
      <c r="A797" t="s">
        <v>1587</v>
      </c>
      <c r="B797" t="s">
        <v>2325</v>
      </c>
      <c r="C797">
        <v>24710</v>
      </c>
      <c r="D797">
        <v>0</v>
      </c>
      <c r="F797">
        <v>0</v>
      </c>
    </row>
    <row r="798" spans="1:6" x14ac:dyDescent="0.25">
      <c r="A798" t="s">
        <v>1589</v>
      </c>
      <c r="B798" t="s">
        <v>2326</v>
      </c>
      <c r="C798">
        <v>24711</v>
      </c>
      <c r="D798">
        <v>0</v>
      </c>
      <c r="F798">
        <v>0</v>
      </c>
    </row>
    <row r="799" spans="1:6" x14ac:dyDescent="0.25">
      <c r="A799" t="s">
        <v>1591</v>
      </c>
      <c r="B799" t="s">
        <v>2327</v>
      </c>
      <c r="C799">
        <v>24712</v>
      </c>
      <c r="D799">
        <v>0</v>
      </c>
      <c r="F799">
        <v>0</v>
      </c>
    </row>
    <row r="800" spans="1:6" x14ac:dyDescent="0.25">
      <c r="A800" t="s">
        <v>1593</v>
      </c>
      <c r="B800" t="s">
        <v>2328</v>
      </c>
      <c r="C800">
        <v>24713</v>
      </c>
      <c r="D800">
        <v>0</v>
      </c>
      <c r="F800">
        <v>0</v>
      </c>
    </row>
    <row r="801" spans="1:6" x14ac:dyDescent="0.25">
      <c r="A801" t="s">
        <v>1595</v>
      </c>
      <c r="B801" t="s">
        <v>2329</v>
      </c>
      <c r="C801">
        <v>24714</v>
      </c>
      <c r="D801">
        <v>0</v>
      </c>
      <c r="F801">
        <v>0</v>
      </c>
    </row>
    <row r="802" spans="1:6" x14ac:dyDescent="0.25">
      <c r="A802" t="s">
        <v>1597</v>
      </c>
      <c r="B802" t="s">
        <v>2330</v>
      </c>
      <c r="C802">
        <v>24715</v>
      </c>
      <c r="D802">
        <v>0</v>
      </c>
      <c r="F802">
        <v>0</v>
      </c>
    </row>
    <row r="803" spans="1:6" x14ac:dyDescent="0.25">
      <c r="A803" t="s">
        <v>1599</v>
      </c>
      <c r="B803" t="s">
        <v>2331</v>
      </c>
      <c r="C803">
        <v>24716</v>
      </c>
      <c r="D803">
        <v>0</v>
      </c>
      <c r="F803">
        <v>0</v>
      </c>
    </row>
    <row r="804" spans="1:6" x14ac:dyDescent="0.25">
      <c r="A804" t="s">
        <v>1601</v>
      </c>
      <c r="B804" t="s">
        <v>2332</v>
      </c>
      <c r="C804">
        <v>24717</v>
      </c>
      <c r="D804">
        <v>0</v>
      </c>
      <c r="F804">
        <v>0</v>
      </c>
    </row>
    <row r="805" spans="1:6" x14ac:dyDescent="0.25">
      <c r="A805" t="s">
        <v>1603</v>
      </c>
      <c r="B805" t="s">
        <v>2333</v>
      </c>
      <c r="C805">
        <v>24718</v>
      </c>
      <c r="D805">
        <v>0</v>
      </c>
      <c r="F805">
        <v>0</v>
      </c>
    </row>
    <row r="806" spans="1:6" x14ac:dyDescent="0.25">
      <c r="A806" t="s">
        <v>1605</v>
      </c>
      <c r="B806" t="s">
        <v>2334</v>
      </c>
      <c r="C806">
        <v>24719</v>
      </c>
      <c r="D806">
        <v>0</v>
      </c>
      <c r="F806">
        <v>0</v>
      </c>
    </row>
    <row r="807" spans="1:6" x14ac:dyDescent="0.25">
      <c r="A807" t="s">
        <v>1607</v>
      </c>
      <c r="B807" t="s">
        <v>2335</v>
      </c>
      <c r="C807">
        <v>24720</v>
      </c>
      <c r="D807">
        <v>0</v>
      </c>
      <c r="F807">
        <v>0</v>
      </c>
    </row>
    <row r="808" spans="1:6" x14ac:dyDescent="0.25">
      <c r="A808" t="s">
        <v>2336</v>
      </c>
      <c r="B808" t="s">
        <v>2337</v>
      </c>
      <c r="C808">
        <v>24721</v>
      </c>
      <c r="D808">
        <v>0</v>
      </c>
      <c r="F808">
        <v>0</v>
      </c>
    </row>
    <row r="809" spans="1:6" x14ac:dyDescent="0.25">
      <c r="A809" t="s">
        <v>2338</v>
      </c>
      <c r="B809" t="s">
        <v>2339</v>
      </c>
      <c r="C809">
        <v>24722</v>
      </c>
      <c r="D809">
        <v>0</v>
      </c>
      <c r="F809">
        <v>0</v>
      </c>
    </row>
    <row r="810" spans="1:6" x14ac:dyDescent="0.25">
      <c r="A810" t="s">
        <v>2340</v>
      </c>
      <c r="B810" t="s">
        <v>2341</v>
      </c>
      <c r="C810">
        <v>24723</v>
      </c>
      <c r="D810">
        <v>0</v>
      </c>
      <c r="F810">
        <v>0</v>
      </c>
    </row>
    <row r="811" spans="1:6" x14ac:dyDescent="0.25">
      <c r="A811" t="s">
        <v>2342</v>
      </c>
      <c r="B811" t="s">
        <v>2343</v>
      </c>
      <c r="C811">
        <v>24724</v>
      </c>
      <c r="D811">
        <v>0</v>
      </c>
      <c r="F811">
        <v>0</v>
      </c>
    </row>
    <row r="812" spans="1:6" x14ac:dyDescent="0.25">
      <c r="A812" t="s">
        <v>2344</v>
      </c>
      <c r="B812" t="s">
        <v>2345</v>
      </c>
      <c r="C812">
        <v>24725</v>
      </c>
      <c r="D812">
        <v>0</v>
      </c>
      <c r="F812">
        <v>0</v>
      </c>
    </row>
    <row r="813" spans="1:6" x14ac:dyDescent="0.25">
      <c r="A813" t="s">
        <v>2346</v>
      </c>
      <c r="B813" t="s">
        <v>2347</v>
      </c>
      <c r="C813">
        <v>24726</v>
      </c>
      <c r="D813">
        <v>0</v>
      </c>
      <c r="F813">
        <v>0</v>
      </c>
    </row>
    <row r="814" spans="1:6" x14ac:dyDescent="0.25">
      <c r="A814" t="s">
        <v>2348</v>
      </c>
      <c r="B814" t="s">
        <v>2349</v>
      </c>
      <c r="C814">
        <v>24727</v>
      </c>
      <c r="D814">
        <v>0</v>
      </c>
      <c r="F814">
        <v>0</v>
      </c>
    </row>
    <row r="815" spans="1:6" x14ac:dyDescent="0.25">
      <c r="A815" t="s">
        <v>2350</v>
      </c>
      <c r="B815" t="s">
        <v>2351</v>
      </c>
      <c r="C815">
        <v>24728</v>
      </c>
      <c r="D815">
        <v>0</v>
      </c>
      <c r="F815">
        <v>0</v>
      </c>
    </row>
    <row r="816" spans="1:6" x14ac:dyDescent="0.25">
      <c r="A816" t="s">
        <v>2352</v>
      </c>
      <c r="B816" t="s">
        <v>2353</v>
      </c>
      <c r="C816">
        <v>24729</v>
      </c>
      <c r="D816">
        <v>0</v>
      </c>
      <c r="F816">
        <v>0</v>
      </c>
    </row>
    <row r="817" spans="1:6" x14ac:dyDescent="0.25">
      <c r="A817" t="s">
        <v>2354</v>
      </c>
      <c r="B817" t="s">
        <v>2355</v>
      </c>
      <c r="C817">
        <v>24730</v>
      </c>
      <c r="D817">
        <v>0</v>
      </c>
      <c r="F817">
        <v>0</v>
      </c>
    </row>
    <row r="818" spans="1:6" x14ac:dyDescent="0.25">
      <c r="A818" t="s">
        <v>2356</v>
      </c>
      <c r="B818" t="s">
        <v>2357</v>
      </c>
      <c r="C818">
        <v>24731</v>
      </c>
      <c r="D818">
        <v>0</v>
      </c>
      <c r="F818">
        <v>0</v>
      </c>
    </row>
    <row r="819" spans="1:6" x14ac:dyDescent="0.25">
      <c r="A819" t="s">
        <v>2358</v>
      </c>
      <c r="B819" t="s">
        <v>2359</v>
      </c>
      <c r="C819">
        <v>24732</v>
      </c>
      <c r="D819">
        <v>0</v>
      </c>
      <c r="F819">
        <v>0</v>
      </c>
    </row>
    <row r="820" spans="1:6" x14ac:dyDescent="0.25">
      <c r="A820" t="s">
        <v>2360</v>
      </c>
      <c r="B820" t="s">
        <v>2361</v>
      </c>
      <c r="C820">
        <v>24733</v>
      </c>
      <c r="D820">
        <v>0</v>
      </c>
      <c r="F820">
        <v>0</v>
      </c>
    </row>
    <row r="821" spans="1:6" x14ac:dyDescent="0.25">
      <c r="A821" t="s">
        <v>2362</v>
      </c>
      <c r="B821" t="s">
        <v>2363</v>
      </c>
      <c r="C821">
        <v>24734</v>
      </c>
      <c r="D821">
        <v>0</v>
      </c>
      <c r="F821">
        <v>0</v>
      </c>
    </row>
    <row r="822" spans="1:6" x14ac:dyDescent="0.25">
      <c r="A822" t="s">
        <v>2364</v>
      </c>
      <c r="B822" t="s">
        <v>2365</v>
      </c>
      <c r="C822">
        <v>24735</v>
      </c>
      <c r="D822">
        <v>0</v>
      </c>
      <c r="F822">
        <v>0</v>
      </c>
    </row>
    <row r="823" spans="1:6" x14ac:dyDescent="0.25">
      <c r="A823" t="s">
        <v>2366</v>
      </c>
      <c r="B823" t="s">
        <v>2367</v>
      </c>
      <c r="C823">
        <v>24736</v>
      </c>
      <c r="D823">
        <v>0</v>
      </c>
      <c r="F823">
        <v>0</v>
      </c>
    </row>
    <row r="824" spans="1:6" x14ac:dyDescent="0.25">
      <c r="A824" t="s">
        <v>2368</v>
      </c>
      <c r="B824" t="s">
        <v>2369</v>
      </c>
      <c r="C824">
        <v>24737</v>
      </c>
      <c r="D824">
        <v>0</v>
      </c>
      <c r="F824">
        <v>0</v>
      </c>
    </row>
    <row r="825" spans="1:6" x14ac:dyDescent="0.25">
      <c r="A825" t="s">
        <v>2370</v>
      </c>
      <c r="B825" t="s">
        <v>2371</v>
      </c>
      <c r="C825">
        <v>24738</v>
      </c>
      <c r="D825">
        <v>0</v>
      </c>
      <c r="F825">
        <v>0</v>
      </c>
    </row>
    <row r="826" spans="1:6" x14ac:dyDescent="0.25">
      <c r="A826" t="s">
        <v>2372</v>
      </c>
      <c r="B826" t="s">
        <v>2373</v>
      </c>
      <c r="C826">
        <v>24739</v>
      </c>
      <c r="D826">
        <v>0</v>
      </c>
      <c r="F826">
        <v>0</v>
      </c>
    </row>
    <row r="827" spans="1:6" x14ac:dyDescent="0.25">
      <c r="A827" t="s">
        <v>2374</v>
      </c>
      <c r="B827" t="s">
        <v>2375</v>
      </c>
      <c r="C827">
        <v>24740</v>
      </c>
      <c r="D827">
        <v>0</v>
      </c>
      <c r="F827">
        <v>0</v>
      </c>
    </row>
    <row r="828" spans="1:6" x14ac:dyDescent="0.25">
      <c r="A828" t="s">
        <v>2376</v>
      </c>
      <c r="B828" t="s">
        <v>2377</v>
      </c>
      <c r="C828">
        <v>24741</v>
      </c>
      <c r="D828">
        <v>0</v>
      </c>
      <c r="F828">
        <v>0</v>
      </c>
    </row>
    <row r="829" spans="1:6" x14ac:dyDescent="0.25">
      <c r="B829" t="s">
        <v>2378</v>
      </c>
      <c r="D829">
        <v>0</v>
      </c>
      <c r="F829">
        <v>0</v>
      </c>
    </row>
    <row r="830" spans="1:6" x14ac:dyDescent="0.25">
      <c r="B830" t="s">
        <v>2379</v>
      </c>
    </row>
    <row r="831" spans="1:6" x14ac:dyDescent="0.25">
      <c r="A831" t="s">
        <v>2</v>
      </c>
      <c r="B831" t="s">
        <v>2380</v>
      </c>
      <c r="C831">
        <v>24801</v>
      </c>
      <c r="D831">
        <v>0</v>
      </c>
      <c r="F831">
        <v>0</v>
      </c>
    </row>
    <row r="832" spans="1:6" x14ac:dyDescent="0.25">
      <c r="A832" t="s">
        <v>15</v>
      </c>
      <c r="B832" t="s">
        <v>2381</v>
      </c>
      <c r="C832">
        <v>24802</v>
      </c>
      <c r="D832">
        <v>0</v>
      </c>
      <c r="F832">
        <v>0</v>
      </c>
    </row>
    <row r="833" spans="1:6" x14ac:dyDescent="0.25">
      <c r="A833" t="s">
        <v>16</v>
      </c>
      <c r="B833" t="s">
        <v>2382</v>
      </c>
      <c r="C833">
        <v>24803</v>
      </c>
      <c r="D833">
        <v>0</v>
      </c>
      <c r="F833">
        <v>0</v>
      </c>
    </row>
    <row r="834" spans="1:6" x14ac:dyDescent="0.25">
      <c r="A834" t="s">
        <v>25</v>
      </c>
      <c r="B834" t="s">
        <v>2383</v>
      </c>
      <c r="C834">
        <v>24804</v>
      </c>
      <c r="D834">
        <v>0</v>
      </c>
      <c r="F834">
        <v>0</v>
      </c>
    </row>
    <row r="835" spans="1:6" x14ac:dyDescent="0.25">
      <c r="B835" t="s">
        <v>2384</v>
      </c>
      <c r="D835">
        <v>0</v>
      </c>
      <c r="F835">
        <v>0</v>
      </c>
    </row>
    <row r="836" spans="1:6" x14ac:dyDescent="0.25">
      <c r="B836" t="s">
        <v>2385</v>
      </c>
    </row>
    <row r="837" spans="1:6" x14ac:dyDescent="0.25">
      <c r="A837" t="s">
        <v>2</v>
      </c>
      <c r="B837" t="s">
        <v>1710</v>
      </c>
      <c r="C837">
        <v>24901</v>
      </c>
      <c r="D837">
        <v>0</v>
      </c>
      <c r="F837">
        <v>0</v>
      </c>
    </row>
    <row r="838" spans="1:6" x14ac:dyDescent="0.25">
      <c r="A838" t="s">
        <v>15</v>
      </c>
      <c r="B838" t="s">
        <v>1711</v>
      </c>
      <c r="C838">
        <v>24902</v>
      </c>
      <c r="D838">
        <v>0</v>
      </c>
      <c r="F838">
        <v>0</v>
      </c>
    </row>
    <row r="839" spans="1:6" x14ac:dyDescent="0.25">
      <c r="A839" t="s">
        <v>16</v>
      </c>
      <c r="B839" t="s">
        <v>1712</v>
      </c>
      <c r="C839">
        <v>24903</v>
      </c>
      <c r="D839">
        <v>0</v>
      </c>
      <c r="F839">
        <v>0</v>
      </c>
    </row>
    <row r="840" spans="1:6" x14ac:dyDescent="0.25">
      <c r="A840" t="s">
        <v>25</v>
      </c>
      <c r="B840" t="s">
        <v>1713</v>
      </c>
      <c r="C840">
        <v>24904</v>
      </c>
      <c r="D840">
        <v>0</v>
      </c>
      <c r="F840">
        <v>0</v>
      </c>
    </row>
    <row r="841" spans="1:6" x14ac:dyDescent="0.25">
      <c r="A841" t="s">
        <v>26</v>
      </c>
      <c r="B841" t="s">
        <v>1714</v>
      </c>
      <c r="C841">
        <v>24905</v>
      </c>
      <c r="D841">
        <v>0</v>
      </c>
      <c r="F841">
        <v>0</v>
      </c>
    </row>
    <row r="842" spans="1:6" x14ac:dyDescent="0.25">
      <c r="B842" t="s">
        <v>2386</v>
      </c>
      <c r="D842">
        <v>0</v>
      </c>
      <c r="F842">
        <v>0</v>
      </c>
    </row>
    <row r="843" spans="1:6" x14ac:dyDescent="0.25">
      <c r="B843" t="s">
        <v>1716</v>
      </c>
      <c r="D843">
        <v>1981844</v>
      </c>
      <c r="E843">
        <v>3923</v>
      </c>
      <c r="F843">
        <v>1985767</v>
      </c>
    </row>
    <row r="844" spans="1:6" x14ac:dyDescent="0.25">
      <c r="B844" t="s">
        <v>2387</v>
      </c>
    </row>
    <row r="845" spans="1:6" x14ac:dyDescent="0.25">
      <c r="B845" t="s">
        <v>2388</v>
      </c>
    </row>
    <row r="846" spans="1:6" x14ac:dyDescent="0.25">
      <c r="A846" t="s">
        <v>2</v>
      </c>
      <c r="B846" t="s">
        <v>1793</v>
      </c>
      <c r="C846">
        <v>25101</v>
      </c>
      <c r="D846">
        <v>42525010</v>
      </c>
      <c r="F846">
        <v>42525010</v>
      </c>
    </row>
    <row r="847" spans="1:6" x14ac:dyDescent="0.25">
      <c r="A847" t="s">
        <v>15</v>
      </c>
      <c r="B847" t="s">
        <v>1794</v>
      </c>
      <c r="C847">
        <v>25102</v>
      </c>
      <c r="D847">
        <v>3651975</v>
      </c>
      <c r="F847">
        <v>3651975</v>
      </c>
    </row>
    <row r="848" spans="1:6" x14ac:dyDescent="0.25">
      <c r="A848" t="s">
        <v>16</v>
      </c>
      <c r="B848" t="s">
        <v>1795</v>
      </c>
      <c r="C848">
        <v>25103</v>
      </c>
      <c r="D848">
        <v>753458</v>
      </c>
      <c r="F848">
        <v>753458</v>
      </c>
    </row>
    <row r="849" spans="1:6" x14ac:dyDescent="0.25">
      <c r="A849" t="s">
        <v>25</v>
      </c>
      <c r="B849" t="s">
        <v>1796</v>
      </c>
      <c r="C849">
        <v>25104</v>
      </c>
      <c r="D849">
        <v>100066124</v>
      </c>
      <c r="F849">
        <v>100066124</v>
      </c>
    </row>
    <row r="850" spans="1:6" x14ac:dyDescent="0.25">
      <c r="A850" t="s">
        <v>26</v>
      </c>
      <c r="B850" t="s">
        <v>1797</v>
      </c>
      <c r="C850">
        <v>25105</v>
      </c>
      <c r="D850">
        <v>0</v>
      </c>
      <c r="F850">
        <v>0</v>
      </c>
    </row>
    <row r="851" spans="1:6" x14ac:dyDescent="0.25">
      <c r="B851" t="s">
        <v>1798</v>
      </c>
      <c r="D851">
        <v>146996567</v>
      </c>
      <c r="F851">
        <v>146996567</v>
      </c>
    </row>
    <row r="852" spans="1:6" x14ac:dyDescent="0.25">
      <c r="B852" t="s">
        <v>2389</v>
      </c>
    </row>
    <row r="853" spans="1:6" x14ac:dyDescent="0.25">
      <c r="A853" t="s">
        <v>2</v>
      </c>
      <c r="B853" t="s">
        <v>1793</v>
      </c>
      <c r="C853">
        <v>25201</v>
      </c>
      <c r="D853">
        <v>0</v>
      </c>
      <c r="F853">
        <v>0</v>
      </c>
    </row>
    <row r="854" spans="1:6" x14ac:dyDescent="0.25">
      <c r="A854" t="s">
        <v>15</v>
      </c>
      <c r="B854" t="s">
        <v>1794</v>
      </c>
      <c r="C854">
        <v>25202</v>
      </c>
      <c r="D854">
        <v>0</v>
      </c>
      <c r="F854">
        <v>0</v>
      </c>
    </row>
    <row r="855" spans="1:6" x14ac:dyDescent="0.25">
      <c r="A855" t="s">
        <v>16</v>
      </c>
      <c r="B855" t="s">
        <v>1795</v>
      </c>
      <c r="C855">
        <v>25203</v>
      </c>
      <c r="D855">
        <v>0</v>
      </c>
      <c r="F855">
        <v>0</v>
      </c>
    </row>
    <row r="856" spans="1:6" x14ac:dyDescent="0.25">
      <c r="A856" t="s">
        <v>25</v>
      </c>
      <c r="B856" t="s">
        <v>1796</v>
      </c>
      <c r="C856">
        <v>25204</v>
      </c>
      <c r="D856">
        <v>0</v>
      </c>
      <c r="F856">
        <v>0</v>
      </c>
    </row>
    <row r="857" spans="1:6" x14ac:dyDescent="0.25">
      <c r="A857" t="s">
        <v>26</v>
      </c>
      <c r="B857" t="s">
        <v>1797</v>
      </c>
      <c r="C857">
        <v>25205</v>
      </c>
      <c r="D857">
        <v>0</v>
      </c>
      <c r="F857">
        <v>0</v>
      </c>
    </row>
    <row r="858" spans="1:6" x14ac:dyDescent="0.25">
      <c r="B858" t="s">
        <v>1800</v>
      </c>
      <c r="D858">
        <v>0</v>
      </c>
      <c r="F858">
        <v>0</v>
      </c>
    </row>
    <row r="859" spans="1:6" x14ac:dyDescent="0.25">
      <c r="B859" t="s">
        <v>2390</v>
      </c>
    </row>
    <row r="860" spans="1:6" x14ac:dyDescent="0.25">
      <c r="A860" t="s">
        <v>2</v>
      </c>
      <c r="B860" t="s">
        <v>1793</v>
      </c>
      <c r="C860">
        <v>25301</v>
      </c>
      <c r="D860">
        <v>1683</v>
      </c>
      <c r="F860">
        <v>1683</v>
      </c>
    </row>
    <row r="861" spans="1:6" x14ac:dyDescent="0.25">
      <c r="A861" t="s">
        <v>15</v>
      </c>
      <c r="B861" t="s">
        <v>1794</v>
      </c>
      <c r="C861">
        <v>25302</v>
      </c>
      <c r="D861">
        <v>0</v>
      </c>
      <c r="F861">
        <v>0</v>
      </c>
    </row>
    <row r="862" spans="1:6" x14ac:dyDescent="0.25">
      <c r="A862" t="s">
        <v>16</v>
      </c>
      <c r="B862" t="s">
        <v>1795</v>
      </c>
      <c r="C862">
        <v>25303</v>
      </c>
      <c r="D862">
        <v>0</v>
      </c>
      <c r="F862">
        <v>0</v>
      </c>
    </row>
    <row r="863" spans="1:6" x14ac:dyDescent="0.25">
      <c r="A863" t="s">
        <v>25</v>
      </c>
      <c r="B863" t="s">
        <v>1796</v>
      </c>
      <c r="C863">
        <v>25304</v>
      </c>
      <c r="D863">
        <v>0</v>
      </c>
      <c r="F863">
        <v>0</v>
      </c>
    </row>
    <row r="864" spans="1:6" x14ac:dyDescent="0.25">
      <c r="A864" t="s">
        <v>26</v>
      </c>
      <c r="B864" t="s">
        <v>1797</v>
      </c>
      <c r="C864">
        <v>25305</v>
      </c>
      <c r="D864">
        <v>0</v>
      </c>
      <c r="F864">
        <v>0</v>
      </c>
    </row>
    <row r="865" spans="1:6" x14ac:dyDescent="0.25">
      <c r="B865" t="s">
        <v>1802</v>
      </c>
      <c r="D865">
        <v>1683</v>
      </c>
      <c r="F865">
        <v>1683</v>
      </c>
    </row>
    <row r="866" spans="1:6" x14ac:dyDescent="0.25">
      <c r="B866" t="s">
        <v>2391</v>
      </c>
    </row>
    <row r="867" spans="1:6" x14ac:dyDescent="0.25">
      <c r="A867" t="s">
        <v>2</v>
      </c>
      <c r="B867" t="s">
        <v>1793</v>
      </c>
      <c r="C867">
        <v>25401</v>
      </c>
      <c r="D867">
        <v>0</v>
      </c>
      <c r="F867">
        <v>0</v>
      </c>
    </row>
    <row r="868" spans="1:6" x14ac:dyDescent="0.25">
      <c r="A868" t="s">
        <v>15</v>
      </c>
      <c r="B868" t="s">
        <v>1794</v>
      </c>
      <c r="C868">
        <v>25402</v>
      </c>
      <c r="D868">
        <v>0</v>
      </c>
      <c r="F868">
        <v>0</v>
      </c>
    </row>
    <row r="869" spans="1:6" x14ac:dyDescent="0.25">
      <c r="A869" t="s">
        <v>16</v>
      </c>
      <c r="B869" t="s">
        <v>1795</v>
      </c>
      <c r="C869">
        <v>25403</v>
      </c>
      <c r="D869">
        <v>0</v>
      </c>
      <c r="F869">
        <v>0</v>
      </c>
    </row>
    <row r="870" spans="1:6" x14ac:dyDescent="0.25">
      <c r="A870" t="s">
        <v>25</v>
      </c>
      <c r="B870" t="s">
        <v>1796</v>
      </c>
      <c r="C870">
        <v>25404</v>
      </c>
      <c r="D870">
        <v>0</v>
      </c>
      <c r="F870">
        <v>0</v>
      </c>
    </row>
    <row r="871" spans="1:6" x14ac:dyDescent="0.25">
      <c r="A871" t="s">
        <v>26</v>
      </c>
      <c r="B871" t="s">
        <v>1797</v>
      </c>
      <c r="C871">
        <v>25405</v>
      </c>
      <c r="D871">
        <v>0</v>
      </c>
      <c r="F871">
        <v>0</v>
      </c>
    </row>
    <row r="872" spans="1:6" x14ac:dyDescent="0.25">
      <c r="B872" t="s">
        <v>1804</v>
      </c>
      <c r="D872">
        <v>0</v>
      </c>
      <c r="F872">
        <v>0</v>
      </c>
    </row>
    <row r="873" spans="1:6" x14ac:dyDescent="0.25">
      <c r="B873" t="s">
        <v>2392</v>
      </c>
    </row>
    <row r="874" spans="1:6" x14ac:dyDescent="0.25">
      <c r="A874" t="s">
        <v>2</v>
      </c>
      <c r="B874" t="s">
        <v>1793</v>
      </c>
      <c r="C874">
        <v>25501</v>
      </c>
      <c r="D874">
        <v>1062070</v>
      </c>
      <c r="F874">
        <v>1062070</v>
      </c>
    </row>
    <row r="875" spans="1:6" x14ac:dyDescent="0.25">
      <c r="A875" t="s">
        <v>15</v>
      </c>
      <c r="B875" t="s">
        <v>1794</v>
      </c>
      <c r="C875">
        <v>25502</v>
      </c>
      <c r="D875">
        <v>0</v>
      </c>
      <c r="F875">
        <v>0</v>
      </c>
    </row>
    <row r="876" spans="1:6" x14ac:dyDescent="0.25">
      <c r="A876" t="s">
        <v>16</v>
      </c>
      <c r="B876" t="s">
        <v>1795</v>
      </c>
      <c r="C876">
        <v>25503</v>
      </c>
      <c r="D876">
        <v>22949</v>
      </c>
      <c r="F876">
        <v>22949</v>
      </c>
    </row>
    <row r="877" spans="1:6" x14ac:dyDescent="0.25">
      <c r="A877" t="s">
        <v>25</v>
      </c>
      <c r="B877" t="s">
        <v>1796</v>
      </c>
      <c r="C877">
        <v>25504</v>
      </c>
      <c r="D877">
        <v>0</v>
      </c>
      <c r="F877">
        <v>0</v>
      </c>
    </row>
    <row r="878" spans="1:6" x14ac:dyDescent="0.25">
      <c r="A878" t="s">
        <v>26</v>
      </c>
      <c r="B878" t="s">
        <v>1797</v>
      </c>
      <c r="C878">
        <v>25505</v>
      </c>
      <c r="D878">
        <v>0</v>
      </c>
      <c r="F878">
        <v>0</v>
      </c>
    </row>
    <row r="879" spans="1:6" x14ac:dyDescent="0.25">
      <c r="B879" t="s">
        <v>1806</v>
      </c>
      <c r="D879">
        <v>1085019</v>
      </c>
      <c r="F879">
        <v>1085019</v>
      </c>
    </row>
    <row r="880" spans="1:6" x14ac:dyDescent="0.25">
      <c r="B880" t="s">
        <v>2393</v>
      </c>
    </row>
    <row r="881" spans="1:6" x14ac:dyDescent="0.25">
      <c r="A881" t="s">
        <v>2</v>
      </c>
      <c r="B881" t="s">
        <v>2394</v>
      </c>
      <c r="C881">
        <v>25601</v>
      </c>
      <c r="D881">
        <v>0</v>
      </c>
      <c r="F881">
        <v>0</v>
      </c>
    </row>
    <row r="882" spans="1:6" x14ac:dyDescent="0.25">
      <c r="A882" t="s">
        <v>15</v>
      </c>
      <c r="B882" t="s">
        <v>2395</v>
      </c>
      <c r="C882">
        <v>25602</v>
      </c>
      <c r="D882">
        <v>0</v>
      </c>
      <c r="F882">
        <v>0</v>
      </c>
    </row>
    <row r="883" spans="1:6" x14ac:dyDescent="0.25">
      <c r="A883" t="s">
        <v>16</v>
      </c>
      <c r="B883" t="s">
        <v>2396</v>
      </c>
      <c r="C883">
        <v>25603</v>
      </c>
      <c r="D883">
        <v>0</v>
      </c>
      <c r="F883">
        <v>0</v>
      </c>
    </row>
    <row r="884" spans="1:6" x14ac:dyDescent="0.25">
      <c r="A884" t="s">
        <v>25</v>
      </c>
      <c r="B884" t="s">
        <v>2397</v>
      </c>
      <c r="C884">
        <v>25604</v>
      </c>
      <c r="D884">
        <v>0</v>
      </c>
      <c r="F884">
        <v>0</v>
      </c>
    </row>
    <row r="885" spans="1:6" x14ac:dyDescent="0.25">
      <c r="A885" t="s">
        <v>26</v>
      </c>
      <c r="B885" t="s">
        <v>2398</v>
      </c>
      <c r="C885">
        <v>25605</v>
      </c>
      <c r="D885">
        <v>0</v>
      </c>
      <c r="F885">
        <v>0</v>
      </c>
    </row>
    <row r="886" spans="1:6" x14ac:dyDescent="0.25">
      <c r="A886" t="s">
        <v>27</v>
      </c>
      <c r="B886" t="s">
        <v>2399</v>
      </c>
      <c r="C886">
        <v>25606</v>
      </c>
      <c r="D886">
        <v>0</v>
      </c>
      <c r="F886">
        <v>0</v>
      </c>
    </row>
    <row r="887" spans="1:6" x14ac:dyDescent="0.25">
      <c r="A887" t="s">
        <v>531</v>
      </c>
      <c r="B887" t="s">
        <v>2400</v>
      </c>
      <c r="C887">
        <v>25607</v>
      </c>
      <c r="D887">
        <v>0</v>
      </c>
      <c r="F887">
        <v>0</v>
      </c>
    </row>
    <row r="888" spans="1:6" x14ac:dyDescent="0.25">
      <c r="A888" t="s">
        <v>1583</v>
      </c>
      <c r="B888" t="s">
        <v>2401</v>
      </c>
      <c r="C888">
        <v>25608</v>
      </c>
      <c r="D888">
        <v>0</v>
      </c>
      <c r="F888">
        <v>0</v>
      </c>
    </row>
    <row r="889" spans="1:6" x14ac:dyDescent="0.25">
      <c r="A889" t="s">
        <v>1585</v>
      </c>
      <c r="B889" t="s">
        <v>2402</v>
      </c>
      <c r="C889">
        <v>25609</v>
      </c>
      <c r="D889">
        <v>0</v>
      </c>
      <c r="F889">
        <v>0</v>
      </c>
    </row>
    <row r="890" spans="1:6" x14ac:dyDescent="0.25">
      <c r="A890" t="s">
        <v>1587</v>
      </c>
      <c r="B890" t="s">
        <v>2403</v>
      </c>
      <c r="C890">
        <v>25610</v>
      </c>
      <c r="D890">
        <v>0</v>
      </c>
      <c r="F890">
        <v>0</v>
      </c>
    </row>
    <row r="891" spans="1:6" x14ac:dyDescent="0.25">
      <c r="A891" t="s">
        <v>1589</v>
      </c>
      <c r="B891" t="s">
        <v>2404</v>
      </c>
      <c r="C891">
        <v>25611</v>
      </c>
      <c r="D891">
        <v>0</v>
      </c>
      <c r="F891">
        <v>0</v>
      </c>
    </row>
    <row r="892" spans="1:6" x14ac:dyDescent="0.25">
      <c r="A892" t="s">
        <v>1591</v>
      </c>
      <c r="B892" t="s">
        <v>2405</v>
      </c>
      <c r="C892">
        <v>25612</v>
      </c>
      <c r="D892">
        <v>0</v>
      </c>
      <c r="F892">
        <v>0</v>
      </c>
    </row>
    <row r="893" spans="1:6" x14ac:dyDescent="0.25">
      <c r="A893" t="s">
        <v>1593</v>
      </c>
      <c r="B893" t="s">
        <v>2406</v>
      </c>
      <c r="C893">
        <v>25613</v>
      </c>
      <c r="D893">
        <v>0</v>
      </c>
      <c r="F893">
        <v>0</v>
      </c>
    </row>
    <row r="894" spans="1:6" x14ac:dyDescent="0.25">
      <c r="A894" t="s">
        <v>1595</v>
      </c>
      <c r="B894" t="s">
        <v>2407</v>
      </c>
      <c r="C894">
        <v>25614</v>
      </c>
      <c r="D894">
        <v>0</v>
      </c>
      <c r="F894">
        <v>0</v>
      </c>
    </row>
    <row r="895" spans="1:6" x14ac:dyDescent="0.25">
      <c r="A895" t="s">
        <v>1597</v>
      </c>
      <c r="B895" t="s">
        <v>2408</v>
      </c>
      <c r="C895">
        <v>25615</v>
      </c>
      <c r="D895">
        <v>0</v>
      </c>
      <c r="F895">
        <v>0</v>
      </c>
    </row>
    <row r="896" spans="1:6" x14ac:dyDescent="0.25">
      <c r="A896" t="s">
        <v>1599</v>
      </c>
      <c r="B896" t="s">
        <v>2409</v>
      </c>
      <c r="C896">
        <v>25616</v>
      </c>
      <c r="D896">
        <v>0</v>
      </c>
      <c r="F896">
        <v>0</v>
      </c>
    </row>
    <row r="897" spans="1:6" x14ac:dyDescent="0.25">
      <c r="A897" t="s">
        <v>1601</v>
      </c>
      <c r="B897" t="s">
        <v>2410</v>
      </c>
      <c r="C897">
        <v>25617</v>
      </c>
      <c r="D897">
        <v>0</v>
      </c>
      <c r="F897">
        <v>0</v>
      </c>
    </row>
    <row r="898" spans="1:6" x14ac:dyDescent="0.25">
      <c r="A898" t="s">
        <v>1603</v>
      </c>
      <c r="B898" t="s">
        <v>2411</v>
      </c>
      <c r="C898">
        <v>25618</v>
      </c>
      <c r="D898">
        <v>0</v>
      </c>
      <c r="F898">
        <v>0</v>
      </c>
    </row>
    <row r="899" spans="1:6" x14ac:dyDescent="0.25">
      <c r="A899" t="s">
        <v>1605</v>
      </c>
      <c r="B899" t="s">
        <v>2412</v>
      </c>
      <c r="C899">
        <v>25619</v>
      </c>
      <c r="D899">
        <v>0</v>
      </c>
      <c r="F899">
        <v>0</v>
      </c>
    </row>
    <row r="900" spans="1:6" x14ac:dyDescent="0.25">
      <c r="A900" t="s">
        <v>1607</v>
      </c>
      <c r="B900" t="s">
        <v>2413</v>
      </c>
      <c r="C900">
        <v>25620</v>
      </c>
      <c r="D900">
        <v>0</v>
      </c>
      <c r="F900">
        <v>0</v>
      </c>
    </row>
    <row r="901" spans="1:6" x14ac:dyDescent="0.25">
      <c r="A901" t="s">
        <v>2336</v>
      </c>
      <c r="B901" t="s">
        <v>2414</v>
      </c>
      <c r="C901">
        <v>25621</v>
      </c>
      <c r="D901">
        <v>0</v>
      </c>
      <c r="F901">
        <v>0</v>
      </c>
    </row>
    <row r="902" spans="1:6" x14ac:dyDescent="0.25">
      <c r="A902" t="s">
        <v>2338</v>
      </c>
      <c r="B902" t="s">
        <v>2415</v>
      </c>
      <c r="C902">
        <v>25622</v>
      </c>
      <c r="D902">
        <v>0</v>
      </c>
      <c r="F902">
        <v>0</v>
      </c>
    </row>
    <row r="903" spans="1:6" x14ac:dyDescent="0.25">
      <c r="A903" t="s">
        <v>2340</v>
      </c>
      <c r="B903" t="s">
        <v>2416</v>
      </c>
      <c r="C903">
        <v>25623</v>
      </c>
      <c r="D903">
        <v>0</v>
      </c>
      <c r="F903">
        <v>0</v>
      </c>
    </row>
    <row r="904" spans="1:6" x14ac:dyDescent="0.25">
      <c r="A904" t="s">
        <v>2342</v>
      </c>
      <c r="B904" t="s">
        <v>2417</v>
      </c>
      <c r="C904">
        <v>25624</v>
      </c>
      <c r="D904">
        <v>0</v>
      </c>
      <c r="F904">
        <v>0</v>
      </c>
    </row>
    <row r="905" spans="1:6" x14ac:dyDescent="0.25">
      <c r="A905" t="s">
        <v>2344</v>
      </c>
      <c r="B905" t="s">
        <v>2418</v>
      </c>
      <c r="C905">
        <v>25625</v>
      </c>
      <c r="D905">
        <v>0</v>
      </c>
      <c r="F905">
        <v>0</v>
      </c>
    </row>
    <row r="906" spans="1:6" x14ac:dyDescent="0.25">
      <c r="A906" t="s">
        <v>2346</v>
      </c>
      <c r="B906" t="s">
        <v>2419</v>
      </c>
      <c r="C906">
        <v>25626</v>
      </c>
      <c r="D906">
        <v>0</v>
      </c>
      <c r="F906">
        <v>0</v>
      </c>
    </row>
    <row r="907" spans="1:6" x14ac:dyDescent="0.25">
      <c r="A907" t="s">
        <v>2348</v>
      </c>
      <c r="B907" t="s">
        <v>2420</v>
      </c>
      <c r="C907">
        <v>25627</v>
      </c>
      <c r="D907">
        <v>0</v>
      </c>
      <c r="F907">
        <v>0</v>
      </c>
    </row>
    <row r="908" spans="1:6" x14ac:dyDescent="0.25">
      <c r="B908" t="s">
        <v>2421</v>
      </c>
      <c r="D908">
        <v>0</v>
      </c>
      <c r="F908">
        <v>0</v>
      </c>
    </row>
    <row r="909" spans="1:6" x14ac:dyDescent="0.25">
      <c r="B909" t="s">
        <v>1728</v>
      </c>
      <c r="D909">
        <v>148083269</v>
      </c>
      <c r="F909">
        <v>148083269</v>
      </c>
    </row>
    <row r="910" spans="1:6" x14ac:dyDescent="0.25">
      <c r="B910" t="s">
        <v>1809</v>
      </c>
    </row>
    <row r="911" spans="1:6" x14ac:dyDescent="0.25">
      <c r="B911" t="s">
        <v>1810</v>
      </c>
    </row>
    <row r="912" spans="1:6" x14ac:dyDescent="0.25">
      <c r="A912" t="s">
        <v>2</v>
      </c>
      <c r="B912" t="s">
        <v>2422</v>
      </c>
      <c r="C912">
        <v>26101</v>
      </c>
      <c r="D912">
        <v>427766</v>
      </c>
      <c r="F912">
        <v>427766</v>
      </c>
    </row>
    <row r="913" spans="1:6" x14ac:dyDescent="0.25">
      <c r="B913" t="s">
        <v>1817</v>
      </c>
    </row>
    <row r="914" spans="1:6" x14ac:dyDescent="0.25">
      <c r="A914" t="s">
        <v>2</v>
      </c>
      <c r="B914" t="s">
        <v>2423</v>
      </c>
      <c r="C914">
        <v>26201</v>
      </c>
      <c r="D914">
        <v>84117981</v>
      </c>
      <c r="F914">
        <v>84117981</v>
      </c>
    </row>
    <row r="915" spans="1:6" x14ac:dyDescent="0.25">
      <c r="B915" t="s">
        <v>2424</v>
      </c>
    </row>
    <row r="916" spans="1:6" x14ac:dyDescent="0.25">
      <c r="A916" t="s">
        <v>2</v>
      </c>
      <c r="B916" t="s">
        <v>2425</v>
      </c>
      <c r="C916">
        <v>26301</v>
      </c>
      <c r="D916">
        <v>183683016</v>
      </c>
      <c r="F916">
        <v>183683016</v>
      </c>
    </row>
    <row r="917" spans="1:6" x14ac:dyDescent="0.25">
      <c r="B917" t="s">
        <v>1827</v>
      </c>
    </row>
    <row r="918" spans="1:6" x14ac:dyDescent="0.25">
      <c r="A918" t="s">
        <v>2</v>
      </c>
      <c r="B918" t="s">
        <v>2426</v>
      </c>
      <c r="C918">
        <v>26401</v>
      </c>
      <c r="D918">
        <v>19290</v>
      </c>
      <c r="F918">
        <v>19290</v>
      </c>
    </row>
    <row r="919" spans="1:6" x14ac:dyDescent="0.25">
      <c r="B919" t="s">
        <v>2273</v>
      </c>
    </row>
    <row r="920" spans="1:6" x14ac:dyDescent="0.25">
      <c r="A920" t="s">
        <v>2</v>
      </c>
      <c r="B920" t="s">
        <v>2427</v>
      </c>
      <c r="C920">
        <v>26501</v>
      </c>
      <c r="D920">
        <v>1598304</v>
      </c>
      <c r="F920">
        <v>1598304</v>
      </c>
    </row>
    <row r="921" spans="1:6" x14ac:dyDescent="0.25">
      <c r="B921" t="s">
        <v>1732</v>
      </c>
      <c r="D921">
        <v>269846357</v>
      </c>
      <c r="F921">
        <v>269846357</v>
      </c>
    </row>
    <row r="922" spans="1:6" x14ac:dyDescent="0.25">
      <c r="B922" t="s">
        <v>1836</v>
      </c>
    </row>
    <row r="923" spans="1:6" x14ac:dyDescent="0.25">
      <c r="B923" t="s">
        <v>1385</v>
      </c>
    </row>
    <row r="924" spans="1:6" x14ac:dyDescent="0.25">
      <c r="A924" t="s">
        <v>2</v>
      </c>
      <c r="B924" t="s">
        <v>1837</v>
      </c>
      <c r="C924">
        <v>27101</v>
      </c>
      <c r="D924">
        <v>0</v>
      </c>
      <c r="E924">
        <v>0</v>
      </c>
      <c r="F924">
        <v>0</v>
      </c>
    </row>
    <row r="925" spans="1:6" x14ac:dyDescent="0.25">
      <c r="A925" t="s">
        <v>15</v>
      </c>
      <c r="B925" t="s">
        <v>1838</v>
      </c>
      <c r="C925">
        <v>27102</v>
      </c>
      <c r="D925">
        <v>91870</v>
      </c>
      <c r="E925">
        <v>1161</v>
      </c>
      <c r="F925">
        <v>93031</v>
      </c>
    </row>
    <row r="926" spans="1:6" x14ac:dyDescent="0.25">
      <c r="A926" t="s">
        <v>16</v>
      </c>
      <c r="B926" t="s">
        <v>1689</v>
      </c>
      <c r="C926">
        <v>27103</v>
      </c>
      <c r="D926">
        <v>37465</v>
      </c>
      <c r="E926">
        <v>51</v>
      </c>
      <c r="F926">
        <v>37516</v>
      </c>
    </row>
    <row r="927" spans="1:6" x14ac:dyDescent="0.25">
      <c r="A927" t="s">
        <v>25</v>
      </c>
      <c r="B927" t="s">
        <v>1839</v>
      </c>
      <c r="C927">
        <v>27104</v>
      </c>
      <c r="D927">
        <v>9372</v>
      </c>
      <c r="E927">
        <v>56</v>
      </c>
      <c r="F927">
        <v>9428</v>
      </c>
    </row>
    <row r="928" spans="1:6" x14ac:dyDescent="0.25">
      <c r="B928" t="s">
        <v>1840</v>
      </c>
      <c r="D928">
        <v>138707</v>
      </c>
      <c r="E928">
        <v>1268</v>
      </c>
      <c r="F928">
        <v>139975</v>
      </c>
    </row>
    <row r="929" spans="1:6" x14ac:dyDescent="0.25">
      <c r="B929" t="s">
        <v>1386</v>
      </c>
    </row>
    <row r="930" spans="1:6" x14ac:dyDescent="0.25">
      <c r="A930" t="s">
        <v>2</v>
      </c>
      <c r="B930" t="s">
        <v>1837</v>
      </c>
      <c r="C930">
        <v>27201</v>
      </c>
      <c r="D930">
        <v>0</v>
      </c>
      <c r="E930">
        <v>0</v>
      </c>
      <c r="F930">
        <v>0</v>
      </c>
    </row>
    <row r="931" spans="1:6" x14ac:dyDescent="0.25">
      <c r="A931" t="s">
        <v>15</v>
      </c>
      <c r="B931" t="s">
        <v>1838</v>
      </c>
      <c r="C931">
        <v>27202</v>
      </c>
      <c r="D931">
        <v>488350</v>
      </c>
      <c r="E931">
        <v>16948</v>
      </c>
      <c r="F931">
        <v>505298</v>
      </c>
    </row>
    <row r="932" spans="1:6" x14ac:dyDescent="0.25">
      <c r="A932" t="s">
        <v>16</v>
      </c>
      <c r="B932" t="s">
        <v>1689</v>
      </c>
      <c r="C932">
        <v>27203</v>
      </c>
      <c r="D932">
        <v>148775</v>
      </c>
      <c r="E932">
        <v>350</v>
      </c>
      <c r="F932">
        <v>149125</v>
      </c>
    </row>
    <row r="933" spans="1:6" x14ac:dyDescent="0.25">
      <c r="A933" t="s">
        <v>25</v>
      </c>
      <c r="B933" t="s">
        <v>1839</v>
      </c>
      <c r="C933">
        <v>27204</v>
      </c>
      <c r="D933">
        <v>4024723</v>
      </c>
      <c r="E933">
        <v>51795</v>
      </c>
      <c r="F933">
        <v>4076518</v>
      </c>
    </row>
    <row r="934" spans="1:6" x14ac:dyDescent="0.25">
      <c r="B934" t="s">
        <v>1841</v>
      </c>
      <c r="D934">
        <v>4661848</v>
      </c>
      <c r="E934">
        <v>69093</v>
      </c>
      <c r="F934">
        <v>4730941</v>
      </c>
    </row>
    <row r="935" spans="1:6" x14ac:dyDescent="0.25">
      <c r="B935" t="s">
        <v>1387</v>
      </c>
    </row>
    <row r="936" spans="1:6" x14ac:dyDescent="0.25">
      <c r="A936" t="s">
        <v>2</v>
      </c>
      <c r="B936" t="s">
        <v>1842</v>
      </c>
      <c r="C936">
        <v>27301</v>
      </c>
      <c r="D936">
        <v>0</v>
      </c>
      <c r="E936">
        <v>5846</v>
      </c>
      <c r="F936">
        <v>5846</v>
      </c>
    </row>
    <row r="937" spans="1:6" x14ac:dyDescent="0.25">
      <c r="A937" t="s">
        <v>15</v>
      </c>
      <c r="B937" t="s">
        <v>1843</v>
      </c>
      <c r="C937">
        <v>27302</v>
      </c>
      <c r="D937">
        <v>0</v>
      </c>
      <c r="E937">
        <v>0</v>
      </c>
      <c r="F937">
        <v>0</v>
      </c>
    </row>
    <row r="938" spans="1:6" x14ac:dyDescent="0.25">
      <c r="A938" t="s">
        <v>16</v>
      </c>
      <c r="B938" t="s">
        <v>1844</v>
      </c>
      <c r="C938">
        <v>27303</v>
      </c>
      <c r="D938">
        <v>0</v>
      </c>
      <c r="E938">
        <v>0</v>
      </c>
      <c r="F938">
        <v>0</v>
      </c>
    </row>
    <row r="939" spans="1:6" x14ac:dyDescent="0.25">
      <c r="A939" t="s">
        <v>25</v>
      </c>
      <c r="B939" t="s">
        <v>1845</v>
      </c>
      <c r="C939">
        <v>27304</v>
      </c>
      <c r="D939">
        <v>58119</v>
      </c>
      <c r="E939">
        <v>22084</v>
      </c>
      <c r="F939">
        <v>80203</v>
      </c>
    </row>
    <row r="940" spans="1:6" x14ac:dyDescent="0.25">
      <c r="B940" t="s">
        <v>1846</v>
      </c>
      <c r="D940">
        <v>58119</v>
      </c>
      <c r="E940">
        <v>27930</v>
      </c>
      <c r="F940">
        <v>86049</v>
      </c>
    </row>
    <row r="941" spans="1:6" x14ac:dyDescent="0.25">
      <c r="B941" t="s">
        <v>1388</v>
      </c>
    </row>
    <row r="942" spans="1:6" x14ac:dyDescent="0.25">
      <c r="A942" t="s">
        <v>2</v>
      </c>
      <c r="B942" t="s">
        <v>1847</v>
      </c>
      <c r="C942">
        <v>27401</v>
      </c>
      <c r="D942">
        <v>5</v>
      </c>
      <c r="E942">
        <v>0</v>
      </c>
      <c r="F942">
        <v>5</v>
      </c>
    </row>
    <row r="943" spans="1:6" x14ac:dyDescent="0.25">
      <c r="A943" t="s">
        <v>15</v>
      </c>
      <c r="B943" t="s">
        <v>1848</v>
      </c>
      <c r="C943">
        <v>27402</v>
      </c>
      <c r="D943">
        <v>337889</v>
      </c>
      <c r="E943">
        <v>18881</v>
      </c>
      <c r="F943">
        <v>356770</v>
      </c>
    </row>
    <row r="944" spans="1:6" x14ac:dyDescent="0.25">
      <c r="A944" t="s">
        <v>16</v>
      </c>
      <c r="B944" t="s">
        <v>1849</v>
      </c>
      <c r="C944">
        <v>27403</v>
      </c>
      <c r="D944">
        <v>158123</v>
      </c>
      <c r="E944">
        <v>167</v>
      </c>
      <c r="F944">
        <v>158290</v>
      </c>
    </row>
    <row r="945" spans="1:6" x14ac:dyDescent="0.25">
      <c r="A945" t="s">
        <v>25</v>
      </c>
      <c r="B945" t="s">
        <v>1850</v>
      </c>
      <c r="C945">
        <v>27404</v>
      </c>
      <c r="D945">
        <v>201512</v>
      </c>
      <c r="E945">
        <v>8134</v>
      </c>
      <c r="F945">
        <v>209646</v>
      </c>
    </row>
    <row r="946" spans="1:6" x14ac:dyDescent="0.25">
      <c r="A946" t="s">
        <v>26</v>
      </c>
      <c r="B946" t="s">
        <v>1851</v>
      </c>
      <c r="C946">
        <v>27405</v>
      </c>
      <c r="D946">
        <v>0</v>
      </c>
      <c r="E946">
        <v>0</v>
      </c>
      <c r="F946">
        <v>0</v>
      </c>
    </row>
    <row r="947" spans="1:6" x14ac:dyDescent="0.25">
      <c r="A947" t="s">
        <v>27</v>
      </c>
      <c r="B947" t="s">
        <v>1852</v>
      </c>
      <c r="C947">
        <v>27406</v>
      </c>
      <c r="D947">
        <v>0</v>
      </c>
      <c r="E947">
        <v>0</v>
      </c>
      <c r="F947">
        <v>0</v>
      </c>
    </row>
    <row r="948" spans="1:6" x14ac:dyDescent="0.25">
      <c r="A948" t="s">
        <v>531</v>
      </c>
      <c r="B948" t="s">
        <v>1853</v>
      </c>
      <c r="C948">
        <v>27407</v>
      </c>
      <c r="D948">
        <v>0</v>
      </c>
      <c r="E948">
        <v>0</v>
      </c>
      <c r="F948">
        <v>0</v>
      </c>
    </row>
    <row r="949" spans="1:6" x14ac:dyDescent="0.25">
      <c r="A949" t="s">
        <v>1583</v>
      </c>
      <c r="B949" t="s">
        <v>1854</v>
      </c>
      <c r="C949">
        <v>27408</v>
      </c>
      <c r="D949">
        <v>85231</v>
      </c>
      <c r="E949">
        <v>16462</v>
      </c>
      <c r="F949">
        <v>101693</v>
      </c>
    </row>
    <row r="950" spans="1:6" x14ac:dyDescent="0.25">
      <c r="A950" t="s">
        <v>1585</v>
      </c>
      <c r="B950" t="s">
        <v>1855</v>
      </c>
      <c r="C950">
        <v>27409</v>
      </c>
      <c r="D950">
        <v>157156</v>
      </c>
      <c r="E950">
        <v>32893</v>
      </c>
      <c r="F950">
        <v>190049</v>
      </c>
    </row>
    <row r="951" spans="1:6" x14ac:dyDescent="0.25">
      <c r="B951" t="s">
        <v>1856</v>
      </c>
      <c r="D951">
        <v>939916</v>
      </c>
      <c r="E951">
        <v>76537</v>
      </c>
      <c r="F951">
        <v>1016453</v>
      </c>
    </row>
    <row r="952" spans="1:6" x14ac:dyDescent="0.25">
      <c r="B952" t="s">
        <v>1857</v>
      </c>
    </row>
    <row r="953" spans="1:6" x14ac:dyDescent="0.25">
      <c r="A953" t="s">
        <v>2</v>
      </c>
      <c r="B953" t="s">
        <v>1842</v>
      </c>
      <c r="C953">
        <v>27501</v>
      </c>
      <c r="D953">
        <v>0</v>
      </c>
      <c r="E953">
        <v>0</v>
      </c>
      <c r="F953">
        <v>0</v>
      </c>
    </row>
    <row r="954" spans="1:6" x14ac:dyDescent="0.25">
      <c r="A954" t="s">
        <v>15</v>
      </c>
      <c r="B954" t="s">
        <v>1843</v>
      </c>
      <c r="C954">
        <v>27502</v>
      </c>
      <c r="D954">
        <v>1522238</v>
      </c>
      <c r="E954">
        <v>81081</v>
      </c>
      <c r="F954">
        <v>1603319</v>
      </c>
    </row>
    <row r="955" spans="1:6" x14ac:dyDescent="0.25">
      <c r="A955" t="s">
        <v>16</v>
      </c>
      <c r="B955" t="s">
        <v>1844</v>
      </c>
      <c r="C955">
        <v>27503</v>
      </c>
      <c r="D955">
        <v>320</v>
      </c>
      <c r="E955">
        <v>0</v>
      </c>
      <c r="F955">
        <v>320</v>
      </c>
    </row>
    <row r="956" spans="1:6" x14ac:dyDescent="0.25">
      <c r="A956" t="s">
        <v>25</v>
      </c>
      <c r="B956" t="s">
        <v>1845</v>
      </c>
      <c r="C956">
        <v>27504</v>
      </c>
      <c r="D956">
        <v>0</v>
      </c>
      <c r="E956">
        <v>0</v>
      </c>
      <c r="F956">
        <v>0</v>
      </c>
    </row>
    <row r="957" spans="1:6" x14ac:dyDescent="0.25">
      <c r="B957" t="s">
        <v>1858</v>
      </c>
      <c r="D957">
        <v>1522558</v>
      </c>
      <c r="E957">
        <v>81081</v>
      </c>
      <c r="F957">
        <v>1603639</v>
      </c>
    </row>
    <row r="958" spans="1:6" x14ac:dyDescent="0.25">
      <c r="B958" t="s">
        <v>1390</v>
      </c>
    </row>
    <row r="959" spans="1:6" x14ac:dyDescent="0.25">
      <c r="A959" t="s">
        <v>2</v>
      </c>
      <c r="B959" t="s">
        <v>1859</v>
      </c>
      <c r="C959">
        <v>27601</v>
      </c>
      <c r="D959">
        <v>248</v>
      </c>
      <c r="E959">
        <v>0</v>
      </c>
      <c r="F959">
        <v>248</v>
      </c>
    </row>
    <row r="960" spans="1:6" x14ac:dyDescent="0.25">
      <c r="A960" t="s">
        <v>15</v>
      </c>
      <c r="B960" t="s">
        <v>1860</v>
      </c>
      <c r="C960">
        <v>27602</v>
      </c>
      <c r="D960">
        <v>222784</v>
      </c>
      <c r="E960">
        <v>0</v>
      </c>
      <c r="F960">
        <v>222784</v>
      </c>
    </row>
    <row r="961" spans="1:6" x14ac:dyDescent="0.25">
      <c r="A961" t="s">
        <v>16</v>
      </c>
      <c r="B961" t="s">
        <v>1596</v>
      </c>
      <c r="C961">
        <v>27603</v>
      </c>
      <c r="D961">
        <v>0</v>
      </c>
      <c r="E961">
        <v>0</v>
      </c>
      <c r="F961">
        <v>0</v>
      </c>
    </row>
    <row r="962" spans="1:6" x14ac:dyDescent="0.25">
      <c r="A962" t="s">
        <v>25</v>
      </c>
      <c r="B962" t="s">
        <v>1861</v>
      </c>
      <c r="C962">
        <v>27604</v>
      </c>
      <c r="D962">
        <v>1740</v>
      </c>
      <c r="E962">
        <v>0</v>
      </c>
      <c r="F962">
        <v>1740</v>
      </c>
    </row>
    <row r="963" spans="1:6" x14ac:dyDescent="0.25">
      <c r="B963" t="s">
        <v>1862</v>
      </c>
      <c r="D963">
        <v>224772</v>
      </c>
      <c r="E963">
        <v>0</v>
      </c>
      <c r="F963">
        <v>224772</v>
      </c>
    </row>
    <row r="964" spans="1:6" x14ac:dyDescent="0.25">
      <c r="B964" t="s">
        <v>1391</v>
      </c>
    </row>
    <row r="965" spans="1:6" x14ac:dyDescent="0.25">
      <c r="A965" t="s">
        <v>2</v>
      </c>
      <c r="B965" t="s">
        <v>1837</v>
      </c>
      <c r="C965">
        <v>27701</v>
      </c>
      <c r="D965">
        <v>0</v>
      </c>
      <c r="E965">
        <v>0</v>
      </c>
      <c r="F965">
        <v>0</v>
      </c>
    </row>
    <row r="966" spans="1:6" x14ac:dyDescent="0.25">
      <c r="A966" t="s">
        <v>15</v>
      </c>
      <c r="B966" t="s">
        <v>1838</v>
      </c>
      <c r="C966">
        <v>27702</v>
      </c>
      <c r="D966">
        <v>0</v>
      </c>
      <c r="E966">
        <v>0</v>
      </c>
      <c r="F966">
        <v>0</v>
      </c>
    </row>
    <row r="967" spans="1:6" x14ac:dyDescent="0.25">
      <c r="A967" t="s">
        <v>16</v>
      </c>
      <c r="B967" t="s">
        <v>1689</v>
      </c>
      <c r="C967">
        <v>27703</v>
      </c>
      <c r="D967">
        <v>0</v>
      </c>
      <c r="E967">
        <v>0</v>
      </c>
      <c r="F967">
        <v>0</v>
      </c>
    </row>
    <row r="968" spans="1:6" x14ac:dyDescent="0.25">
      <c r="A968" t="s">
        <v>25</v>
      </c>
      <c r="B968" t="s">
        <v>1839</v>
      </c>
      <c r="C968">
        <v>27704</v>
      </c>
      <c r="D968">
        <v>127</v>
      </c>
      <c r="E968">
        <v>0</v>
      </c>
      <c r="F968">
        <v>127</v>
      </c>
    </row>
    <row r="969" spans="1:6" x14ac:dyDescent="0.25">
      <c r="B969" t="s">
        <v>1863</v>
      </c>
      <c r="D969">
        <v>127</v>
      </c>
      <c r="E969">
        <v>0</v>
      </c>
      <c r="F969">
        <v>127</v>
      </c>
    </row>
    <row r="970" spans="1:6" x14ac:dyDescent="0.25">
      <c r="B970" t="s">
        <v>1392</v>
      </c>
    </row>
    <row r="971" spans="1:6" x14ac:dyDescent="0.25">
      <c r="A971" t="s">
        <v>2</v>
      </c>
      <c r="B971" t="s">
        <v>1859</v>
      </c>
      <c r="C971">
        <v>27801</v>
      </c>
      <c r="D971">
        <v>0</v>
      </c>
      <c r="E971">
        <v>0</v>
      </c>
      <c r="F971">
        <v>0</v>
      </c>
    </row>
    <row r="972" spans="1:6" x14ac:dyDescent="0.25">
      <c r="A972" t="s">
        <v>15</v>
      </c>
      <c r="B972" t="s">
        <v>1860</v>
      </c>
      <c r="C972">
        <v>27802</v>
      </c>
      <c r="D972">
        <v>287575</v>
      </c>
      <c r="E972">
        <v>0</v>
      </c>
      <c r="F972">
        <v>287575</v>
      </c>
    </row>
    <row r="973" spans="1:6" x14ac:dyDescent="0.25">
      <c r="A973" t="s">
        <v>16</v>
      </c>
      <c r="B973" t="s">
        <v>1596</v>
      </c>
      <c r="C973">
        <v>27803</v>
      </c>
      <c r="D973">
        <v>1880</v>
      </c>
      <c r="E973">
        <v>0</v>
      </c>
      <c r="F973">
        <v>1880</v>
      </c>
    </row>
    <row r="974" spans="1:6" x14ac:dyDescent="0.25">
      <c r="A974" t="s">
        <v>25</v>
      </c>
      <c r="B974" t="s">
        <v>1861</v>
      </c>
      <c r="C974">
        <v>27804</v>
      </c>
      <c r="D974">
        <v>0</v>
      </c>
      <c r="E974">
        <v>0</v>
      </c>
      <c r="F974">
        <v>0</v>
      </c>
    </row>
    <row r="975" spans="1:6" x14ac:dyDescent="0.25">
      <c r="B975" t="s">
        <v>1864</v>
      </c>
      <c r="D975">
        <v>289455</v>
      </c>
      <c r="E975">
        <v>0</v>
      </c>
      <c r="F975">
        <v>289455</v>
      </c>
    </row>
    <row r="976" spans="1:6" x14ac:dyDescent="0.25">
      <c r="B976" t="s">
        <v>1393</v>
      </c>
    </row>
    <row r="977" spans="1:6" x14ac:dyDescent="0.25">
      <c r="A977" t="s">
        <v>2</v>
      </c>
      <c r="B977" t="s">
        <v>1842</v>
      </c>
      <c r="C977">
        <v>27901</v>
      </c>
      <c r="D977">
        <v>8</v>
      </c>
      <c r="E977">
        <v>57809</v>
      </c>
      <c r="F977">
        <v>57817</v>
      </c>
    </row>
    <row r="978" spans="1:6" x14ac:dyDescent="0.25">
      <c r="A978" t="s">
        <v>15</v>
      </c>
      <c r="B978" t="s">
        <v>1843</v>
      </c>
      <c r="C978">
        <v>27902</v>
      </c>
      <c r="D978">
        <v>44999</v>
      </c>
      <c r="E978">
        <v>0</v>
      </c>
      <c r="F978">
        <v>44999</v>
      </c>
    </row>
    <row r="979" spans="1:6" x14ac:dyDescent="0.25">
      <c r="A979" t="s">
        <v>16</v>
      </c>
      <c r="B979" t="s">
        <v>1844</v>
      </c>
      <c r="C979">
        <v>27903</v>
      </c>
      <c r="D979">
        <v>8814</v>
      </c>
      <c r="E979">
        <v>0</v>
      </c>
      <c r="F979">
        <v>8814</v>
      </c>
    </row>
    <row r="980" spans="1:6" x14ac:dyDescent="0.25">
      <c r="A980" t="s">
        <v>25</v>
      </c>
      <c r="B980" t="s">
        <v>1845</v>
      </c>
      <c r="C980">
        <v>27904</v>
      </c>
      <c r="D980">
        <v>4262</v>
      </c>
      <c r="E980">
        <v>141</v>
      </c>
      <c r="F980">
        <v>4403</v>
      </c>
    </row>
    <row r="981" spans="1:6" x14ac:dyDescent="0.25">
      <c r="B981" t="s">
        <v>1865</v>
      </c>
      <c r="D981">
        <v>58083</v>
      </c>
      <c r="E981">
        <v>57950</v>
      </c>
      <c r="F981">
        <v>116033</v>
      </c>
    </row>
    <row r="982" spans="1:6" x14ac:dyDescent="0.25">
      <c r="B982" t="s">
        <v>1866</v>
      </c>
      <c r="D982">
        <v>7893585</v>
      </c>
      <c r="E982">
        <v>313859</v>
      </c>
      <c r="F982">
        <v>8207444</v>
      </c>
    </row>
    <row r="983" spans="1:6" x14ac:dyDescent="0.25">
      <c r="B983" t="s">
        <v>1867</v>
      </c>
    </row>
    <row r="984" spans="1:6" x14ac:dyDescent="0.25">
      <c r="B984" t="s">
        <v>1868</v>
      </c>
    </row>
    <row r="985" spans="1:6" x14ac:dyDescent="0.25">
      <c r="A985" t="s">
        <v>2</v>
      </c>
      <c r="B985" t="s">
        <v>1869</v>
      </c>
      <c r="C985">
        <v>28101</v>
      </c>
      <c r="D985">
        <v>3977</v>
      </c>
      <c r="F985">
        <v>3977</v>
      </c>
    </row>
    <row r="986" spans="1:6" x14ac:dyDescent="0.25">
      <c r="A986" t="s">
        <v>15</v>
      </c>
      <c r="B986" t="s">
        <v>1870</v>
      </c>
      <c r="C986">
        <v>28102</v>
      </c>
      <c r="D986">
        <v>0</v>
      </c>
      <c r="F986">
        <v>0</v>
      </c>
    </row>
    <row r="987" spans="1:6" x14ac:dyDescent="0.25">
      <c r="A987" t="s">
        <v>16</v>
      </c>
      <c r="B987" t="s">
        <v>1871</v>
      </c>
      <c r="C987">
        <v>28103</v>
      </c>
      <c r="D987">
        <v>0</v>
      </c>
      <c r="F987">
        <v>0</v>
      </c>
    </row>
    <row r="988" spans="1:6" x14ac:dyDescent="0.25">
      <c r="A988" t="s">
        <v>25</v>
      </c>
      <c r="B988" t="s">
        <v>1872</v>
      </c>
      <c r="C988">
        <v>28104</v>
      </c>
      <c r="D988">
        <v>0</v>
      </c>
      <c r="F988">
        <v>0</v>
      </c>
    </row>
    <row r="989" spans="1:6" x14ac:dyDescent="0.25">
      <c r="B989" t="s">
        <v>1873</v>
      </c>
      <c r="D989">
        <v>3977</v>
      </c>
      <c r="F989">
        <v>3977</v>
      </c>
    </row>
    <row r="990" spans="1:6" x14ac:dyDescent="0.25">
      <c r="B990" t="s">
        <v>2428</v>
      </c>
    </row>
    <row r="991" spans="1:6" x14ac:dyDescent="0.25">
      <c r="A991" t="s">
        <v>2</v>
      </c>
      <c r="B991" t="s">
        <v>1875</v>
      </c>
      <c r="C991">
        <v>28201</v>
      </c>
      <c r="D991">
        <v>59210</v>
      </c>
      <c r="F991">
        <v>59210</v>
      </c>
    </row>
    <row r="992" spans="1:6" x14ac:dyDescent="0.25">
      <c r="A992" t="s">
        <v>15</v>
      </c>
      <c r="B992" t="s">
        <v>1876</v>
      </c>
      <c r="C992">
        <v>28202</v>
      </c>
      <c r="D992">
        <v>6627418</v>
      </c>
      <c r="F992">
        <v>6627418</v>
      </c>
    </row>
    <row r="993" spans="1:6" x14ac:dyDescent="0.25">
      <c r="A993" t="s">
        <v>16</v>
      </c>
      <c r="B993" t="s">
        <v>2542</v>
      </c>
      <c r="C993">
        <v>28203</v>
      </c>
      <c r="D993">
        <v>0</v>
      </c>
      <c r="F993">
        <v>0</v>
      </c>
    </row>
    <row r="994" spans="1:6" x14ac:dyDescent="0.25">
      <c r="A994" t="s">
        <v>25</v>
      </c>
      <c r="B994" t="s">
        <v>1878</v>
      </c>
      <c r="C994">
        <v>28204</v>
      </c>
      <c r="D994">
        <v>4132000</v>
      </c>
      <c r="F994">
        <v>4132000</v>
      </c>
    </row>
    <row r="995" spans="1:6" x14ac:dyDescent="0.25">
      <c r="A995" t="s">
        <v>26</v>
      </c>
      <c r="B995" t="s">
        <v>2429</v>
      </c>
      <c r="C995">
        <v>28205</v>
      </c>
      <c r="D995">
        <v>8154531</v>
      </c>
      <c r="F995">
        <v>8154531</v>
      </c>
    </row>
    <row r="996" spans="1:6" x14ac:dyDescent="0.25">
      <c r="B996" t="s">
        <v>2430</v>
      </c>
      <c r="D996">
        <v>18973159</v>
      </c>
      <c r="F996">
        <v>18973159</v>
      </c>
    </row>
    <row r="997" spans="1:6" x14ac:dyDescent="0.25">
      <c r="B997" t="s">
        <v>1880</v>
      </c>
    </row>
    <row r="998" spans="1:6" x14ac:dyDescent="0.25">
      <c r="A998" t="s">
        <v>2</v>
      </c>
      <c r="B998" t="s">
        <v>1881</v>
      </c>
      <c r="C998">
        <v>28301</v>
      </c>
      <c r="D998">
        <v>5168</v>
      </c>
      <c r="E998">
        <v>0</v>
      </c>
      <c r="F998">
        <v>5168</v>
      </c>
    </row>
    <row r="999" spans="1:6" x14ac:dyDescent="0.25">
      <c r="A999" t="s">
        <v>15</v>
      </c>
      <c r="B999" t="s">
        <v>2543</v>
      </c>
      <c r="C999">
        <v>28302</v>
      </c>
      <c r="D999">
        <v>18820</v>
      </c>
      <c r="E999">
        <v>0</v>
      </c>
      <c r="F999">
        <v>18820</v>
      </c>
    </row>
    <row r="1000" spans="1:6" x14ac:dyDescent="0.25">
      <c r="A1000" t="s">
        <v>16</v>
      </c>
      <c r="B1000" t="s">
        <v>2544</v>
      </c>
      <c r="C1000">
        <v>28303</v>
      </c>
      <c r="D1000">
        <v>0</v>
      </c>
      <c r="E1000">
        <v>0</v>
      </c>
      <c r="F1000">
        <v>0</v>
      </c>
    </row>
    <row r="1001" spans="1:6" x14ac:dyDescent="0.25">
      <c r="A1001" t="s">
        <v>25</v>
      </c>
      <c r="B1001" t="s">
        <v>2545</v>
      </c>
      <c r="C1001">
        <v>28304</v>
      </c>
      <c r="D1001">
        <v>0</v>
      </c>
      <c r="E1001">
        <v>0</v>
      </c>
      <c r="F1001">
        <v>0</v>
      </c>
    </row>
    <row r="1002" spans="1:6" x14ac:dyDescent="0.25">
      <c r="A1002" t="s">
        <v>26</v>
      </c>
      <c r="B1002" t="s">
        <v>2546</v>
      </c>
      <c r="C1002">
        <v>28305</v>
      </c>
      <c r="D1002">
        <v>3412</v>
      </c>
      <c r="E1002">
        <v>0</v>
      </c>
      <c r="F1002">
        <v>3412</v>
      </c>
    </row>
    <row r="1003" spans="1:6" x14ac:dyDescent="0.25">
      <c r="B1003" t="s">
        <v>2547</v>
      </c>
      <c r="D1003">
        <v>27400</v>
      </c>
      <c r="E1003">
        <v>0</v>
      </c>
      <c r="F1003">
        <v>27400</v>
      </c>
    </row>
    <row r="1004" spans="1:6" x14ac:dyDescent="0.25">
      <c r="B1004" t="s">
        <v>1885</v>
      </c>
    </row>
    <row r="1005" spans="1:6" x14ac:dyDescent="0.25">
      <c r="A1005" t="s">
        <v>2</v>
      </c>
      <c r="B1005" t="s">
        <v>1886</v>
      </c>
      <c r="C1005">
        <v>28401</v>
      </c>
      <c r="D1005">
        <v>1173570</v>
      </c>
      <c r="E1005">
        <v>938</v>
      </c>
      <c r="F1005">
        <v>1174508</v>
      </c>
    </row>
    <row r="1006" spans="1:6" x14ac:dyDescent="0.25">
      <c r="A1006" t="s">
        <v>15</v>
      </c>
      <c r="B1006" t="s">
        <v>1887</v>
      </c>
      <c r="C1006">
        <v>28402</v>
      </c>
      <c r="D1006">
        <v>2682</v>
      </c>
      <c r="E1006">
        <v>2534</v>
      </c>
      <c r="F1006">
        <v>5216</v>
      </c>
    </row>
    <row r="1007" spans="1:6" x14ac:dyDescent="0.25">
      <c r="B1007" t="s">
        <v>1888</v>
      </c>
      <c r="D1007">
        <v>1176252</v>
      </c>
      <c r="E1007">
        <v>3472</v>
      </c>
      <c r="F1007">
        <v>1179724</v>
      </c>
    </row>
    <row r="1008" spans="1:6" x14ac:dyDescent="0.25">
      <c r="B1008" t="s">
        <v>2548</v>
      </c>
    </row>
    <row r="1009" spans="1:6" x14ac:dyDescent="0.25">
      <c r="A1009" t="s">
        <v>2</v>
      </c>
      <c r="B1009" t="s">
        <v>1890</v>
      </c>
      <c r="C1009">
        <v>28501</v>
      </c>
      <c r="D1009">
        <v>0</v>
      </c>
      <c r="F1009">
        <v>0</v>
      </c>
    </row>
    <row r="1010" spans="1:6" x14ac:dyDescent="0.25">
      <c r="A1010" t="s">
        <v>15</v>
      </c>
      <c r="B1010" t="s">
        <v>1891</v>
      </c>
      <c r="C1010">
        <v>28502</v>
      </c>
      <c r="D1010">
        <v>3085</v>
      </c>
      <c r="E1010">
        <v>0</v>
      </c>
      <c r="F1010">
        <v>3085</v>
      </c>
    </row>
    <row r="1011" spans="1:6" x14ac:dyDescent="0.25">
      <c r="A1011" t="s">
        <v>16</v>
      </c>
      <c r="B1011" t="s">
        <v>1892</v>
      </c>
      <c r="C1011">
        <v>28503</v>
      </c>
      <c r="D1011">
        <v>0</v>
      </c>
      <c r="F1011">
        <v>0</v>
      </c>
    </row>
    <row r="1012" spans="1:6" x14ac:dyDescent="0.25">
      <c r="A1012" t="s">
        <v>25</v>
      </c>
      <c r="B1012" t="s">
        <v>1893</v>
      </c>
      <c r="C1012">
        <v>28504</v>
      </c>
      <c r="D1012">
        <v>35390</v>
      </c>
      <c r="F1012">
        <v>35390</v>
      </c>
    </row>
    <row r="1013" spans="1:6" x14ac:dyDescent="0.25">
      <c r="B1013" t="s">
        <v>1894</v>
      </c>
      <c r="D1013">
        <v>38475</v>
      </c>
      <c r="E1013">
        <v>0</v>
      </c>
      <c r="F1013">
        <v>38475</v>
      </c>
    </row>
    <row r="1014" spans="1:6" x14ac:dyDescent="0.25">
      <c r="B1014" t="s">
        <v>1895</v>
      </c>
    </row>
    <row r="1015" spans="1:6" x14ac:dyDescent="0.25">
      <c r="A1015" t="s">
        <v>2</v>
      </c>
      <c r="B1015" t="s">
        <v>1896</v>
      </c>
      <c r="C1015">
        <v>28601</v>
      </c>
      <c r="D1015">
        <v>50981</v>
      </c>
      <c r="F1015">
        <v>50981</v>
      </c>
    </row>
    <row r="1016" spans="1:6" x14ac:dyDescent="0.25">
      <c r="A1016" t="s">
        <v>15</v>
      </c>
      <c r="B1016" t="s">
        <v>1897</v>
      </c>
      <c r="C1016">
        <v>28602</v>
      </c>
      <c r="D1016">
        <v>26362</v>
      </c>
      <c r="F1016">
        <v>26362</v>
      </c>
    </row>
    <row r="1017" spans="1:6" x14ac:dyDescent="0.25">
      <c r="B1017" t="s">
        <v>1898</v>
      </c>
      <c r="D1017">
        <v>77343</v>
      </c>
      <c r="F1017">
        <v>77343</v>
      </c>
    </row>
    <row r="1018" spans="1:6" x14ac:dyDescent="0.25">
      <c r="B1018" t="s">
        <v>1899</v>
      </c>
    </row>
    <row r="1019" spans="1:6" x14ac:dyDescent="0.25">
      <c r="A1019" t="s">
        <v>2</v>
      </c>
      <c r="B1019" t="s">
        <v>1900</v>
      </c>
      <c r="C1019">
        <v>28701</v>
      </c>
      <c r="D1019">
        <v>0</v>
      </c>
      <c r="F1019">
        <v>0</v>
      </c>
    </row>
    <row r="1020" spans="1:6" x14ac:dyDescent="0.25">
      <c r="A1020" t="s">
        <v>15</v>
      </c>
      <c r="B1020" t="s">
        <v>1901</v>
      </c>
      <c r="C1020">
        <v>28702</v>
      </c>
      <c r="D1020">
        <v>0</v>
      </c>
      <c r="F1020">
        <v>0</v>
      </c>
    </row>
    <row r="1021" spans="1:6" x14ac:dyDescent="0.25">
      <c r="A1021" t="s">
        <v>16</v>
      </c>
      <c r="B1021" t="s">
        <v>1902</v>
      </c>
      <c r="C1021">
        <v>28703</v>
      </c>
      <c r="D1021">
        <v>0</v>
      </c>
      <c r="F1021">
        <v>0</v>
      </c>
    </row>
    <row r="1022" spans="1:6" x14ac:dyDescent="0.25">
      <c r="A1022" t="s">
        <v>25</v>
      </c>
      <c r="B1022" t="s">
        <v>1903</v>
      </c>
      <c r="C1022">
        <v>28704</v>
      </c>
      <c r="D1022">
        <v>0</v>
      </c>
      <c r="F1022">
        <v>0</v>
      </c>
    </row>
    <row r="1023" spans="1:6" x14ac:dyDescent="0.25">
      <c r="B1023" t="s">
        <v>1904</v>
      </c>
      <c r="D1023">
        <v>0</v>
      </c>
      <c r="F1023">
        <v>0</v>
      </c>
    </row>
    <row r="1024" spans="1:6" x14ac:dyDescent="0.25">
      <c r="B1024" t="s">
        <v>1905</v>
      </c>
    </row>
    <row r="1025" spans="1:6" x14ac:dyDescent="0.25">
      <c r="A1025" t="s">
        <v>2</v>
      </c>
      <c r="B1025" t="s">
        <v>1906</v>
      </c>
      <c r="C1025">
        <v>28801</v>
      </c>
      <c r="D1025">
        <v>621477</v>
      </c>
      <c r="E1025">
        <v>0</v>
      </c>
      <c r="F1025">
        <v>621477</v>
      </c>
    </row>
    <row r="1026" spans="1:6" x14ac:dyDescent="0.25">
      <c r="A1026" t="s">
        <v>15</v>
      </c>
      <c r="B1026" t="s">
        <v>1908</v>
      </c>
      <c r="C1026">
        <v>28803</v>
      </c>
      <c r="D1026">
        <v>608333</v>
      </c>
      <c r="E1026">
        <v>4</v>
      </c>
      <c r="F1026">
        <v>608337</v>
      </c>
    </row>
    <row r="1027" spans="1:6" x14ac:dyDescent="0.25">
      <c r="B1027" t="s">
        <v>1909</v>
      </c>
      <c r="D1027">
        <v>1229810</v>
      </c>
      <c r="E1027">
        <v>4</v>
      </c>
      <c r="F1027">
        <v>1229814</v>
      </c>
    </row>
    <row r="1028" spans="1:6" x14ac:dyDescent="0.25">
      <c r="B1028" t="s">
        <v>1910</v>
      </c>
      <c r="D1028">
        <v>21526416</v>
      </c>
      <c r="E1028">
        <v>3476</v>
      </c>
      <c r="F1028">
        <v>21529892</v>
      </c>
    </row>
    <row r="1029" spans="1:6" x14ac:dyDescent="0.25">
      <c r="B1029" t="s">
        <v>2431</v>
      </c>
    </row>
    <row r="1030" spans="1:6" x14ac:dyDescent="0.25">
      <c r="B1030" t="s">
        <v>2549</v>
      </c>
    </row>
    <row r="1031" spans="1:6" x14ac:dyDescent="0.25">
      <c r="A1031" t="s">
        <v>2</v>
      </c>
      <c r="B1031" t="s">
        <v>1913</v>
      </c>
      <c r="C1031">
        <v>29101</v>
      </c>
      <c r="D1031">
        <v>16851</v>
      </c>
      <c r="F1031">
        <v>16851</v>
      </c>
    </row>
    <row r="1032" spans="1:6" x14ac:dyDescent="0.25">
      <c r="A1032" t="s">
        <v>15</v>
      </c>
      <c r="B1032" t="s">
        <v>1914</v>
      </c>
      <c r="C1032">
        <v>29102</v>
      </c>
      <c r="D1032">
        <v>0</v>
      </c>
      <c r="F1032">
        <v>0</v>
      </c>
    </row>
    <row r="1033" spans="1:6" x14ac:dyDescent="0.25">
      <c r="A1033" t="s">
        <v>16</v>
      </c>
      <c r="B1033" t="s">
        <v>1915</v>
      </c>
      <c r="C1033">
        <v>29103</v>
      </c>
      <c r="D1033">
        <v>25079</v>
      </c>
      <c r="F1033">
        <v>25079</v>
      </c>
    </row>
    <row r="1034" spans="1:6" x14ac:dyDescent="0.25">
      <c r="A1034" t="s">
        <v>25</v>
      </c>
      <c r="B1034" t="s">
        <v>1916</v>
      </c>
      <c r="C1034">
        <v>29104</v>
      </c>
      <c r="D1034">
        <v>0</v>
      </c>
      <c r="F1034">
        <v>0</v>
      </c>
    </row>
    <row r="1035" spans="1:6" x14ac:dyDescent="0.25">
      <c r="A1035" t="s">
        <v>26</v>
      </c>
      <c r="B1035" t="s">
        <v>1917</v>
      </c>
      <c r="C1035">
        <v>29105</v>
      </c>
      <c r="D1035">
        <v>0</v>
      </c>
      <c r="F1035">
        <v>0</v>
      </c>
    </row>
    <row r="1036" spans="1:6" x14ac:dyDescent="0.25">
      <c r="A1036" t="s">
        <v>27</v>
      </c>
      <c r="B1036" t="s">
        <v>1918</v>
      </c>
      <c r="C1036">
        <v>29106</v>
      </c>
      <c r="D1036">
        <v>0</v>
      </c>
      <c r="F1036">
        <v>0</v>
      </c>
    </row>
    <row r="1037" spans="1:6" x14ac:dyDescent="0.25">
      <c r="A1037" t="s">
        <v>531</v>
      </c>
      <c r="B1037" t="s">
        <v>1919</v>
      </c>
      <c r="C1037">
        <v>29107</v>
      </c>
      <c r="D1037">
        <v>0</v>
      </c>
      <c r="F1037">
        <v>0</v>
      </c>
    </row>
    <row r="1038" spans="1:6" x14ac:dyDescent="0.25">
      <c r="B1038" t="s">
        <v>1920</v>
      </c>
      <c r="D1038">
        <v>41930</v>
      </c>
      <c r="F1038">
        <v>41930</v>
      </c>
    </row>
    <row r="1039" spans="1:6" x14ac:dyDescent="0.25">
      <c r="B1039" t="s">
        <v>1921</v>
      </c>
    </row>
    <row r="1040" spans="1:6" x14ac:dyDescent="0.25">
      <c r="A1040" t="s">
        <v>2</v>
      </c>
      <c r="B1040" t="s">
        <v>1922</v>
      </c>
      <c r="C1040">
        <v>29201</v>
      </c>
      <c r="D1040">
        <v>0</v>
      </c>
      <c r="E1040">
        <v>0</v>
      </c>
      <c r="F1040">
        <v>0</v>
      </c>
    </row>
    <row r="1041" spans="1:6" x14ac:dyDescent="0.25">
      <c r="A1041" t="s">
        <v>15</v>
      </c>
      <c r="B1041" t="s">
        <v>1923</v>
      </c>
      <c r="C1041">
        <v>29202</v>
      </c>
      <c r="D1041">
        <v>0</v>
      </c>
      <c r="E1041">
        <v>0</v>
      </c>
      <c r="F1041">
        <v>0</v>
      </c>
    </row>
    <row r="1042" spans="1:6" x14ac:dyDescent="0.25">
      <c r="A1042" t="s">
        <v>16</v>
      </c>
      <c r="B1042" t="s">
        <v>1924</v>
      </c>
      <c r="C1042">
        <v>29203</v>
      </c>
      <c r="D1042">
        <v>0</v>
      </c>
      <c r="E1042">
        <v>0</v>
      </c>
      <c r="F1042">
        <v>0</v>
      </c>
    </row>
    <row r="1043" spans="1:6" x14ac:dyDescent="0.25">
      <c r="A1043" t="s">
        <v>25</v>
      </c>
      <c r="B1043" t="s">
        <v>1925</v>
      </c>
      <c r="C1043">
        <v>29204</v>
      </c>
      <c r="D1043">
        <v>0</v>
      </c>
      <c r="E1043">
        <v>0</v>
      </c>
      <c r="F1043">
        <v>0</v>
      </c>
    </row>
    <row r="1044" spans="1:6" x14ac:dyDescent="0.25">
      <c r="A1044" t="s">
        <v>26</v>
      </c>
      <c r="B1044" t="s">
        <v>1926</v>
      </c>
      <c r="C1044">
        <v>29205</v>
      </c>
      <c r="D1044">
        <v>9809</v>
      </c>
      <c r="E1044">
        <v>0</v>
      </c>
      <c r="F1044">
        <v>9809</v>
      </c>
    </row>
    <row r="1045" spans="1:6" x14ac:dyDescent="0.25">
      <c r="A1045" t="s">
        <v>27</v>
      </c>
      <c r="B1045" t="s">
        <v>1927</v>
      </c>
      <c r="C1045">
        <v>29206</v>
      </c>
      <c r="D1045">
        <v>0</v>
      </c>
      <c r="E1045">
        <v>0</v>
      </c>
      <c r="F1045">
        <v>0</v>
      </c>
    </row>
    <row r="1046" spans="1:6" x14ac:dyDescent="0.25">
      <c r="A1046" t="s">
        <v>531</v>
      </c>
      <c r="B1046" t="s">
        <v>1928</v>
      </c>
      <c r="C1046">
        <v>29207</v>
      </c>
      <c r="D1046">
        <v>0</v>
      </c>
      <c r="E1046">
        <v>0</v>
      </c>
      <c r="F1046">
        <v>0</v>
      </c>
    </row>
    <row r="1047" spans="1:6" x14ac:dyDescent="0.25">
      <c r="A1047" t="s">
        <v>1583</v>
      </c>
      <c r="B1047" t="s">
        <v>1929</v>
      </c>
      <c r="C1047">
        <v>29208</v>
      </c>
      <c r="D1047">
        <v>82</v>
      </c>
      <c r="E1047">
        <v>0</v>
      </c>
      <c r="F1047">
        <v>82</v>
      </c>
    </row>
    <row r="1048" spans="1:6" x14ac:dyDescent="0.25">
      <c r="B1048" t="s">
        <v>1930</v>
      </c>
      <c r="D1048">
        <v>9891</v>
      </c>
      <c r="E1048">
        <v>0</v>
      </c>
      <c r="F1048">
        <v>9891</v>
      </c>
    </row>
    <row r="1049" spans="1:6" x14ac:dyDescent="0.25">
      <c r="B1049" t="s">
        <v>1931</v>
      </c>
    </row>
    <row r="1050" spans="1:6" x14ac:dyDescent="0.25">
      <c r="A1050" t="s">
        <v>2</v>
      </c>
      <c r="B1050" t="s">
        <v>1932</v>
      </c>
      <c r="C1050">
        <v>29301</v>
      </c>
      <c r="D1050">
        <v>518</v>
      </c>
      <c r="F1050">
        <v>518</v>
      </c>
    </row>
    <row r="1051" spans="1:6" x14ac:dyDescent="0.25">
      <c r="A1051" t="s">
        <v>15</v>
      </c>
      <c r="B1051" t="s">
        <v>1933</v>
      </c>
      <c r="C1051">
        <v>29302</v>
      </c>
      <c r="D1051">
        <v>0</v>
      </c>
      <c r="F1051">
        <v>0</v>
      </c>
    </row>
    <row r="1052" spans="1:6" x14ac:dyDescent="0.25">
      <c r="A1052" t="s">
        <v>16</v>
      </c>
      <c r="B1052" t="s">
        <v>1934</v>
      </c>
      <c r="C1052">
        <v>29303</v>
      </c>
      <c r="D1052">
        <v>0</v>
      </c>
      <c r="F1052">
        <v>0</v>
      </c>
    </row>
    <row r="1053" spans="1:6" x14ac:dyDescent="0.25">
      <c r="A1053" t="s">
        <v>25</v>
      </c>
      <c r="B1053" t="s">
        <v>1935</v>
      </c>
      <c r="C1053">
        <v>29304</v>
      </c>
      <c r="D1053">
        <v>0</v>
      </c>
      <c r="F1053">
        <v>0</v>
      </c>
    </row>
    <row r="1054" spans="1:6" x14ac:dyDescent="0.25">
      <c r="B1054" t="s">
        <v>1936</v>
      </c>
      <c r="D1054">
        <v>518</v>
      </c>
      <c r="F1054">
        <v>518</v>
      </c>
    </row>
    <row r="1055" spans="1:6" x14ac:dyDescent="0.25">
      <c r="B1055" t="s">
        <v>1937</v>
      </c>
    </row>
    <row r="1056" spans="1:6" x14ac:dyDescent="0.25">
      <c r="A1056" t="s">
        <v>2</v>
      </c>
      <c r="B1056" t="s">
        <v>1938</v>
      </c>
      <c r="C1056">
        <v>29401</v>
      </c>
      <c r="D1056">
        <v>2199</v>
      </c>
      <c r="E1056">
        <v>0</v>
      </c>
      <c r="F1056">
        <v>2199</v>
      </c>
    </row>
    <row r="1057" spans="1:6" x14ac:dyDescent="0.25">
      <c r="A1057" t="s">
        <v>15</v>
      </c>
      <c r="B1057" t="s">
        <v>1939</v>
      </c>
      <c r="C1057">
        <v>29402</v>
      </c>
      <c r="D1057">
        <v>2680</v>
      </c>
      <c r="E1057">
        <v>0</v>
      </c>
      <c r="F1057">
        <v>2680</v>
      </c>
    </row>
    <row r="1058" spans="1:6" x14ac:dyDescent="0.25">
      <c r="A1058" t="s">
        <v>16</v>
      </c>
      <c r="B1058" t="s">
        <v>1940</v>
      </c>
      <c r="C1058">
        <v>29403</v>
      </c>
      <c r="D1058">
        <v>18603</v>
      </c>
      <c r="E1058">
        <v>0</v>
      </c>
      <c r="F1058">
        <v>18603</v>
      </c>
    </row>
    <row r="1059" spans="1:6" x14ac:dyDescent="0.25">
      <c r="A1059" t="s">
        <v>25</v>
      </c>
      <c r="B1059" t="s">
        <v>1941</v>
      </c>
      <c r="C1059">
        <v>29404</v>
      </c>
      <c r="D1059">
        <v>0</v>
      </c>
      <c r="E1059">
        <v>0</v>
      </c>
      <c r="F1059">
        <v>0</v>
      </c>
    </row>
    <row r="1060" spans="1:6" x14ac:dyDescent="0.25">
      <c r="A1060" t="s">
        <v>26</v>
      </c>
      <c r="B1060" t="s">
        <v>1942</v>
      </c>
      <c r="C1060">
        <v>29405</v>
      </c>
      <c r="D1060">
        <v>3486</v>
      </c>
      <c r="E1060">
        <v>3</v>
      </c>
      <c r="F1060">
        <v>3489</v>
      </c>
    </row>
    <row r="1061" spans="1:6" x14ac:dyDescent="0.25">
      <c r="A1061" t="s">
        <v>27</v>
      </c>
      <c r="B1061" t="s">
        <v>1943</v>
      </c>
      <c r="C1061">
        <v>29406</v>
      </c>
      <c r="D1061">
        <v>17961</v>
      </c>
      <c r="E1061">
        <v>281</v>
      </c>
      <c r="F1061">
        <v>18242</v>
      </c>
    </row>
    <row r="1062" spans="1:6" x14ac:dyDescent="0.25">
      <c r="A1062" t="s">
        <v>531</v>
      </c>
      <c r="B1062" t="s">
        <v>1944</v>
      </c>
      <c r="C1062">
        <v>29407</v>
      </c>
      <c r="D1062">
        <v>18424</v>
      </c>
      <c r="E1062">
        <v>0</v>
      </c>
      <c r="F1062">
        <v>18424</v>
      </c>
    </row>
    <row r="1063" spans="1:6" x14ac:dyDescent="0.25">
      <c r="B1063" t="s">
        <v>1945</v>
      </c>
      <c r="D1063">
        <v>63353</v>
      </c>
      <c r="E1063">
        <v>284</v>
      </c>
      <c r="F1063">
        <v>63637</v>
      </c>
    </row>
    <row r="1064" spans="1:6" x14ac:dyDescent="0.25">
      <c r="B1064" t="s">
        <v>1946</v>
      </c>
      <c r="D1064">
        <v>115692</v>
      </c>
      <c r="E1064">
        <v>284</v>
      </c>
      <c r="F1064">
        <v>115976</v>
      </c>
    </row>
    <row r="1065" spans="1:6" x14ac:dyDescent="0.25">
      <c r="B1065" t="s">
        <v>2274</v>
      </c>
      <c r="D1065">
        <v>467314853</v>
      </c>
      <c r="E1065">
        <v>321542</v>
      </c>
      <c r="F1065">
        <v>467636395</v>
      </c>
    </row>
    <row r="1066" spans="1:6" x14ac:dyDescent="0.25">
      <c r="B1066" t="s">
        <v>1948</v>
      </c>
      <c r="D1066">
        <v>559094434</v>
      </c>
      <c r="E1066">
        <v>5518843</v>
      </c>
      <c r="F1066">
        <v>564613277</v>
      </c>
    </row>
    <row r="1067" spans="1:6" x14ac:dyDescent="0.25">
      <c r="B1067" t="s">
        <v>1949</v>
      </c>
    </row>
    <row r="1068" spans="1:6" x14ac:dyDescent="0.25">
      <c r="B1068" t="s">
        <v>1950</v>
      </c>
    </row>
    <row r="1069" spans="1:6" x14ac:dyDescent="0.25">
      <c r="B1069" t="s">
        <v>1672</v>
      </c>
    </row>
    <row r="1070" spans="1:6" x14ac:dyDescent="0.25">
      <c r="A1070" t="s">
        <v>2</v>
      </c>
      <c r="B1070" t="s">
        <v>1673</v>
      </c>
      <c r="C1070">
        <v>31101</v>
      </c>
      <c r="D1070">
        <v>68713</v>
      </c>
      <c r="E1070">
        <v>0</v>
      </c>
      <c r="F1070">
        <v>68713</v>
      </c>
    </row>
    <row r="1071" spans="1:6" x14ac:dyDescent="0.25">
      <c r="A1071" t="s">
        <v>15</v>
      </c>
      <c r="B1071" t="s">
        <v>1674</v>
      </c>
      <c r="C1071">
        <v>31102</v>
      </c>
      <c r="D1071">
        <v>58348</v>
      </c>
      <c r="E1071">
        <v>3012</v>
      </c>
      <c r="F1071">
        <v>61360</v>
      </c>
    </row>
    <row r="1072" spans="1:6" x14ac:dyDescent="0.25">
      <c r="A1072" t="s">
        <v>16</v>
      </c>
      <c r="B1072" t="s">
        <v>1675</v>
      </c>
      <c r="C1072">
        <v>31103</v>
      </c>
      <c r="D1072">
        <v>14829</v>
      </c>
      <c r="E1072">
        <v>4402</v>
      </c>
      <c r="F1072">
        <v>19231</v>
      </c>
    </row>
    <row r="1073" spans="1:6" x14ac:dyDescent="0.25">
      <c r="A1073" t="s">
        <v>25</v>
      </c>
      <c r="B1073" t="s">
        <v>1676</v>
      </c>
      <c r="C1073">
        <v>31104</v>
      </c>
      <c r="D1073">
        <v>0</v>
      </c>
      <c r="E1073">
        <v>0</v>
      </c>
      <c r="F1073">
        <v>0</v>
      </c>
    </row>
    <row r="1074" spans="1:6" x14ac:dyDescent="0.25">
      <c r="A1074" t="s">
        <v>26</v>
      </c>
      <c r="B1074" t="s">
        <v>1677</v>
      </c>
      <c r="C1074">
        <v>31105</v>
      </c>
      <c r="D1074">
        <v>0</v>
      </c>
      <c r="E1074">
        <v>0</v>
      </c>
      <c r="F1074">
        <v>0</v>
      </c>
    </row>
    <row r="1075" spans="1:6" x14ac:dyDescent="0.25">
      <c r="B1075" t="s">
        <v>1951</v>
      </c>
      <c r="D1075">
        <v>141890</v>
      </c>
      <c r="E1075">
        <v>7414</v>
      </c>
      <c r="F1075">
        <v>149304</v>
      </c>
    </row>
    <row r="1076" spans="1:6" x14ac:dyDescent="0.25">
      <c r="B1076" t="s">
        <v>1679</v>
      </c>
    </row>
    <row r="1077" spans="1:6" x14ac:dyDescent="0.25">
      <c r="A1077" t="s">
        <v>2</v>
      </c>
      <c r="B1077" t="s">
        <v>1680</v>
      </c>
      <c r="C1077">
        <v>31201</v>
      </c>
      <c r="D1077">
        <v>2</v>
      </c>
      <c r="E1077">
        <v>0</v>
      </c>
      <c r="F1077">
        <v>2</v>
      </c>
    </row>
    <row r="1078" spans="1:6" x14ac:dyDescent="0.25">
      <c r="A1078" t="s">
        <v>15</v>
      </c>
      <c r="B1078" t="s">
        <v>1681</v>
      </c>
      <c r="C1078">
        <v>31202</v>
      </c>
      <c r="D1078">
        <v>0</v>
      </c>
      <c r="E1078">
        <v>0</v>
      </c>
      <c r="F1078">
        <v>0</v>
      </c>
    </row>
    <row r="1079" spans="1:6" x14ac:dyDescent="0.25">
      <c r="A1079" t="s">
        <v>16</v>
      </c>
      <c r="B1079" t="s">
        <v>1682</v>
      </c>
      <c r="C1079">
        <v>31203</v>
      </c>
      <c r="D1079">
        <v>2421</v>
      </c>
      <c r="E1079">
        <v>3714</v>
      </c>
      <c r="F1079">
        <v>6135</v>
      </c>
    </row>
    <row r="1080" spans="1:6" x14ac:dyDescent="0.25">
      <c r="A1080" t="s">
        <v>25</v>
      </c>
      <c r="B1080" t="s">
        <v>1683</v>
      </c>
      <c r="C1080">
        <v>31204</v>
      </c>
      <c r="D1080">
        <v>0</v>
      </c>
      <c r="E1080">
        <v>0</v>
      </c>
      <c r="F1080">
        <v>0</v>
      </c>
    </row>
    <row r="1081" spans="1:6" x14ac:dyDescent="0.25">
      <c r="A1081" t="s">
        <v>26</v>
      </c>
      <c r="B1081" t="s">
        <v>1684</v>
      </c>
      <c r="C1081">
        <v>31205</v>
      </c>
      <c r="D1081">
        <v>75129</v>
      </c>
      <c r="E1081">
        <v>0</v>
      </c>
      <c r="F1081">
        <v>75129</v>
      </c>
    </row>
    <row r="1082" spans="1:6" x14ac:dyDescent="0.25">
      <c r="A1082" t="s">
        <v>27</v>
      </c>
      <c r="B1082" t="s">
        <v>1685</v>
      </c>
      <c r="C1082">
        <v>31206</v>
      </c>
      <c r="D1082">
        <v>21</v>
      </c>
      <c r="E1082">
        <v>0</v>
      </c>
      <c r="F1082">
        <v>21</v>
      </c>
    </row>
    <row r="1083" spans="1:6" x14ac:dyDescent="0.25">
      <c r="A1083" t="s">
        <v>531</v>
      </c>
      <c r="B1083" t="s">
        <v>1686</v>
      </c>
      <c r="C1083">
        <v>31207</v>
      </c>
      <c r="D1083">
        <v>17500</v>
      </c>
      <c r="E1083">
        <v>0</v>
      </c>
      <c r="F1083">
        <v>17500</v>
      </c>
    </row>
    <row r="1084" spans="1:6" x14ac:dyDescent="0.25">
      <c r="A1084" t="s">
        <v>1583</v>
      </c>
      <c r="B1084" t="s">
        <v>1687</v>
      </c>
      <c r="C1084">
        <v>31208</v>
      </c>
      <c r="D1084">
        <v>122632</v>
      </c>
      <c r="E1084">
        <v>243</v>
      </c>
      <c r="F1084">
        <v>122875</v>
      </c>
    </row>
    <row r="1085" spans="1:6" x14ac:dyDescent="0.25">
      <c r="A1085" t="s">
        <v>1585</v>
      </c>
      <c r="B1085" t="s">
        <v>1688</v>
      </c>
      <c r="C1085">
        <v>31209</v>
      </c>
      <c r="D1085">
        <v>63715</v>
      </c>
      <c r="E1085">
        <v>0</v>
      </c>
      <c r="F1085">
        <v>63715</v>
      </c>
    </row>
    <row r="1086" spans="1:6" x14ac:dyDescent="0.25">
      <c r="A1086" t="s">
        <v>1587</v>
      </c>
      <c r="B1086" t="s">
        <v>1637</v>
      </c>
      <c r="C1086">
        <v>31210</v>
      </c>
      <c r="D1086">
        <v>0</v>
      </c>
      <c r="E1086">
        <v>0</v>
      </c>
      <c r="F1086">
        <v>0</v>
      </c>
    </row>
    <row r="1087" spans="1:6" x14ac:dyDescent="0.25">
      <c r="A1087" t="s">
        <v>1589</v>
      </c>
      <c r="B1087" t="s">
        <v>1640</v>
      </c>
      <c r="C1087">
        <v>31211</v>
      </c>
      <c r="D1087">
        <v>0</v>
      </c>
      <c r="E1087">
        <v>0</v>
      </c>
      <c r="F1087">
        <v>0</v>
      </c>
    </row>
    <row r="1088" spans="1:6" x14ac:dyDescent="0.25">
      <c r="A1088" t="s">
        <v>1591</v>
      </c>
      <c r="B1088" t="s">
        <v>1689</v>
      </c>
      <c r="C1088">
        <v>31212</v>
      </c>
      <c r="D1088">
        <v>5083</v>
      </c>
      <c r="E1088">
        <v>0</v>
      </c>
      <c r="F1088">
        <v>5083</v>
      </c>
    </row>
    <row r="1089" spans="1:6" x14ac:dyDescent="0.25">
      <c r="A1089" t="s">
        <v>1593</v>
      </c>
      <c r="B1089" t="s">
        <v>1690</v>
      </c>
      <c r="C1089">
        <v>31213</v>
      </c>
      <c r="D1089">
        <v>0</v>
      </c>
      <c r="E1089">
        <v>0</v>
      </c>
      <c r="F1089">
        <v>0</v>
      </c>
    </row>
    <row r="1090" spans="1:6" x14ac:dyDescent="0.25">
      <c r="B1090" t="s">
        <v>1952</v>
      </c>
      <c r="D1090">
        <v>286503</v>
      </c>
      <c r="E1090">
        <v>3957</v>
      </c>
      <c r="F1090">
        <v>290460</v>
      </c>
    </row>
    <row r="1091" spans="1:6" x14ac:dyDescent="0.25">
      <c r="B1091" t="s">
        <v>1692</v>
      </c>
    </row>
    <row r="1092" spans="1:6" x14ac:dyDescent="0.25">
      <c r="A1092" t="s">
        <v>2</v>
      </c>
      <c r="B1092" t="s">
        <v>1693</v>
      </c>
      <c r="C1092">
        <v>31301</v>
      </c>
      <c r="D1092">
        <v>0</v>
      </c>
      <c r="E1092">
        <v>0</v>
      </c>
      <c r="F1092">
        <v>0</v>
      </c>
    </row>
    <row r="1093" spans="1:6" x14ac:dyDescent="0.25">
      <c r="A1093" t="s">
        <v>15</v>
      </c>
      <c r="B1093" t="s">
        <v>1694</v>
      </c>
      <c r="C1093">
        <v>31302</v>
      </c>
      <c r="D1093">
        <v>1373548</v>
      </c>
      <c r="E1093">
        <v>0</v>
      </c>
      <c r="F1093">
        <v>1373548</v>
      </c>
    </row>
    <row r="1094" spans="1:6" x14ac:dyDescent="0.25">
      <c r="A1094" t="s">
        <v>16</v>
      </c>
      <c r="B1094" t="s">
        <v>1695</v>
      </c>
      <c r="C1094">
        <v>31303</v>
      </c>
      <c r="D1094">
        <v>0</v>
      </c>
      <c r="E1094">
        <v>0</v>
      </c>
      <c r="F1094">
        <v>0</v>
      </c>
    </row>
    <row r="1095" spans="1:6" x14ac:dyDescent="0.25">
      <c r="A1095" t="s">
        <v>25</v>
      </c>
      <c r="B1095" t="s">
        <v>1696</v>
      </c>
      <c r="C1095">
        <v>31304</v>
      </c>
      <c r="D1095">
        <v>0</v>
      </c>
      <c r="E1095">
        <v>0</v>
      </c>
      <c r="F1095">
        <v>0</v>
      </c>
    </row>
    <row r="1096" spans="1:6" x14ac:dyDescent="0.25">
      <c r="A1096" t="s">
        <v>26</v>
      </c>
      <c r="B1096" t="s">
        <v>1680</v>
      </c>
      <c r="C1096">
        <v>31305</v>
      </c>
      <c r="D1096">
        <v>0</v>
      </c>
      <c r="E1096">
        <v>0</v>
      </c>
      <c r="F1096">
        <v>0</v>
      </c>
    </row>
    <row r="1097" spans="1:6" x14ac:dyDescent="0.25">
      <c r="A1097" t="s">
        <v>27</v>
      </c>
      <c r="B1097" t="s">
        <v>1681</v>
      </c>
      <c r="C1097">
        <v>31306</v>
      </c>
      <c r="D1097">
        <v>0</v>
      </c>
      <c r="E1097">
        <v>0</v>
      </c>
      <c r="F1097">
        <v>0</v>
      </c>
    </row>
    <row r="1098" spans="1:6" x14ac:dyDescent="0.25">
      <c r="A1098" t="s">
        <v>531</v>
      </c>
      <c r="B1098" t="s">
        <v>1682</v>
      </c>
      <c r="C1098">
        <v>31307</v>
      </c>
      <c r="D1098">
        <v>410775</v>
      </c>
      <c r="E1098">
        <v>0</v>
      </c>
      <c r="F1098">
        <v>410775</v>
      </c>
    </row>
    <row r="1099" spans="1:6" x14ac:dyDescent="0.25">
      <c r="A1099" t="s">
        <v>1583</v>
      </c>
      <c r="B1099" t="s">
        <v>1683</v>
      </c>
      <c r="C1099">
        <v>31308</v>
      </c>
      <c r="D1099">
        <v>1486</v>
      </c>
      <c r="E1099">
        <v>0</v>
      </c>
      <c r="F1099">
        <v>1486</v>
      </c>
    </row>
    <row r="1100" spans="1:6" x14ac:dyDescent="0.25">
      <c r="A1100" t="s">
        <v>1585</v>
      </c>
      <c r="B1100" t="s">
        <v>1684</v>
      </c>
      <c r="C1100">
        <v>31309</v>
      </c>
      <c r="D1100">
        <v>76987</v>
      </c>
      <c r="E1100">
        <v>0</v>
      </c>
      <c r="F1100">
        <v>76987</v>
      </c>
    </row>
    <row r="1101" spans="1:6" x14ac:dyDescent="0.25">
      <c r="A1101" t="s">
        <v>1587</v>
      </c>
      <c r="B1101" t="s">
        <v>1685</v>
      </c>
      <c r="C1101">
        <v>31310</v>
      </c>
      <c r="D1101">
        <v>505791</v>
      </c>
      <c r="E1101">
        <v>0</v>
      </c>
      <c r="F1101">
        <v>505791</v>
      </c>
    </row>
    <row r="1102" spans="1:6" x14ac:dyDescent="0.25">
      <c r="A1102" t="s">
        <v>1589</v>
      </c>
      <c r="B1102" t="s">
        <v>1686</v>
      </c>
      <c r="C1102">
        <v>31311</v>
      </c>
      <c r="D1102">
        <v>287504</v>
      </c>
      <c r="E1102">
        <v>0</v>
      </c>
      <c r="F1102">
        <v>287504</v>
      </c>
    </row>
    <row r="1103" spans="1:6" x14ac:dyDescent="0.25">
      <c r="A1103" t="s">
        <v>1591</v>
      </c>
      <c r="B1103" t="s">
        <v>1687</v>
      </c>
      <c r="C1103">
        <v>31312</v>
      </c>
      <c r="D1103">
        <v>2546731</v>
      </c>
      <c r="E1103">
        <v>13718</v>
      </c>
      <c r="F1103">
        <v>2560449</v>
      </c>
    </row>
    <row r="1104" spans="1:6" x14ac:dyDescent="0.25">
      <c r="A1104" t="s">
        <v>1593</v>
      </c>
      <c r="B1104" t="s">
        <v>1688</v>
      </c>
      <c r="C1104">
        <v>31313</v>
      </c>
      <c r="D1104">
        <v>5949754</v>
      </c>
      <c r="E1104">
        <v>1</v>
      </c>
      <c r="F1104">
        <v>5949755</v>
      </c>
    </row>
    <row r="1105" spans="1:6" x14ac:dyDescent="0.25">
      <c r="A1105" t="s">
        <v>1595</v>
      </c>
      <c r="B1105" t="s">
        <v>1690</v>
      </c>
      <c r="C1105">
        <v>31314</v>
      </c>
      <c r="D1105">
        <v>206</v>
      </c>
      <c r="E1105">
        <v>3503242</v>
      </c>
      <c r="F1105">
        <v>3503448</v>
      </c>
    </row>
    <row r="1106" spans="1:6" x14ac:dyDescent="0.25">
      <c r="A1106" t="s">
        <v>1597</v>
      </c>
      <c r="B1106" t="s">
        <v>1637</v>
      </c>
      <c r="C1106">
        <v>31315</v>
      </c>
      <c r="D1106">
        <v>0</v>
      </c>
      <c r="E1106">
        <v>0</v>
      </c>
      <c r="F1106">
        <v>0</v>
      </c>
    </row>
    <row r="1107" spans="1:6" x14ac:dyDescent="0.25">
      <c r="A1107" t="s">
        <v>1599</v>
      </c>
      <c r="B1107" t="s">
        <v>1640</v>
      </c>
      <c r="C1107">
        <v>31316</v>
      </c>
      <c r="D1107">
        <v>0</v>
      </c>
      <c r="E1107">
        <v>0</v>
      </c>
      <c r="F1107">
        <v>0</v>
      </c>
    </row>
    <row r="1108" spans="1:6" x14ac:dyDescent="0.25">
      <c r="A1108" t="s">
        <v>1601</v>
      </c>
      <c r="B1108" t="s">
        <v>1636</v>
      </c>
      <c r="C1108">
        <v>31317</v>
      </c>
      <c r="D1108">
        <v>0</v>
      </c>
      <c r="E1108">
        <v>0</v>
      </c>
      <c r="F1108">
        <v>0</v>
      </c>
    </row>
    <row r="1109" spans="1:6" x14ac:dyDescent="0.25">
      <c r="A1109" t="s">
        <v>1603</v>
      </c>
      <c r="B1109" t="s">
        <v>1689</v>
      </c>
      <c r="C1109">
        <v>31318</v>
      </c>
      <c r="D1109">
        <v>0</v>
      </c>
      <c r="E1109">
        <v>0</v>
      </c>
      <c r="F1109">
        <v>0</v>
      </c>
    </row>
    <row r="1110" spans="1:6" x14ac:dyDescent="0.25">
      <c r="B1110" t="s">
        <v>1953</v>
      </c>
      <c r="D1110">
        <v>11152782</v>
      </c>
      <c r="E1110">
        <v>3516961</v>
      </c>
      <c r="F1110">
        <v>14669743</v>
      </c>
    </row>
    <row r="1111" spans="1:6" x14ac:dyDescent="0.25">
      <c r="B1111" t="s">
        <v>1698</v>
      </c>
    </row>
    <row r="1112" spans="1:6" x14ac:dyDescent="0.25">
      <c r="A1112" t="s">
        <v>2</v>
      </c>
      <c r="B1112" t="s">
        <v>1699</v>
      </c>
      <c r="C1112">
        <v>31401</v>
      </c>
      <c r="D1112">
        <v>0</v>
      </c>
      <c r="E1112">
        <v>0</v>
      </c>
      <c r="F1112">
        <v>0</v>
      </c>
    </row>
    <row r="1113" spans="1:6" x14ac:dyDescent="0.25">
      <c r="A1113" t="s">
        <v>15</v>
      </c>
      <c r="B1113" t="s">
        <v>1694</v>
      </c>
      <c r="C1113">
        <v>31402</v>
      </c>
      <c r="D1113">
        <v>0</v>
      </c>
      <c r="E1113">
        <v>0</v>
      </c>
      <c r="F1113">
        <v>0</v>
      </c>
    </row>
    <row r="1114" spans="1:6" x14ac:dyDescent="0.25">
      <c r="A1114" t="s">
        <v>16</v>
      </c>
      <c r="B1114" t="s">
        <v>1695</v>
      </c>
      <c r="C1114">
        <v>31403</v>
      </c>
      <c r="D1114">
        <v>0</v>
      </c>
      <c r="E1114">
        <v>0</v>
      </c>
      <c r="F1114">
        <v>0</v>
      </c>
    </row>
    <row r="1115" spans="1:6" x14ac:dyDescent="0.25">
      <c r="A1115" t="s">
        <v>25</v>
      </c>
      <c r="B1115" t="s">
        <v>1696</v>
      </c>
      <c r="C1115">
        <v>31404</v>
      </c>
      <c r="D1115">
        <v>0</v>
      </c>
      <c r="E1115">
        <v>0</v>
      </c>
      <c r="F1115">
        <v>0</v>
      </c>
    </row>
    <row r="1116" spans="1:6" x14ac:dyDescent="0.25">
      <c r="A1116" t="s">
        <v>26</v>
      </c>
      <c r="B1116" t="s">
        <v>1680</v>
      </c>
      <c r="C1116">
        <v>31405</v>
      </c>
      <c r="D1116">
        <v>0</v>
      </c>
      <c r="E1116">
        <v>0</v>
      </c>
      <c r="F1116">
        <v>0</v>
      </c>
    </row>
    <row r="1117" spans="1:6" x14ac:dyDescent="0.25">
      <c r="A1117" t="s">
        <v>27</v>
      </c>
      <c r="B1117" t="s">
        <v>1681</v>
      </c>
      <c r="C1117">
        <v>31406</v>
      </c>
      <c r="D1117">
        <v>0</v>
      </c>
      <c r="E1117">
        <v>0</v>
      </c>
      <c r="F1117">
        <v>0</v>
      </c>
    </row>
    <row r="1118" spans="1:6" x14ac:dyDescent="0.25">
      <c r="A1118" t="s">
        <v>531</v>
      </c>
      <c r="B1118" t="s">
        <v>1682</v>
      </c>
      <c r="C1118">
        <v>31407</v>
      </c>
      <c r="D1118">
        <v>123299</v>
      </c>
      <c r="E1118">
        <v>0</v>
      </c>
      <c r="F1118">
        <v>123299</v>
      </c>
    </row>
    <row r="1119" spans="1:6" x14ac:dyDescent="0.25">
      <c r="A1119" t="s">
        <v>1583</v>
      </c>
      <c r="B1119" t="s">
        <v>1683</v>
      </c>
      <c r="C1119">
        <v>31408</v>
      </c>
      <c r="D1119">
        <v>0</v>
      </c>
      <c r="E1119">
        <v>0</v>
      </c>
      <c r="F1119">
        <v>0</v>
      </c>
    </row>
    <row r="1120" spans="1:6" x14ac:dyDescent="0.25">
      <c r="A1120" t="s">
        <v>1585</v>
      </c>
      <c r="B1120" t="s">
        <v>1684</v>
      </c>
      <c r="C1120">
        <v>31409</v>
      </c>
      <c r="D1120">
        <v>0</v>
      </c>
      <c r="E1120">
        <v>0</v>
      </c>
      <c r="F1120">
        <v>0</v>
      </c>
    </row>
    <row r="1121" spans="1:6" x14ac:dyDescent="0.25">
      <c r="A1121" t="s">
        <v>1587</v>
      </c>
      <c r="B1121" t="s">
        <v>1685</v>
      </c>
      <c r="C1121">
        <v>31410</v>
      </c>
      <c r="D1121">
        <v>0</v>
      </c>
      <c r="E1121">
        <v>0</v>
      </c>
      <c r="F1121">
        <v>0</v>
      </c>
    </row>
    <row r="1122" spans="1:6" x14ac:dyDescent="0.25">
      <c r="A1122" t="s">
        <v>1589</v>
      </c>
      <c r="B1122" t="s">
        <v>1686</v>
      </c>
      <c r="C1122">
        <v>31411</v>
      </c>
      <c r="D1122">
        <v>4595</v>
      </c>
      <c r="E1122">
        <v>0</v>
      </c>
      <c r="F1122">
        <v>4595</v>
      </c>
    </row>
    <row r="1123" spans="1:6" x14ac:dyDescent="0.25">
      <c r="A1123" t="s">
        <v>1591</v>
      </c>
      <c r="B1123" t="s">
        <v>1687</v>
      </c>
      <c r="C1123">
        <v>31412</v>
      </c>
      <c r="D1123">
        <v>124518</v>
      </c>
      <c r="E1123">
        <v>0</v>
      </c>
      <c r="F1123">
        <v>124518</v>
      </c>
    </row>
    <row r="1124" spans="1:6" x14ac:dyDescent="0.25">
      <c r="A1124" t="s">
        <v>1593</v>
      </c>
      <c r="B1124" t="s">
        <v>1688</v>
      </c>
      <c r="C1124">
        <v>31413</v>
      </c>
      <c r="D1124">
        <v>0</v>
      </c>
      <c r="E1124">
        <v>0</v>
      </c>
      <c r="F1124">
        <v>0</v>
      </c>
    </row>
    <row r="1125" spans="1:6" x14ac:dyDescent="0.25">
      <c r="A1125" t="s">
        <v>1595</v>
      </c>
      <c r="B1125" t="s">
        <v>1690</v>
      </c>
      <c r="C1125">
        <v>31414</v>
      </c>
      <c r="D1125">
        <v>0</v>
      </c>
      <c r="E1125">
        <v>0</v>
      </c>
      <c r="F1125">
        <v>0</v>
      </c>
    </row>
    <row r="1126" spans="1:6" x14ac:dyDescent="0.25">
      <c r="A1126" t="s">
        <v>1597</v>
      </c>
      <c r="B1126" t="s">
        <v>1637</v>
      </c>
      <c r="C1126">
        <v>31415</v>
      </c>
      <c r="D1126">
        <v>265122</v>
      </c>
      <c r="E1126">
        <v>541</v>
      </c>
      <c r="F1126">
        <v>265663</v>
      </c>
    </row>
    <row r="1127" spans="1:6" x14ac:dyDescent="0.25">
      <c r="A1127" t="s">
        <v>1599</v>
      </c>
      <c r="B1127" t="s">
        <v>1640</v>
      </c>
      <c r="C1127">
        <v>31416</v>
      </c>
      <c r="D1127">
        <v>0</v>
      </c>
      <c r="E1127">
        <v>841</v>
      </c>
      <c r="F1127">
        <v>841</v>
      </c>
    </row>
    <row r="1128" spans="1:6" x14ac:dyDescent="0.25">
      <c r="A1128" t="s">
        <v>1601</v>
      </c>
      <c r="B1128" t="s">
        <v>1636</v>
      </c>
      <c r="C1128">
        <v>31417</v>
      </c>
      <c r="D1128">
        <v>119104</v>
      </c>
      <c r="E1128">
        <v>0</v>
      </c>
      <c r="F1128">
        <v>119104</v>
      </c>
    </row>
    <row r="1129" spans="1:6" x14ac:dyDescent="0.25">
      <c r="A1129" t="s">
        <v>1603</v>
      </c>
      <c r="B1129" t="s">
        <v>1689</v>
      </c>
      <c r="C1129">
        <v>31418</v>
      </c>
      <c r="D1129">
        <v>40694</v>
      </c>
      <c r="E1129">
        <v>0</v>
      </c>
      <c r="F1129">
        <v>40694</v>
      </c>
    </row>
    <row r="1130" spans="1:6" x14ac:dyDescent="0.25">
      <c r="B1130" t="s">
        <v>1954</v>
      </c>
      <c r="D1130">
        <v>677332</v>
      </c>
      <c r="E1130">
        <v>1382</v>
      </c>
      <c r="F1130">
        <v>678714</v>
      </c>
    </row>
    <row r="1131" spans="1:6" x14ac:dyDescent="0.25">
      <c r="B1131" t="s">
        <v>1701</v>
      </c>
    </row>
    <row r="1132" spans="1:6" x14ac:dyDescent="0.25">
      <c r="A1132" t="s">
        <v>2</v>
      </c>
      <c r="B1132" t="s">
        <v>1702</v>
      </c>
      <c r="C1132">
        <v>31501</v>
      </c>
      <c r="D1132">
        <v>14589</v>
      </c>
      <c r="E1132">
        <v>0</v>
      </c>
      <c r="F1132">
        <v>14589</v>
      </c>
    </row>
    <row r="1133" spans="1:6" x14ac:dyDescent="0.25">
      <c r="A1133" t="s">
        <v>15</v>
      </c>
      <c r="B1133" t="s">
        <v>1703</v>
      </c>
      <c r="C1133">
        <v>31502</v>
      </c>
      <c r="D1133">
        <v>5</v>
      </c>
      <c r="E1133">
        <v>0</v>
      </c>
      <c r="F1133">
        <v>5</v>
      </c>
    </row>
    <row r="1134" spans="1:6" x14ac:dyDescent="0.25">
      <c r="B1134" t="s">
        <v>1955</v>
      </c>
      <c r="D1134">
        <v>14594</v>
      </c>
      <c r="E1134">
        <v>0</v>
      </c>
      <c r="F1134">
        <v>14594</v>
      </c>
    </row>
    <row r="1135" spans="1:6" x14ac:dyDescent="0.25">
      <c r="B1135" t="s">
        <v>1705</v>
      </c>
    </row>
    <row r="1136" spans="1:6" x14ac:dyDescent="0.25">
      <c r="A1136" t="s">
        <v>2</v>
      </c>
      <c r="B1136" t="s">
        <v>1702</v>
      </c>
      <c r="C1136">
        <v>31601</v>
      </c>
      <c r="D1136">
        <v>5638151</v>
      </c>
      <c r="E1136">
        <v>76848</v>
      </c>
      <c r="F1136">
        <v>5714999</v>
      </c>
    </row>
    <row r="1137" spans="1:6" x14ac:dyDescent="0.25">
      <c r="A1137" t="s">
        <v>15</v>
      </c>
      <c r="B1137" t="s">
        <v>1703</v>
      </c>
      <c r="C1137">
        <v>31602</v>
      </c>
      <c r="D1137">
        <v>5104</v>
      </c>
      <c r="E1137">
        <v>166</v>
      </c>
      <c r="F1137">
        <v>5270</v>
      </c>
    </row>
    <row r="1138" spans="1:6" x14ac:dyDescent="0.25">
      <c r="B1138" t="s">
        <v>1956</v>
      </c>
      <c r="D1138">
        <v>5643255</v>
      </c>
      <c r="E1138">
        <v>77014</v>
      </c>
      <c r="F1138">
        <v>5720269</v>
      </c>
    </row>
    <row r="1139" spans="1:6" x14ac:dyDescent="0.25">
      <c r="B1139" t="s">
        <v>1707</v>
      </c>
    </row>
    <row r="1140" spans="1:6" x14ac:dyDescent="0.25">
      <c r="A1140" t="s">
        <v>2</v>
      </c>
      <c r="B1140" t="s">
        <v>1702</v>
      </c>
      <c r="C1140">
        <v>31701</v>
      </c>
      <c r="D1140">
        <v>2873</v>
      </c>
      <c r="E1140">
        <v>0</v>
      </c>
      <c r="F1140">
        <v>2873</v>
      </c>
    </row>
    <row r="1141" spans="1:6" x14ac:dyDescent="0.25">
      <c r="A1141" t="s">
        <v>15</v>
      </c>
      <c r="B1141" t="s">
        <v>1703</v>
      </c>
      <c r="C1141">
        <v>31702</v>
      </c>
      <c r="D1141">
        <v>0</v>
      </c>
      <c r="E1141">
        <v>0</v>
      </c>
      <c r="F1141">
        <v>0</v>
      </c>
    </row>
    <row r="1142" spans="1:6" x14ac:dyDescent="0.25">
      <c r="B1142" t="s">
        <v>1957</v>
      </c>
      <c r="D1142">
        <v>2873</v>
      </c>
      <c r="E1142">
        <v>0</v>
      </c>
      <c r="F1142">
        <v>2873</v>
      </c>
    </row>
    <row r="1143" spans="1:6" x14ac:dyDescent="0.25">
      <c r="B1143" t="s">
        <v>1709</v>
      </c>
    </row>
    <row r="1144" spans="1:6" x14ac:dyDescent="0.25">
      <c r="A1144" t="s">
        <v>2</v>
      </c>
      <c r="B1144" t="s">
        <v>1710</v>
      </c>
      <c r="C1144">
        <v>31801</v>
      </c>
      <c r="D1144">
        <v>2</v>
      </c>
      <c r="E1144">
        <v>0</v>
      </c>
      <c r="F1144">
        <v>2</v>
      </c>
    </row>
    <row r="1145" spans="1:6" x14ac:dyDescent="0.25">
      <c r="A1145" t="s">
        <v>15</v>
      </c>
      <c r="B1145" t="s">
        <v>1711</v>
      </c>
      <c r="C1145">
        <v>31802</v>
      </c>
      <c r="D1145">
        <v>0</v>
      </c>
      <c r="E1145">
        <v>0</v>
      </c>
      <c r="F1145">
        <v>0</v>
      </c>
    </row>
    <row r="1146" spans="1:6" x14ac:dyDescent="0.25">
      <c r="A1146" t="s">
        <v>16</v>
      </c>
      <c r="B1146" t="s">
        <v>1712</v>
      </c>
      <c r="C1146">
        <v>31803</v>
      </c>
      <c r="D1146">
        <v>24797</v>
      </c>
      <c r="E1146">
        <v>0</v>
      </c>
      <c r="F1146">
        <v>24797</v>
      </c>
    </row>
    <row r="1147" spans="1:6" x14ac:dyDescent="0.25">
      <c r="A1147" t="s">
        <v>25</v>
      </c>
      <c r="B1147" t="s">
        <v>1713</v>
      </c>
      <c r="C1147">
        <v>31804</v>
      </c>
      <c r="D1147">
        <v>35782</v>
      </c>
      <c r="E1147">
        <v>371</v>
      </c>
      <c r="F1147">
        <v>36153</v>
      </c>
    </row>
    <row r="1148" spans="1:6" x14ac:dyDescent="0.25">
      <c r="A1148" t="s">
        <v>26</v>
      </c>
      <c r="B1148" t="s">
        <v>1714</v>
      </c>
      <c r="C1148">
        <v>31805</v>
      </c>
      <c r="D1148">
        <v>0</v>
      </c>
      <c r="E1148">
        <v>0</v>
      </c>
      <c r="F1148">
        <v>0</v>
      </c>
    </row>
    <row r="1149" spans="1:6" x14ac:dyDescent="0.25">
      <c r="B1149" t="s">
        <v>1958</v>
      </c>
      <c r="D1149">
        <v>60581</v>
      </c>
      <c r="E1149">
        <v>371</v>
      </c>
      <c r="F1149">
        <v>60952</v>
      </c>
    </row>
    <row r="1150" spans="1:6" x14ac:dyDescent="0.25">
      <c r="B1150" t="s">
        <v>1959</v>
      </c>
    </row>
    <row r="1151" spans="1:6" x14ac:dyDescent="0.25">
      <c r="A1151" t="s">
        <v>2</v>
      </c>
      <c r="B1151" t="s">
        <v>1960</v>
      </c>
      <c r="C1151">
        <v>31901</v>
      </c>
      <c r="D1151">
        <v>0</v>
      </c>
      <c r="E1151">
        <v>8811</v>
      </c>
      <c r="F1151">
        <v>8811</v>
      </c>
    </row>
    <row r="1152" spans="1:6" x14ac:dyDescent="0.25">
      <c r="A1152" t="s">
        <v>15</v>
      </c>
      <c r="B1152" t="s">
        <v>1961</v>
      </c>
      <c r="C1152">
        <v>31902</v>
      </c>
      <c r="D1152">
        <v>0</v>
      </c>
      <c r="E1152">
        <v>0</v>
      </c>
      <c r="F1152">
        <v>0</v>
      </c>
    </row>
    <row r="1153" spans="1:6" x14ac:dyDescent="0.25">
      <c r="A1153" t="s">
        <v>16</v>
      </c>
      <c r="B1153" t="s">
        <v>1962</v>
      </c>
      <c r="C1153">
        <v>31903</v>
      </c>
      <c r="D1153">
        <v>0</v>
      </c>
      <c r="E1153">
        <v>0</v>
      </c>
      <c r="F1153">
        <v>0</v>
      </c>
    </row>
    <row r="1154" spans="1:6" x14ac:dyDescent="0.25">
      <c r="B1154" t="s">
        <v>1963</v>
      </c>
      <c r="D1154">
        <v>0</v>
      </c>
      <c r="E1154">
        <v>8811</v>
      </c>
      <c r="F1154">
        <v>8811</v>
      </c>
    </row>
    <row r="1155" spans="1:6" x14ac:dyDescent="0.25">
      <c r="B1155" t="s">
        <v>1653</v>
      </c>
      <c r="D1155">
        <v>17979810</v>
      </c>
      <c r="E1155">
        <v>3615910</v>
      </c>
      <c r="F1155">
        <v>21595720</v>
      </c>
    </row>
    <row r="1156" spans="1:6" x14ac:dyDescent="0.25">
      <c r="B1156" t="s">
        <v>1964</v>
      </c>
    </row>
    <row r="1157" spans="1:6" x14ac:dyDescent="0.25">
      <c r="B1157" t="s">
        <v>1672</v>
      </c>
    </row>
    <row r="1158" spans="1:6" x14ac:dyDescent="0.25">
      <c r="A1158" t="s">
        <v>2</v>
      </c>
      <c r="B1158" t="s">
        <v>1673</v>
      </c>
      <c r="C1158">
        <v>32101</v>
      </c>
      <c r="D1158">
        <v>0</v>
      </c>
      <c r="E1158">
        <v>0</v>
      </c>
      <c r="F1158">
        <v>0</v>
      </c>
    </row>
    <row r="1159" spans="1:6" x14ac:dyDescent="0.25">
      <c r="A1159" t="s">
        <v>15</v>
      </c>
      <c r="B1159" t="s">
        <v>1674</v>
      </c>
      <c r="C1159">
        <v>32102</v>
      </c>
      <c r="D1159">
        <v>0</v>
      </c>
      <c r="E1159">
        <v>0</v>
      </c>
      <c r="F1159">
        <v>0</v>
      </c>
    </row>
    <row r="1160" spans="1:6" x14ac:dyDescent="0.25">
      <c r="A1160" t="s">
        <v>16</v>
      </c>
      <c r="B1160" t="s">
        <v>1675</v>
      </c>
      <c r="C1160">
        <v>32103</v>
      </c>
      <c r="D1160">
        <v>0</v>
      </c>
      <c r="E1160">
        <v>0</v>
      </c>
      <c r="F1160">
        <v>0</v>
      </c>
    </row>
    <row r="1161" spans="1:6" x14ac:dyDescent="0.25">
      <c r="A1161" t="s">
        <v>25</v>
      </c>
      <c r="B1161" t="s">
        <v>1676</v>
      </c>
      <c r="C1161">
        <v>32104</v>
      </c>
      <c r="D1161">
        <v>0</v>
      </c>
      <c r="E1161">
        <v>0</v>
      </c>
      <c r="F1161">
        <v>0</v>
      </c>
    </row>
    <row r="1162" spans="1:6" x14ac:dyDescent="0.25">
      <c r="A1162" t="s">
        <v>26</v>
      </c>
      <c r="B1162" t="s">
        <v>1677</v>
      </c>
      <c r="C1162">
        <v>32105</v>
      </c>
      <c r="D1162">
        <v>0</v>
      </c>
      <c r="E1162">
        <v>0</v>
      </c>
      <c r="F1162">
        <v>0</v>
      </c>
    </row>
    <row r="1163" spans="1:6" x14ac:dyDescent="0.25">
      <c r="B1163" t="s">
        <v>1965</v>
      </c>
      <c r="D1163">
        <v>0</v>
      </c>
      <c r="E1163">
        <v>0</v>
      </c>
      <c r="F1163">
        <v>0</v>
      </c>
    </row>
    <row r="1164" spans="1:6" x14ac:dyDescent="0.25">
      <c r="B1164" t="s">
        <v>1781</v>
      </c>
    </row>
    <row r="1165" spans="1:6" x14ac:dyDescent="0.25">
      <c r="A1165" t="s">
        <v>2</v>
      </c>
      <c r="B1165" t="s">
        <v>1693</v>
      </c>
      <c r="C1165">
        <v>32201</v>
      </c>
      <c r="D1165">
        <v>0</v>
      </c>
      <c r="E1165">
        <v>0</v>
      </c>
      <c r="F1165">
        <v>0</v>
      </c>
    </row>
    <row r="1166" spans="1:6" x14ac:dyDescent="0.25">
      <c r="A1166" t="s">
        <v>15</v>
      </c>
      <c r="B1166" t="s">
        <v>1694</v>
      </c>
      <c r="C1166">
        <v>32202</v>
      </c>
      <c r="D1166">
        <v>0</v>
      </c>
      <c r="E1166">
        <v>0</v>
      </c>
      <c r="F1166">
        <v>0</v>
      </c>
    </row>
    <row r="1167" spans="1:6" x14ac:dyDescent="0.25">
      <c r="A1167" t="s">
        <v>16</v>
      </c>
      <c r="B1167" t="s">
        <v>1695</v>
      </c>
      <c r="C1167">
        <v>32203</v>
      </c>
      <c r="D1167">
        <v>0</v>
      </c>
      <c r="E1167">
        <v>0</v>
      </c>
      <c r="F1167">
        <v>0</v>
      </c>
    </row>
    <row r="1168" spans="1:6" x14ac:dyDescent="0.25">
      <c r="A1168" t="s">
        <v>25</v>
      </c>
      <c r="B1168" t="s">
        <v>1696</v>
      </c>
      <c r="C1168">
        <v>32204</v>
      </c>
      <c r="D1168">
        <v>0</v>
      </c>
      <c r="E1168">
        <v>0</v>
      </c>
      <c r="F1168">
        <v>0</v>
      </c>
    </row>
    <row r="1169" spans="1:6" x14ac:dyDescent="0.25">
      <c r="A1169" t="s">
        <v>26</v>
      </c>
      <c r="B1169" t="s">
        <v>1680</v>
      </c>
      <c r="C1169">
        <v>32205</v>
      </c>
      <c r="D1169">
        <v>0</v>
      </c>
      <c r="E1169">
        <v>0</v>
      </c>
      <c r="F1169">
        <v>0</v>
      </c>
    </row>
    <row r="1170" spans="1:6" x14ac:dyDescent="0.25">
      <c r="A1170" t="s">
        <v>27</v>
      </c>
      <c r="B1170" t="s">
        <v>1681</v>
      </c>
      <c r="C1170">
        <v>32206</v>
      </c>
      <c r="D1170">
        <v>0</v>
      </c>
      <c r="E1170">
        <v>0</v>
      </c>
      <c r="F1170">
        <v>0</v>
      </c>
    </row>
    <row r="1171" spans="1:6" x14ac:dyDescent="0.25">
      <c r="A1171" t="s">
        <v>531</v>
      </c>
      <c r="B1171" t="s">
        <v>1682</v>
      </c>
      <c r="C1171">
        <v>32207</v>
      </c>
      <c r="D1171">
        <v>0</v>
      </c>
      <c r="E1171">
        <v>0</v>
      </c>
      <c r="F1171">
        <v>0</v>
      </c>
    </row>
    <row r="1172" spans="1:6" x14ac:dyDescent="0.25">
      <c r="A1172" t="s">
        <v>1583</v>
      </c>
      <c r="B1172" t="s">
        <v>1683</v>
      </c>
      <c r="C1172">
        <v>32208</v>
      </c>
      <c r="D1172">
        <v>0</v>
      </c>
      <c r="E1172">
        <v>0</v>
      </c>
      <c r="F1172">
        <v>0</v>
      </c>
    </row>
    <row r="1173" spans="1:6" x14ac:dyDescent="0.25">
      <c r="A1173" t="s">
        <v>1585</v>
      </c>
      <c r="B1173" t="s">
        <v>1684</v>
      </c>
      <c r="C1173">
        <v>32209</v>
      </c>
      <c r="D1173">
        <v>0</v>
      </c>
      <c r="E1173">
        <v>0</v>
      </c>
      <c r="F1173">
        <v>0</v>
      </c>
    </row>
    <row r="1174" spans="1:6" x14ac:dyDescent="0.25">
      <c r="A1174" t="s">
        <v>1587</v>
      </c>
      <c r="B1174" t="s">
        <v>1685</v>
      </c>
      <c r="C1174">
        <v>32210</v>
      </c>
      <c r="D1174">
        <v>0</v>
      </c>
      <c r="E1174">
        <v>0</v>
      </c>
      <c r="F1174">
        <v>0</v>
      </c>
    </row>
    <row r="1175" spans="1:6" x14ac:dyDescent="0.25">
      <c r="A1175" t="s">
        <v>1589</v>
      </c>
      <c r="B1175" t="s">
        <v>1686</v>
      </c>
      <c r="C1175">
        <v>32211</v>
      </c>
      <c r="D1175">
        <v>0</v>
      </c>
      <c r="E1175">
        <v>0</v>
      </c>
      <c r="F1175">
        <v>0</v>
      </c>
    </row>
    <row r="1176" spans="1:6" x14ac:dyDescent="0.25">
      <c r="A1176" t="s">
        <v>1591</v>
      </c>
      <c r="B1176" t="s">
        <v>1687</v>
      </c>
      <c r="C1176">
        <v>32212</v>
      </c>
      <c r="D1176">
        <v>0</v>
      </c>
      <c r="E1176">
        <v>0</v>
      </c>
      <c r="F1176">
        <v>0</v>
      </c>
    </row>
    <row r="1177" spans="1:6" x14ac:dyDescent="0.25">
      <c r="A1177" t="s">
        <v>1593</v>
      </c>
      <c r="B1177" t="s">
        <v>1688</v>
      </c>
      <c r="C1177">
        <v>32213</v>
      </c>
      <c r="D1177">
        <v>0</v>
      </c>
      <c r="E1177">
        <v>0</v>
      </c>
      <c r="F1177">
        <v>0</v>
      </c>
    </row>
    <row r="1178" spans="1:6" x14ac:dyDescent="0.25">
      <c r="A1178" t="s">
        <v>1595</v>
      </c>
      <c r="B1178" t="s">
        <v>1690</v>
      </c>
      <c r="C1178">
        <v>32214</v>
      </c>
      <c r="D1178">
        <v>0</v>
      </c>
      <c r="E1178">
        <v>0</v>
      </c>
      <c r="F1178">
        <v>0</v>
      </c>
    </row>
    <row r="1179" spans="1:6" x14ac:dyDescent="0.25">
      <c r="A1179" t="s">
        <v>1597</v>
      </c>
      <c r="B1179" t="s">
        <v>1637</v>
      </c>
      <c r="C1179">
        <v>32215</v>
      </c>
      <c r="D1179">
        <v>0</v>
      </c>
      <c r="E1179">
        <v>0</v>
      </c>
      <c r="F1179">
        <v>0</v>
      </c>
    </row>
    <row r="1180" spans="1:6" x14ac:dyDescent="0.25">
      <c r="A1180" t="s">
        <v>1599</v>
      </c>
      <c r="B1180" t="s">
        <v>1640</v>
      </c>
      <c r="C1180">
        <v>32216</v>
      </c>
      <c r="D1180">
        <v>0</v>
      </c>
      <c r="E1180">
        <v>0</v>
      </c>
      <c r="F1180">
        <v>0</v>
      </c>
    </row>
    <row r="1181" spans="1:6" x14ac:dyDescent="0.25">
      <c r="A1181" t="s">
        <v>1601</v>
      </c>
      <c r="B1181" t="s">
        <v>1636</v>
      </c>
      <c r="C1181">
        <v>32217</v>
      </c>
      <c r="D1181">
        <v>0</v>
      </c>
      <c r="E1181">
        <v>0</v>
      </c>
      <c r="F1181">
        <v>0</v>
      </c>
    </row>
    <row r="1182" spans="1:6" x14ac:dyDescent="0.25">
      <c r="A1182" t="s">
        <v>1603</v>
      </c>
      <c r="B1182" t="s">
        <v>1689</v>
      </c>
      <c r="C1182">
        <v>32218</v>
      </c>
      <c r="D1182">
        <v>0</v>
      </c>
      <c r="E1182">
        <v>0</v>
      </c>
      <c r="F1182">
        <v>0</v>
      </c>
    </row>
    <row r="1183" spans="1:6" x14ac:dyDescent="0.25">
      <c r="B1183" t="s">
        <v>1966</v>
      </c>
      <c r="D1183">
        <v>0</v>
      </c>
      <c r="E1183">
        <v>0</v>
      </c>
      <c r="F1183">
        <v>0</v>
      </c>
    </row>
    <row r="1184" spans="1:6" x14ac:dyDescent="0.25">
      <c r="B1184" t="s">
        <v>1783</v>
      </c>
    </row>
    <row r="1185" spans="1:6" x14ac:dyDescent="0.25">
      <c r="A1185" t="s">
        <v>2</v>
      </c>
      <c r="B1185" t="s">
        <v>1699</v>
      </c>
      <c r="C1185">
        <v>32301</v>
      </c>
      <c r="D1185">
        <v>0</v>
      </c>
      <c r="E1185">
        <v>0</v>
      </c>
      <c r="F1185">
        <v>0</v>
      </c>
    </row>
    <row r="1186" spans="1:6" x14ac:dyDescent="0.25">
      <c r="A1186" t="s">
        <v>15</v>
      </c>
      <c r="B1186" t="s">
        <v>1694</v>
      </c>
      <c r="C1186">
        <v>32302</v>
      </c>
      <c r="D1186">
        <v>0</v>
      </c>
      <c r="E1186">
        <v>0</v>
      </c>
      <c r="F1186">
        <v>0</v>
      </c>
    </row>
    <row r="1187" spans="1:6" x14ac:dyDescent="0.25">
      <c r="A1187" t="s">
        <v>16</v>
      </c>
      <c r="B1187" t="s">
        <v>1695</v>
      </c>
      <c r="C1187">
        <v>32303</v>
      </c>
      <c r="D1187">
        <v>0</v>
      </c>
      <c r="E1187">
        <v>0</v>
      </c>
      <c r="F1187">
        <v>0</v>
      </c>
    </row>
    <row r="1188" spans="1:6" x14ac:dyDescent="0.25">
      <c r="A1188" t="s">
        <v>25</v>
      </c>
      <c r="B1188" t="s">
        <v>1696</v>
      </c>
      <c r="C1188">
        <v>32304</v>
      </c>
      <c r="D1188">
        <v>0</v>
      </c>
      <c r="E1188">
        <v>0</v>
      </c>
      <c r="F1188">
        <v>0</v>
      </c>
    </row>
    <row r="1189" spans="1:6" x14ac:dyDescent="0.25">
      <c r="A1189" t="s">
        <v>26</v>
      </c>
      <c r="B1189" t="s">
        <v>1680</v>
      </c>
      <c r="C1189">
        <v>32305</v>
      </c>
      <c r="D1189">
        <v>0</v>
      </c>
      <c r="E1189">
        <v>0</v>
      </c>
      <c r="F1189">
        <v>0</v>
      </c>
    </row>
    <row r="1190" spans="1:6" x14ac:dyDescent="0.25">
      <c r="A1190" t="s">
        <v>27</v>
      </c>
      <c r="B1190" t="s">
        <v>1681</v>
      </c>
      <c r="C1190">
        <v>32306</v>
      </c>
      <c r="D1190">
        <v>0</v>
      </c>
      <c r="E1190">
        <v>0</v>
      </c>
      <c r="F1190">
        <v>0</v>
      </c>
    </row>
    <row r="1191" spans="1:6" x14ac:dyDescent="0.25">
      <c r="A1191" t="s">
        <v>531</v>
      </c>
      <c r="B1191" t="s">
        <v>1682</v>
      </c>
      <c r="C1191">
        <v>32307</v>
      </c>
      <c r="D1191">
        <v>0</v>
      </c>
      <c r="E1191">
        <v>0</v>
      </c>
      <c r="F1191">
        <v>0</v>
      </c>
    </row>
    <row r="1192" spans="1:6" x14ac:dyDescent="0.25">
      <c r="A1192" t="s">
        <v>1583</v>
      </c>
      <c r="B1192" t="s">
        <v>1683</v>
      </c>
      <c r="C1192">
        <v>32308</v>
      </c>
      <c r="D1192">
        <v>0</v>
      </c>
      <c r="E1192">
        <v>0</v>
      </c>
      <c r="F1192">
        <v>0</v>
      </c>
    </row>
    <row r="1193" spans="1:6" x14ac:dyDescent="0.25">
      <c r="A1193" t="s">
        <v>1585</v>
      </c>
      <c r="B1193" t="s">
        <v>1684</v>
      </c>
      <c r="C1193">
        <v>32309</v>
      </c>
      <c r="D1193">
        <v>0</v>
      </c>
      <c r="E1193">
        <v>0</v>
      </c>
      <c r="F1193">
        <v>0</v>
      </c>
    </row>
    <row r="1194" spans="1:6" x14ac:dyDescent="0.25">
      <c r="A1194" t="s">
        <v>1587</v>
      </c>
      <c r="B1194" t="s">
        <v>1685</v>
      </c>
      <c r="C1194">
        <v>32310</v>
      </c>
      <c r="D1194">
        <v>0</v>
      </c>
      <c r="E1194">
        <v>0</v>
      </c>
      <c r="F1194">
        <v>0</v>
      </c>
    </row>
    <row r="1195" spans="1:6" x14ac:dyDescent="0.25">
      <c r="A1195" t="s">
        <v>1589</v>
      </c>
      <c r="B1195" t="s">
        <v>1686</v>
      </c>
      <c r="C1195">
        <v>32311</v>
      </c>
      <c r="D1195">
        <v>0</v>
      </c>
      <c r="E1195">
        <v>0</v>
      </c>
      <c r="F1195">
        <v>0</v>
      </c>
    </row>
    <row r="1196" spans="1:6" x14ac:dyDescent="0.25">
      <c r="A1196" t="s">
        <v>1591</v>
      </c>
      <c r="B1196" t="s">
        <v>1687</v>
      </c>
      <c r="C1196">
        <v>32312</v>
      </c>
      <c r="D1196">
        <v>0</v>
      </c>
      <c r="E1196">
        <v>0</v>
      </c>
      <c r="F1196">
        <v>0</v>
      </c>
    </row>
    <row r="1197" spans="1:6" x14ac:dyDescent="0.25">
      <c r="A1197" t="s">
        <v>1593</v>
      </c>
      <c r="B1197" t="s">
        <v>1688</v>
      </c>
      <c r="C1197">
        <v>32313</v>
      </c>
      <c r="D1197">
        <v>0</v>
      </c>
      <c r="E1197">
        <v>0</v>
      </c>
      <c r="F1197">
        <v>0</v>
      </c>
    </row>
    <row r="1198" spans="1:6" x14ac:dyDescent="0.25">
      <c r="A1198" t="s">
        <v>1595</v>
      </c>
      <c r="B1198" t="s">
        <v>1690</v>
      </c>
      <c r="C1198">
        <v>32314</v>
      </c>
      <c r="D1198">
        <v>0</v>
      </c>
      <c r="E1198">
        <v>0</v>
      </c>
      <c r="F1198">
        <v>0</v>
      </c>
    </row>
    <row r="1199" spans="1:6" x14ac:dyDescent="0.25">
      <c r="A1199" t="s">
        <v>1597</v>
      </c>
      <c r="B1199" t="s">
        <v>1637</v>
      </c>
      <c r="C1199">
        <v>32315</v>
      </c>
      <c r="D1199">
        <v>0</v>
      </c>
      <c r="E1199">
        <v>0</v>
      </c>
      <c r="F1199">
        <v>0</v>
      </c>
    </row>
    <row r="1200" spans="1:6" x14ac:dyDescent="0.25">
      <c r="A1200" t="s">
        <v>1599</v>
      </c>
      <c r="B1200" t="s">
        <v>1640</v>
      </c>
      <c r="C1200">
        <v>32316</v>
      </c>
      <c r="D1200">
        <v>0</v>
      </c>
      <c r="E1200">
        <v>0</v>
      </c>
      <c r="F1200">
        <v>0</v>
      </c>
    </row>
    <row r="1201" spans="1:6" x14ac:dyDescent="0.25">
      <c r="A1201" t="s">
        <v>1601</v>
      </c>
      <c r="B1201" t="s">
        <v>1636</v>
      </c>
      <c r="C1201">
        <v>32317</v>
      </c>
      <c r="D1201">
        <v>0</v>
      </c>
      <c r="E1201">
        <v>0</v>
      </c>
      <c r="F1201">
        <v>0</v>
      </c>
    </row>
    <row r="1202" spans="1:6" x14ac:dyDescent="0.25">
      <c r="A1202" t="s">
        <v>1603</v>
      </c>
      <c r="B1202" t="s">
        <v>1689</v>
      </c>
      <c r="C1202">
        <v>32318</v>
      </c>
      <c r="D1202">
        <v>0</v>
      </c>
      <c r="E1202">
        <v>0</v>
      </c>
      <c r="F1202">
        <v>0</v>
      </c>
    </row>
    <row r="1203" spans="1:6" x14ac:dyDescent="0.25">
      <c r="B1203" t="s">
        <v>1967</v>
      </c>
      <c r="D1203">
        <v>0</v>
      </c>
      <c r="E1203">
        <v>0</v>
      </c>
      <c r="F1203">
        <v>0</v>
      </c>
    </row>
    <row r="1204" spans="1:6" x14ac:dyDescent="0.25">
      <c r="B1204" t="s">
        <v>1785</v>
      </c>
    </row>
    <row r="1205" spans="1:6" x14ac:dyDescent="0.25">
      <c r="A1205" t="s">
        <v>2</v>
      </c>
      <c r="B1205" t="s">
        <v>1702</v>
      </c>
      <c r="C1205">
        <v>32401</v>
      </c>
      <c r="D1205">
        <v>0</v>
      </c>
      <c r="E1205">
        <v>0</v>
      </c>
      <c r="F1205">
        <v>0</v>
      </c>
    </row>
    <row r="1206" spans="1:6" x14ac:dyDescent="0.25">
      <c r="A1206" t="s">
        <v>15</v>
      </c>
      <c r="B1206" t="s">
        <v>1703</v>
      </c>
      <c r="C1206">
        <v>32402</v>
      </c>
      <c r="D1206">
        <v>0</v>
      </c>
      <c r="E1206">
        <v>0</v>
      </c>
      <c r="F1206">
        <v>0</v>
      </c>
    </row>
    <row r="1207" spans="1:6" x14ac:dyDescent="0.25">
      <c r="B1207" t="s">
        <v>1968</v>
      </c>
      <c r="D1207">
        <v>0</v>
      </c>
      <c r="E1207">
        <v>0</v>
      </c>
      <c r="F1207">
        <v>0</v>
      </c>
    </row>
    <row r="1208" spans="1:6" x14ac:dyDescent="0.25">
      <c r="B1208" t="s">
        <v>1787</v>
      </c>
    </row>
    <row r="1209" spans="1:6" x14ac:dyDescent="0.25">
      <c r="A1209" t="s">
        <v>2</v>
      </c>
      <c r="B1209" t="s">
        <v>1702</v>
      </c>
      <c r="C1209">
        <v>32501</v>
      </c>
      <c r="D1209">
        <v>0</v>
      </c>
      <c r="E1209">
        <v>0</v>
      </c>
      <c r="F1209">
        <v>0</v>
      </c>
    </row>
    <row r="1210" spans="1:6" x14ac:dyDescent="0.25">
      <c r="A1210" t="s">
        <v>15</v>
      </c>
      <c r="B1210" t="s">
        <v>1703</v>
      </c>
      <c r="C1210">
        <v>32502</v>
      </c>
      <c r="D1210">
        <v>0</v>
      </c>
      <c r="E1210">
        <v>0</v>
      </c>
      <c r="F1210">
        <v>0</v>
      </c>
    </row>
    <row r="1211" spans="1:6" x14ac:dyDescent="0.25">
      <c r="B1211" t="s">
        <v>1969</v>
      </c>
      <c r="D1211">
        <v>0</v>
      </c>
      <c r="E1211">
        <v>0</v>
      </c>
      <c r="F1211">
        <v>0</v>
      </c>
    </row>
    <row r="1212" spans="1:6" x14ac:dyDescent="0.25">
      <c r="B1212" t="s">
        <v>1789</v>
      </c>
    </row>
    <row r="1213" spans="1:6" x14ac:dyDescent="0.25">
      <c r="A1213" t="s">
        <v>2</v>
      </c>
      <c r="B1213" t="s">
        <v>1710</v>
      </c>
      <c r="C1213">
        <v>32601</v>
      </c>
      <c r="D1213">
        <v>0</v>
      </c>
      <c r="E1213">
        <v>0</v>
      </c>
      <c r="F1213">
        <v>0</v>
      </c>
    </row>
    <row r="1214" spans="1:6" x14ac:dyDescent="0.25">
      <c r="A1214" t="s">
        <v>15</v>
      </c>
      <c r="B1214" t="s">
        <v>1711</v>
      </c>
      <c r="C1214">
        <v>32602</v>
      </c>
      <c r="D1214">
        <v>0</v>
      </c>
      <c r="E1214">
        <v>0</v>
      </c>
      <c r="F1214">
        <v>0</v>
      </c>
    </row>
    <row r="1215" spans="1:6" x14ac:dyDescent="0.25">
      <c r="A1215" t="s">
        <v>16</v>
      </c>
      <c r="B1215" t="s">
        <v>1712</v>
      </c>
      <c r="C1215">
        <v>32603</v>
      </c>
      <c r="D1215">
        <v>0</v>
      </c>
      <c r="E1215">
        <v>0</v>
      </c>
      <c r="F1215">
        <v>0</v>
      </c>
    </row>
    <row r="1216" spans="1:6" x14ac:dyDescent="0.25">
      <c r="A1216" t="s">
        <v>25</v>
      </c>
      <c r="B1216" t="s">
        <v>1713</v>
      </c>
      <c r="C1216">
        <v>32604</v>
      </c>
      <c r="D1216">
        <v>0</v>
      </c>
      <c r="E1216">
        <v>0</v>
      </c>
      <c r="F1216">
        <v>0</v>
      </c>
    </row>
    <row r="1217" spans="1:6" x14ac:dyDescent="0.25">
      <c r="A1217" t="s">
        <v>26</v>
      </c>
      <c r="B1217" t="s">
        <v>1714</v>
      </c>
      <c r="C1217">
        <v>32605</v>
      </c>
      <c r="D1217">
        <v>0</v>
      </c>
      <c r="E1217">
        <v>0</v>
      </c>
      <c r="F1217">
        <v>0</v>
      </c>
    </row>
    <row r="1218" spans="1:6" x14ac:dyDescent="0.25">
      <c r="B1218" t="s">
        <v>1970</v>
      </c>
      <c r="D1218">
        <v>0</v>
      </c>
      <c r="E1218">
        <v>0</v>
      </c>
      <c r="F1218">
        <v>0</v>
      </c>
    </row>
    <row r="1219" spans="1:6" x14ac:dyDescent="0.25">
      <c r="B1219" t="s">
        <v>1660</v>
      </c>
      <c r="D1219">
        <v>0</v>
      </c>
      <c r="E1219">
        <v>0</v>
      </c>
      <c r="F1219">
        <v>0</v>
      </c>
    </row>
    <row r="1220" spans="1:6" x14ac:dyDescent="0.25">
      <c r="B1220" t="s">
        <v>1971</v>
      </c>
    </row>
    <row r="1221" spans="1:6" x14ac:dyDescent="0.25">
      <c r="B1221" t="s">
        <v>1575</v>
      </c>
    </row>
    <row r="1222" spans="1:6" x14ac:dyDescent="0.25">
      <c r="A1222" t="s">
        <v>2</v>
      </c>
      <c r="B1222" t="s">
        <v>1576</v>
      </c>
      <c r="C1222">
        <v>33101</v>
      </c>
      <c r="D1222">
        <v>0</v>
      </c>
      <c r="E1222">
        <v>0</v>
      </c>
      <c r="F1222">
        <v>0</v>
      </c>
    </row>
    <row r="1223" spans="1:6" x14ac:dyDescent="0.25">
      <c r="A1223" t="s">
        <v>15</v>
      </c>
      <c r="B1223" t="s">
        <v>1577</v>
      </c>
      <c r="C1223">
        <v>33102</v>
      </c>
      <c r="D1223">
        <v>0</v>
      </c>
      <c r="E1223">
        <v>0</v>
      </c>
      <c r="F1223">
        <v>0</v>
      </c>
    </row>
    <row r="1224" spans="1:6" x14ac:dyDescent="0.25">
      <c r="A1224" t="s">
        <v>16</v>
      </c>
      <c r="B1224" t="s">
        <v>1578</v>
      </c>
      <c r="C1224">
        <v>33103</v>
      </c>
      <c r="D1224">
        <v>0</v>
      </c>
      <c r="E1224">
        <v>0</v>
      </c>
      <c r="F1224">
        <v>0</v>
      </c>
    </row>
    <row r="1225" spans="1:6" x14ac:dyDescent="0.25">
      <c r="A1225" t="s">
        <v>25</v>
      </c>
      <c r="B1225" t="s">
        <v>1579</v>
      </c>
      <c r="C1225">
        <v>33104</v>
      </c>
      <c r="D1225">
        <v>0</v>
      </c>
      <c r="E1225">
        <v>0</v>
      </c>
      <c r="F1225">
        <v>0</v>
      </c>
    </row>
    <row r="1226" spans="1:6" x14ac:dyDescent="0.25">
      <c r="A1226" t="s">
        <v>26</v>
      </c>
      <c r="B1226" t="s">
        <v>1580</v>
      </c>
      <c r="C1226">
        <v>33105</v>
      </c>
      <c r="D1226">
        <v>0</v>
      </c>
      <c r="E1226">
        <v>0</v>
      </c>
      <c r="F1226">
        <v>0</v>
      </c>
    </row>
    <row r="1227" spans="1:6" x14ac:dyDescent="0.25">
      <c r="A1227" t="s">
        <v>27</v>
      </c>
      <c r="B1227" t="s">
        <v>1581</v>
      </c>
      <c r="C1227">
        <v>33106</v>
      </c>
      <c r="D1227">
        <v>0</v>
      </c>
      <c r="E1227">
        <v>0</v>
      </c>
      <c r="F1227">
        <v>0</v>
      </c>
    </row>
    <row r="1228" spans="1:6" x14ac:dyDescent="0.25">
      <c r="A1228" t="s">
        <v>531</v>
      </c>
      <c r="B1228" t="s">
        <v>1582</v>
      </c>
      <c r="C1228">
        <v>33107</v>
      </c>
      <c r="D1228">
        <v>0</v>
      </c>
      <c r="E1228">
        <v>0</v>
      </c>
      <c r="F1228">
        <v>0</v>
      </c>
    </row>
    <row r="1229" spans="1:6" x14ac:dyDescent="0.25">
      <c r="A1229" t="s">
        <v>1583</v>
      </c>
      <c r="B1229" t="s">
        <v>1584</v>
      </c>
      <c r="C1229">
        <v>33108</v>
      </c>
      <c r="D1229">
        <v>0</v>
      </c>
      <c r="E1229">
        <v>0</v>
      </c>
      <c r="F1229">
        <v>0</v>
      </c>
    </row>
    <row r="1230" spans="1:6" x14ac:dyDescent="0.25">
      <c r="A1230" t="s">
        <v>1585</v>
      </c>
      <c r="B1230" t="s">
        <v>1586</v>
      </c>
      <c r="C1230">
        <v>33109</v>
      </c>
      <c r="D1230">
        <v>0</v>
      </c>
      <c r="E1230">
        <v>0</v>
      </c>
      <c r="F1230">
        <v>0</v>
      </c>
    </row>
    <row r="1231" spans="1:6" x14ac:dyDescent="0.25">
      <c r="A1231" t="s">
        <v>1587</v>
      </c>
      <c r="B1231" t="s">
        <v>1588</v>
      </c>
      <c r="C1231">
        <v>33110</v>
      </c>
      <c r="D1231">
        <v>0</v>
      </c>
      <c r="E1231">
        <v>0</v>
      </c>
      <c r="F1231">
        <v>0</v>
      </c>
    </row>
    <row r="1232" spans="1:6" x14ac:dyDescent="0.25">
      <c r="A1232" t="s">
        <v>1589</v>
      </c>
      <c r="B1232" t="s">
        <v>1590</v>
      </c>
      <c r="C1232">
        <v>33111</v>
      </c>
      <c r="D1232">
        <v>0</v>
      </c>
      <c r="E1232">
        <v>0</v>
      </c>
      <c r="F1232">
        <v>0</v>
      </c>
    </row>
    <row r="1233" spans="1:6" x14ac:dyDescent="0.25">
      <c r="A1233" t="s">
        <v>1591</v>
      </c>
      <c r="B1233" t="s">
        <v>1592</v>
      </c>
      <c r="C1233">
        <v>33112</v>
      </c>
      <c r="D1233">
        <v>0</v>
      </c>
      <c r="E1233">
        <v>0</v>
      </c>
      <c r="F1233">
        <v>0</v>
      </c>
    </row>
    <row r="1234" spans="1:6" x14ac:dyDescent="0.25">
      <c r="A1234" t="s">
        <v>1593</v>
      </c>
      <c r="B1234" t="s">
        <v>1594</v>
      </c>
      <c r="C1234">
        <v>33113</v>
      </c>
      <c r="D1234">
        <v>0</v>
      </c>
      <c r="E1234">
        <v>0</v>
      </c>
      <c r="F1234">
        <v>0</v>
      </c>
    </row>
    <row r="1235" spans="1:6" x14ac:dyDescent="0.25">
      <c r="A1235" t="s">
        <v>1595</v>
      </c>
      <c r="B1235" t="s">
        <v>1596</v>
      </c>
      <c r="C1235">
        <v>33114</v>
      </c>
      <c r="D1235">
        <v>0</v>
      </c>
      <c r="E1235">
        <v>0</v>
      </c>
      <c r="F1235">
        <v>0</v>
      </c>
    </row>
    <row r="1236" spans="1:6" x14ac:dyDescent="0.25">
      <c r="A1236" t="s">
        <v>1597</v>
      </c>
      <c r="B1236" t="s">
        <v>1598</v>
      </c>
      <c r="C1236">
        <v>33115</v>
      </c>
      <c r="D1236">
        <v>58919</v>
      </c>
      <c r="E1236">
        <v>0</v>
      </c>
      <c r="F1236">
        <v>58919</v>
      </c>
    </row>
    <row r="1237" spans="1:6" x14ac:dyDescent="0.25">
      <c r="A1237" t="s">
        <v>1599</v>
      </c>
      <c r="B1237" t="s">
        <v>1600</v>
      </c>
      <c r="C1237">
        <v>33116</v>
      </c>
      <c r="D1237">
        <v>0</v>
      </c>
      <c r="E1237">
        <v>0</v>
      </c>
      <c r="F1237">
        <v>0</v>
      </c>
    </row>
    <row r="1238" spans="1:6" x14ac:dyDescent="0.25">
      <c r="A1238" t="s">
        <v>1601</v>
      </c>
      <c r="B1238" t="s">
        <v>1602</v>
      </c>
      <c r="C1238">
        <v>33117</v>
      </c>
      <c r="D1238">
        <v>0</v>
      </c>
      <c r="E1238">
        <v>0</v>
      </c>
      <c r="F1238">
        <v>0</v>
      </c>
    </row>
    <row r="1239" spans="1:6" x14ac:dyDescent="0.25">
      <c r="A1239" t="s">
        <v>1603</v>
      </c>
      <c r="B1239" t="s">
        <v>1604</v>
      </c>
      <c r="C1239">
        <v>33118</v>
      </c>
      <c r="D1239">
        <v>1497</v>
      </c>
      <c r="E1239">
        <v>0</v>
      </c>
      <c r="F1239">
        <v>1497</v>
      </c>
    </row>
    <row r="1240" spans="1:6" x14ac:dyDescent="0.25">
      <c r="A1240" t="s">
        <v>1605</v>
      </c>
      <c r="B1240" t="s">
        <v>1606</v>
      </c>
      <c r="C1240">
        <v>33119</v>
      </c>
      <c r="D1240">
        <v>0</v>
      </c>
      <c r="E1240">
        <v>0</v>
      </c>
      <c r="F1240">
        <v>0</v>
      </c>
    </row>
    <row r="1241" spans="1:6" x14ac:dyDescent="0.25">
      <c r="A1241" t="s">
        <v>1607</v>
      </c>
      <c r="B1241" t="s">
        <v>1608</v>
      </c>
      <c r="C1241">
        <v>33120</v>
      </c>
      <c r="D1241">
        <v>0</v>
      </c>
      <c r="E1241">
        <v>0</v>
      </c>
      <c r="F1241">
        <v>0</v>
      </c>
    </row>
    <row r="1242" spans="1:6" x14ac:dyDescent="0.25">
      <c r="B1242" t="s">
        <v>1972</v>
      </c>
      <c r="D1242">
        <v>60416</v>
      </c>
      <c r="E1242">
        <v>0</v>
      </c>
      <c r="F1242">
        <v>60416</v>
      </c>
    </row>
    <row r="1243" spans="1:6" x14ac:dyDescent="0.25">
      <c r="B1243" t="s">
        <v>1656</v>
      </c>
    </row>
    <row r="1244" spans="1:6" x14ac:dyDescent="0.25">
      <c r="A1244" t="s">
        <v>2</v>
      </c>
      <c r="B1244" t="s">
        <v>1611</v>
      </c>
      <c r="C1244">
        <v>33201</v>
      </c>
      <c r="D1244">
        <v>0</v>
      </c>
      <c r="E1244">
        <v>0</v>
      </c>
      <c r="F1244">
        <v>0</v>
      </c>
    </row>
    <row r="1245" spans="1:6" x14ac:dyDescent="0.25">
      <c r="A1245" t="s">
        <v>15</v>
      </c>
      <c r="B1245" t="s">
        <v>1973</v>
      </c>
      <c r="C1245">
        <v>33202</v>
      </c>
      <c r="D1245">
        <v>0</v>
      </c>
      <c r="E1245">
        <v>0</v>
      </c>
      <c r="F1245">
        <v>0</v>
      </c>
    </row>
    <row r="1246" spans="1:6" x14ac:dyDescent="0.25">
      <c r="A1246" t="s">
        <v>16</v>
      </c>
      <c r="B1246" t="s">
        <v>1613</v>
      </c>
      <c r="C1246">
        <v>33203</v>
      </c>
      <c r="D1246">
        <v>0</v>
      </c>
      <c r="E1246">
        <v>0</v>
      </c>
      <c r="F1246">
        <v>0</v>
      </c>
    </row>
    <row r="1247" spans="1:6" x14ac:dyDescent="0.25">
      <c r="A1247" t="s">
        <v>25</v>
      </c>
      <c r="B1247" t="s">
        <v>1614</v>
      </c>
      <c r="C1247">
        <v>33204</v>
      </c>
      <c r="D1247">
        <v>0</v>
      </c>
      <c r="E1247">
        <v>0</v>
      </c>
      <c r="F1247">
        <v>0</v>
      </c>
    </row>
    <row r="1248" spans="1:6" x14ac:dyDescent="0.25">
      <c r="A1248" t="s">
        <v>26</v>
      </c>
      <c r="B1248" t="s">
        <v>1615</v>
      </c>
      <c r="C1248">
        <v>33205</v>
      </c>
      <c r="D1248">
        <v>0</v>
      </c>
      <c r="E1248">
        <v>0</v>
      </c>
      <c r="F1248">
        <v>0</v>
      </c>
    </row>
    <row r="1249" spans="1:6" x14ac:dyDescent="0.25">
      <c r="A1249" t="s">
        <v>27</v>
      </c>
      <c r="B1249" t="s">
        <v>1616</v>
      </c>
      <c r="C1249">
        <v>33206</v>
      </c>
      <c r="D1249">
        <v>0</v>
      </c>
      <c r="E1249">
        <v>0</v>
      </c>
      <c r="F1249">
        <v>0</v>
      </c>
    </row>
    <row r="1250" spans="1:6" x14ac:dyDescent="0.25">
      <c r="A1250" t="s">
        <v>531</v>
      </c>
      <c r="B1250" t="s">
        <v>1617</v>
      </c>
      <c r="C1250">
        <v>33207</v>
      </c>
      <c r="D1250">
        <v>0</v>
      </c>
      <c r="E1250">
        <v>0</v>
      </c>
      <c r="F1250">
        <v>0</v>
      </c>
    </row>
    <row r="1251" spans="1:6" x14ac:dyDescent="0.25">
      <c r="A1251" t="s">
        <v>1583</v>
      </c>
      <c r="B1251" t="s">
        <v>1618</v>
      </c>
      <c r="C1251">
        <v>33208</v>
      </c>
      <c r="D1251">
        <v>0</v>
      </c>
      <c r="E1251">
        <v>0</v>
      </c>
      <c r="F1251">
        <v>0</v>
      </c>
    </row>
    <row r="1252" spans="1:6" x14ac:dyDescent="0.25">
      <c r="A1252" t="s">
        <v>1585</v>
      </c>
      <c r="B1252" t="s">
        <v>1619</v>
      </c>
      <c r="C1252">
        <v>33209</v>
      </c>
      <c r="D1252">
        <v>0</v>
      </c>
      <c r="E1252">
        <v>0</v>
      </c>
      <c r="F1252">
        <v>0</v>
      </c>
    </row>
    <row r="1253" spans="1:6" x14ac:dyDescent="0.25">
      <c r="A1253" t="s">
        <v>1587</v>
      </c>
      <c r="B1253" t="s">
        <v>1620</v>
      </c>
      <c r="C1253">
        <v>33210</v>
      </c>
      <c r="D1253">
        <v>0</v>
      </c>
      <c r="E1253">
        <v>0</v>
      </c>
      <c r="F1253">
        <v>0</v>
      </c>
    </row>
    <row r="1254" spans="1:6" x14ac:dyDescent="0.25">
      <c r="A1254" t="s">
        <v>1589</v>
      </c>
      <c r="B1254" t="s">
        <v>1621</v>
      </c>
      <c r="C1254">
        <v>33211</v>
      </c>
      <c r="D1254">
        <v>1727</v>
      </c>
      <c r="E1254">
        <v>0</v>
      </c>
      <c r="F1254">
        <v>1727</v>
      </c>
    </row>
    <row r="1255" spans="1:6" x14ac:dyDescent="0.25">
      <c r="A1255" t="s">
        <v>1591</v>
      </c>
      <c r="B1255" t="s">
        <v>1622</v>
      </c>
      <c r="C1255">
        <v>33212</v>
      </c>
      <c r="D1255">
        <v>317826</v>
      </c>
      <c r="E1255">
        <v>0</v>
      </c>
      <c r="F1255">
        <v>317826</v>
      </c>
    </row>
    <row r="1256" spans="1:6" x14ac:dyDescent="0.25">
      <c r="A1256" t="s">
        <v>1593</v>
      </c>
      <c r="B1256" t="s">
        <v>1623</v>
      </c>
      <c r="C1256">
        <v>33213</v>
      </c>
      <c r="D1256">
        <v>0</v>
      </c>
      <c r="E1256">
        <v>0</v>
      </c>
      <c r="F1256">
        <v>0</v>
      </c>
    </row>
    <row r="1257" spans="1:6" x14ac:dyDescent="0.25">
      <c r="A1257" t="s">
        <v>1595</v>
      </c>
      <c r="B1257" t="s">
        <v>1624</v>
      </c>
      <c r="C1257">
        <v>33214</v>
      </c>
      <c r="D1257">
        <v>1188</v>
      </c>
      <c r="E1257">
        <v>0</v>
      </c>
      <c r="F1257">
        <v>1188</v>
      </c>
    </row>
    <row r="1258" spans="1:6" x14ac:dyDescent="0.25">
      <c r="A1258" t="s">
        <v>1597</v>
      </c>
      <c r="B1258" t="s">
        <v>1625</v>
      </c>
      <c r="C1258">
        <v>33215</v>
      </c>
      <c r="D1258">
        <v>37251</v>
      </c>
      <c r="E1258">
        <v>0</v>
      </c>
      <c r="F1258">
        <v>37251</v>
      </c>
    </row>
    <row r="1259" spans="1:6" x14ac:dyDescent="0.25">
      <c r="A1259" t="s">
        <v>1599</v>
      </c>
      <c r="B1259" t="s">
        <v>1626</v>
      </c>
      <c r="C1259">
        <v>33216</v>
      </c>
      <c r="D1259">
        <v>0</v>
      </c>
      <c r="E1259">
        <v>9197</v>
      </c>
      <c r="F1259">
        <v>9197</v>
      </c>
    </row>
    <row r="1260" spans="1:6" x14ac:dyDescent="0.25">
      <c r="A1260" t="s">
        <v>1601</v>
      </c>
      <c r="B1260" t="s">
        <v>1627</v>
      </c>
      <c r="C1260">
        <v>33217</v>
      </c>
      <c r="D1260">
        <v>0</v>
      </c>
      <c r="E1260">
        <v>0</v>
      </c>
      <c r="F1260">
        <v>0</v>
      </c>
    </row>
    <row r="1261" spans="1:6" x14ac:dyDescent="0.25">
      <c r="A1261" t="s">
        <v>1603</v>
      </c>
      <c r="B1261" t="s">
        <v>1596</v>
      </c>
      <c r="C1261">
        <v>33218</v>
      </c>
      <c r="D1261">
        <v>0</v>
      </c>
      <c r="E1261">
        <v>0</v>
      </c>
      <c r="F1261">
        <v>0</v>
      </c>
    </row>
    <row r="1262" spans="1:6" x14ac:dyDescent="0.25">
      <c r="A1262" t="s">
        <v>1605</v>
      </c>
      <c r="B1262" t="s">
        <v>1598</v>
      </c>
      <c r="C1262">
        <v>33219</v>
      </c>
      <c r="D1262">
        <v>0</v>
      </c>
      <c r="E1262">
        <v>0</v>
      </c>
      <c r="F1262">
        <v>0</v>
      </c>
    </row>
    <row r="1263" spans="1:6" x14ac:dyDescent="0.25">
      <c r="A1263" t="s">
        <v>1607</v>
      </c>
      <c r="B1263" t="s">
        <v>1602</v>
      </c>
      <c r="C1263">
        <v>33220</v>
      </c>
      <c r="D1263">
        <v>0</v>
      </c>
      <c r="E1263">
        <v>0</v>
      </c>
      <c r="F1263">
        <v>0</v>
      </c>
    </row>
    <row r="1264" spans="1:6" x14ac:dyDescent="0.25">
      <c r="B1264" t="s">
        <v>1974</v>
      </c>
      <c r="D1264">
        <v>357992</v>
      </c>
      <c r="E1264">
        <v>9197</v>
      </c>
      <c r="F1264">
        <v>367189</v>
      </c>
    </row>
    <row r="1265" spans="1:6" x14ac:dyDescent="0.25">
      <c r="B1265" t="s">
        <v>1629</v>
      </c>
    </row>
    <row r="1266" spans="1:6" x14ac:dyDescent="0.25">
      <c r="A1266" t="s">
        <v>2</v>
      </c>
      <c r="B1266" t="s">
        <v>1627</v>
      </c>
      <c r="C1266">
        <v>33301</v>
      </c>
      <c r="D1266">
        <v>0</v>
      </c>
      <c r="E1266">
        <v>0</v>
      </c>
      <c r="F1266">
        <v>0</v>
      </c>
    </row>
    <row r="1267" spans="1:6" x14ac:dyDescent="0.25">
      <c r="A1267" t="s">
        <v>15</v>
      </c>
      <c r="B1267" t="s">
        <v>1625</v>
      </c>
      <c r="C1267">
        <v>33302</v>
      </c>
      <c r="D1267">
        <v>0</v>
      </c>
      <c r="E1267">
        <v>0</v>
      </c>
      <c r="F1267">
        <v>0</v>
      </c>
    </row>
    <row r="1268" spans="1:6" x14ac:dyDescent="0.25">
      <c r="A1268" t="s">
        <v>16</v>
      </c>
      <c r="B1268" t="s">
        <v>1626</v>
      </c>
      <c r="C1268">
        <v>33303</v>
      </c>
      <c r="D1268">
        <v>0</v>
      </c>
      <c r="E1268">
        <v>0</v>
      </c>
      <c r="F1268">
        <v>0</v>
      </c>
    </row>
    <row r="1269" spans="1:6" x14ac:dyDescent="0.25">
      <c r="B1269" t="s">
        <v>1975</v>
      </c>
      <c r="D1269">
        <v>0</v>
      </c>
      <c r="E1269">
        <v>0</v>
      </c>
      <c r="F1269">
        <v>0</v>
      </c>
    </row>
    <row r="1270" spans="1:6" x14ac:dyDescent="0.25">
      <c r="B1270" t="s">
        <v>1631</v>
      </c>
    </row>
    <row r="1271" spans="1:6" x14ac:dyDescent="0.25">
      <c r="A1271" t="s">
        <v>2</v>
      </c>
      <c r="B1271" t="s">
        <v>1627</v>
      </c>
      <c r="C1271">
        <v>33401</v>
      </c>
      <c r="D1271">
        <v>0</v>
      </c>
      <c r="E1271">
        <v>0</v>
      </c>
      <c r="F1271">
        <v>0</v>
      </c>
    </row>
    <row r="1272" spans="1:6" x14ac:dyDescent="0.25">
      <c r="A1272" t="s">
        <v>15</v>
      </c>
      <c r="B1272" t="s">
        <v>1625</v>
      </c>
      <c r="C1272">
        <v>33402</v>
      </c>
      <c r="D1272">
        <v>0</v>
      </c>
      <c r="E1272">
        <v>0</v>
      </c>
      <c r="F1272">
        <v>0</v>
      </c>
    </row>
    <row r="1273" spans="1:6" x14ac:dyDescent="0.25">
      <c r="A1273" t="s">
        <v>16</v>
      </c>
      <c r="B1273" t="s">
        <v>1626</v>
      </c>
      <c r="C1273">
        <v>33403</v>
      </c>
      <c r="D1273">
        <v>0</v>
      </c>
      <c r="E1273">
        <v>0</v>
      </c>
      <c r="F1273">
        <v>0</v>
      </c>
    </row>
    <row r="1274" spans="1:6" x14ac:dyDescent="0.25">
      <c r="B1274" t="s">
        <v>1976</v>
      </c>
      <c r="D1274">
        <v>0</v>
      </c>
      <c r="E1274">
        <v>0</v>
      </c>
      <c r="F1274">
        <v>0</v>
      </c>
    </row>
    <row r="1275" spans="1:6" x14ac:dyDescent="0.25">
      <c r="B1275" t="s">
        <v>1633</v>
      </c>
    </row>
    <row r="1276" spans="1:6" x14ac:dyDescent="0.25">
      <c r="A1276" t="s">
        <v>2</v>
      </c>
      <c r="B1276" t="s">
        <v>1634</v>
      </c>
      <c r="C1276">
        <v>33501</v>
      </c>
      <c r="D1276">
        <v>0</v>
      </c>
      <c r="E1276">
        <v>0</v>
      </c>
      <c r="F1276">
        <v>0</v>
      </c>
    </row>
    <row r="1277" spans="1:6" x14ac:dyDescent="0.25">
      <c r="A1277" t="s">
        <v>15</v>
      </c>
      <c r="B1277" t="s">
        <v>1635</v>
      </c>
      <c r="C1277">
        <v>33502</v>
      </c>
      <c r="D1277">
        <v>0</v>
      </c>
      <c r="E1277">
        <v>0</v>
      </c>
      <c r="F1277">
        <v>0</v>
      </c>
    </row>
    <row r="1278" spans="1:6" x14ac:dyDescent="0.25">
      <c r="A1278" t="s">
        <v>16</v>
      </c>
      <c r="B1278" t="s">
        <v>1636</v>
      </c>
      <c r="C1278">
        <v>33503</v>
      </c>
      <c r="D1278">
        <v>0</v>
      </c>
      <c r="E1278">
        <v>0</v>
      </c>
      <c r="F1278">
        <v>0</v>
      </c>
    </row>
    <row r="1279" spans="1:6" x14ac:dyDescent="0.25">
      <c r="A1279" t="s">
        <v>25</v>
      </c>
      <c r="B1279" t="s">
        <v>1637</v>
      </c>
      <c r="C1279">
        <v>33504</v>
      </c>
      <c r="D1279">
        <v>0</v>
      </c>
      <c r="E1279">
        <v>0</v>
      </c>
      <c r="F1279">
        <v>0</v>
      </c>
    </row>
    <row r="1280" spans="1:6" x14ac:dyDescent="0.25">
      <c r="A1280" t="s">
        <v>26</v>
      </c>
      <c r="B1280" t="s">
        <v>1638</v>
      </c>
      <c r="C1280">
        <v>33505</v>
      </c>
      <c r="D1280">
        <v>0</v>
      </c>
      <c r="E1280">
        <v>0</v>
      </c>
      <c r="F1280">
        <v>0</v>
      </c>
    </row>
    <row r="1281" spans="1:6" x14ac:dyDescent="0.25">
      <c r="A1281" t="s">
        <v>27</v>
      </c>
      <c r="B1281" t="s">
        <v>1639</v>
      </c>
      <c r="C1281">
        <v>33506</v>
      </c>
      <c r="D1281">
        <v>0</v>
      </c>
      <c r="E1281">
        <v>0</v>
      </c>
      <c r="F1281">
        <v>0</v>
      </c>
    </row>
    <row r="1282" spans="1:6" x14ac:dyDescent="0.25">
      <c r="A1282" t="s">
        <v>531</v>
      </c>
      <c r="B1282" t="s">
        <v>1640</v>
      </c>
      <c r="C1282">
        <v>33507</v>
      </c>
      <c r="D1282">
        <v>0</v>
      </c>
      <c r="E1282">
        <v>0</v>
      </c>
      <c r="F1282">
        <v>0</v>
      </c>
    </row>
    <row r="1283" spans="1:6" x14ac:dyDescent="0.25">
      <c r="A1283" t="s">
        <v>1583</v>
      </c>
      <c r="B1283" t="s">
        <v>1641</v>
      </c>
      <c r="C1283">
        <v>33508</v>
      </c>
      <c r="D1283">
        <v>0</v>
      </c>
      <c r="E1283">
        <v>0</v>
      </c>
      <c r="F1283">
        <v>0</v>
      </c>
    </row>
    <row r="1284" spans="1:6" x14ac:dyDescent="0.25">
      <c r="B1284" t="s">
        <v>1977</v>
      </c>
      <c r="D1284">
        <v>0</v>
      </c>
      <c r="E1284">
        <v>0</v>
      </c>
      <c r="F1284">
        <v>0</v>
      </c>
    </row>
    <row r="1285" spans="1:6" x14ac:dyDescent="0.25">
      <c r="B1285" t="s">
        <v>2287</v>
      </c>
    </row>
    <row r="1286" spans="1:6" x14ac:dyDescent="0.25">
      <c r="A1286" t="s">
        <v>2</v>
      </c>
      <c r="B1286" t="s">
        <v>1634</v>
      </c>
      <c r="C1286">
        <v>33601</v>
      </c>
      <c r="D1286">
        <v>105</v>
      </c>
      <c r="E1286">
        <v>0</v>
      </c>
      <c r="F1286">
        <v>105</v>
      </c>
    </row>
    <row r="1287" spans="1:6" x14ac:dyDescent="0.25">
      <c r="A1287" t="s">
        <v>15</v>
      </c>
      <c r="B1287" t="s">
        <v>1635</v>
      </c>
      <c r="C1287">
        <v>33602</v>
      </c>
      <c r="D1287">
        <v>0</v>
      </c>
      <c r="E1287">
        <v>0</v>
      </c>
      <c r="F1287">
        <v>0</v>
      </c>
    </row>
    <row r="1288" spans="1:6" x14ac:dyDescent="0.25">
      <c r="A1288" t="s">
        <v>16</v>
      </c>
      <c r="B1288" t="s">
        <v>1636</v>
      </c>
      <c r="C1288">
        <v>33603</v>
      </c>
      <c r="D1288">
        <v>0</v>
      </c>
      <c r="E1288">
        <v>0</v>
      </c>
      <c r="F1288">
        <v>0</v>
      </c>
    </row>
    <row r="1289" spans="1:6" x14ac:dyDescent="0.25">
      <c r="A1289" t="s">
        <v>25</v>
      </c>
      <c r="B1289" t="s">
        <v>1637</v>
      </c>
      <c r="C1289">
        <v>33604</v>
      </c>
      <c r="D1289">
        <v>0</v>
      </c>
      <c r="E1289">
        <v>0</v>
      </c>
      <c r="F1289">
        <v>0</v>
      </c>
    </row>
    <row r="1290" spans="1:6" x14ac:dyDescent="0.25">
      <c r="A1290" t="s">
        <v>26</v>
      </c>
      <c r="B1290" t="s">
        <v>1638</v>
      </c>
      <c r="C1290">
        <v>33605</v>
      </c>
      <c r="D1290">
        <v>0</v>
      </c>
      <c r="E1290">
        <v>0</v>
      </c>
      <c r="F1290">
        <v>0</v>
      </c>
    </row>
    <row r="1291" spans="1:6" x14ac:dyDescent="0.25">
      <c r="A1291" t="s">
        <v>27</v>
      </c>
      <c r="B1291" t="s">
        <v>1639</v>
      </c>
      <c r="C1291">
        <v>33606</v>
      </c>
      <c r="D1291">
        <v>0</v>
      </c>
      <c r="E1291">
        <v>0</v>
      </c>
      <c r="F1291">
        <v>0</v>
      </c>
    </row>
    <row r="1292" spans="1:6" x14ac:dyDescent="0.25">
      <c r="A1292" t="s">
        <v>531</v>
      </c>
      <c r="B1292" t="s">
        <v>1640</v>
      </c>
      <c r="C1292">
        <v>33607</v>
      </c>
      <c r="D1292">
        <v>0</v>
      </c>
      <c r="E1292">
        <v>0</v>
      </c>
      <c r="F1292">
        <v>0</v>
      </c>
    </row>
    <row r="1293" spans="1:6" x14ac:dyDescent="0.25">
      <c r="A1293" t="s">
        <v>1583</v>
      </c>
      <c r="B1293" t="s">
        <v>1641</v>
      </c>
      <c r="C1293">
        <v>33608</v>
      </c>
      <c r="D1293">
        <v>0</v>
      </c>
      <c r="E1293">
        <v>0</v>
      </c>
      <c r="F1293">
        <v>0</v>
      </c>
    </row>
    <row r="1294" spans="1:6" x14ac:dyDescent="0.25">
      <c r="B1294" t="s">
        <v>1978</v>
      </c>
      <c r="D1294">
        <v>105</v>
      </c>
      <c r="E1294">
        <v>0</v>
      </c>
      <c r="F1294">
        <v>105</v>
      </c>
    </row>
    <row r="1295" spans="1:6" x14ac:dyDescent="0.25">
      <c r="B1295" t="s">
        <v>2288</v>
      </c>
    </row>
    <row r="1296" spans="1:6" x14ac:dyDescent="0.25">
      <c r="A1296" t="s">
        <v>2</v>
      </c>
      <c r="B1296" t="s">
        <v>1634</v>
      </c>
      <c r="C1296">
        <v>33701</v>
      </c>
      <c r="D1296">
        <v>0</v>
      </c>
      <c r="E1296">
        <v>0</v>
      </c>
      <c r="F1296">
        <v>0</v>
      </c>
    </row>
    <row r="1297" spans="1:6" x14ac:dyDescent="0.25">
      <c r="A1297" t="s">
        <v>15</v>
      </c>
      <c r="B1297" t="s">
        <v>1635</v>
      </c>
      <c r="C1297">
        <v>33702</v>
      </c>
      <c r="D1297">
        <v>0</v>
      </c>
      <c r="E1297">
        <v>0</v>
      </c>
      <c r="F1297">
        <v>0</v>
      </c>
    </row>
    <row r="1298" spans="1:6" x14ac:dyDescent="0.25">
      <c r="A1298" t="s">
        <v>16</v>
      </c>
      <c r="B1298" t="s">
        <v>1636</v>
      </c>
      <c r="C1298">
        <v>33703</v>
      </c>
      <c r="D1298">
        <v>0</v>
      </c>
      <c r="E1298">
        <v>0</v>
      </c>
      <c r="F1298">
        <v>0</v>
      </c>
    </row>
    <row r="1299" spans="1:6" x14ac:dyDescent="0.25">
      <c r="A1299" t="s">
        <v>25</v>
      </c>
      <c r="B1299" t="s">
        <v>1637</v>
      </c>
      <c r="C1299">
        <v>33704</v>
      </c>
      <c r="D1299">
        <v>0</v>
      </c>
      <c r="E1299">
        <v>0</v>
      </c>
      <c r="F1299">
        <v>0</v>
      </c>
    </row>
    <row r="1300" spans="1:6" x14ac:dyDescent="0.25">
      <c r="A1300" t="s">
        <v>26</v>
      </c>
      <c r="B1300" t="s">
        <v>1638</v>
      </c>
      <c r="C1300">
        <v>33705</v>
      </c>
      <c r="D1300">
        <v>0</v>
      </c>
      <c r="E1300">
        <v>0</v>
      </c>
      <c r="F1300">
        <v>0</v>
      </c>
    </row>
    <row r="1301" spans="1:6" x14ac:dyDescent="0.25">
      <c r="A1301" t="s">
        <v>27</v>
      </c>
      <c r="B1301" t="s">
        <v>1639</v>
      </c>
      <c r="C1301">
        <v>33706</v>
      </c>
      <c r="D1301">
        <v>0</v>
      </c>
      <c r="E1301">
        <v>0</v>
      </c>
      <c r="F1301">
        <v>0</v>
      </c>
    </row>
    <row r="1302" spans="1:6" x14ac:dyDescent="0.25">
      <c r="A1302" t="s">
        <v>531</v>
      </c>
      <c r="B1302" t="s">
        <v>1640</v>
      </c>
      <c r="C1302">
        <v>33707</v>
      </c>
      <c r="D1302">
        <v>0</v>
      </c>
      <c r="E1302">
        <v>0</v>
      </c>
      <c r="F1302">
        <v>0</v>
      </c>
    </row>
    <row r="1303" spans="1:6" x14ac:dyDescent="0.25">
      <c r="A1303" t="s">
        <v>1583</v>
      </c>
      <c r="B1303" t="s">
        <v>1641</v>
      </c>
      <c r="C1303">
        <v>33708</v>
      </c>
      <c r="D1303">
        <v>0</v>
      </c>
      <c r="E1303">
        <v>0</v>
      </c>
      <c r="F1303">
        <v>0</v>
      </c>
    </row>
    <row r="1304" spans="1:6" x14ac:dyDescent="0.25">
      <c r="B1304" t="s">
        <v>1979</v>
      </c>
      <c r="D1304">
        <v>0</v>
      </c>
      <c r="E1304">
        <v>0</v>
      </c>
      <c r="F1304">
        <v>0</v>
      </c>
    </row>
    <row r="1305" spans="1:6" x14ac:dyDescent="0.25">
      <c r="B1305" t="s">
        <v>1647</v>
      </c>
    </row>
    <row r="1306" spans="1:6" x14ac:dyDescent="0.25">
      <c r="A1306" t="s">
        <v>2</v>
      </c>
      <c r="B1306" t="s">
        <v>1648</v>
      </c>
      <c r="C1306">
        <v>33801</v>
      </c>
      <c r="D1306">
        <v>0</v>
      </c>
      <c r="E1306">
        <v>0</v>
      </c>
      <c r="F1306">
        <v>0</v>
      </c>
    </row>
    <row r="1307" spans="1:6" x14ac:dyDescent="0.25">
      <c r="A1307" t="s">
        <v>15</v>
      </c>
      <c r="B1307" t="s">
        <v>1649</v>
      </c>
      <c r="C1307">
        <v>33802</v>
      </c>
      <c r="D1307">
        <v>0</v>
      </c>
      <c r="E1307">
        <v>0</v>
      </c>
      <c r="F1307">
        <v>0</v>
      </c>
    </row>
    <row r="1308" spans="1:6" x14ac:dyDescent="0.25">
      <c r="A1308" t="s">
        <v>16</v>
      </c>
      <c r="B1308" t="s">
        <v>1637</v>
      </c>
      <c r="C1308">
        <v>33803</v>
      </c>
      <c r="D1308">
        <v>0</v>
      </c>
      <c r="E1308">
        <v>0</v>
      </c>
      <c r="F1308">
        <v>0</v>
      </c>
    </row>
    <row r="1309" spans="1:6" x14ac:dyDescent="0.25">
      <c r="A1309" t="s">
        <v>25</v>
      </c>
      <c r="B1309" t="s">
        <v>1638</v>
      </c>
      <c r="C1309">
        <v>33804</v>
      </c>
      <c r="D1309">
        <v>0</v>
      </c>
      <c r="E1309">
        <v>0</v>
      </c>
      <c r="F1309">
        <v>0</v>
      </c>
    </row>
    <row r="1310" spans="1:6" x14ac:dyDescent="0.25">
      <c r="A1310" t="s">
        <v>26</v>
      </c>
      <c r="B1310" t="s">
        <v>1650</v>
      </c>
      <c r="C1310">
        <v>33805</v>
      </c>
      <c r="D1310">
        <v>0</v>
      </c>
      <c r="E1310">
        <v>0</v>
      </c>
      <c r="F1310">
        <v>0</v>
      </c>
    </row>
    <row r="1311" spans="1:6" x14ac:dyDescent="0.25">
      <c r="A1311" t="s">
        <v>27</v>
      </c>
      <c r="B1311" t="s">
        <v>1651</v>
      </c>
      <c r="C1311">
        <v>33806</v>
      </c>
      <c r="D1311">
        <v>0</v>
      </c>
      <c r="E1311">
        <v>0</v>
      </c>
      <c r="F1311">
        <v>0</v>
      </c>
    </row>
    <row r="1312" spans="1:6" x14ac:dyDescent="0.25">
      <c r="A1312" t="s">
        <v>531</v>
      </c>
      <c r="B1312" t="s">
        <v>1640</v>
      </c>
      <c r="C1312">
        <v>33807</v>
      </c>
      <c r="D1312">
        <v>0</v>
      </c>
      <c r="E1312">
        <v>0</v>
      </c>
      <c r="F1312">
        <v>0</v>
      </c>
    </row>
    <row r="1313" spans="1:6" x14ac:dyDescent="0.25">
      <c r="A1313" t="s">
        <v>1583</v>
      </c>
      <c r="B1313" t="s">
        <v>1641</v>
      </c>
      <c r="C1313">
        <v>33808</v>
      </c>
      <c r="D1313">
        <v>0</v>
      </c>
      <c r="E1313">
        <v>0</v>
      </c>
      <c r="F1313">
        <v>0</v>
      </c>
    </row>
    <row r="1314" spans="1:6" x14ac:dyDescent="0.25">
      <c r="B1314" t="s">
        <v>1980</v>
      </c>
      <c r="D1314">
        <v>0</v>
      </c>
      <c r="E1314">
        <v>0</v>
      </c>
      <c r="F1314">
        <v>0</v>
      </c>
    </row>
    <row r="1315" spans="1:6" x14ac:dyDescent="0.25">
      <c r="B1315" t="s">
        <v>1670</v>
      </c>
      <c r="D1315">
        <v>418513</v>
      </c>
      <c r="E1315">
        <v>9197</v>
      </c>
      <c r="F1315">
        <v>427710</v>
      </c>
    </row>
    <row r="1316" spans="1:6" x14ac:dyDescent="0.25">
      <c r="B1316" t="s">
        <v>1981</v>
      </c>
    </row>
    <row r="1317" spans="1:6" x14ac:dyDescent="0.25">
      <c r="B1317" t="s">
        <v>1575</v>
      </c>
    </row>
    <row r="1318" spans="1:6" x14ac:dyDescent="0.25">
      <c r="A1318" t="s">
        <v>2</v>
      </c>
      <c r="B1318" t="s">
        <v>1576</v>
      </c>
      <c r="C1318">
        <v>34101</v>
      </c>
      <c r="D1318">
        <v>0</v>
      </c>
      <c r="E1318">
        <v>0</v>
      </c>
      <c r="F1318">
        <v>0</v>
      </c>
    </row>
    <row r="1319" spans="1:6" x14ac:dyDescent="0.25">
      <c r="A1319" t="s">
        <v>15</v>
      </c>
      <c r="B1319" t="s">
        <v>1577</v>
      </c>
      <c r="C1319">
        <v>34102</v>
      </c>
      <c r="D1319">
        <v>0</v>
      </c>
      <c r="E1319">
        <v>0</v>
      </c>
      <c r="F1319">
        <v>0</v>
      </c>
    </row>
    <row r="1320" spans="1:6" x14ac:dyDescent="0.25">
      <c r="A1320" t="s">
        <v>16</v>
      </c>
      <c r="B1320" t="s">
        <v>1578</v>
      </c>
      <c r="C1320">
        <v>34103</v>
      </c>
      <c r="D1320">
        <v>0</v>
      </c>
      <c r="E1320">
        <v>0</v>
      </c>
      <c r="F1320">
        <v>0</v>
      </c>
    </row>
    <row r="1321" spans="1:6" x14ac:dyDescent="0.25">
      <c r="A1321" t="s">
        <v>25</v>
      </c>
      <c r="B1321" t="s">
        <v>1579</v>
      </c>
      <c r="C1321">
        <v>34104</v>
      </c>
      <c r="D1321">
        <v>0</v>
      </c>
      <c r="E1321">
        <v>0</v>
      </c>
      <c r="F1321">
        <v>0</v>
      </c>
    </row>
    <row r="1322" spans="1:6" x14ac:dyDescent="0.25">
      <c r="A1322" t="s">
        <v>26</v>
      </c>
      <c r="B1322" t="s">
        <v>1580</v>
      </c>
      <c r="C1322">
        <v>34105</v>
      </c>
      <c r="D1322">
        <v>0</v>
      </c>
      <c r="E1322">
        <v>0</v>
      </c>
      <c r="F1322">
        <v>0</v>
      </c>
    </row>
    <row r="1323" spans="1:6" x14ac:dyDescent="0.25">
      <c r="A1323" t="s">
        <v>27</v>
      </c>
      <c r="B1323" t="s">
        <v>1581</v>
      </c>
      <c r="C1323">
        <v>34106</v>
      </c>
      <c r="D1323">
        <v>0</v>
      </c>
      <c r="E1323">
        <v>0</v>
      </c>
      <c r="F1323">
        <v>0</v>
      </c>
    </row>
    <row r="1324" spans="1:6" x14ac:dyDescent="0.25">
      <c r="A1324" t="s">
        <v>531</v>
      </c>
      <c r="B1324" t="s">
        <v>1582</v>
      </c>
      <c r="C1324">
        <v>34107</v>
      </c>
      <c r="D1324">
        <v>0</v>
      </c>
      <c r="E1324">
        <v>0</v>
      </c>
      <c r="F1324">
        <v>0</v>
      </c>
    </row>
    <row r="1325" spans="1:6" x14ac:dyDescent="0.25">
      <c r="A1325" t="s">
        <v>1583</v>
      </c>
      <c r="B1325" t="s">
        <v>1584</v>
      </c>
      <c r="C1325">
        <v>34108</v>
      </c>
      <c r="D1325">
        <v>0</v>
      </c>
      <c r="E1325">
        <v>0</v>
      </c>
      <c r="F1325">
        <v>0</v>
      </c>
    </row>
    <row r="1326" spans="1:6" x14ac:dyDescent="0.25">
      <c r="A1326" t="s">
        <v>1585</v>
      </c>
      <c r="B1326" t="s">
        <v>1586</v>
      </c>
      <c r="C1326">
        <v>34109</v>
      </c>
      <c r="D1326">
        <v>0</v>
      </c>
      <c r="E1326">
        <v>0</v>
      </c>
      <c r="F1326">
        <v>0</v>
      </c>
    </row>
    <row r="1327" spans="1:6" x14ac:dyDescent="0.25">
      <c r="A1327" t="s">
        <v>1587</v>
      </c>
      <c r="B1327" t="s">
        <v>1588</v>
      </c>
      <c r="C1327">
        <v>34110</v>
      </c>
      <c r="D1327">
        <v>0</v>
      </c>
      <c r="E1327">
        <v>0</v>
      </c>
      <c r="F1327">
        <v>0</v>
      </c>
    </row>
    <row r="1328" spans="1:6" x14ac:dyDescent="0.25">
      <c r="A1328" t="s">
        <v>1589</v>
      </c>
      <c r="B1328" t="s">
        <v>1590</v>
      </c>
      <c r="C1328">
        <v>34111</v>
      </c>
      <c r="D1328">
        <v>0</v>
      </c>
      <c r="E1328">
        <v>0</v>
      </c>
      <c r="F1328">
        <v>0</v>
      </c>
    </row>
    <row r="1329" spans="1:6" x14ac:dyDescent="0.25">
      <c r="A1329" t="s">
        <v>1591</v>
      </c>
      <c r="B1329" t="s">
        <v>1592</v>
      </c>
      <c r="C1329">
        <v>34112</v>
      </c>
      <c r="D1329">
        <v>0</v>
      </c>
      <c r="E1329">
        <v>0</v>
      </c>
      <c r="F1329">
        <v>0</v>
      </c>
    </row>
    <row r="1330" spans="1:6" x14ac:dyDescent="0.25">
      <c r="A1330" t="s">
        <v>1593</v>
      </c>
      <c r="B1330" t="s">
        <v>1594</v>
      </c>
      <c r="C1330">
        <v>34113</v>
      </c>
      <c r="D1330">
        <v>0</v>
      </c>
      <c r="E1330">
        <v>0</v>
      </c>
      <c r="F1330">
        <v>0</v>
      </c>
    </row>
    <row r="1331" spans="1:6" x14ac:dyDescent="0.25">
      <c r="A1331" t="s">
        <v>1595</v>
      </c>
      <c r="B1331" t="s">
        <v>1596</v>
      </c>
      <c r="C1331">
        <v>34114</v>
      </c>
      <c r="D1331">
        <v>0</v>
      </c>
      <c r="E1331">
        <v>0</v>
      </c>
      <c r="F1331">
        <v>0</v>
      </c>
    </row>
    <row r="1332" spans="1:6" x14ac:dyDescent="0.25">
      <c r="A1332" t="s">
        <v>1597</v>
      </c>
      <c r="B1332" t="s">
        <v>1598</v>
      </c>
      <c r="C1332">
        <v>34115</v>
      </c>
      <c r="D1332">
        <v>127941</v>
      </c>
      <c r="E1332">
        <v>0</v>
      </c>
      <c r="F1332">
        <v>127941</v>
      </c>
    </row>
    <row r="1333" spans="1:6" x14ac:dyDescent="0.25">
      <c r="A1333" t="s">
        <v>1599</v>
      </c>
      <c r="B1333" t="s">
        <v>1600</v>
      </c>
      <c r="C1333">
        <v>34116</v>
      </c>
      <c r="D1333">
        <v>0</v>
      </c>
      <c r="E1333">
        <v>0</v>
      </c>
      <c r="F1333">
        <v>0</v>
      </c>
    </row>
    <row r="1334" spans="1:6" x14ac:dyDescent="0.25">
      <c r="A1334" t="s">
        <v>1601</v>
      </c>
      <c r="B1334" t="s">
        <v>1602</v>
      </c>
      <c r="C1334">
        <v>34117</v>
      </c>
      <c r="D1334">
        <v>0</v>
      </c>
      <c r="E1334">
        <v>0</v>
      </c>
      <c r="F1334">
        <v>0</v>
      </c>
    </row>
    <row r="1335" spans="1:6" x14ac:dyDescent="0.25">
      <c r="A1335" t="s">
        <v>1603</v>
      </c>
      <c r="B1335" t="s">
        <v>1604</v>
      </c>
      <c r="C1335">
        <v>34118</v>
      </c>
      <c r="D1335">
        <v>0</v>
      </c>
      <c r="E1335">
        <v>0</v>
      </c>
      <c r="F1335">
        <v>0</v>
      </c>
    </row>
    <row r="1336" spans="1:6" x14ac:dyDescent="0.25">
      <c r="A1336" t="s">
        <v>1605</v>
      </c>
      <c r="B1336" t="s">
        <v>1606</v>
      </c>
      <c r="C1336">
        <v>34119</v>
      </c>
      <c r="D1336">
        <v>0</v>
      </c>
      <c r="E1336">
        <v>0</v>
      </c>
      <c r="F1336">
        <v>0</v>
      </c>
    </row>
    <row r="1337" spans="1:6" x14ac:dyDescent="0.25">
      <c r="A1337" t="s">
        <v>1607</v>
      </c>
      <c r="B1337" t="s">
        <v>1608</v>
      </c>
      <c r="C1337">
        <v>34120</v>
      </c>
      <c r="D1337">
        <v>0</v>
      </c>
      <c r="E1337">
        <v>0</v>
      </c>
      <c r="F1337">
        <v>0</v>
      </c>
    </row>
    <row r="1338" spans="1:6" x14ac:dyDescent="0.25">
      <c r="B1338" t="s">
        <v>1982</v>
      </c>
      <c r="D1338">
        <v>127941</v>
      </c>
      <c r="E1338">
        <v>0</v>
      </c>
      <c r="F1338">
        <v>127941</v>
      </c>
    </row>
    <row r="1339" spans="1:6" x14ac:dyDescent="0.25">
      <c r="B1339" t="s">
        <v>1656</v>
      </c>
    </row>
    <row r="1340" spans="1:6" x14ac:dyDescent="0.25">
      <c r="A1340" t="s">
        <v>2</v>
      </c>
      <c r="B1340" t="s">
        <v>1611</v>
      </c>
      <c r="C1340">
        <v>34201</v>
      </c>
      <c r="D1340">
        <v>0</v>
      </c>
      <c r="E1340">
        <v>0</v>
      </c>
      <c r="F1340">
        <v>0</v>
      </c>
    </row>
    <row r="1341" spans="1:6" x14ac:dyDescent="0.25">
      <c r="A1341" t="s">
        <v>15</v>
      </c>
      <c r="B1341" t="s">
        <v>1973</v>
      </c>
      <c r="C1341">
        <v>34202</v>
      </c>
      <c r="D1341">
        <v>0</v>
      </c>
      <c r="E1341">
        <v>0</v>
      </c>
      <c r="F1341">
        <v>0</v>
      </c>
    </row>
    <row r="1342" spans="1:6" x14ac:dyDescent="0.25">
      <c r="A1342" t="s">
        <v>16</v>
      </c>
      <c r="B1342" t="s">
        <v>1613</v>
      </c>
      <c r="C1342">
        <v>34203</v>
      </c>
      <c r="D1342">
        <v>0</v>
      </c>
      <c r="E1342">
        <v>0</v>
      </c>
      <c r="F1342">
        <v>0</v>
      </c>
    </row>
    <row r="1343" spans="1:6" x14ac:dyDescent="0.25">
      <c r="A1343" t="s">
        <v>25</v>
      </c>
      <c r="B1343" t="s">
        <v>1614</v>
      </c>
      <c r="C1343">
        <v>34204</v>
      </c>
      <c r="D1343">
        <v>179999</v>
      </c>
      <c r="E1343">
        <v>0</v>
      </c>
      <c r="F1343">
        <v>179999</v>
      </c>
    </row>
    <row r="1344" spans="1:6" x14ac:dyDescent="0.25">
      <c r="A1344" t="s">
        <v>26</v>
      </c>
      <c r="B1344" t="s">
        <v>1615</v>
      </c>
      <c r="C1344">
        <v>34205</v>
      </c>
      <c r="D1344">
        <v>0</v>
      </c>
      <c r="E1344">
        <v>0</v>
      </c>
      <c r="F1344">
        <v>0</v>
      </c>
    </row>
    <row r="1345" spans="1:6" x14ac:dyDescent="0.25">
      <c r="A1345" t="s">
        <v>27</v>
      </c>
      <c r="B1345" t="s">
        <v>1616</v>
      </c>
      <c r="C1345">
        <v>34206</v>
      </c>
      <c r="D1345">
        <v>0</v>
      </c>
      <c r="E1345">
        <v>0</v>
      </c>
      <c r="F1345">
        <v>0</v>
      </c>
    </row>
    <row r="1346" spans="1:6" x14ac:dyDescent="0.25">
      <c r="A1346" t="s">
        <v>531</v>
      </c>
      <c r="B1346" t="s">
        <v>1617</v>
      </c>
      <c r="C1346">
        <v>34207</v>
      </c>
      <c r="D1346">
        <v>0</v>
      </c>
      <c r="E1346">
        <v>0</v>
      </c>
      <c r="F1346">
        <v>0</v>
      </c>
    </row>
    <row r="1347" spans="1:6" x14ac:dyDescent="0.25">
      <c r="A1347" t="s">
        <v>1583</v>
      </c>
      <c r="B1347" t="s">
        <v>1618</v>
      </c>
      <c r="C1347">
        <v>34208</v>
      </c>
      <c r="D1347">
        <v>0</v>
      </c>
      <c r="E1347">
        <v>0</v>
      </c>
      <c r="F1347">
        <v>0</v>
      </c>
    </row>
    <row r="1348" spans="1:6" x14ac:dyDescent="0.25">
      <c r="A1348" t="s">
        <v>1585</v>
      </c>
      <c r="B1348" t="s">
        <v>1619</v>
      </c>
      <c r="C1348">
        <v>34209</v>
      </c>
      <c r="D1348">
        <v>0</v>
      </c>
      <c r="E1348">
        <v>0</v>
      </c>
      <c r="F1348">
        <v>0</v>
      </c>
    </row>
    <row r="1349" spans="1:6" x14ac:dyDescent="0.25">
      <c r="A1349" t="s">
        <v>1587</v>
      </c>
      <c r="B1349" t="s">
        <v>1620</v>
      </c>
      <c r="C1349">
        <v>34210</v>
      </c>
      <c r="D1349">
        <v>0</v>
      </c>
      <c r="E1349">
        <v>0</v>
      </c>
      <c r="F1349">
        <v>0</v>
      </c>
    </row>
    <row r="1350" spans="1:6" x14ac:dyDescent="0.25">
      <c r="A1350" t="s">
        <v>1589</v>
      </c>
      <c r="B1350" t="s">
        <v>1621</v>
      </c>
      <c r="C1350">
        <v>34211</v>
      </c>
      <c r="D1350">
        <v>0</v>
      </c>
      <c r="E1350">
        <v>0</v>
      </c>
      <c r="F1350">
        <v>0</v>
      </c>
    </row>
    <row r="1351" spans="1:6" x14ac:dyDescent="0.25">
      <c r="A1351" t="s">
        <v>1591</v>
      </c>
      <c r="B1351" t="s">
        <v>1622</v>
      </c>
      <c r="C1351">
        <v>34212</v>
      </c>
      <c r="D1351">
        <v>0</v>
      </c>
      <c r="E1351">
        <v>0</v>
      </c>
      <c r="F1351">
        <v>0</v>
      </c>
    </row>
    <row r="1352" spans="1:6" x14ac:dyDescent="0.25">
      <c r="A1352" t="s">
        <v>1593</v>
      </c>
      <c r="B1352" t="s">
        <v>1623</v>
      </c>
      <c r="C1352">
        <v>34213</v>
      </c>
      <c r="D1352">
        <v>0</v>
      </c>
      <c r="E1352">
        <v>0</v>
      </c>
      <c r="F1352">
        <v>0</v>
      </c>
    </row>
    <row r="1353" spans="1:6" x14ac:dyDescent="0.25">
      <c r="A1353" t="s">
        <v>1595</v>
      </c>
      <c r="B1353" t="s">
        <v>1624</v>
      </c>
      <c r="C1353">
        <v>34214</v>
      </c>
      <c r="D1353">
        <v>0</v>
      </c>
      <c r="E1353">
        <v>0</v>
      </c>
      <c r="F1353">
        <v>0</v>
      </c>
    </row>
    <row r="1354" spans="1:6" x14ac:dyDescent="0.25">
      <c r="A1354" t="s">
        <v>1597</v>
      </c>
      <c r="B1354" t="s">
        <v>1625</v>
      </c>
      <c r="C1354">
        <v>34215</v>
      </c>
      <c r="D1354">
        <v>0</v>
      </c>
      <c r="E1354">
        <v>0</v>
      </c>
      <c r="F1354">
        <v>0</v>
      </c>
    </row>
    <row r="1355" spans="1:6" x14ac:dyDescent="0.25">
      <c r="A1355" t="s">
        <v>1599</v>
      </c>
      <c r="B1355" t="s">
        <v>1626</v>
      </c>
      <c r="C1355">
        <v>34216</v>
      </c>
      <c r="D1355">
        <v>0</v>
      </c>
      <c r="E1355">
        <v>0</v>
      </c>
      <c r="F1355">
        <v>0</v>
      </c>
    </row>
    <row r="1356" spans="1:6" x14ac:dyDescent="0.25">
      <c r="A1356" t="s">
        <v>1601</v>
      </c>
      <c r="B1356" t="s">
        <v>1627</v>
      </c>
      <c r="C1356">
        <v>34217</v>
      </c>
      <c r="D1356">
        <v>0</v>
      </c>
      <c r="E1356">
        <v>0</v>
      </c>
      <c r="F1356">
        <v>0</v>
      </c>
    </row>
    <row r="1357" spans="1:6" x14ac:dyDescent="0.25">
      <c r="A1357" t="s">
        <v>1603</v>
      </c>
      <c r="B1357" t="s">
        <v>1596</v>
      </c>
      <c r="C1357">
        <v>34218</v>
      </c>
      <c r="D1357">
        <v>0</v>
      </c>
      <c r="E1357">
        <v>0</v>
      </c>
      <c r="F1357">
        <v>0</v>
      </c>
    </row>
    <row r="1358" spans="1:6" x14ac:dyDescent="0.25">
      <c r="A1358" t="s">
        <v>1605</v>
      </c>
      <c r="B1358" t="s">
        <v>1598</v>
      </c>
      <c r="C1358">
        <v>34219</v>
      </c>
      <c r="D1358">
        <v>0</v>
      </c>
      <c r="E1358">
        <v>0</v>
      </c>
      <c r="F1358">
        <v>0</v>
      </c>
    </row>
    <row r="1359" spans="1:6" x14ac:dyDescent="0.25">
      <c r="A1359" t="s">
        <v>1607</v>
      </c>
      <c r="B1359" t="s">
        <v>1602</v>
      </c>
      <c r="C1359">
        <v>34220</v>
      </c>
      <c r="D1359">
        <v>0</v>
      </c>
      <c r="E1359">
        <v>0</v>
      </c>
      <c r="F1359">
        <v>0</v>
      </c>
    </row>
    <row r="1360" spans="1:6" x14ac:dyDescent="0.25">
      <c r="B1360" t="s">
        <v>1983</v>
      </c>
      <c r="D1360">
        <v>179999</v>
      </c>
      <c r="E1360">
        <v>0</v>
      </c>
      <c r="F1360">
        <v>179999</v>
      </c>
    </row>
    <row r="1361" spans="1:6" x14ac:dyDescent="0.25">
      <c r="B1361" t="s">
        <v>1984</v>
      </c>
    </row>
    <row r="1362" spans="1:6" x14ac:dyDescent="0.25">
      <c r="A1362" t="s">
        <v>2</v>
      </c>
      <c r="B1362" t="s">
        <v>1634</v>
      </c>
      <c r="C1362">
        <v>34301</v>
      </c>
      <c r="D1362">
        <v>0</v>
      </c>
      <c r="E1362">
        <v>0</v>
      </c>
      <c r="F1362">
        <v>0</v>
      </c>
    </row>
    <row r="1363" spans="1:6" x14ac:dyDescent="0.25">
      <c r="A1363" t="s">
        <v>15</v>
      </c>
      <c r="B1363" t="s">
        <v>1635</v>
      </c>
      <c r="C1363">
        <v>34302</v>
      </c>
      <c r="D1363">
        <v>0</v>
      </c>
      <c r="E1363">
        <v>0</v>
      </c>
      <c r="F1363">
        <v>0</v>
      </c>
    </row>
    <row r="1364" spans="1:6" x14ac:dyDescent="0.25">
      <c r="A1364" t="s">
        <v>16</v>
      </c>
      <c r="B1364" t="s">
        <v>1636</v>
      </c>
      <c r="C1364">
        <v>34303</v>
      </c>
      <c r="D1364">
        <v>0</v>
      </c>
      <c r="E1364">
        <v>0</v>
      </c>
      <c r="F1364">
        <v>0</v>
      </c>
    </row>
    <row r="1365" spans="1:6" x14ac:dyDescent="0.25">
      <c r="A1365" t="s">
        <v>25</v>
      </c>
      <c r="B1365" t="s">
        <v>1637</v>
      </c>
      <c r="C1365">
        <v>34304</v>
      </c>
      <c r="D1365">
        <v>0</v>
      </c>
      <c r="E1365">
        <v>0</v>
      </c>
      <c r="F1365">
        <v>0</v>
      </c>
    </row>
    <row r="1366" spans="1:6" x14ac:dyDescent="0.25">
      <c r="A1366" t="s">
        <v>26</v>
      </c>
      <c r="B1366" t="s">
        <v>1638</v>
      </c>
      <c r="C1366">
        <v>34305</v>
      </c>
      <c r="D1366">
        <v>0</v>
      </c>
      <c r="E1366">
        <v>0</v>
      </c>
      <c r="F1366">
        <v>0</v>
      </c>
    </row>
    <row r="1367" spans="1:6" x14ac:dyDescent="0.25">
      <c r="A1367" t="s">
        <v>27</v>
      </c>
      <c r="B1367" t="s">
        <v>1639</v>
      </c>
      <c r="C1367">
        <v>34306</v>
      </c>
      <c r="D1367">
        <v>0</v>
      </c>
      <c r="E1367">
        <v>0</v>
      </c>
      <c r="F1367">
        <v>0</v>
      </c>
    </row>
    <row r="1368" spans="1:6" x14ac:dyDescent="0.25">
      <c r="A1368" t="s">
        <v>531</v>
      </c>
      <c r="B1368" t="s">
        <v>1640</v>
      </c>
      <c r="C1368">
        <v>34307</v>
      </c>
      <c r="D1368">
        <v>0</v>
      </c>
      <c r="E1368">
        <v>0</v>
      </c>
      <c r="F1368">
        <v>0</v>
      </c>
    </row>
    <row r="1369" spans="1:6" x14ac:dyDescent="0.25">
      <c r="A1369" t="s">
        <v>1583</v>
      </c>
      <c r="B1369" t="s">
        <v>1641</v>
      </c>
      <c r="C1369">
        <v>34308</v>
      </c>
      <c r="D1369">
        <v>0</v>
      </c>
      <c r="E1369">
        <v>0</v>
      </c>
      <c r="F1369">
        <v>0</v>
      </c>
    </row>
    <row r="1370" spans="1:6" x14ac:dyDescent="0.25">
      <c r="B1370" t="s">
        <v>1985</v>
      </c>
      <c r="D1370">
        <v>0</v>
      </c>
      <c r="E1370">
        <v>0</v>
      </c>
      <c r="F1370">
        <v>0</v>
      </c>
    </row>
    <row r="1371" spans="1:6" x14ac:dyDescent="0.25">
      <c r="B1371" t="s">
        <v>2432</v>
      </c>
    </row>
    <row r="1372" spans="1:6" x14ac:dyDescent="0.25">
      <c r="A1372" t="s">
        <v>2</v>
      </c>
      <c r="B1372" t="s">
        <v>1634</v>
      </c>
      <c r="C1372">
        <v>34401</v>
      </c>
      <c r="D1372">
        <v>110790</v>
      </c>
      <c r="E1372">
        <v>0</v>
      </c>
      <c r="F1372">
        <v>110790</v>
      </c>
    </row>
    <row r="1373" spans="1:6" x14ac:dyDescent="0.25">
      <c r="A1373" t="s">
        <v>15</v>
      </c>
      <c r="B1373" t="s">
        <v>1635</v>
      </c>
      <c r="C1373">
        <v>34402</v>
      </c>
      <c r="D1373">
        <v>0</v>
      </c>
      <c r="E1373">
        <v>0</v>
      </c>
      <c r="F1373">
        <v>0</v>
      </c>
    </row>
    <row r="1374" spans="1:6" x14ac:dyDescent="0.25">
      <c r="A1374" t="s">
        <v>16</v>
      </c>
      <c r="B1374" t="s">
        <v>1636</v>
      </c>
      <c r="C1374">
        <v>34403</v>
      </c>
      <c r="D1374">
        <v>0</v>
      </c>
      <c r="E1374">
        <v>0</v>
      </c>
      <c r="F1374">
        <v>0</v>
      </c>
    </row>
    <row r="1375" spans="1:6" x14ac:dyDescent="0.25">
      <c r="A1375" t="s">
        <v>25</v>
      </c>
      <c r="B1375" t="s">
        <v>1637</v>
      </c>
      <c r="C1375">
        <v>34404</v>
      </c>
      <c r="D1375">
        <v>2060</v>
      </c>
      <c r="E1375">
        <v>0</v>
      </c>
      <c r="F1375">
        <v>2060</v>
      </c>
    </row>
    <row r="1376" spans="1:6" x14ac:dyDescent="0.25">
      <c r="A1376" t="s">
        <v>26</v>
      </c>
      <c r="B1376" t="s">
        <v>1638</v>
      </c>
      <c r="C1376">
        <v>34405</v>
      </c>
      <c r="D1376">
        <v>1285</v>
      </c>
      <c r="E1376">
        <v>0</v>
      </c>
      <c r="F1376">
        <v>1285</v>
      </c>
    </row>
    <row r="1377" spans="1:6" x14ac:dyDescent="0.25">
      <c r="A1377" t="s">
        <v>27</v>
      </c>
      <c r="B1377" t="s">
        <v>1639</v>
      </c>
      <c r="C1377">
        <v>34406</v>
      </c>
      <c r="D1377">
        <v>0</v>
      </c>
      <c r="E1377">
        <v>17861</v>
      </c>
      <c r="F1377">
        <v>17861</v>
      </c>
    </row>
    <row r="1378" spans="1:6" x14ac:dyDescent="0.25">
      <c r="A1378" t="s">
        <v>531</v>
      </c>
      <c r="B1378" t="s">
        <v>1640</v>
      </c>
      <c r="C1378">
        <v>34407</v>
      </c>
      <c r="D1378">
        <v>0</v>
      </c>
      <c r="E1378">
        <v>0</v>
      </c>
      <c r="F1378">
        <v>0</v>
      </c>
    </row>
    <row r="1379" spans="1:6" x14ac:dyDescent="0.25">
      <c r="A1379" t="s">
        <v>1583</v>
      </c>
      <c r="B1379" t="s">
        <v>1641</v>
      </c>
      <c r="C1379">
        <v>34408</v>
      </c>
      <c r="D1379">
        <v>0</v>
      </c>
      <c r="E1379">
        <v>10931</v>
      </c>
      <c r="F1379">
        <v>10931</v>
      </c>
    </row>
    <row r="1380" spans="1:6" x14ac:dyDescent="0.25">
      <c r="B1380" t="s">
        <v>1987</v>
      </c>
      <c r="D1380">
        <v>114135</v>
      </c>
      <c r="E1380">
        <v>28792</v>
      </c>
      <c r="F1380">
        <v>142927</v>
      </c>
    </row>
    <row r="1381" spans="1:6" x14ac:dyDescent="0.25">
      <c r="B1381" t="s">
        <v>2433</v>
      </c>
    </row>
    <row r="1382" spans="1:6" x14ac:dyDescent="0.25">
      <c r="A1382" t="s">
        <v>2</v>
      </c>
      <c r="B1382" t="s">
        <v>1634</v>
      </c>
      <c r="C1382">
        <v>34501</v>
      </c>
      <c r="D1382">
        <v>27370</v>
      </c>
      <c r="E1382">
        <v>0</v>
      </c>
      <c r="F1382">
        <v>27370</v>
      </c>
    </row>
    <row r="1383" spans="1:6" x14ac:dyDescent="0.25">
      <c r="A1383" t="s">
        <v>15</v>
      </c>
      <c r="B1383" t="s">
        <v>1635</v>
      </c>
      <c r="C1383">
        <v>34502</v>
      </c>
      <c r="D1383">
        <v>0</v>
      </c>
      <c r="E1383">
        <v>0</v>
      </c>
      <c r="F1383">
        <v>0</v>
      </c>
    </row>
    <row r="1384" spans="1:6" x14ac:dyDescent="0.25">
      <c r="A1384" t="s">
        <v>16</v>
      </c>
      <c r="B1384" t="s">
        <v>1636</v>
      </c>
      <c r="C1384">
        <v>34503</v>
      </c>
      <c r="D1384">
        <v>0</v>
      </c>
      <c r="E1384">
        <v>0</v>
      </c>
      <c r="F1384">
        <v>0</v>
      </c>
    </row>
    <row r="1385" spans="1:6" x14ac:dyDescent="0.25">
      <c r="A1385" t="s">
        <v>25</v>
      </c>
      <c r="B1385" t="s">
        <v>1637</v>
      </c>
      <c r="C1385">
        <v>34504</v>
      </c>
      <c r="D1385">
        <v>11533</v>
      </c>
      <c r="E1385">
        <v>0</v>
      </c>
      <c r="F1385">
        <v>11533</v>
      </c>
    </row>
    <row r="1386" spans="1:6" x14ac:dyDescent="0.25">
      <c r="A1386" t="s">
        <v>26</v>
      </c>
      <c r="B1386" t="s">
        <v>1638</v>
      </c>
      <c r="C1386">
        <v>34505</v>
      </c>
      <c r="D1386">
        <v>242078</v>
      </c>
      <c r="E1386">
        <v>0</v>
      </c>
      <c r="F1386">
        <v>242078</v>
      </c>
    </row>
    <row r="1387" spans="1:6" x14ac:dyDescent="0.25">
      <c r="A1387" t="s">
        <v>27</v>
      </c>
      <c r="B1387" t="s">
        <v>1639</v>
      </c>
      <c r="C1387">
        <v>34506</v>
      </c>
      <c r="D1387">
        <v>0</v>
      </c>
      <c r="E1387">
        <v>10456</v>
      </c>
      <c r="F1387">
        <v>10456</v>
      </c>
    </row>
    <row r="1388" spans="1:6" x14ac:dyDescent="0.25">
      <c r="A1388" t="s">
        <v>531</v>
      </c>
      <c r="B1388" t="s">
        <v>1640</v>
      </c>
      <c r="C1388">
        <v>34507</v>
      </c>
      <c r="D1388">
        <v>626</v>
      </c>
      <c r="E1388">
        <v>16998</v>
      </c>
      <c r="F1388">
        <v>17624</v>
      </c>
    </row>
    <row r="1389" spans="1:6" x14ac:dyDescent="0.25">
      <c r="A1389" t="s">
        <v>1583</v>
      </c>
      <c r="B1389" t="s">
        <v>1641</v>
      </c>
      <c r="C1389">
        <v>34508</v>
      </c>
      <c r="D1389">
        <v>17180</v>
      </c>
      <c r="E1389">
        <v>296849</v>
      </c>
      <c r="F1389">
        <v>314029</v>
      </c>
    </row>
    <row r="1390" spans="1:6" x14ac:dyDescent="0.25">
      <c r="B1390" t="s">
        <v>1989</v>
      </c>
      <c r="D1390">
        <v>298787</v>
      </c>
      <c r="E1390">
        <v>324303</v>
      </c>
      <c r="F1390">
        <v>623090</v>
      </c>
    </row>
    <row r="1391" spans="1:6" x14ac:dyDescent="0.25">
      <c r="B1391" t="s">
        <v>1990</v>
      </c>
    </row>
    <row r="1392" spans="1:6" x14ac:dyDescent="0.25">
      <c r="A1392" t="s">
        <v>2</v>
      </c>
      <c r="B1392" t="s">
        <v>1648</v>
      </c>
      <c r="C1392">
        <v>34601</v>
      </c>
      <c r="D1392">
        <v>0</v>
      </c>
      <c r="E1392">
        <v>0</v>
      </c>
      <c r="F1392">
        <v>0</v>
      </c>
    </row>
    <row r="1393" spans="1:6" x14ac:dyDescent="0.25">
      <c r="A1393" t="s">
        <v>15</v>
      </c>
      <c r="B1393" t="s">
        <v>1649</v>
      </c>
      <c r="C1393">
        <v>34602</v>
      </c>
      <c r="D1393">
        <v>0</v>
      </c>
      <c r="E1393">
        <v>0</v>
      </c>
      <c r="F1393">
        <v>0</v>
      </c>
    </row>
    <row r="1394" spans="1:6" x14ac:dyDescent="0.25">
      <c r="A1394" t="s">
        <v>16</v>
      </c>
      <c r="B1394" t="s">
        <v>1637</v>
      </c>
      <c r="C1394">
        <v>34603</v>
      </c>
      <c r="D1394">
        <v>0</v>
      </c>
      <c r="E1394">
        <v>0</v>
      </c>
      <c r="F1394">
        <v>0</v>
      </c>
    </row>
    <row r="1395" spans="1:6" x14ac:dyDescent="0.25">
      <c r="A1395" t="s">
        <v>25</v>
      </c>
      <c r="B1395" t="s">
        <v>1638</v>
      </c>
      <c r="C1395">
        <v>34604</v>
      </c>
      <c r="D1395">
        <v>0</v>
      </c>
      <c r="E1395">
        <v>0</v>
      </c>
      <c r="F1395">
        <v>0</v>
      </c>
    </row>
    <row r="1396" spans="1:6" x14ac:dyDescent="0.25">
      <c r="A1396" t="s">
        <v>26</v>
      </c>
      <c r="B1396" t="s">
        <v>1650</v>
      </c>
      <c r="C1396">
        <v>34605</v>
      </c>
      <c r="D1396">
        <v>0</v>
      </c>
      <c r="E1396">
        <v>0</v>
      </c>
      <c r="F1396">
        <v>0</v>
      </c>
    </row>
    <row r="1397" spans="1:6" x14ac:dyDescent="0.25">
      <c r="A1397" t="s">
        <v>27</v>
      </c>
      <c r="B1397" t="s">
        <v>1651</v>
      </c>
      <c r="C1397">
        <v>34606</v>
      </c>
      <c r="D1397">
        <v>0</v>
      </c>
      <c r="E1397">
        <v>0</v>
      </c>
      <c r="F1397">
        <v>0</v>
      </c>
    </row>
    <row r="1398" spans="1:6" x14ac:dyDescent="0.25">
      <c r="A1398" t="s">
        <v>531</v>
      </c>
      <c r="B1398" t="s">
        <v>1640</v>
      </c>
      <c r="C1398">
        <v>34607</v>
      </c>
      <c r="D1398">
        <v>0</v>
      </c>
      <c r="E1398">
        <v>0</v>
      </c>
      <c r="F1398">
        <v>0</v>
      </c>
    </row>
    <row r="1399" spans="1:6" x14ac:dyDescent="0.25">
      <c r="A1399" t="s">
        <v>1583</v>
      </c>
      <c r="B1399" t="s">
        <v>1641</v>
      </c>
      <c r="C1399">
        <v>34608</v>
      </c>
      <c r="D1399">
        <v>0</v>
      </c>
      <c r="E1399">
        <v>0</v>
      </c>
      <c r="F1399">
        <v>0</v>
      </c>
    </row>
    <row r="1400" spans="1:6" x14ac:dyDescent="0.25">
      <c r="B1400" t="s">
        <v>1991</v>
      </c>
      <c r="D1400">
        <v>0</v>
      </c>
      <c r="E1400">
        <v>0</v>
      </c>
      <c r="F1400">
        <v>0</v>
      </c>
    </row>
    <row r="1401" spans="1:6" x14ac:dyDescent="0.25">
      <c r="B1401" t="s">
        <v>1716</v>
      </c>
      <c r="D1401">
        <v>720862</v>
      </c>
      <c r="E1401">
        <v>353095</v>
      </c>
      <c r="F1401">
        <v>1073957</v>
      </c>
    </row>
    <row r="1402" spans="1:6" x14ac:dyDescent="0.25">
      <c r="B1402" t="s">
        <v>2434</v>
      </c>
    </row>
    <row r="1403" spans="1:6" x14ac:dyDescent="0.25">
      <c r="B1403" t="s">
        <v>1575</v>
      </c>
    </row>
    <row r="1404" spans="1:6" x14ac:dyDescent="0.25">
      <c r="A1404" t="s">
        <v>2</v>
      </c>
      <c r="B1404" t="s">
        <v>1576</v>
      </c>
      <c r="C1404">
        <v>35101</v>
      </c>
      <c r="D1404">
        <v>0</v>
      </c>
      <c r="E1404">
        <v>0</v>
      </c>
      <c r="F1404">
        <v>0</v>
      </c>
    </row>
    <row r="1405" spans="1:6" x14ac:dyDescent="0.25">
      <c r="A1405" t="s">
        <v>15</v>
      </c>
      <c r="B1405" t="s">
        <v>1577</v>
      </c>
      <c r="C1405">
        <v>35102</v>
      </c>
      <c r="D1405">
        <v>0</v>
      </c>
      <c r="E1405">
        <v>0</v>
      </c>
      <c r="F1405">
        <v>0</v>
      </c>
    </row>
    <row r="1406" spans="1:6" x14ac:dyDescent="0.25">
      <c r="A1406" t="s">
        <v>16</v>
      </c>
      <c r="B1406" t="s">
        <v>1578</v>
      </c>
      <c r="C1406">
        <v>35103</v>
      </c>
      <c r="D1406">
        <v>0</v>
      </c>
      <c r="E1406">
        <v>0</v>
      </c>
      <c r="F1406">
        <v>0</v>
      </c>
    </row>
    <row r="1407" spans="1:6" x14ac:dyDescent="0.25">
      <c r="A1407" t="s">
        <v>25</v>
      </c>
      <c r="B1407" t="s">
        <v>1579</v>
      </c>
      <c r="C1407">
        <v>35104</v>
      </c>
      <c r="D1407">
        <v>0</v>
      </c>
      <c r="E1407">
        <v>0</v>
      </c>
      <c r="F1407">
        <v>0</v>
      </c>
    </row>
    <row r="1408" spans="1:6" x14ac:dyDescent="0.25">
      <c r="A1408" t="s">
        <v>26</v>
      </c>
      <c r="B1408" t="s">
        <v>1580</v>
      </c>
      <c r="C1408">
        <v>35105</v>
      </c>
      <c r="D1408">
        <v>59546</v>
      </c>
      <c r="E1408">
        <v>0</v>
      </c>
      <c r="F1408">
        <v>59546</v>
      </c>
    </row>
    <row r="1409" spans="1:6" x14ac:dyDescent="0.25">
      <c r="A1409" t="s">
        <v>27</v>
      </c>
      <c r="B1409" t="s">
        <v>1581</v>
      </c>
      <c r="C1409">
        <v>35106</v>
      </c>
      <c r="D1409">
        <v>1327</v>
      </c>
      <c r="E1409">
        <v>0</v>
      </c>
      <c r="F1409">
        <v>1327</v>
      </c>
    </row>
    <row r="1410" spans="1:6" x14ac:dyDescent="0.25">
      <c r="A1410" t="s">
        <v>531</v>
      </c>
      <c r="B1410" t="s">
        <v>1582</v>
      </c>
      <c r="C1410">
        <v>35107</v>
      </c>
      <c r="D1410">
        <v>0</v>
      </c>
      <c r="E1410">
        <v>0</v>
      </c>
      <c r="F1410">
        <v>0</v>
      </c>
    </row>
    <row r="1411" spans="1:6" x14ac:dyDescent="0.25">
      <c r="A1411" t="s">
        <v>1583</v>
      </c>
      <c r="B1411" t="s">
        <v>1584</v>
      </c>
      <c r="C1411">
        <v>35108</v>
      </c>
      <c r="D1411">
        <v>58</v>
      </c>
      <c r="E1411">
        <v>0</v>
      </c>
      <c r="F1411">
        <v>58</v>
      </c>
    </row>
    <row r="1412" spans="1:6" x14ac:dyDescent="0.25">
      <c r="A1412" t="s">
        <v>1585</v>
      </c>
      <c r="B1412" t="s">
        <v>1586</v>
      </c>
      <c r="C1412">
        <v>35109</v>
      </c>
      <c r="D1412">
        <v>164</v>
      </c>
      <c r="E1412">
        <v>0</v>
      </c>
      <c r="F1412">
        <v>164</v>
      </c>
    </row>
    <row r="1413" spans="1:6" x14ac:dyDescent="0.25">
      <c r="A1413" t="s">
        <v>1587</v>
      </c>
      <c r="B1413" t="s">
        <v>1588</v>
      </c>
      <c r="C1413">
        <v>35110</v>
      </c>
      <c r="D1413">
        <v>0</v>
      </c>
      <c r="E1413">
        <v>0</v>
      </c>
      <c r="F1413">
        <v>0</v>
      </c>
    </row>
    <row r="1414" spans="1:6" x14ac:dyDescent="0.25">
      <c r="A1414" t="s">
        <v>1589</v>
      </c>
      <c r="B1414" t="s">
        <v>1590</v>
      </c>
      <c r="C1414">
        <v>35111</v>
      </c>
      <c r="D1414">
        <v>155993</v>
      </c>
      <c r="E1414">
        <v>0</v>
      </c>
      <c r="F1414">
        <v>155993</v>
      </c>
    </row>
    <row r="1415" spans="1:6" x14ac:dyDescent="0.25">
      <c r="A1415" t="s">
        <v>1591</v>
      </c>
      <c r="B1415" t="s">
        <v>1592</v>
      </c>
      <c r="C1415">
        <v>35112</v>
      </c>
      <c r="D1415">
        <v>1935898</v>
      </c>
      <c r="E1415">
        <v>0</v>
      </c>
      <c r="F1415">
        <v>1935898</v>
      </c>
    </row>
    <row r="1416" spans="1:6" x14ac:dyDescent="0.25">
      <c r="A1416" t="s">
        <v>1593</v>
      </c>
      <c r="B1416" t="s">
        <v>1594</v>
      </c>
      <c r="C1416">
        <v>35113</v>
      </c>
      <c r="D1416">
        <v>11</v>
      </c>
      <c r="E1416">
        <v>0</v>
      </c>
      <c r="F1416">
        <v>11</v>
      </c>
    </row>
    <row r="1417" spans="1:6" x14ac:dyDescent="0.25">
      <c r="A1417" t="s">
        <v>1595</v>
      </c>
      <c r="B1417" t="s">
        <v>1596</v>
      </c>
      <c r="C1417">
        <v>35114</v>
      </c>
      <c r="D1417">
        <v>58067</v>
      </c>
      <c r="E1417">
        <v>0</v>
      </c>
      <c r="F1417">
        <v>58067</v>
      </c>
    </row>
    <row r="1418" spans="1:6" x14ac:dyDescent="0.25">
      <c r="A1418" t="s">
        <v>1597</v>
      </c>
      <c r="B1418" t="s">
        <v>1598</v>
      </c>
      <c r="C1418">
        <v>35115</v>
      </c>
      <c r="D1418">
        <v>421720</v>
      </c>
      <c r="E1418">
        <v>0</v>
      </c>
      <c r="F1418">
        <v>421720</v>
      </c>
    </row>
    <row r="1419" spans="1:6" x14ac:dyDescent="0.25">
      <c r="A1419" t="s">
        <v>1599</v>
      </c>
      <c r="B1419" t="s">
        <v>1600</v>
      </c>
      <c r="C1419">
        <v>35116</v>
      </c>
      <c r="D1419">
        <v>0</v>
      </c>
      <c r="E1419">
        <v>0</v>
      </c>
      <c r="F1419">
        <v>0</v>
      </c>
    </row>
    <row r="1420" spans="1:6" x14ac:dyDescent="0.25">
      <c r="A1420" t="s">
        <v>1601</v>
      </c>
      <c r="B1420" t="s">
        <v>1602</v>
      </c>
      <c r="C1420">
        <v>35117</v>
      </c>
      <c r="D1420">
        <v>0</v>
      </c>
      <c r="E1420">
        <v>0</v>
      </c>
      <c r="F1420">
        <v>0</v>
      </c>
    </row>
    <row r="1421" spans="1:6" x14ac:dyDescent="0.25">
      <c r="A1421" t="s">
        <v>1603</v>
      </c>
      <c r="B1421" t="s">
        <v>1604</v>
      </c>
      <c r="C1421">
        <v>35118</v>
      </c>
      <c r="D1421">
        <v>731</v>
      </c>
      <c r="E1421">
        <v>0</v>
      </c>
      <c r="F1421">
        <v>731</v>
      </c>
    </row>
    <row r="1422" spans="1:6" x14ac:dyDescent="0.25">
      <c r="A1422" t="s">
        <v>1605</v>
      </c>
      <c r="B1422" t="s">
        <v>1606</v>
      </c>
      <c r="C1422">
        <v>35119</v>
      </c>
      <c r="D1422">
        <v>140824</v>
      </c>
      <c r="E1422">
        <v>0</v>
      </c>
      <c r="F1422">
        <v>140824</v>
      </c>
    </row>
    <row r="1423" spans="1:6" x14ac:dyDescent="0.25">
      <c r="A1423" t="s">
        <v>1607</v>
      </c>
      <c r="B1423" t="s">
        <v>1608</v>
      </c>
      <c r="C1423">
        <v>35120</v>
      </c>
      <c r="D1423">
        <v>0</v>
      </c>
      <c r="E1423">
        <v>0</v>
      </c>
      <c r="F1423">
        <v>0</v>
      </c>
    </row>
    <row r="1424" spans="1:6" x14ac:dyDescent="0.25">
      <c r="B1424" t="s">
        <v>1993</v>
      </c>
      <c r="D1424">
        <v>2774339</v>
      </c>
      <c r="E1424">
        <v>0</v>
      </c>
      <c r="F1424">
        <v>2774339</v>
      </c>
    </row>
    <row r="1425" spans="1:6" x14ac:dyDescent="0.25">
      <c r="B1425" t="s">
        <v>1656</v>
      </c>
    </row>
    <row r="1426" spans="1:6" x14ac:dyDescent="0.25">
      <c r="A1426" t="s">
        <v>2</v>
      </c>
      <c r="B1426" t="s">
        <v>1611</v>
      </c>
      <c r="C1426">
        <v>35201</v>
      </c>
      <c r="D1426">
        <v>0</v>
      </c>
      <c r="E1426">
        <v>0</v>
      </c>
      <c r="F1426">
        <v>0</v>
      </c>
    </row>
    <row r="1427" spans="1:6" x14ac:dyDescent="0.25">
      <c r="A1427" t="s">
        <v>15</v>
      </c>
      <c r="B1427" t="s">
        <v>1612</v>
      </c>
      <c r="C1427">
        <v>35202</v>
      </c>
      <c r="D1427">
        <v>0</v>
      </c>
      <c r="E1427">
        <v>0</v>
      </c>
      <c r="F1427">
        <v>0</v>
      </c>
    </row>
    <row r="1428" spans="1:6" x14ac:dyDescent="0.25">
      <c r="A1428" t="s">
        <v>16</v>
      </c>
      <c r="B1428" t="s">
        <v>1613</v>
      </c>
      <c r="C1428">
        <v>35203</v>
      </c>
      <c r="D1428">
        <v>0</v>
      </c>
      <c r="E1428">
        <v>0</v>
      </c>
      <c r="F1428">
        <v>0</v>
      </c>
    </row>
    <row r="1429" spans="1:6" x14ac:dyDescent="0.25">
      <c r="A1429" t="s">
        <v>25</v>
      </c>
      <c r="B1429" t="s">
        <v>1614</v>
      </c>
      <c r="C1429">
        <v>35204</v>
      </c>
      <c r="D1429">
        <v>0</v>
      </c>
      <c r="E1429">
        <v>0</v>
      </c>
      <c r="F1429">
        <v>0</v>
      </c>
    </row>
    <row r="1430" spans="1:6" x14ac:dyDescent="0.25">
      <c r="A1430" t="s">
        <v>26</v>
      </c>
      <c r="B1430" t="s">
        <v>1615</v>
      </c>
      <c r="C1430">
        <v>35205</v>
      </c>
      <c r="D1430">
        <v>0</v>
      </c>
      <c r="E1430">
        <v>0</v>
      </c>
      <c r="F1430">
        <v>0</v>
      </c>
    </row>
    <row r="1431" spans="1:6" x14ac:dyDescent="0.25">
      <c r="A1431" t="s">
        <v>27</v>
      </c>
      <c r="B1431" t="s">
        <v>1616</v>
      </c>
      <c r="C1431">
        <v>35206</v>
      </c>
      <c r="D1431">
        <v>0</v>
      </c>
      <c r="E1431">
        <v>0</v>
      </c>
      <c r="F1431">
        <v>0</v>
      </c>
    </row>
    <row r="1432" spans="1:6" x14ac:dyDescent="0.25">
      <c r="A1432" t="s">
        <v>531</v>
      </c>
      <c r="B1432" t="s">
        <v>1617</v>
      </c>
      <c r="C1432">
        <v>35207</v>
      </c>
      <c r="D1432">
        <v>0</v>
      </c>
      <c r="E1432">
        <v>0</v>
      </c>
      <c r="F1432">
        <v>0</v>
      </c>
    </row>
    <row r="1433" spans="1:6" x14ac:dyDescent="0.25">
      <c r="A1433" t="s">
        <v>1583</v>
      </c>
      <c r="B1433" t="s">
        <v>1618</v>
      </c>
      <c r="C1433">
        <v>35208</v>
      </c>
      <c r="D1433">
        <v>0</v>
      </c>
      <c r="E1433">
        <v>0</v>
      </c>
      <c r="F1433">
        <v>0</v>
      </c>
    </row>
    <row r="1434" spans="1:6" x14ac:dyDescent="0.25">
      <c r="A1434" t="s">
        <v>1585</v>
      </c>
      <c r="B1434" t="s">
        <v>1619</v>
      </c>
      <c r="C1434">
        <v>35209</v>
      </c>
      <c r="D1434">
        <v>0</v>
      </c>
      <c r="E1434">
        <v>0</v>
      </c>
      <c r="F1434">
        <v>0</v>
      </c>
    </row>
    <row r="1435" spans="1:6" x14ac:dyDescent="0.25">
      <c r="A1435" t="s">
        <v>1587</v>
      </c>
      <c r="B1435" t="s">
        <v>1620</v>
      </c>
      <c r="C1435">
        <v>35210</v>
      </c>
      <c r="D1435">
        <v>0</v>
      </c>
      <c r="E1435">
        <v>0</v>
      </c>
      <c r="F1435">
        <v>0</v>
      </c>
    </row>
    <row r="1436" spans="1:6" x14ac:dyDescent="0.25">
      <c r="A1436" t="s">
        <v>1589</v>
      </c>
      <c r="B1436" t="s">
        <v>1621</v>
      </c>
      <c r="C1436">
        <v>35211</v>
      </c>
      <c r="D1436">
        <v>0</v>
      </c>
      <c r="E1436">
        <v>0</v>
      </c>
      <c r="F1436">
        <v>0</v>
      </c>
    </row>
    <row r="1437" spans="1:6" x14ac:dyDescent="0.25">
      <c r="A1437" t="s">
        <v>1591</v>
      </c>
      <c r="B1437" t="s">
        <v>1622</v>
      </c>
      <c r="C1437">
        <v>35212</v>
      </c>
      <c r="D1437">
        <v>36303</v>
      </c>
      <c r="E1437">
        <v>0</v>
      </c>
      <c r="F1437">
        <v>36303</v>
      </c>
    </row>
    <row r="1438" spans="1:6" x14ac:dyDescent="0.25">
      <c r="A1438" t="s">
        <v>1593</v>
      </c>
      <c r="B1438" t="s">
        <v>1623</v>
      </c>
      <c r="C1438">
        <v>35213</v>
      </c>
      <c r="D1438">
        <v>0</v>
      </c>
      <c r="E1438">
        <v>0</v>
      </c>
      <c r="F1438">
        <v>0</v>
      </c>
    </row>
    <row r="1439" spans="1:6" x14ac:dyDescent="0.25">
      <c r="A1439" t="s">
        <v>1595</v>
      </c>
      <c r="B1439" t="s">
        <v>1624</v>
      </c>
      <c r="C1439">
        <v>35214</v>
      </c>
      <c r="D1439">
        <v>0</v>
      </c>
      <c r="E1439">
        <v>0</v>
      </c>
      <c r="F1439">
        <v>0</v>
      </c>
    </row>
    <row r="1440" spans="1:6" x14ac:dyDescent="0.25">
      <c r="A1440" t="s">
        <v>1597</v>
      </c>
      <c r="B1440" t="s">
        <v>1625</v>
      </c>
      <c r="C1440">
        <v>35215</v>
      </c>
      <c r="D1440">
        <v>0</v>
      </c>
      <c r="E1440">
        <v>0</v>
      </c>
      <c r="F1440">
        <v>0</v>
      </c>
    </row>
    <row r="1441" spans="1:6" x14ac:dyDescent="0.25">
      <c r="A1441" t="s">
        <v>1599</v>
      </c>
      <c r="B1441" t="s">
        <v>1626</v>
      </c>
      <c r="C1441">
        <v>35216</v>
      </c>
      <c r="D1441">
        <v>0</v>
      </c>
      <c r="E1441">
        <v>0</v>
      </c>
      <c r="F1441">
        <v>0</v>
      </c>
    </row>
    <row r="1442" spans="1:6" x14ac:dyDescent="0.25">
      <c r="A1442" t="s">
        <v>1601</v>
      </c>
      <c r="B1442" t="s">
        <v>1627</v>
      </c>
      <c r="C1442">
        <v>35217</v>
      </c>
      <c r="D1442">
        <v>0</v>
      </c>
      <c r="E1442">
        <v>0</v>
      </c>
      <c r="F1442">
        <v>0</v>
      </c>
    </row>
    <row r="1443" spans="1:6" x14ac:dyDescent="0.25">
      <c r="A1443" t="s">
        <v>1603</v>
      </c>
      <c r="B1443" t="s">
        <v>1596</v>
      </c>
      <c r="C1443">
        <v>35218</v>
      </c>
      <c r="D1443">
        <v>0</v>
      </c>
      <c r="E1443">
        <v>0</v>
      </c>
      <c r="F1443">
        <v>0</v>
      </c>
    </row>
    <row r="1444" spans="1:6" x14ac:dyDescent="0.25">
      <c r="A1444" t="s">
        <v>1605</v>
      </c>
      <c r="B1444" t="s">
        <v>1598</v>
      </c>
      <c r="C1444">
        <v>35219</v>
      </c>
      <c r="D1444">
        <v>0</v>
      </c>
      <c r="E1444">
        <v>0</v>
      </c>
      <c r="F1444">
        <v>0</v>
      </c>
    </row>
    <row r="1445" spans="1:6" x14ac:dyDescent="0.25">
      <c r="A1445" t="s">
        <v>1607</v>
      </c>
      <c r="B1445" t="s">
        <v>1602</v>
      </c>
      <c r="C1445">
        <v>35220</v>
      </c>
      <c r="D1445">
        <v>0</v>
      </c>
      <c r="E1445">
        <v>0</v>
      </c>
      <c r="F1445">
        <v>0</v>
      </c>
    </row>
    <row r="1446" spans="1:6" x14ac:dyDescent="0.25">
      <c r="B1446" t="s">
        <v>1994</v>
      </c>
      <c r="D1446">
        <v>36303</v>
      </c>
      <c r="E1446">
        <v>0</v>
      </c>
      <c r="F1446">
        <v>36303</v>
      </c>
    </row>
    <row r="1447" spans="1:6" x14ac:dyDescent="0.25">
      <c r="B1447" t="s">
        <v>1629</v>
      </c>
    </row>
    <row r="1448" spans="1:6" x14ac:dyDescent="0.25">
      <c r="A1448" t="s">
        <v>2</v>
      </c>
      <c r="B1448" t="s">
        <v>1627</v>
      </c>
      <c r="C1448">
        <v>35301</v>
      </c>
      <c r="D1448">
        <v>0</v>
      </c>
      <c r="E1448">
        <v>0</v>
      </c>
      <c r="F1448">
        <v>0</v>
      </c>
    </row>
    <row r="1449" spans="1:6" x14ac:dyDescent="0.25">
      <c r="A1449" t="s">
        <v>15</v>
      </c>
      <c r="B1449" t="s">
        <v>1625</v>
      </c>
      <c r="C1449">
        <v>35302</v>
      </c>
      <c r="D1449">
        <v>0</v>
      </c>
      <c r="E1449">
        <v>0</v>
      </c>
      <c r="F1449">
        <v>0</v>
      </c>
    </row>
    <row r="1450" spans="1:6" x14ac:dyDescent="0.25">
      <c r="A1450" t="s">
        <v>16</v>
      </c>
      <c r="B1450" t="s">
        <v>1626</v>
      </c>
      <c r="C1450">
        <v>35303</v>
      </c>
      <c r="D1450">
        <v>0</v>
      </c>
      <c r="E1450">
        <v>0</v>
      </c>
      <c r="F1450">
        <v>0</v>
      </c>
    </row>
    <row r="1451" spans="1:6" x14ac:dyDescent="0.25">
      <c r="B1451" t="s">
        <v>1995</v>
      </c>
      <c r="D1451">
        <v>0</v>
      </c>
      <c r="E1451">
        <v>0</v>
      </c>
      <c r="F1451">
        <v>0</v>
      </c>
    </row>
    <row r="1452" spans="1:6" x14ac:dyDescent="0.25">
      <c r="B1452" t="s">
        <v>1631</v>
      </c>
    </row>
    <row r="1453" spans="1:6" x14ac:dyDescent="0.25">
      <c r="A1453" t="s">
        <v>2</v>
      </c>
      <c r="B1453" t="s">
        <v>1627</v>
      </c>
      <c r="C1453">
        <v>35401</v>
      </c>
      <c r="D1453">
        <v>0</v>
      </c>
      <c r="E1453">
        <v>0</v>
      </c>
      <c r="F1453">
        <v>0</v>
      </c>
    </row>
    <row r="1454" spans="1:6" x14ac:dyDescent="0.25">
      <c r="A1454" t="s">
        <v>15</v>
      </c>
      <c r="B1454" t="s">
        <v>1625</v>
      </c>
      <c r="C1454">
        <v>35402</v>
      </c>
      <c r="D1454">
        <v>0</v>
      </c>
      <c r="E1454">
        <v>0</v>
      </c>
      <c r="F1454">
        <v>0</v>
      </c>
    </row>
    <row r="1455" spans="1:6" x14ac:dyDescent="0.25">
      <c r="A1455" t="s">
        <v>16</v>
      </c>
      <c r="B1455" t="s">
        <v>1626</v>
      </c>
      <c r="C1455">
        <v>35403</v>
      </c>
      <c r="D1455">
        <v>0</v>
      </c>
      <c r="E1455">
        <v>0</v>
      </c>
      <c r="F1455">
        <v>0</v>
      </c>
    </row>
    <row r="1456" spans="1:6" x14ac:dyDescent="0.25">
      <c r="B1456" t="s">
        <v>1996</v>
      </c>
      <c r="D1456">
        <v>0</v>
      </c>
      <c r="E1456">
        <v>0</v>
      </c>
      <c r="F1456">
        <v>0</v>
      </c>
    </row>
    <row r="1457" spans="1:6" x14ac:dyDescent="0.25">
      <c r="B1457" t="s">
        <v>1633</v>
      </c>
    </row>
    <row r="1458" spans="1:6" x14ac:dyDescent="0.25">
      <c r="A1458" t="s">
        <v>2</v>
      </c>
      <c r="B1458" t="s">
        <v>1634</v>
      </c>
      <c r="C1458">
        <v>35501</v>
      </c>
      <c r="D1458">
        <v>0</v>
      </c>
      <c r="E1458">
        <v>0</v>
      </c>
      <c r="F1458">
        <v>0</v>
      </c>
    </row>
    <row r="1459" spans="1:6" x14ac:dyDescent="0.25">
      <c r="A1459" t="s">
        <v>15</v>
      </c>
      <c r="B1459" t="s">
        <v>1635</v>
      </c>
      <c r="C1459">
        <v>35502</v>
      </c>
      <c r="D1459">
        <v>0</v>
      </c>
      <c r="E1459">
        <v>0</v>
      </c>
      <c r="F1459">
        <v>0</v>
      </c>
    </row>
    <row r="1460" spans="1:6" x14ac:dyDescent="0.25">
      <c r="A1460" t="s">
        <v>16</v>
      </c>
      <c r="B1460" t="s">
        <v>1636</v>
      </c>
      <c r="C1460">
        <v>35503</v>
      </c>
      <c r="D1460">
        <v>0</v>
      </c>
      <c r="E1460">
        <v>0</v>
      </c>
      <c r="F1460">
        <v>0</v>
      </c>
    </row>
    <row r="1461" spans="1:6" x14ac:dyDescent="0.25">
      <c r="A1461" t="s">
        <v>25</v>
      </c>
      <c r="B1461" t="s">
        <v>1637</v>
      </c>
      <c r="C1461">
        <v>35504</v>
      </c>
      <c r="D1461">
        <v>0</v>
      </c>
      <c r="E1461">
        <v>0</v>
      </c>
      <c r="F1461">
        <v>0</v>
      </c>
    </row>
    <row r="1462" spans="1:6" x14ac:dyDescent="0.25">
      <c r="A1462" t="s">
        <v>26</v>
      </c>
      <c r="B1462" t="s">
        <v>1638</v>
      </c>
      <c r="C1462">
        <v>35505</v>
      </c>
      <c r="D1462">
        <v>0</v>
      </c>
      <c r="E1462">
        <v>0</v>
      </c>
      <c r="F1462">
        <v>0</v>
      </c>
    </row>
    <row r="1463" spans="1:6" x14ac:dyDescent="0.25">
      <c r="A1463" t="s">
        <v>27</v>
      </c>
      <c r="B1463" t="s">
        <v>1639</v>
      </c>
      <c r="C1463">
        <v>35506</v>
      </c>
      <c r="D1463">
        <v>0</v>
      </c>
      <c r="E1463">
        <v>0</v>
      </c>
      <c r="F1463">
        <v>0</v>
      </c>
    </row>
    <row r="1464" spans="1:6" x14ac:dyDescent="0.25">
      <c r="A1464" t="s">
        <v>531</v>
      </c>
      <c r="B1464" t="s">
        <v>1640</v>
      </c>
      <c r="C1464">
        <v>35507</v>
      </c>
      <c r="D1464">
        <v>0</v>
      </c>
      <c r="E1464">
        <v>0</v>
      </c>
      <c r="F1464">
        <v>0</v>
      </c>
    </row>
    <row r="1465" spans="1:6" x14ac:dyDescent="0.25">
      <c r="A1465" t="s">
        <v>1583</v>
      </c>
      <c r="B1465" t="s">
        <v>1641</v>
      </c>
      <c r="C1465">
        <v>35508</v>
      </c>
      <c r="D1465">
        <v>0</v>
      </c>
      <c r="E1465">
        <v>0</v>
      </c>
      <c r="F1465">
        <v>0</v>
      </c>
    </row>
    <row r="1466" spans="1:6" x14ac:dyDescent="0.25">
      <c r="B1466" t="s">
        <v>1997</v>
      </c>
      <c r="D1466">
        <v>0</v>
      </c>
      <c r="E1466">
        <v>0</v>
      </c>
      <c r="F1466">
        <v>0</v>
      </c>
    </row>
    <row r="1467" spans="1:6" x14ac:dyDescent="0.25">
      <c r="B1467" t="s">
        <v>2287</v>
      </c>
    </row>
    <row r="1468" spans="1:6" x14ac:dyDescent="0.25">
      <c r="A1468" t="s">
        <v>2</v>
      </c>
      <c r="B1468" t="s">
        <v>1634</v>
      </c>
      <c r="C1468">
        <v>35601</v>
      </c>
      <c r="D1468">
        <v>0</v>
      </c>
      <c r="E1468">
        <v>0</v>
      </c>
      <c r="F1468">
        <v>0</v>
      </c>
    </row>
    <row r="1469" spans="1:6" x14ac:dyDescent="0.25">
      <c r="A1469" t="s">
        <v>15</v>
      </c>
      <c r="B1469" t="s">
        <v>1635</v>
      </c>
      <c r="C1469">
        <v>35602</v>
      </c>
      <c r="D1469">
        <v>0</v>
      </c>
      <c r="E1469">
        <v>0</v>
      </c>
      <c r="F1469">
        <v>0</v>
      </c>
    </row>
    <row r="1470" spans="1:6" x14ac:dyDescent="0.25">
      <c r="A1470" t="s">
        <v>16</v>
      </c>
      <c r="B1470" t="s">
        <v>1636</v>
      </c>
      <c r="C1470">
        <v>35603</v>
      </c>
      <c r="D1470">
        <v>0</v>
      </c>
      <c r="E1470">
        <v>0</v>
      </c>
      <c r="F1470">
        <v>0</v>
      </c>
    </row>
    <row r="1471" spans="1:6" x14ac:dyDescent="0.25">
      <c r="A1471" t="s">
        <v>25</v>
      </c>
      <c r="B1471" t="s">
        <v>1637</v>
      </c>
      <c r="C1471">
        <v>35604</v>
      </c>
      <c r="D1471">
        <v>0</v>
      </c>
      <c r="E1471">
        <v>0</v>
      </c>
      <c r="F1471">
        <v>0</v>
      </c>
    </row>
    <row r="1472" spans="1:6" x14ac:dyDescent="0.25">
      <c r="A1472" t="s">
        <v>26</v>
      </c>
      <c r="B1472" t="s">
        <v>1638</v>
      </c>
      <c r="C1472">
        <v>35605</v>
      </c>
      <c r="D1472">
        <v>0</v>
      </c>
      <c r="E1472">
        <v>0</v>
      </c>
      <c r="F1472">
        <v>0</v>
      </c>
    </row>
    <row r="1473" spans="1:6" x14ac:dyDescent="0.25">
      <c r="A1473" t="s">
        <v>27</v>
      </c>
      <c r="B1473" t="s">
        <v>1639</v>
      </c>
      <c r="C1473">
        <v>35606</v>
      </c>
      <c r="D1473">
        <v>0</v>
      </c>
      <c r="E1473">
        <v>0</v>
      </c>
      <c r="F1473">
        <v>0</v>
      </c>
    </row>
    <row r="1474" spans="1:6" x14ac:dyDescent="0.25">
      <c r="A1474" t="s">
        <v>531</v>
      </c>
      <c r="B1474" t="s">
        <v>1640</v>
      </c>
      <c r="C1474">
        <v>35607</v>
      </c>
      <c r="D1474">
        <v>0</v>
      </c>
      <c r="E1474">
        <v>0</v>
      </c>
      <c r="F1474">
        <v>0</v>
      </c>
    </row>
    <row r="1475" spans="1:6" x14ac:dyDescent="0.25">
      <c r="A1475" t="s">
        <v>1583</v>
      </c>
      <c r="B1475" t="s">
        <v>1641</v>
      </c>
      <c r="C1475">
        <v>35608</v>
      </c>
      <c r="D1475">
        <v>0</v>
      </c>
      <c r="E1475">
        <v>0</v>
      </c>
      <c r="F1475">
        <v>0</v>
      </c>
    </row>
    <row r="1476" spans="1:6" x14ac:dyDescent="0.25">
      <c r="B1476" t="s">
        <v>1998</v>
      </c>
      <c r="D1476">
        <v>0</v>
      </c>
      <c r="E1476">
        <v>0</v>
      </c>
      <c r="F1476">
        <v>0</v>
      </c>
    </row>
    <row r="1477" spans="1:6" x14ac:dyDescent="0.25">
      <c r="B1477" t="s">
        <v>2288</v>
      </c>
    </row>
    <row r="1478" spans="1:6" x14ac:dyDescent="0.25">
      <c r="A1478" t="s">
        <v>2</v>
      </c>
      <c r="B1478" t="s">
        <v>1634</v>
      </c>
      <c r="C1478">
        <v>35701</v>
      </c>
      <c r="D1478">
        <v>0</v>
      </c>
      <c r="E1478">
        <v>0</v>
      </c>
      <c r="F1478">
        <v>0</v>
      </c>
    </row>
    <row r="1479" spans="1:6" x14ac:dyDescent="0.25">
      <c r="A1479" t="s">
        <v>15</v>
      </c>
      <c r="B1479" t="s">
        <v>1635</v>
      </c>
      <c r="C1479">
        <v>35702</v>
      </c>
      <c r="D1479">
        <v>0</v>
      </c>
      <c r="E1479">
        <v>0</v>
      </c>
      <c r="F1479">
        <v>0</v>
      </c>
    </row>
    <row r="1480" spans="1:6" x14ac:dyDescent="0.25">
      <c r="A1480" t="s">
        <v>16</v>
      </c>
      <c r="B1480" t="s">
        <v>1636</v>
      </c>
      <c r="C1480">
        <v>35703</v>
      </c>
      <c r="D1480">
        <v>0</v>
      </c>
      <c r="E1480">
        <v>0</v>
      </c>
      <c r="F1480">
        <v>0</v>
      </c>
    </row>
    <row r="1481" spans="1:6" x14ac:dyDescent="0.25">
      <c r="A1481" t="s">
        <v>25</v>
      </c>
      <c r="B1481" t="s">
        <v>1637</v>
      </c>
      <c r="C1481">
        <v>35704</v>
      </c>
      <c r="D1481">
        <v>0</v>
      </c>
      <c r="E1481">
        <v>0</v>
      </c>
      <c r="F1481">
        <v>0</v>
      </c>
    </row>
    <row r="1482" spans="1:6" x14ac:dyDescent="0.25">
      <c r="A1482" t="s">
        <v>26</v>
      </c>
      <c r="B1482" t="s">
        <v>1638</v>
      </c>
      <c r="C1482">
        <v>35705</v>
      </c>
      <c r="D1482">
        <v>0</v>
      </c>
      <c r="E1482">
        <v>0</v>
      </c>
      <c r="F1482">
        <v>0</v>
      </c>
    </row>
    <row r="1483" spans="1:6" x14ac:dyDescent="0.25">
      <c r="A1483" t="s">
        <v>27</v>
      </c>
      <c r="B1483" t="s">
        <v>1639</v>
      </c>
      <c r="C1483">
        <v>35706</v>
      </c>
      <c r="D1483">
        <v>0</v>
      </c>
      <c r="E1483">
        <v>0</v>
      </c>
      <c r="F1483">
        <v>0</v>
      </c>
    </row>
    <row r="1484" spans="1:6" x14ac:dyDescent="0.25">
      <c r="A1484" t="s">
        <v>531</v>
      </c>
      <c r="B1484" t="s">
        <v>1640</v>
      </c>
      <c r="C1484">
        <v>35707</v>
      </c>
      <c r="D1484">
        <v>0</v>
      </c>
      <c r="E1484">
        <v>0</v>
      </c>
      <c r="F1484">
        <v>0</v>
      </c>
    </row>
    <row r="1485" spans="1:6" x14ac:dyDescent="0.25">
      <c r="A1485" t="s">
        <v>1583</v>
      </c>
      <c r="B1485" t="s">
        <v>1641</v>
      </c>
      <c r="C1485">
        <v>35708</v>
      </c>
      <c r="D1485">
        <v>67058</v>
      </c>
      <c r="E1485">
        <v>0</v>
      </c>
      <c r="F1485">
        <v>67058</v>
      </c>
    </row>
    <row r="1486" spans="1:6" x14ac:dyDescent="0.25">
      <c r="B1486" t="s">
        <v>1999</v>
      </c>
      <c r="D1486">
        <v>67058</v>
      </c>
      <c r="E1486">
        <v>0</v>
      </c>
      <c r="F1486">
        <v>67058</v>
      </c>
    </row>
    <row r="1487" spans="1:6" x14ac:dyDescent="0.25">
      <c r="B1487" t="s">
        <v>1647</v>
      </c>
    </row>
    <row r="1488" spans="1:6" x14ac:dyDescent="0.25">
      <c r="A1488" t="s">
        <v>2</v>
      </c>
      <c r="B1488" t="s">
        <v>1648</v>
      </c>
      <c r="C1488">
        <v>35801</v>
      </c>
      <c r="D1488">
        <v>0</v>
      </c>
      <c r="E1488">
        <v>0</v>
      </c>
      <c r="F1488">
        <v>0</v>
      </c>
    </row>
    <row r="1489" spans="1:6" x14ac:dyDescent="0.25">
      <c r="A1489" t="s">
        <v>15</v>
      </c>
      <c r="B1489" t="s">
        <v>1649</v>
      </c>
      <c r="C1489">
        <v>35802</v>
      </c>
      <c r="D1489">
        <v>0</v>
      </c>
      <c r="E1489">
        <v>0</v>
      </c>
      <c r="F1489">
        <v>0</v>
      </c>
    </row>
    <row r="1490" spans="1:6" x14ac:dyDescent="0.25">
      <c r="A1490" t="s">
        <v>16</v>
      </c>
      <c r="B1490" t="s">
        <v>1637</v>
      </c>
      <c r="C1490">
        <v>35803</v>
      </c>
      <c r="D1490">
        <v>0</v>
      </c>
      <c r="E1490">
        <v>0</v>
      </c>
      <c r="F1490">
        <v>0</v>
      </c>
    </row>
    <row r="1491" spans="1:6" x14ac:dyDescent="0.25">
      <c r="A1491" t="s">
        <v>25</v>
      </c>
      <c r="B1491" t="s">
        <v>1638</v>
      </c>
      <c r="C1491">
        <v>35804</v>
      </c>
      <c r="D1491">
        <v>1070</v>
      </c>
      <c r="E1491">
        <v>0</v>
      </c>
      <c r="F1491">
        <v>1070</v>
      </c>
    </row>
    <row r="1492" spans="1:6" x14ac:dyDescent="0.25">
      <c r="A1492" t="s">
        <v>26</v>
      </c>
      <c r="B1492" t="s">
        <v>1650</v>
      </c>
      <c r="C1492">
        <v>35805</v>
      </c>
      <c r="D1492">
        <v>0</v>
      </c>
      <c r="E1492">
        <v>0</v>
      </c>
      <c r="F1492">
        <v>0</v>
      </c>
    </row>
    <row r="1493" spans="1:6" x14ac:dyDescent="0.25">
      <c r="A1493" t="s">
        <v>27</v>
      </c>
      <c r="B1493" t="s">
        <v>1651</v>
      </c>
      <c r="C1493">
        <v>35806</v>
      </c>
      <c r="D1493">
        <v>0</v>
      </c>
      <c r="E1493">
        <v>0</v>
      </c>
      <c r="F1493">
        <v>0</v>
      </c>
    </row>
    <row r="1494" spans="1:6" x14ac:dyDescent="0.25">
      <c r="A1494" t="s">
        <v>531</v>
      </c>
      <c r="B1494" t="s">
        <v>1640</v>
      </c>
      <c r="C1494">
        <v>35807</v>
      </c>
      <c r="D1494">
        <v>0</v>
      </c>
      <c r="E1494">
        <v>0</v>
      </c>
      <c r="F1494">
        <v>0</v>
      </c>
    </row>
    <row r="1495" spans="1:6" x14ac:dyDescent="0.25">
      <c r="A1495" t="s">
        <v>1583</v>
      </c>
      <c r="B1495" t="s">
        <v>1641</v>
      </c>
      <c r="C1495">
        <v>35808</v>
      </c>
      <c r="D1495">
        <v>0</v>
      </c>
      <c r="E1495">
        <v>0</v>
      </c>
      <c r="F1495">
        <v>0</v>
      </c>
    </row>
    <row r="1496" spans="1:6" x14ac:dyDescent="0.25">
      <c r="B1496" t="s">
        <v>2000</v>
      </c>
      <c r="D1496">
        <v>1070</v>
      </c>
      <c r="E1496">
        <v>0</v>
      </c>
      <c r="F1496">
        <v>1070</v>
      </c>
    </row>
    <row r="1497" spans="1:6" x14ac:dyDescent="0.25">
      <c r="B1497" t="s">
        <v>1728</v>
      </c>
      <c r="D1497">
        <v>2878770</v>
      </c>
      <c r="E1497">
        <v>0</v>
      </c>
      <c r="F1497">
        <v>2878770</v>
      </c>
    </row>
    <row r="1498" spans="1:6" x14ac:dyDescent="0.25">
      <c r="B1498" t="s">
        <v>2435</v>
      </c>
    </row>
    <row r="1499" spans="1:6" x14ac:dyDescent="0.25">
      <c r="B1499" t="s">
        <v>1672</v>
      </c>
    </row>
    <row r="1500" spans="1:6" x14ac:dyDescent="0.25">
      <c r="A1500" t="s">
        <v>2</v>
      </c>
      <c r="B1500" t="s">
        <v>1673</v>
      </c>
      <c r="C1500">
        <v>36101</v>
      </c>
      <c r="D1500">
        <v>0</v>
      </c>
      <c r="E1500">
        <v>0</v>
      </c>
      <c r="F1500">
        <v>0</v>
      </c>
    </row>
    <row r="1501" spans="1:6" x14ac:dyDescent="0.25">
      <c r="A1501" t="s">
        <v>15</v>
      </c>
      <c r="B1501" t="s">
        <v>1674</v>
      </c>
      <c r="C1501">
        <v>36102</v>
      </c>
      <c r="D1501">
        <v>0</v>
      </c>
      <c r="E1501">
        <v>0</v>
      </c>
      <c r="F1501">
        <v>0</v>
      </c>
    </row>
    <row r="1502" spans="1:6" x14ac:dyDescent="0.25">
      <c r="A1502" t="s">
        <v>16</v>
      </c>
      <c r="B1502" t="s">
        <v>1675</v>
      </c>
      <c r="C1502">
        <v>36103</v>
      </c>
      <c r="D1502">
        <v>0</v>
      </c>
      <c r="E1502">
        <v>0</v>
      </c>
      <c r="F1502">
        <v>0</v>
      </c>
    </row>
    <row r="1503" spans="1:6" x14ac:dyDescent="0.25">
      <c r="A1503" t="s">
        <v>25</v>
      </c>
      <c r="B1503" t="s">
        <v>1676</v>
      </c>
      <c r="C1503">
        <v>36104</v>
      </c>
      <c r="D1503">
        <v>0</v>
      </c>
      <c r="E1503">
        <v>0</v>
      </c>
      <c r="F1503">
        <v>0</v>
      </c>
    </row>
    <row r="1504" spans="1:6" x14ac:dyDescent="0.25">
      <c r="A1504" t="s">
        <v>26</v>
      </c>
      <c r="B1504" t="s">
        <v>1677</v>
      </c>
      <c r="C1504">
        <v>36105</v>
      </c>
      <c r="D1504">
        <v>0</v>
      </c>
      <c r="E1504">
        <v>0</v>
      </c>
      <c r="F1504">
        <v>0</v>
      </c>
    </row>
    <row r="1505" spans="1:6" x14ac:dyDescent="0.25">
      <c r="B1505" t="s">
        <v>2002</v>
      </c>
      <c r="D1505">
        <v>0</v>
      </c>
      <c r="E1505">
        <v>0</v>
      </c>
      <c r="F1505">
        <v>0</v>
      </c>
    </row>
    <row r="1506" spans="1:6" x14ac:dyDescent="0.25">
      <c r="B1506" t="s">
        <v>1679</v>
      </c>
    </row>
    <row r="1507" spans="1:6" x14ac:dyDescent="0.25">
      <c r="A1507" t="s">
        <v>2</v>
      </c>
      <c r="B1507" t="s">
        <v>1680</v>
      </c>
      <c r="C1507">
        <v>36201</v>
      </c>
      <c r="D1507">
        <v>0</v>
      </c>
      <c r="E1507">
        <v>0</v>
      </c>
      <c r="F1507">
        <v>0</v>
      </c>
    </row>
    <row r="1508" spans="1:6" x14ac:dyDescent="0.25">
      <c r="A1508" t="s">
        <v>15</v>
      </c>
      <c r="B1508" t="s">
        <v>1681</v>
      </c>
      <c r="C1508">
        <v>36202</v>
      </c>
      <c r="D1508">
        <v>0</v>
      </c>
      <c r="E1508">
        <v>0</v>
      </c>
      <c r="F1508">
        <v>0</v>
      </c>
    </row>
    <row r="1509" spans="1:6" x14ac:dyDescent="0.25">
      <c r="A1509" t="s">
        <v>16</v>
      </c>
      <c r="B1509" t="s">
        <v>1682</v>
      </c>
      <c r="C1509">
        <v>36203</v>
      </c>
      <c r="D1509">
        <v>0</v>
      </c>
      <c r="E1509">
        <v>0</v>
      </c>
      <c r="F1509">
        <v>0</v>
      </c>
    </row>
    <row r="1510" spans="1:6" x14ac:dyDescent="0.25">
      <c r="A1510" t="s">
        <v>25</v>
      </c>
      <c r="B1510" t="s">
        <v>1683</v>
      </c>
      <c r="C1510">
        <v>36204</v>
      </c>
      <c r="D1510">
        <v>0</v>
      </c>
      <c r="E1510">
        <v>0</v>
      </c>
      <c r="F1510">
        <v>0</v>
      </c>
    </row>
    <row r="1511" spans="1:6" x14ac:dyDescent="0.25">
      <c r="A1511" t="s">
        <v>26</v>
      </c>
      <c r="B1511" t="s">
        <v>1684</v>
      </c>
      <c r="C1511">
        <v>36205</v>
      </c>
      <c r="D1511">
        <v>0</v>
      </c>
      <c r="E1511">
        <v>0</v>
      </c>
      <c r="F1511">
        <v>0</v>
      </c>
    </row>
    <row r="1512" spans="1:6" x14ac:dyDescent="0.25">
      <c r="A1512" t="s">
        <v>27</v>
      </c>
      <c r="B1512" t="s">
        <v>1685</v>
      </c>
      <c r="C1512">
        <v>36206</v>
      </c>
      <c r="D1512">
        <v>0</v>
      </c>
      <c r="E1512">
        <v>0</v>
      </c>
      <c r="F1512">
        <v>0</v>
      </c>
    </row>
    <row r="1513" spans="1:6" x14ac:dyDescent="0.25">
      <c r="A1513" t="s">
        <v>531</v>
      </c>
      <c r="B1513" t="s">
        <v>1686</v>
      </c>
      <c r="C1513">
        <v>36207</v>
      </c>
      <c r="D1513">
        <v>0</v>
      </c>
      <c r="E1513">
        <v>0</v>
      </c>
      <c r="F1513">
        <v>0</v>
      </c>
    </row>
    <row r="1514" spans="1:6" x14ac:dyDescent="0.25">
      <c r="A1514" t="s">
        <v>1583</v>
      </c>
      <c r="B1514" t="s">
        <v>1687</v>
      </c>
      <c r="C1514">
        <v>36208</v>
      </c>
      <c r="D1514">
        <v>0</v>
      </c>
      <c r="E1514">
        <v>0</v>
      </c>
      <c r="F1514">
        <v>0</v>
      </c>
    </row>
    <row r="1515" spans="1:6" x14ac:dyDescent="0.25">
      <c r="A1515" t="s">
        <v>1585</v>
      </c>
      <c r="B1515" t="s">
        <v>1688</v>
      </c>
      <c r="C1515">
        <v>36209</v>
      </c>
      <c r="D1515">
        <v>0</v>
      </c>
      <c r="E1515">
        <v>0</v>
      </c>
      <c r="F1515">
        <v>0</v>
      </c>
    </row>
    <row r="1516" spans="1:6" x14ac:dyDescent="0.25">
      <c r="A1516" t="s">
        <v>1587</v>
      </c>
      <c r="B1516" t="s">
        <v>1637</v>
      </c>
      <c r="C1516">
        <v>36210</v>
      </c>
      <c r="D1516">
        <v>0</v>
      </c>
      <c r="E1516">
        <v>0</v>
      </c>
      <c r="F1516">
        <v>0</v>
      </c>
    </row>
    <row r="1517" spans="1:6" x14ac:dyDescent="0.25">
      <c r="A1517" t="s">
        <v>1589</v>
      </c>
      <c r="B1517" t="s">
        <v>1640</v>
      </c>
      <c r="C1517">
        <v>36211</v>
      </c>
      <c r="D1517">
        <v>0</v>
      </c>
      <c r="E1517">
        <v>0</v>
      </c>
      <c r="F1517">
        <v>0</v>
      </c>
    </row>
    <row r="1518" spans="1:6" x14ac:dyDescent="0.25">
      <c r="A1518" t="s">
        <v>1591</v>
      </c>
      <c r="B1518" t="s">
        <v>1689</v>
      </c>
      <c r="C1518">
        <v>36212</v>
      </c>
      <c r="D1518">
        <v>0</v>
      </c>
      <c r="E1518">
        <v>0</v>
      </c>
      <c r="F1518">
        <v>0</v>
      </c>
    </row>
    <row r="1519" spans="1:6" x14ac:dyDescent="0.25">
      <c r="A1519" t="s">
        <v>1593</v>
      </c>
      <c r="B1519" t="s">
        <v>1690</v>
      </c>
      <c r="C1519">
        <v>36213</v>
      </c>
      <c r="D1519">
        <v>0</v>
      </c>
      <c r="E1519">
        <v>0</v>
      </c>
      <c r="F1519">
        <v>0</v>
      </c>
    </row>
    <row r="1520" spans="1:6" x14ac:dyDescent="0.25">
      <c r="B1520" t="s">
        <v>2003</v>
      </c>
      <c r="D1520">
        <v>0</v>
      </c>
      <c r="E1520">
        <v>0</v>
      </c>
      <c r="F1520">
        <v>0</v>
      </c>
    </row>
    <row r="1521" spans="1:6" x14ac:dyDescent="0.25">
      <c r="B1521" t="s">
        <v>1692</v>
      </c>
    </row>
    <row r="1522" spans="1:6" x14ac:dyDescent="0.25">
      <c r="A1522" t="s">
        <v>2</v>
      </c>
      <c r="B1522" t="s">
        <v>1693</v>
      </c>
      <c r="C1522">
        <v>36301</v>
      </c>
      <c r="D1522">
        <v>0</v>
      </c>
      <c r="E1522">
        <v>0</v>
      </c>
      <c r="F1522">
        <v>0</v>
      </c>
    </row>
    <row r="1523" spans="1:6" x14ac:dyDescent="0.25">
      <c r="A1523" t="s">
        <v>15</v>
      </c>
      <c r="B1523" t="s">
        <v>1694</v>
      </c>
      <c r="C1523">
        <v>36302</v>
      </c>
      <c r="D1523">
        <v>0</v>
      </c>
      <c r="E1523">
        <v>0</v>
      </c>
      <c r="F1523">
        <v>0</v>
      </c>
    </row>
    <row r="1524" spans="1:6" x14ac:dyDescent="0.25">
      <c r="A1524" t="s">
        <v>16</v>
      </c>
      <c r="B1524" t="s">
        <v>1695</v>
      </c>
      <c r="C1524">
        <v>36303</v>
      </c>
      <c r="D1524">
        <v>0</v>
      </c>
      <c r="E1524">
        <v>0</v>
      </c>
      <c r="F1524">
        <v>0</v>
      </c>
    </row>
    <row r="1525" spans="1:6" x14ac:dyDescent="0.25">
      <c r="A1525" t="s">
        <v>25</v>
      </c>
      <c r="B1525" t="s">
        <v>1696</v>
      </c>
      <c r="C1525">
        <v>36304</v>
      </c>
      <c r="D1525">
        <v>0</v>
      </c>
      <c r="E1525">
        <v>0</v>
      </c>
      <c r="F1525">
        <v>0</v>
      </c>
    </row>
    <row r="1526" spans="1:6" x14ac:dyDescent="0.25">
      <c r="A1526" t="s">
        <v>26</v>
      </c>
      <c r="B1526" t="s">
        <v>1680</v>
      </c>
      <c r="C1526">
        <v>36305</v>
      </c>
      <c r="D1526">
        <v>0</v>
      </c>
      <c r="E1526">
        <v>0</v>
      </c>
      <c r="F1526">
        <v>0</v>
      </c>
    </row>
    <row r="1527" spans="1:6" x14ac:dyDescent="0.25">
      <c r="A1527" t="s">
        <v>27</v>
      </c>
      <c r="B1527" t="s">
        <v>1681</v>
      </c>
      <c r="C1527">
        <v>36306</v>
      </c>
      <c r="D1527">
        <v>0</v>
      </c>
      <c r="E1527">
        <v>0</v>
      </c>
      <c r="F1527">
        <v>0</v>
      </c>
    </row>
    <row r="1528" spans="1:6" x14ac:dyDescent="0.25">
      <c r="A1528" t="s">
        <v>531</v>
      </c>
      <c r="B1528" t="s">
        <v>1682</v>
      </c>
      <c r="C1528">
        <v>36307</v>
      </c>
      <c r="D1528">
        <v>0</v>
      </c>
      <c r="E1528">
        <v>0</v>
      </c>
      <c r="F1528">
        <v>0</v>
      </c>
    </row>
    <row r="1529" spans="1:6" x14ac:dyDescent="0.25">
      <c r="A1529" t="s">
        <v>1583</v>
      </c>
      <c r="B1529" t="s">
        <v>1683</v>
      </c>
      <c r="C1529">
        <v>36308</v>
      </c>
      <c r="D1529">
        <v>0</v>
      </c>
      <c r="E1529">
        <v>0</v>
      </c>
      <c r="F1529">
        <v>0</v>
      </c>
    </row>
    <row r="1530" spans="1:6" x14ac:dyDescent="0.25">
      <c r="A1530" t="s">
        <v>1585</v>
      </c>
      <c r="B1530" t="s">
        <v>1684</v>
      </c>
      <c r="C1530">
        <v>36309</v>
      </c>
      <c r="D1530">
        <v>0</v>
      </c>
      <c r="E1530">
        <v>0</v>
      </c>
      <c r="F1530">
        <v>0</v>
      </c>
    </row>
    <row r="1531" spans="1:6" x14ac:dyDescent="0.25">
      <c r="A1531" t="s">
        <v>1587</v>
      </c>
      <c r="B1531" t="s">
        <v>1685</v>
      </c>
      <c r="C1531">
        <v>36310</v>
      </c>
      <c r="D1531">
        <v>0</v>
      </c>
      <c r="E1531">
        <v>0</v>
      </c>
      <c r="F1531">
        <v>0</v>
      </c>
    </row>
    <row r="1532" spans="1:6" x14ac:dyDescent="0.25">
      <c r="A1532" t="s">
        <v>1589</v>
      </c>
      <c r="B1532" t="s">
        <v>1686</v>
      </c>
      <c r="C1532">
        <v>36311</v>
      </c>
      <c r="D1532">
        <v>1052</v>
      </c>
      <c r="E1532">
        <v>0</v>
      </c>
      <c r="F1532">
        <v>1052</v>
      </c>
    </row>
    <row r="1533" spans="1:6" x14ac:dyDescent="0.25">
      <c r="A1533" t="s">
        <v>1591</v>
      </c>
      <c r="B1533" t="s">
        <v>1687</v>
      </c>
      <c r="C1533">
        <v>36312</v>
      </c>
      <c r="D1533">
        <v>39082</v>
      </c>
      <c r="E1533">
        <v>0</v>
      </c>
      <c r="F1533">
        <v>39082</v>
      </c>
    </row>
    <row r="1534" spans="1:6" x14ac:dyDescent="0.25">
      <c r="A1534" t="s">
        <v>1593</v>
      </c>
      <c r="B1534" t="s">
        <v>1688</v>
      </c>
      <c r="C1534">
        <v>36313</v>
      </c>
      <c r="D1534">
        <v>370065</v>
      </c>
      <c r="E1534">
        <v>0</v>
      </c>
      <c r="F1534">
        <v>370065</v>
      </c>
    </row>
    <row r="1535" spans="1:6" x14ac:dyDescent="0.25">
      <c r="A1535" t="s">
        <v>1595</v>
      </c>
      <c r="B1535" t="s">
        <v>1690</v>
      </c>
      <c r="C1535">
        <v>36314</v>
      </c>
      <c r="D1535">
        <v>0</v>
      </c>
      <c r="E1535">
        <v>0</v>
      </c>
      <c r="F1535">
        <v>0</v>
      </c>
    </row>
    <row r="1536" spans="1:6" x14ac:dyDescent="0.25">
      <c r="A1536" t="s">
        <v>1597</v>
      </c>
      <c r="B1536" t="s">
        <v>1637</v>
      </c>
      <c r="C1536">
        <v>36315</v>
      </c>
      <c r="D1536">
        <v>0</v>
      </c>
      <c r="E1536">
        <v>0</v>
      </c>
      <c r="F1536">
        <v>0</v>
      </c>
    </row>
    <row r="1537" spans="1:6" x14ac:dyDescent="0.25">
      <c r="A1537" t="s">
        <v>1599</v>
      </c>
      <c r="B1537" t="s">
        <v>1640</v>
      </c>
      <c r="C1537">
        <v>36316</v>
      </c>
      <c r="D1537">
        <v>0</v>
      </c>
      <c r="E1537">
        <v>0</v>
      </c>
      <c r="F1537">
        <v>0</v>
      </c>
    </row>
    <row r="1538" spans="1:6" x14ac:dyDescent="0.25">
      <c r="A1538" t="s">
        <v>1601</v>
      </c>
      <c r="B1538" t="s">
        <v>1636</v>
      </c>
      <c r="C1538">
        <v>36317</v>
      </c>
      <c r="D1538">
        <v>0</v>
      </c>
      <c r="E1538">
        <v>0</v>
      </c>
      <c r="F1538">
        <v>0</v>
      </c>
    </row>
    <row r="1539" spans="1:6" x14ac:dyDescent="0.25">
      <c r="A1539" t="s">
        <v>1603</v>
      </c>
      <c r="B1539" t="s">
        <v>1689</v>
      </c>
      <c r="C1539">
        <v>36318</v>
      </c>
      <c r="D1539">
        <v>1</v>
      </c>
      <c r="E1539">
        <v>0</v>
      </c>
      <c r="F1539">
        <v>1</v>
      </c>
    </row>
    <row r="1540" spans="1:6" x14ac:dyDescent="0.25">
      <c r="B1540" t="s">
        <v>2004</v>
      </c>
      <c r="D1540">
        <v>410200</v>
      </c>
      <c r="E1540">
        <v>0</v>
      </c>
      <c r="F1540">
        <v>410200</v>
      </c>
    </row>
    <row r="1541" spans="1:6" x14ac:dyDescent="0.25">
      <c r="B1541" t="s">
        <v>1698</v>
      </c>
    </row>
    <row r="1542" spans="1:6" x14ac:dyDescent="0.25">
      <c r="A1542" t="s">
        <v>2</v>
      </c>
      <c r="B1542" t="s">
        <v>1699</v>
      </c>
      <c r="C1542">
        <v>36401</v>
      </c>
      <c r="D1542">
        <v>0</v>
      </c>
      <c r="E1542">
        <v>0</v>
      </c>
      <c r="F1542">
        <v>0</v>
      </c>
    </row>
    <row r="1543" spans="1:6" x14ac:dyDescent="0.25">
      <c r="A1543" t="s">
        <v>15</v>
      </c>
      <c r="B1543" t="s">
        <v>1694</v>
      </c>
      <c r="C1543">
        <v>36402</v>
      </c>
      <c r="D1543">
        <v>0</v>
      </c>
      <c r="E1543">
        <v>0</v>
      </c>
      <c r="F1543">
        <v>0</v>
      </c>
    </row>
    <row r="1544" spans="1:6" x14ac:dyDescent="0.25">
      <c r="A1544" t="s">
        <v>16</v>
      </c>
      <c r="B1544" t="s">
        <v>1695</v>
      </c>
      <c r="C1544">
        <v>36403</v>
      </c>
      <c r="D1544">
        <v>0</v>
      </c>
      <c r="E1544">
        <v>0</v>
      </c>
      <c r="F1544">
        <v>0</v>
      </c>
    </row>
    <row r="1545" spans="1:6" x14ac:dyDescent="0.25">
      <c r="A1545" t="s">
        <v>25</v>
      </c>
      <c r="B1545" t="s">
        <v>1696</v>
      </c>
      <c r="C1545">
        <v>36404</v>
      </c>
      <c r="D1545">
        <v>0</v>
      </c>
      <c r="E1545">
        <v>0</v>
      </c>
      <c r="F1545">
        <v>0</v>
      </c>
    </row>
    <row r="1546" spans="1:6" x14ac:dyDescent="0.25">
      <c r="A1546" t="s">
        <v>26</v>
      </c>
      <c r="B1546" t="s">
        <v>1680</v>
      </c>
      <c r="C1546">
        <v>36405</v>
      </c>
      <c r="D1546">
        <v>0</v>
      </c>
      <c r="E1546">
        <v>0</v>
      </c>
      <c r="F1546">
        <v>0</v>
      </c>
    </row>
    <row r="1547" spans="1:6" x14ac:dyDescent="0.25">
      <c r="A1547" t="s">
        <v>27</v>
      </c>
      <c r="B1547" t="s">
        <v>1681</v>
      </c>
      <c r="C1547">
        <v>36406</v>
      </c>
      <c r="D1547">
        <v>0</v>
      </c>
      <c r="E1547">
        <v>0</v>
      </c>
      <c r="F1547">
        <v>0</v>
      </c>
    </row>
    <row r="1548" spans="1:6" x14ac:dyDescent="0.25">
      <c r="A1548" t="s">
        <v>531</v>
      </c>
      <c r="B1548" t="s">
        <v>1682</v>
      </c>
      <c r="C1548">
        <v>36407</v>
      </c>
      <c r="D1548">
        <v>0</v>
      </c>
      <c r="E1548">
        <v>0</v>
      </c>
      <c r="F1548">
        <v>0</v>
      </c>
    </row>
    <row r="1549" spans="1:6" x14ac:dyDescent="0.25">
      <c r="A1549" t="s">
        <v>1583</v>
      </c>
      <c r="B1549" t="s">
        <v>1683</v>
      </c>
      <c r="C1549">
        <v>36408</v>
      </c>
      <c r="D1549">
        <v>0</v>
      </c>
      <c r="E1549">
        <v>0</v>
      </c>
      <c r="F1549">
        <v>0</v>
      </c>
    </row>
    <row r="1550" spans="1:6" x14ac:dyDescent="0.25">
      <c r="A1550" t="s">
        <v>1585</v>
      </c>
      <c r="B1550" t="s">
        <v>1684</v>
      </c>
      <c r="C1550">
        <v>36409</v>
      </c>
      <c r="D1550">
        <v>0</v>
      </c>
      <c r="E1550">
        <v>0</v>
      </c>
      <c r="F1550">
        <v>0</v>
      </c>
    </row>
    <row r="1551" spans="1:6" x14ac:dyDescent="0.25">
      <c r="A1551" t="s">
        <v>1587</v>
      </c>
      <c r="B1551" t="s">
        <v>1685</v>
      </c>
      <c r="C1551">
        <v>36410</v>
      </c>
      <c r="D1551">
        <v>0</v>
      </c>
      <c r="E1551">
        <v>0</v>
      </c>
      <c r="F1551">
        <v>0</v>
      </c>
    </row>
    <row r="1552" spans="1:6" x14ac:dyDescent="0.25">
      <c r="A1552" t="s">
        <v>1589</v>
      </c>
      <c r="B1552" t="s">
        <v>1686</v>
      </c>
      <c r="C1552">
        <v>36411</v>
      </c>
      <c r="D1552">
        <v>0</v>
      </c>
      <c r="E1552">
        <v>0</v>
      </c>
      <c r="F1552">
        <v>0</v>
      </c>
    </row>
    <row r="1553" spans="1:6" x14ac:dyDescent="0.25">
      <c r="A1553" t="s">
        <v>1591</v>
      </c>
      <c r="B1553" t="s">
        <v>1687</v>
      </c>
      <c r="C1553">
        <v>36412</v>
      </c>
      <c r="D1553">
        <v>0</v>
      </c>
      <c r="E1553">
        <v>0</v>
      </c>
      <c r="F1553">
        <v>0</v>
      </c>
    </row>
    <row r="1554" spans="1:6" x14ac:dyDescent="0.25">
      <c r="A1554" t="s">
        <v>1593</v>
      </c>
      <c r="B1554" t="s">
        <v>1688</v>
      </c>
      <c r="C1554">
        <v>36413</v>
      </c>
      <c r="D1554">
        <v>0</v>
      </c>
      <c r="E1554">
        <v>0</v>
      </c>
      <c r="F1554">
        <v>0</v>
      </c>
    </row>
    <row r="1555" spans="1:6" x14ac:dyDescent="0.25">
      <c r="A1555" t="s">
        <v>1595</v>
      </c>
      <c r="B1555" t="s">
        <v>1690</v>
      </c>
      <c r="C1555">
        <v>36414</v>
      </c>
      <c r="D1555">
        <v>0</v>
      </c>
      <c r="E1555">
        <v>0</v>
      </c>
      <c r="F1555">
        <v>0</v>
      </c>
    </row>
    <row r="1556" spans="1:6" x14ac:dyDescent="0.25">
      <c r="A1556" t="s">
        <v>1597</v>
      </c>
      <c r="B1556" t="s">
        <v>1637</v>
      </c>
      <c r="C1556">
        <v>36415</v>
      </c>
      <c r="D1556">
        <v>0</v>
      </c>
      <c r="E1556">
        <v>0</v>
      </c>
      <c r="F1556">
        <v>0</v>
      </c>
    </row>
    <row r="1557" spans="1:6" x14ac:dyDescent="0.25">
      <c r="A1557" t="s">
        <v>1599</v>
      </c>
      <c r="B1557" t="s">
        <v>1640</v>
      </c>
      <c r="C1557">
        <v>36416</v>
      </c>
      <c r="D1557">
        <v>0</v>
      </c>
      <c r="E1557">
        <v>0</v>
      </c>
      <c r="F1557">
        <v>0</v>
      </c>
    </row>
    <row r="1558" spans="1:6" x14ac:dyDescent="0.25">
      <c r="A1558" t="s">
        <v>1601</v>
      </c>
      <c r="B1558" t="s">
        <v>1636</v>
      </c>
      <c r="C1558">
        <v>36417</v>
      </c>
      <c r="D1558">
        <v>0</v>
      </c>
      <c r="E1558">
        <v>0</v>
      </c>
      <c r="F1558">
        <v>0</v>
      </c>
    </row>
    <row r="1559" spans="1:6" x14ac:dyDescent="0.25">
      <c r="A1559" t="s">
        <v>1603</v>
      </c>
      <c r="B1559" t="s">
        <v>1689</v>
      </c>
      <c r="C1559">
        <v>36418</v>
      </c>
      <c r="D1559">
        <v>0</v>
      </c>
      <c r="E1559">
        <v>0</v>
      </c>
      <c r="F1559">
        <v>0</v>
      </c>
    </row>
    <row r="1560" spans="1:6" x14ac:dyDescent="0.25">
      <c r="B1560" t="s">
        <v>2005</v>
      </c>
      <c r="D1560">
        <v>0</v>
      </c>
      <c r="E1560">
        <v>0</v>
      </c>
      <c r="F1560">
        <v>0</v>
      </c>
    </row>
    <row r="1561" spans="1:6" x14ac:dyDescent="0.25">
      <c r="B1561" t="s">
        <v>1701</v>
      </c>
    </row>
    <row r="1562" spans="1:6" x14ac:dyDescent="0.25">
      <c r="A1562" t="s">
        <v>2</v>
      </c>
      <c r="B1562" t="s">
        <v>1702</v>
      </c>
      <c r="C1562">
        <v>36501</v>
      </c>
      <c r="D1562">
        <v>0</v>
      </c>
      <c r="E1562">
        <v>0</v>
      </c>
      <c r="F1562">
        <v>0</v>
      </c>
    </row>
    <row r="1563" spans="1:6" x14ac:dyDescent="0.25">
      <c r="A1563" t="s">
        <v>15</v>
      </c>
      <c r="B1563" t="s">
        <v>1703</v>
      </c>
      <c r="C1563">
        <v>36502</v>
      </c>
      <c r="D1563">
        <v>0</v>
      </c>
      <c r="E1563">
        <v>0</v>
      </c>
      <c r="F1563">
        <v>0</v>
      </c>
    </row>
    <row r="1564" spans="1:6" x14ac:dyDescent="0.25">
      <c r="B1564" t="s">
        <v>2006</v>
      </c>
      <c r="D1564">
        <v>0</v>
      </c>
      <c r="E1564">
        <v>0</v>
      </c>
      <c r="F1564">
        <v>0</v>
      </c>
    </row>
    <row r="1565" spans="1:6" x14ac:dyDescent="0.25">
      <c r="B1565" t="s">
        <v>1705</v>
      </c>
    </row>
    <row r="1566" spans="1:6" x14ac:dyDescent="0.25">
      <c r="A1566" t="s">
        <v>2</v>
      </c>
      <c r="B1566" t="s">
        <v>1702</v>
      </c>
      <c r="C1566">
        <v>36601</v>
      </c>
      <c r="D1566">
        <v>0</v>
      </c>
      <c r="E1566">
        <v>0</v>
      </c>
      <c r="F1566">
        <v>0</v>
      </c>
    </row>
    <row r="1567" spans="1:6" x14ac:dyDescent="0.25">
      <c r="A1567" t="s">
        <v>15</v>
      </c>
      <c r="B1567" t="s">
        <v>1703</v>
      </c>
      <c r="C1567">
        <v>36602</v>
      </c>
      <c r="D1567">
        <v>0</v>
      </c>
      <c r="E1567">
        <v>0</v>
      </c>
      <c r="F1567">
        <v>0</v>
      </c>
    </row>
    <row r="1568" spans="1:6" x14ac:dyDescent="0.25">
      <c r="B1568" t="s">
        <v>2007</v>
      </c>
      <c r="D1568">
        <v>0</v>
      </c>
      <c r="E1568">
        <v>0</v>
      </c>
      <c r="F1568">
        <v>0</v>
      </c>
    </row>
    <row r="1569" spans="1:6" x14ac:dyDescent="0.25">
      <c r="B1569" t="s">
        <v>1707</v>
      </c>
    </row>
    <row r="1570" spans="1:6" x14ac:dyDescent="0.25">
      <c r="A1570" t="s">
        <v>2</v>
      </c>
      <c r="B1570" t="s">
        <v>1702</v>
      </c>
      <c r="C1570">
        <v>36701</v>
      </c>
      <c r="D1570">
        <v>0</v>
      </c>
      <c r="E1570">
        <v>0</v>
      </c>
      <c r="F1570">
        <v>0</v>
      </c>
    </row>
    <row r="1571" spans="1:6" x14ac:dyDescent="0.25">
      <c r="A1571" t="s">
        <v>15</v>
      </c>
      <c r="B1571" t="s">
        <v>1703</v>
      </c>
      <c r="C1571">
        <v>36702</v>
      </c>
      <c r="D1571">
        <v>0</v>
      </c>
      <c r="E1571">
        <v>0</v>
      </c>
      <c r="F1571">
        <v>0</v>
      </c>
    </row>
    <row r="1572" spans="1:6" x14ac:dyDescent="0.25">
      <c r="B1572" t="s">
        <v>2008</v>
      </c>
      <c r="D1572">
        <v>0</v>
      </c>
      <c r="E1572">
        <v>0</v>
      </c>
      <c r="F1572">
        <v>0</v>
      </c>
    </row>
    <row r="1573" spans="1:6" x14ac:dyDescent="0.25">
      <c r="B1573" t="s">
        <v>1709</v>
      </c>
    </row>
    <row r="1574" spans="1:6" x14ac:dyDescent="0.25">
      <c r="A1574" t="s">
        <v>2</v>
      </c>
      <c r="B1574" t="s">
        <v>1710</v>
      </c>
      <c r="C1574">
        <v>36801</v>
      </c>
      <c r="D1574">
        <v>0</v>
      </c>
      <c r="E1574">
        <v>0</v>
      </c>
      <c r="F1574">
        <v>0</v>
      </c>
    </row>
    <row r="1575" spans="1:6" x14ac:dyDescent="0.25">
      <c r="A1575" t="s">
        <v>15</v>
      </c>
      <c r="B1575" t="s">
        <v>1711</v>
      </c>
      <c r="C1575">
        <v>36802</v>
      </c>
      <c r="D1575">
        <v>0</v>
      </c>
      <c r="E1575">
        <v>0</v>
      </c>
      <c r="F1575">
        <v>0</v>
      </c>
    </row>
    <row r="1576" spans="1:6" x14ac:dyDescent="0.25">
      <c r="A1576" t="s">
        <v>16</v>
      </c>
      <c r="B1576" t="s">
        <v>1712</v>
      </c>
      <c r="C1576">
        <v>36803</v>
      </c>
      <c r="D1576">
        <v>0</v>
      </c>
      <c r="E1576">
        <v>0</v>
      </c>
      <c r="F1576">
        <v>0</v>
      </c>
    </row>
    <row r="1577" spans="1:6" x14ac:dyDescent="0.25">
      <c r="A1577" t="s">
        <v>25</v>
      </c>
      <c r="B1577" t="s">
        <v>1713</v>
      </c>
      <c r="C1577">
        <v>36804</v>
      </c>
      <c r="D1577">
        <v>4311</v>
      </c>
      <c r="E1577">
        <v>0</v>
      </c>
      <c r="F1577">
        <v>4311</v>
      </c>
    </row>
    <row r="1578" spans="1:6" x14ac:dyDescent="0.25">
      <c r="A1578" t="s">
        <v>26</v>
      </c>
      <c r="B1578" t="s">
        <v>1714</v>
      </c>
      <c r="C1578">
        <v>36805</v>
      </c>
      <c r="D1578">
        <v>0</v>
      </c>
      <c r="E1578">
        <v>0</v>
      </c>
      <c r="F1578">
        <v>0</v>
      </c>
    </row>
    <row r="1579" spans="1:6" x14ac:dyDescent="0.25">
      <c r="B1579" t="s">
        <v>2009</v>
      </c>
      <c r="D1579">
        <v>4311</v>
      </c>
      <c r="E1579">
        <v>0</v>
      </c>
      <c r="F1579">
        <v>4311</v>
      </c>
    </row>
    <row r="1580" spans="1:6" x14ac:dyDescent="0.25">
      <c r="B1580" t="s">
        <v>1732</v>
      </c>
      <c r="D1580">
        <v>414511</v>
      </c>
      <c r="E1580">
        <v>0</v>
      </c>
      <c r="F1580">
        <v>414511</v>
      </c>
    </row>
    <row r="1581" spans="1:6" x14ac:dyDescent="0.25">
      <c r="B1581" t="s">
        <v>2010</v>
      </c>
    </row>
    <row r="1582" spans="1:6" x14ac:dyDescent="0.25">
      <c r="B1582" t="s">
        <v>1575</v>
      </c>
    </row>
    <row r="1583" spans="1:6" x14ac:dyDescent="0.25">
      <c r="A1583" t="s">
        <v>2</v>
      </c>
      <c r="B1583" t="s">
        <v>1576</v>
      </c>
      <c r="C1583">
        <v>37101</v>
      </c>
      <c r="D1583">
        <v>0</v>
      </c>
      <c r="F1583">
        <v>0</v>
      </c>
    </row>
    <row r="1584" spans="1:6" x14ac:dyDescent="0.25">
      <c r="A1584" t="s">
        <v>15</v>
      </c>
      <c r="B1584" t="s">
        <v>1577</v>
      </c>
      <c r="C1584">
        <v>37102</v>
      </c>
      <c r="D1584">
        <v>0</v>
      </c>
      <c r="F1584">
        <v>0</v>
      </c>
    </row>
    <row r="1585" spans="1:6" x14ac:dyDescent="0.25">
      <c r="A1585" t="s">
        <v>16</v>
      </c>
      <c r="B1585" t="s">
        <v>1578</v>
      </c>
      <c r="C1585">
        <v>37103</v>
      </c>
      <c r="D1585">
        <v>0</v>
      </c>
      <c r="F1585">
        <v>0</v>
      </c>
    </row>
    <row r="1586" spans="1:6" x14ac:dyDescent="0.25">
      <c r="A1586" t="s">
        <v>25</v>
      </c>
      <c r="B1586" t="s">
        <v>1579</v>
      </c>
      <c r="C1586">
        <v>37104</v>
      </c>
      <c r="D1586">
        <v>0</v>
      </c>
      <c r="F1586">
        <v>0</v>
      </c>
    </row>
    <row r="1587" spans="1:6" x14ac:dyDescent="0.25">
      <c r="A1587" t="s">
        <v>26</v>
      </c>
      <c r="B1587" t="s">
        <v>1580</v>
      </c>
      <c r="C1587">
        <v>37105</v>
      </c>
      <c r="D1587">
        <v>0</v>
      </c>
      <c r="F1587">
        <v>0</v>
      </c>
    </row>
    <row r="1588" spans="1:6" x14ac:dyDescent="0.25">
      <c r="A1588" t="s">
        <v>27</v>
      </c>
      <c r="B1588" t="s">
        <v>1581</v>
      </c>
      <c r="C1588">
        <v>37106</v>
      </c>
      <c r="D1588">
        <v>31464</v>
      </c>
      <c r="F1588">
        <v>31464</v>
      </c>
    </row>
    <row r="1589" spans="1:6" x14ac:dyDescent="0.25">
      <c r="A1589" t="s">
        <v>531</v>
      </c>
      <c r="B1589" t="s">
        <v>1582</v>
      </c>
      <c r="C1589">
        <v>37107</v>
      </c>
      <c r="D1589">
        <v>0</v>
      </c>
      <c r="F1589">
        <v>0</v>
      </c>
    </row>
    <row r="1590" spans="1:6" x14ac:dyDescent="0.25">
      <c r="A1590" t="s">
        <v>1583</v>
      </c>
      <c r="B1590" t="s">
        <v>1584</v>
      </c>
      <c r="C1590">
        <v>37108</v>
      </c>
      <c r="D1590">
        <v>0</v>
      </c>
      <c r="F1590">
        <v>0</v>
      </c>
    </row>
    <row r="1591" spans="1:6" x14ac:dyDescent="0.25">
      <c r="A1591" t="s">
        <v>1585</v>
      </c>
      <c r="B1591" t="s">
        <v>1586</v>
      </c>
      <c r="C1591">
        <v>37109</v>
      </c>
      <c r="D1591">
        <v>13151</v>
      </c>
      <c r="F1591">
        <v>13151</v>
      </c>
    </row>
    <row r="1592" spans="1:6" x14ac:dyDescent="0.25">
      <c r="A1592" t="s">
        <v>1587</v>
      </c>
      <c r="B1592" t="s">
        <v>1588</v>
      </c>
      <c r="C1592">
        <v>37110</v>
      </c>
      <c r="D1592">
        <v>0</v>
      </c>
      <c r="F1592">
        <v>0</v>
      </c>
    </row>
    <row r="1593" spans="1:6" x14ac:dyDescent="0.25">
      <c r="A1593" t="s">
        <v>1589</v>
      </c>
      <c r="B1593" t="s">
        <v>1590</v>
      </c>
      <c r="C1593">
        <v>37111</v>
      </c>
      <c r="D1593">
        <v>203597</v>
      </c>
      <c r="F1593">
        <v>203597</v>
      </c>
    </row>
    <row r="1594" spans="1:6" x14ac:dyDescent="0.25">
      <c r="A1594" t="s">
        <v>1591</v>
      </c>
      <c r="B1594" t="s">
        <v>1592</v>
      </c>
      <c r="C1594">
        <v>37112</v>
      </c>
      <c r="D1594">
        <v>15836312</v>
      </c>
      <c r="F1594">
        <v>15836312</v>
      </c>
    </row>
    <row r="1595" spans="1:6" x14ac:dyDescent="0.25">
      <c r="A1595" t="s">
        <v>1593</v>
      </c>
      <c r="B1595" t="s">
        <v>1594</v>
      </c>
      <c r="C1595">
        <v>37113</v>
      </c>
      <c r="D1595">
        <v>1347</v>
      </c>
      <c r="F1595">
        <v>1347</v>
      </c>
    </row>
    <row r="1596" spans="1:6" x14ac:dyDescent="0.25">
      <c r="A1596" t="s">
        <v>1595</v>
      </c>
      <c r="B1596" t="s">
        <v>1596</v>
      </c>
      <c r="C1596">
        <v>37114</v>
      </c>
      <c r="D1596">
        <v>272638</v>
      </c>
      <c r="F1596">
        <v>272638</v>
      </c>
    </row>
    <row r="1597" spans="1:6" x14ac:dyDescent="0.25">
      <c r="A1597" t="s">
        <v>1597</v>
      </c>
      <c r="B1597" t="s">
        <v>1598</v>
      </c>
      <c r="C1597">
        <v>37115</v>
      </c>
      <c r="D1597">
        <v>5647809</v>
      </c>
      <c r="F1597">
        <v>5647809</v>
      </c>
    </row>
    <row r="1598" spans="1:6" x14ac:dyDescent="0.25">
      <c r="A1598" t="s">
        <v>1599</v>
      </c>
      <c r="B1598" t="s">
        <v>1600</v>
      </c>
      <c r="C1598">
        <v>37116</v>
      </c>
      <c r="D1598">
        <v>514483</v>
      </c>
      <c r="F1598">
        <v>514483</v>
      </c>
    </row>
    <row r="1599" spans="1:6" x14ac:dyDescent="0.25">
      <c r="A1599" t="s">
        <v>1601</v>
      </c>
      <c r="B1599" t="s">
        <v>1602</v>
      </c>
      <c r="C1599">
        <v>37117</v>
      </c>
      <c r="D1599">
        <v>0</v>
      </c>
      <c r="F1599">
        <v>0</v>
      </c>
    </row>
    <row r="1600" spans="1:6" x14ac:dyDescent="0.25">
      <c r="A1600" t="s">
        <v>1603</v>
      </c>
      <c r="B1600" t="s">
        <v>1604</v>
      </c>
      <c r="C1600">
        <v>37118</v>
      </c>
      <c r="D1600">
        <v>9895</v>
      </c>
      <c r="F1600">
        <v>9895</v>
      </c>
    </row>
    <row r="1601" spans="1:6" x14ac:dyDescent="0.25">
      <c r="A1601" t="s">
        <v>1605</v>
      </c>
      <c r="B1601" t="s">
        <v>1606</v>
      </c>
      <c r="C1601">
        <v>37119</v>
      </c>
      <c r="D1601">
        <v>81138</v>
      </c>
      <c r="F1601">
        <v>81138</v>
      </c>
    </row>
    <row r="1602" spans="1:6" x14ac:dyDescent="0.25">
      <c r="A1602" t="s">
        <v>1607</v>
      </c>
      <c r="B1602" t="s">
        <v>1608</v>
      </c>
      <c r="C1602">
        <v>37120</v>
      </c>
      <c r="D1602">
        <v>0</v>
      </c>
      <c r="F1602">
        <v>0</v>
      </c>
    </row>
    <row r="1603" spans="1:6" x14ac:dyDescent="0.25">
      <c r="B1603" t="s">
        <v>2011</v>
      </c>
      <c r="D1603">
        <v>22611834</v>
      </c>
      <c r="F1603">
        <v>22611834</v>
      </c>
    </row>
    <row r="1604" spans="1:6" x14ac:dyDescent="0.25">
      <c r="B1604" t="s">
        <v>1656</v>
      </c>
    </row>
    <row r="1605" spans="1:6" x14ac:dyDescent="0.25">
      <c r="A1605" t="s">
        <v>2</v>
      </c>
      <c r="B1605" t="s">
        <v>1611</v>
      </c>
      <c r="C1605">
        <v>37201</v>
      </c>
      <c r="D1605">
        <v>0</v>
      </c>
      <c r="F1605">
        <v>0</v>
      </c>
    </row>
    <row r="1606" spans="1:6" x14ac:dyDescent="0.25">
      <c r="A1606" t="s">
        <v>15</v>
      </c>
      <c r="B1606" t="s">
        <v>1612</v>
      </c>
      <c r="C1606">
        <v>37202</v>
      </c>
      <c r="D1606">
        <v>0</v>
      </c>
      <c r="F1606">
        <v>0</v>
      </c>
    </row>
    <row r="1607" spans="1:6" x14ac:dyDescent="0.25">
      <c r="A1607" t="s">
        <v>16</v>
      </c>
      <c r="B1607" t="s">
        <v>1613</v>
      </c>
      <c r="C1607">
        <v>37203</v>
      </c>
      <c r="D1607">
        <v>0</v>
      </c>
      <c r="F1607">
        <v>0</v>
      </c>
    </row>
    <row r="1608" spans="1:6" x14ac:dyDescent="0.25">
      <c r="A1608" t="s">
        <v>25</v>
      </c>
      <c r="B1608" t="s">
        <v>1614</v>
      </c>
      <c r="C1608">
        <v>37204</v>
      </c>
      <c r="D1608">
        <v>73210</v>
      </c>
      <c r="F1608">
        <v>73210</v>
      </c>
    </row>
    <row r="1609" spans="1:6" x14ac:dyDescent="0.25">
      <c r="A1609" t="s">
        <v>26</v>
      </c>
      <c r="B1609" t="s">
        <v>1615</v>
      </c>
      <c r="C1609">
        <v>37205</v>
      </c>
      <c r="D1609">
        <v>0</v>
      </c>
      <c r="F1609">
        <v>0</v>
      </c>
    </row>
    <row r="1610" spans="1:6" x14ac:dyDescent="0.25">
      <c r="A1610" t="s">
        <v>27</v>
      </c>
      <c r="B1610" t="s">
        <v>1616</v>
      </c>
      <c r="C1610">
        <v>37206</v>
      </c>
      <c r="D1610">
        <v>0</v>
      </c>
      <c r="F1610">
        <v>0</v>
      </c>
    </row>
    <row r="1611" spans="1:6" x14ac:dyDescent="0.25">
      <c r="A1611" t="s">
        <v>531</v>
      </c>
      <c r="B1611" t="s">
        <v>1617</v>
      </c>
      <c r="C1611">
        <v>37207</v>
      </c>
      <c r="D1611">
        <v>0</v>
      </c>
      <c r="F1611">
        <v>0</v>
      </c>
    </row>
    <row r="1612" spans="1:6" x14ac:dyDescent="0.25">
      <c r="A1612" t="s">
        <v>1583</v>
      </c>
      <c r="B1612" t="s">
        <v>1618</v>
      </c>
      <c r="C1612">
        <v>37208</v>
      </c>
      <c r="D1612">
        <v>0</v>
      </c>
      <c r="F1612">
        <v>0</v>
      </c>
    </row>
    <row r="1613" spans="1:6" x14ac:dyDescent="0.25">
      <c r="A1613" t="s">
        <v>1585</v>
      </c>
      <c r="B1613" t="s">
        <v>1619</v>
      </c>
      <c r="C1613">
        <v>37209</v>
      </c>
      <c r="D1613">
        <v>0</v>
      </c>
      <c r="F1613">
        <v>0</v>
      </c>
    </row>
    <row r="1614" spans="1:6" x14ac:dyDescent="0.25">
      <c r="A1614" t="s">
        <v>1587</v>
      </c>
      <c r="B1614" t="s">
        <v>1620</v>
      </c>
      <c r="C1614">
        <v>37210</v>
      </c>
      <c r="D1614">
        <v>0</v>
      </c>
      <c r="F1614">
        <v>0</v>
      </c>
    </row>
    <row r="1615" spans="1:6" x14ac:dyDescent="0.25">
      <c r="A1615" t="s">
        <v>1589</v>
      </c>
      <c r="B1615" t="s">
        <v>1621</v>
      </c>
      <c r="C1615">
        <v>37211</v>
      </c>
      <c r="D1615">
        <v>3561219</v>
      </c>
      <c r="F1615">
        <v>3561219</v>
      </c>
    </row>
    <row r="1616" spans="1:6" x14ac:dyDescent="0.25">
      <c r="A1616" t="s">
        <v>1591</v>
      </c>
      <c r="B1616" t="s">
        <v>1622</v>
      </c>
      <c r="C1616">
        <v>37212</v>
      </c>
      <c r="D1616">
        <v>8246548</v>
      </c>
      <c r="F1616">
        <v>8246548</v>
      </c>
    </row>
    <row r="1617" spans="1:6" x14ac:dyDescent="0.25">
      <c r="A1617" t="s">
        <v>1593</v>
      </c>
      <c r="B1617" t="s">
        <v>1623</v>
      </c>
      <c r="C1617">
        <v>37213</v>
      </c>
      <c r="D1617">
        <v>0</v>
      </c>
      <c r="F1617">
        <v>0</v>
      </c>
    </row>
    <row r="1618" spans="1:6" x14ac:dyDescent="0.25">
      <c r="A1618" t="s">
        <v>1595</v>
      </c>
      <c r="B1618" t="s">
        <v>1624</v>
      </c>
      <c r="C1618">
        <v>37214</v>
      </c>
      <c r="D1618">
        <v>0</v>
      </c>
      <c r="F1618">
        <v>0</v>
      </c>
    </row>
    <row r="1619" spans="1:6" x14ac:dyDescent="0.25">
      <c r="A1619" t="s">
        <v>1597</v>
      </c>
      <c r="B1619" t="s">
        <v>1625</v>
      </c>
      <c r="C1619">
        <v>37215</v>
      </c>
      <c r="D1619">
        <v>0</v>
      </c>
      <c r="F1619">
        <v>0</v>
      </c>
    </row>
    <row r="1620" spans="1:6" x14ac:dyDescent="0.25">
      <c r="A1620" t="s">
        <v>1599</v>
      </c>
      <c r="B1620" t="s">
        <v>1626</v>
      </c>
      <c r="C1620">
        <v>37216</v>
      </c>
      <c r="D1620">
        <v>0</v>
      </c>
      <c r="F1620">
        <v>0</v>
      </c>
    </row>
    <row r="1621" spans="1:6" x14ac:dyDescent="0.25">
      <c r="A1621" t="s">
        <v>1601</v>
      </c>
      <c r="B1621" t="s">
        <v>1627</v>
      </c>
      <c r="C1621">
        <v>37217</v>
      </c>
      <c r="D1621">
        <v>0</v>
      </c>
      <c r="F1621">
        <v>0</v>
      </c>
    </row>
    <row r="1622" spans="1:6" x14ac:dyDescent="0.25">
      <c r="A1622" t="s">
        <v>1603</v>
      </c>
      <c r="B1622" t="s">
        <v>1596</v>
      </c>
      <c r="C1622">
        <v>37218</v>
      </c>
      <c r="D1622">
        <v>430000</v>
      </c>
      <c r="F1622">
        <v>430000</v>
      </c>
    </row>
    <row r="1623" spans="1:6" x14ac:dyDescent="0.25">
      <c r="A1623" t="s">
        <v>1605</v>
      </c>
      <c r="B1623" t="s">
        <v>1598</v>
      </c>
      <c r="C1623">
        <v>37219</v>
      </c>
      <c r="D1623">
        <v>91045</v>
      </c>
      <c r="F1623">
        <v>91045</v>
      </c>
    </row>
    <row r="1624" spans="1:6" x14ac:dyDescent="0.25">
      <c r="A1624" t="s">
        <v>1607</v>
      </c>
      <c r="B1624" t="s">
        <v>1602</v>
      </c>
      <c r="C1624">
        <v>37220</v>
      </c>
      <c r="D1624">
        <v>0</v>
      </c>
      <c r="F1624">
        <v>0</v>
      </c>
    </row>
    <row r="1625" spans="1:6" x14ac:dyDescent="0.25">
      <c r="B1625" t="s">
        <v>2012</v>
      </c>
      <c r="D1625">
        <v>12402022</v>
      </c>
      <c r="F1625">
        <v>12402022</v>
      </c>
    </row>
    <row r="1626" spans="1:6" x14ac:dyDescent="0.25">
      <c r="B1626" t="s">
        <v>1629</v>
      </c>
    </row>
    <row r="1627" spans="1:6" x14ac:dyDescent="0.25">
      <c r="A1627" t="s">
        <v>2</v>
      </c>
      <c r="B1627" t="s">
        <v>1627</v>
      </c>
      <c r="C1627">
        <v>37301</v>
      </c>
      <c r="D1627">
        <v>0</v>
      </c>
      <c r="F1627">
        <v>0</v>
      </c>
    </row>
    <row r="1628" spans="1:6" x14ac:dyDescent="0.25">
      <c r="A1628" t="s">
        <v>15</v>
      </c>
      <c r="B1628" t="s">
        <v>1625</v>
      </c>
      <c r="C1628">
        <v>37302</v>
      </c>
      <c r="D1628">
        <v>111014</v>
      </c>
      <c r="F1628">
        <v>111014</v>
      </c>
    </row>
    <row r="1629" spans="1:6" x14ac:dyDescent="0.25">
      <c r="A1629" t="s">
        <v>16</v>
      </c>
      <c r="B1629" t="s">
        <v>1626</v>
      </c>
      <c r="C1629">
        <v>37303</v>
      </c>
      <c r="D1629">
        <v>0</v>
      </c>
      <c r="F1629">
        <v>0</v>
      </c>
    </row>
    <row r="1630" spans="1:6" x14ac:dyDescent="0.25">
      <c r="B1630" t="s">
        <v>2013</v>
      </c>
      <c r="D1630">
        <v>111014</v>
      </c>
      <c r="F1630">
        <v>111014</v>
      </c>
    </row>
    <row r="1631" spans="1:6" x14ac:dyDescent="0.25">
      <c r="B1631" t="s">
        <v>1631</v>
      </c>
    </row>
    <row r="1632" spans="1:6" x14ac:dyDescent="0.25">
      <c r="A1632" t="s">
        <v>2</v>
      </c>
      <c r="B1632" t="s">
        <v>1627</v>
      </c>
      <c r="C1632">
        <v>37401</v>
      </c>
      <c r="D1632">
        <v>0</v>
      </c>
      <c r="F1632">
        <v>0</v>
      </c>
    </row>
    <row r="1633" spans="1:6" x14ac:dyDescent="0.25">
      <c r="A1633" t="s">
        <v>15</v>
      </c>
      <c r="B1633" t="s">
        <v>1625</v>
      </c>
      <c r="C1633">
        <v>37402</v>
      </c>
      <c r="D1633">
        <v>0</v>
      </c>
      <c r="F1633">
        <v>0</v>
      </c>
    </row>
    <row r="1634" spans="1:6" x14ac:dyDescent="0.25">
      <c r="A1634" t="s">
        <v>16</v>
      </c>
      <c r="B1634" t="s">
        <v>1626</v>
      </c>
      <c r="C1634">
        <v>37403</v>
      </c>
      <c r="D1634">
        <v>0</v>
      </c>
      <c r="F1634">
        <v>0</v>
      </c>
    </row>
    <row r="1635" spans="1:6" x14ac:dyDescent="0.25">
      <c r="B1635" t="s">
        <v>2014</v>
      </c>
      <c r="D1635">
        <v>0</v>
      </c>
      <c r="F1635">
        <v>0</v>
      </c>
    </row>
    <row r="1636" spans="1:6" x14ac:dyDescent="0.25">
      <c r="B1636" t="s">
        <v>2291</v>
      </c>
    </row>
    <row r="1637" spans="1:6" x14ac:dyDescent="0.25">
      <c r="A1637" t="s">
        <v>2</v>
      </c>
      <c r="B1637" t="s">
        <v>1634</v>
      </c>
      <c r="C1637">
        <v>37501</v>
      </c>
      <c r="D1637">
        <v>0</v>
      </c>
      <c r="F1637">
        <v>0</v>
      </c>
    </row>
    <row r="1638" spans="1:6" x14ac:dyDescent="0.25">
      <c r="A1638" t="s">
        <v>15</v>
      </c>
      <c r="B1638" t="s">
        <v>1635</v>
      </c>
      <c r="C1638">
        <v>37502</v>
      </c>
      <c r="D1638">
        <v>0</v>
      </c>
      <c r="F1638">
        <v>0</v>
      </c>
    </row>
    <row r="1639" spans="1:6" x14ac:dyDescent="0.25">
      <c r="A1639" t="s">
        <v>16</v>
      </c>
      <c r="B1639" t="s">
        <v>1636</v>
      </c>
      <c r="C1639">
        <v>37503</v>
      </c>
      <c r="D1639">
        <v>0</v>
      </c>
      <c r="F1639">
        <v>0</v>
      </c>
    </row>
    <row r="1640" spans="1:6" x14ac:dyDescent="0.25">
      <c r="A1640" t="s">
        <v>25</v>
      </c>
      <c r="B1640" t="s">
        <v>1637</v>
      </c>
      <c r="C1640">
        <v>37504</v>
      </c>
      <c r="D1640">
        <v>0</v>
      </c>
      <c r="F1640">
        <v>0</v>
      </c>
    </row>
    <row r="1641" spans="1:6" x14ac:dyDescent="0.25">
      <c r="A1641" t="s">
        <v>26</v>
      </c>
      <c r="B1641" t="s">
        <v>1638</v>
      </c>
      <c r="C1641">
        <v>37505</v>
      </c>
      <c r="D1641">
        <v>42190</v>
      </c>
      <c r="F1641">
        <v>42190</v>
      </c>
    </row>
    <row r="1642" spans="1:6" x14ac:dyDescent="0.25">
      <c r="A1642" t="s">
        <v>27</v>
      </c>
      <c r="B1642" t="s">
        <v>1639</v>
      </c>
      <c r="C1642">
        <v>37506</v>
      </c>
      <c r="D1642">
        <v>0</v>
      </c>
      <c r="F1642">
        <v>0</v>
      </c>
    </row>
    <row r="1643" spans="1:6" x14ac:dyDescent="0.25">
      <c r="A1643" t="s">
        <v>531</v>
      </c>
      <c r="B1643" t="s">
        <v>1640</v>
      </c>
      <c r="C1643">
        <v>37507</v>
      </c>
      <c r="D1643">
        <v>0</v>
      </c>
      <c r="F1643">
        <v>0</v>
      </c>
    </row>
    <row r="1644" spans="1:6" x14ac:dyDescent="0.25">
      <c r="A1644" t="s">
        <v>1583</v>
      </c>
      <c r="B1644" t="s">
        <v>1641</v>
      </c>
      <c r="C1644">
        <v>37508</v>
      </c>
      <c r="D1644">
        <v>3238</v>
      </c>
      <c r="F1644">
        <v>3238</v>
      </c>
    </row>
    <row r="1645" spans="1:6" x14ac:dyDescent="0.25">
      <c r="B1645" t="s">
        <v>2015</v>
      </c>
      <c r="D1645">
        <v>45428</v>
      </c>
      <c r="F1645">
        <v>45428</v>
      </c>
    </row>
    <row r="1646" spans="1:6" x14ac:dyDescent="0.25">
      <c r="B1646" t="s">
        <v>2292</v>
      </c>
    </row>
    <row r="1647" spans="1:6" x14ac:dyDescent="0.25">
      <c r="A1647" t="s">
        <v>2</v>
      </c>
      <c r="B1647" t="s">
        <v>1634</v>
      </c>
      <c r="C1647">
        <v>37601</v>
      </c>
      <c r="D1647">
        <v>0</v>
      </c>
      <c r="F1647">
        <v>0</v>
      </c>
    </row>
    <row r="1648" spans="1:6" x14ac:dyDescent="0.25">
      <c r="A1648" t="s">
        <v>15</v>
      </c>
      <c r="B1648" t="s">
        <v>1635</v>
      </c>
      <c r="C1648">
        <v>37602</v>
      </c>
      <c r="D1648">
        <v>0</v>
      </c>
      <c r="F1648">
        <v>0</v>
      </c>
    </row>
    <row r="1649" spans="1:6" x14ac:dyDescent="0.25">
      <c r="A1649" t="s">
        <v>16</v>
      </c>
      <c r="B1649" t="s">
        <v>1636</v>
      </c>
      <c r="C1649">
        <v>37603</v>
      </c>
      <c r="D1649">
        <v>0</v>
      </c>
      <c r="F1649">
        <v>0</v>
      </c>
    </row>
    <row r="1650" spans="1:6" x14ac:dyDescent="0.25">
      <c r="A1650" t="s">
        <v>25</v>
      </c>
      <c r="B1650" t="s">
        <v>1637</v>
      </c>
      <c r="C1650">
        <v>37604</v>
      </c>
      <c r="D1650">
        <v>0</v>
      </c>
      <c r="F1650">
        <v>0</v>
      </c>
    </row>
    <row r="1651" spans="1:6" x14ac:dyDescent="0.25">
      <c r="A1651" t="s">
        <v>26</v>
      </c>
      <c r="B1651" t="s">
        <v>1638</v>
      </c>
      <c r="C1651">
        <v>37605</v>
      </c>
      <c r="D1651">
        <v>48268</v>
      </c>
      <c r="F1651">
        <v>48268</v>
      </c>
    </row>
    <row r="1652" spans="1:6" x14ac:dyDescent="0.25">
      <c r="A1652" t="s">
        <v>27</v>
      </c>
      <c r="B1652" t="s">
        <v>1639</v>
      </c>
      <c r="C1652">
        <v>37606</v>
      </c>
      <c r="D1652">
        <v>0</v>
      </c>
      <c r="F1652">
        <v>0</v>
      </c>
    </row>
    <row r="1653" spans="1:6" x14ac:dyDescent="0.25">
      <c r="A1653" t="s">
        <v>531</v>
      </c>
      <c r="B1653" t="s">
        <v>1640</v>
      </c>
      <c r="C1653">
        <v>37607</v>
      </c>
      <c r="D1653">
        <v>0</v>
      </c>
      <c r="F1653">
        <v>0</v>
      </c>
    </row>
    <row r="1654" spans="1:6" x14ac:dyDescent="0.25">
      <c r="A1654" t="s">
        <v>1583</v>
      </c>
      <c r="B1654" t="s">
        <v>1641</v>
      </c>
      <c r="C1654">
        <v>37608</v>
      </c>
      <c r="D1654">
        <v>393031</v>
      </c>
      <c r="F1654">
        <v>393031</v>
      </c>
    </row>
    <row r="1655" spans="1:6" x14ac:dyDescent="0.25">
      <c r="B1655" t="s">
        <v>2016</v>
      </c>
      <c r="D1655">
        <v>441299</v>
      </c>
      <c r="F1655">
        <v>441299</v>
      </c>
    </row>
    <row r="1656" spans="1:6" x14ac:dyDescent="0.25">
      <c r="B1656" t="s">
        <v>1726</v>
      </c>
    </row>
    <row r="1657" spans="1:6" x14ac:dyDescent="0.25">
      <c r="A1657" t="s">
        <v>2</v>
      </c>
      <c r="B1657" t="s">
        <v>1648</v>
      </c>
      <c r="C1657">
        <v>37701</v>
      </c>
      <c r="D1657">
        <v>0</v>
      </c>
      <c r="F1657">
        <v>0</v>
      </c>
    </row>
    <row r="1658" spans="1:6" x14ac:dyDescent="0.25">
      <c r="A1658" t="s">
        <v>15</v>
      </c>
      <c r="B1658" t="s">
        <v>1649</v>
      </c>
      <c r="C1658">
        <v>37702</v>
      </c>
      <c r="D1658">
        <v>0</v>
      </c>
      <c r="F1658">
        <v>0</v>
      </c>
    </row>
    <row r="1659" spans="1:6" x14ac:dyDescent="0.25">
      <c r="A1659" t="s">
        <v>16</v>
      </c>
      <c r="B1659" t="s">
        <v>1637</v>
      </c>
      <c r="C1659">
        <v>37703</v>
      </c>
      <c r="D1659">
        <v>0</v>
      </c>
      <c r="F1659">
        <v>0</v>
      </c>
    </row>
    <row r="1660" spans="1:6" x14ac:dyDescent="0.25">
      <c r="A1660" t="s">
        <v>25</v>
      </c>
      <c r="B1660" t="s">
        <v>1638</v>
      </c>
      <c r="C1660">
        <v>37704</v>
      </c>
      <c r="D1660">
        <v>122013</v>
      </c>
      <c r="F1660">
        <v>122013</v>
      </c>
    </row>
    <row r="1661" spans="1:6" x14ac:dyDescent="0.25">
      <c r="A1661" t="s">
        <v>26</v>
      </c>
      <c r="B1661" t="s">
        <v>1650</v>
      </c>
      <c r="C1661">
        <v>37705</v>
      </c>
      <c r="D1661">
        <v>0</v>
      </c>
      <c r="F1661">
        <v>0</v>
      </c>
    </row>
    <row r="1662" spans="1:6" x14ac:dyDescent="0.25">
      <c r="A1662" t="s">
        <v>27</v>
      </c>
      <c r="B1662" t="s">
        <v>1651</v>
      </c>
      <c r="C1662">
        <v>37706</v>
      </c>
      <c r="D1662">
        <v>0</v>
      </c>
      <c r="F1662">
        <v>0</v>
      </c>
    </row>
    <row r="1663" spans="1:6" x14ac:dyDescent="0.25">
      <c r="A1663" t="s">
        <v>531</v>
      </c>
      <c r="B1663" t="s">
        <v>1640</v>
      </c>
      <c r="C1663">
        <v>37707</v>
      </c>
      <c r="D1663">
        <v>0</v>
      </c>
      <c r="F1663">
        <v>0</v>
      </c>
    </row>
    <row r="1664" spans="1:6" x14ac:dyDescent="0.25">
      <c r="A1664" t="s">
        <v>1583</v>
      </c>
      <c r="B1664" t="s">
        <v>1641</v>
      </c>
      <c r="C1664">
        <v>37708</v>
      </c>
      <c r="D1664">
        <v>0</v>
      </c>
      <c r="F1664">
        <v>0</v>
      </c>
    </row>
    <row r="1665" spans="1:6" x14ac:dyDescent="0.25">
      <c r="B1665" t="s">
        <v>2017</v>
      </c>
      <c r="D1665">
        <v>122013</v>
      </c>
      <c r="F1665">
        <v>122013</v>
      </c>
    </row>
    <row r="1666" spans="1:6" x14ac:dyDescent="0.25">
      <c r="B1666" t="s">
        <v>1866</v>
      </c>
      <c r="D1666">
        <v>35733610</v>
      </c>
      <c r="F1666">
        <v>35733610</v>
      </c>
    </row>
    <row r="1667" spans="1:6" x14ac:dyDescent="0.25">
      <c r="B1667" t="s">
        <v>2436</v>
      </c>
    </row>
    <row r="1668" spans="1:6" x14ac:dyDescent="0.25">
      <c r="B1668" t="s">
        <v>1575</v>
      </c>
    </row>
    <row r="1669" spans="1:6" x14ac:dyDescent="0.25">
      <c r="A1669" t="s">
        <v>2</v>
      </c>
      <c r="B1669" t="s">
        <v>1576</v>
      </c>
      <c r="C1669">
        <v>38101</v>
      </c>
      <c r="D1669">
        <v>0</v>
      </c>
      <c r="F1669">
        <v>0</v>
      </c>
    </row>
    <row r="1670" spans="1:6" x14ac:dyDescent="0.25">
      <c r="A1670" t="s">
        <v>15</v>
      </c>
      <c r="B1670" t="s">
        <v>1577</v>
      </c>
      <c r="C1670">
        <v>38102</v>
      </c>
      <c r="D1670">
        <v>0</v>
      </c>
      <c r="F1670">
        <v>0</v>
      </c>
    </row>
    <row r="1671" spans="1:6" x14ac:dyDescent="0.25">
      <c r="A1671" t="s">
        <v>16</v>
      </c>
      <c r="B1671" t="s">
        <v>1578</v>
      </c>
      <c r="C1671">
        <v>38103</v>
      </c>
      <c r="D1671">
        <v>0</v>
      </c>
      <c r="F1671">
        <v>0</v>
      </c>
    </row>
    <row r="1672" spans="1:6" x14ac:dyDescent="0.25">
      <c r="A1672" t="s">
        <v>25</v>
      </c>
      <c r="B1672" t="s">
        <v>1579</v>
      </c>
      <c r="C1672">
        <v>38104</v>
      </c>
      <c r="D1672">
        <v>0</v>
      </c>
      <c r="F1672">
        <v>0</v>
      </c>
    </row>
    <row r="1673" spans="1:6" x14ac:dyDescent="0.25">
      <c r="A1673" t="s">
        <v>26</v>
      </c>
      <c r="B1673" t="s">
        <v>1580</v>
      </c>
      <c r="C1673">
        <v>38105</v>
      </c>
      <c r="D1673">
        <v>197</v>
      </c>
      <c r="F1673">
        <v>197</v>
      </c>
    </row>
    <row r="1674" spans="1:6" x14ac:dyDescent="0.25">
      <c r="A1674" t="s">
        <v>27</v>
      </c>
      <c r="B1674" t="s">
        <v>1581</v>
      </c>
      <c r="C1674">
        <v>38106</v>
      </c>
      <c r="D1674">
        <v>81991</v>
      </c>
      <c r="F1674">
        <v>81991</v>
      </c>
    </row>
    <row r="1675" spans="1:6" x14ac:dyDescent="0.25">
      <c r="A1675" t="s">
        <v>531</v>
      </c>
      <c r="B1675" t="s">
        <v>1582</v>
      </c>
      <c r="C1675">
        <v>38107</v>
      </c>
      <c r="D1675">
        <v>0</v>
      </c>
      <c r="F1675">
        <v>0</v>
      </c>
    </row>
    <row r="1676" spans="1:6" x14ac:dyDescent="0.25">
      <c r="A1676" t="s">
        <v>1583</v>
      </c>
      <c r="B1676" t="s">
        <v>1584</v>
      </c>
      <c r="C1676">
        <v>38108</v>
      </c>
      <c r="D1676">
        <v>36117</v>
      </c>
      <c r="F1676">
        <v>36117</v>
      </c>
    </row>
    <row r="1677" spans="1:6" x14ac:dyDescent="0.25">
      <c r="A1677" t="s">
        <v>1585</v>
      </c>
      <c r="B1677" t="s">
        <v>1586</v>
      </c>
      <c r="C1677">
        <v>38109</v>
      </c>
      <c r="D1677">
        <v>162334</v>
      </c>
      <c r="F1677">
        <v>162334</v>
      </c>
    </row>
    <row r="1678" spans="1:6" x14ac:dyDescent="0.25">
      <c r="A1678" t="s">
        <v>1587</v>
      </c>
      <c r="B1678" t="s">
        <v>1588</v>
      </c>
      <c r="C1678">
        <v>38110</v>
      </c>
      <c r="D1678">
        <v>0</v>
      </c>
      <c r="F1678">
        <v>0</v>
      </c>
    </row>
    <row r="1679" spans="1:6" x14ac:dyDescent="0.25">
      <c r="A1679" t="s">
        <v>1589</v>
      </c>
      <c r="B1679" t="s">
        <v>1590</v>
      </c>
      <c r="C1679">
        <v>38111</v>
      </c>
      <c r="D1679">
        <v>2254457</v>
      </c>
      <c r="F1679">
        <v>2254457</v>
      </c>
    </row>
    <row r="1680" spans="1:6" x14ac:dyDescent="0.25">
      <c r="A1680" t="s">
        <v>1591</v>
      </c>
      <c r="B1680" t="s">
        <v>1592</v>
      </c>
      <c r="C1680">
        <v>38112</v>
      </c>
      <c r="D1680">
        <v>24544306</v>
      </c>
      <c r="F1680">
        <v>24544306</v>
      </c>
    </row>
    <row r="1681" spans="1:6" x14ac:dyDescent="0.25">
      <c r="A1681" t="s">
        <v>1593</v>
      </c>
      <c r="B1681" t="s">
        <v>1594</v>
      </c>
      <c r="C1681">
        <v>38113</v>
      </c>
      <c r="D1681">
        <v>805</v>
      </c>
      <c r="F1681">
        <v>805</v>
      </c>
    </row>
    <row r="1682" spans="1:6" x14ac:dyDescent="0.25">
      <c r="A1682" t="s">
        <v>1595</v>
      </c>
      <c r="B1682" t="s">
        <v>1596</v>
      </c>
      <c r="C1682">
        <v>38114</v>
      </c>
      <c r="D1682">
        <v>450808</v>
      </c>
      <c r="F1682">
        <v>450808</v>
      </c>
    </row>
    <row r="1683" spans="1:6" x14ac:dyDescent="0.25">
      <c r="A1683" t="s">
        <v>1597</v>
      </c>
      <c r="B1683" t="s">
        <v>1598</v>
      </c>
      <c r="C1683">
        <v>38115</v>
      </c>
      <c r="D1683">
        <v>5786761</v>
      </c>
      <c r="F1683">
        <v>5786761</v>
      </c>
    </row>
    <row r="1684" spans="1:6" x14ac:dyDescent="0.25">
      <c r="A1684" t="s">
        <v>1599</v>
      </c>
      <c r="B1684" t="s">
        <v>1600</v>
      </c>
      <c r="C1684">
        <v>38116</v>
      </c>
      <c r="D1684">
        <v>80306</v>
      </c>
      <c r="F1684">
        <v>80306</v>
      </c>
    </row>
    <row r="1685" spans="1:6" x14ac:dyDescent="0.25">
      <c r="A1685" t="s">
        <v>1601</v>
      </c>
      <c r="B1685" t="s">
        <v>1602</v>
      </c>
      <c r="C1685">
        <v>38117</v>
      </c>
      <c r="D1685">
        <v>10</v>
      </c>
      <c r="F1685">
        <v>10</v>
      </c>
    </row>
    <row r="1686" spans="1:6" x14ac:dyDescent="0.25">
      <c r="A1686" t="s">
        <v>1603</v>
      </c>
      <c r="B1686" t="s">
        <v>1604</v>
      </c>
      <c r="C1686">
        <v>38118</v>
      </c>
      <c r="D1686">
        <v>136937</v>
      </c>
      <c r="F1686">
        <v>136937</v>
      </c>
    </row>
    <row r="1687" spans="1:6" x14ac:dyDescent="0.25">
      <c r="A1687" t="s">
        <v>1605</v>
      </c>
      <c r="B1687" t="s">
        <v>1606</v>
      </c>
      <c r="C1687">
        <v>38119</v>
      </c>
      <c r="D1687">
        <v>295962</v>
      </c>
      <c r="F1687">
        <v>295962</v>
      </c>
    </row>
    <row r="1688" spans="1:6" x14ac:dyDescent="0.25">
      <c r="A1688" t="s">
        <v>1607</v>
      </c>
      <c r="B1688" t="s">
        <v>1608</v>
      </c>
      <c r="C1688">
        <v>38120</v>
      </c>
      <c r="D1688">
        <v>0</v>
      </c>
      <c r="F1688">
        <v>0</v>
      </c>
    </row>
    <row r="1689" spans="1:6" x14ac:dyDescent="0.25">
      <c r="B1689" t="s">
        <v>2437</v>
      </c>
      <c r="D1689">
        <v>33830991</v>
      </c>
      <c r="F1689">
        <v>33830991</v>
      </c>
    </row>
    <row r="1690" spans="1:6" x14ac:dyDescent="0.25">
      <c r="B1690" t="s">
        <v>1656</v>
      </c>
    </row>
    <row r="1691" spans="1:6" x14ac:dyDescent="0.25">
      <c r="A1691" t="s">
        <v>2</v>
      </c>
      <c r="B1691" t="s">
        <v>1611</v>
      </c>
      <c r="C1691">
        <v>38201</v>
      </c>
      <c r="D1691">
        <v>0</v>
      </c>
      <c r="F1691">
        <v>0</v>
      </c>
    </row>
    <row r="1692" spans="1:6" x14ac:dyDescent="0.25">
      <c r="A1692" t="s">
        <v>15</v>
      </c>
      <c r="B1692" t="s">
        <v>1612</v>
      </c>
      <c r="C1692">
        <v>38202</v>
      </c>
      <c r="D1692">
        <v>0</v>
      </c>
      <c r="F1692">
        <v>0</v>
      </c>
    </row>
    <row r="1693" spans="1:6" x14ac:dyDescent="0.25">
      <c r="A1693" t="s">
        <v>16</v>
      </c>
      <c r="B1693" t="s">
        <v>1613</v>
      </c>
      <c r="C1693">
        <v>38203</v>
      </c>
      <c r="D1693">
        <v>0</v>
      </c>
      <c r="F1693">
        <v>0</v>
      </c>
    </row>
    <row r="1694" spans="1:6" x14ac:dyDescent="0.25">
      <c r="A1694" t="s">
        <v>25</v>
      </c>
      <c r="B1694" t="s">
        <v>1614</v>
      </c>
      <c r="C1694">
        <v>38204</v>
      </c>
      <c r="D1694">
        <v>0</v>
      </c>
      <c r="F1694">
        <v>0</v>
      </c>
    </row>
    <row r="1695" spans="1:6" x14ac:dyDescent="0.25">
      <c r="A1695" t="s">
        <v>26</v>
      </c>
      <c r="B1695" t="s">
        <v>1615</v>
      </c>
      <c r="C1695">
        <v>38205</v>
      </c>
      <c r="D1695">
        <v>0</v>
      </c>
      <c r="F1695">
        <v>0</v>
      </c>
    </row>
    <row r="1696" spans="1:6" x14ac:dyDescent="0.25">
      <c r="A1696" t="s">
        <v>27</v>
      </c>
      <c r="B1696" t="s">
        <v>1616</v>
      </c>
      <c r="C1696">
        <v>38206</v>
      </c>
      <c r="D1696">
        <v>0</v>
      </c>
      <c r="F1696">
        <v>0</v>
      </c>
    </row>
    <row r="1697" spans="1:6" x14ac:dyDescent="0.25">
      <c r="A1697" t="s">
        <v>531</v>
      </c>
      <c r="B1697" t="s">
        <v>1617</v>
      </c>
      <c r="C1697">
        <v>38207</v>
      </c>
      <c r="D1697">
        <v>0</v>
      </c>
      <c r="F1697">
        <v>0</v>
      </c>
    </row>
    <row r="1698" spans="1:6" x14ac:dyDescent="0.25">
      <c r="A1698" t="s">
        <v>1583</v>
      </c>
      <c r="B1698" t="s">
        <v>1618</v>
      </c>
      <c r="C1698">
        <v>38208</v>
      </c>
      <c r="D1698">
        <v>11549</v>
      </c>
      <c r="F1698">
        <v>11549</v>
      </c>
    </row>
    <row r="1699" spans="1:6" x14ac:dyDescent="0.25">
      <c r="A1699" t="s">
        <v>1585</v>
      </c>
      <c r="B1699" t="s">
        <v>1619</v>
      </c>
      <c r="C1699">
        <v>38209</v>
      </c>
      <c r="D1699">
        <v>0</v>
      </c>
      <c r="F1699">
        <v>0</v>
      </c>
    </row>
    <row r="1700" spans="1:6" x14ac:dyDescent="0.25">
      <c r="A1700" t="s">
        <v>1587</v>
      </c>
      <c r="B1700" t="s">
        <v>1620</v>
      </c>
      <c r="C1700">
        <v>38210</v>
      </c>
      <c r="D1700">
        <v>40134</v>
      </c>
      <c r="F1700">
        <v>40134</v>
      </c>
    </row>
    <row r="1701" spans="1:6" x14ac:dyDescent="0.25">
      <c r="A1701" t="s">
        <v>1589</v>
      </c>
      <c r="B1701" t="s">
        <v>1621</v>
      </c>
      <c r="C1701">
        <v>38211</v>
      </c>
      <c r="D1701">
        <v>2434</v>
      </c>
      <c r="F1701">
        <v>2434</v>
      </c>
    </row>
    <row r="1702" spans="1:6" x14ac:dyDescent="0.25">
      <c r="A1702" t="s">
        <v>1591</v>
      </c>
      <c r="B1702" t="s">
        <v>1622</v>
      </c>
      <c r="C1702">
        <v>38212</v>
      </c>
      <c r="D1702">
        <v>2303302</v>
      </c>
      <c r="F1702">
        <v>2303302</v>
      </c>
    </row>
    <row r="1703" spans="1:6" x14ac:dyDescent="0.25">
      <c r="A1703" t="s">
        <v>1593</v>
      </c>
      <c r="B1703" t="s">
        <v>1623</v>
      </c>
      <c r="C1703">
        <v>38213</v>
      </c>
      <c r="D1703">
        <v>0</v>
      </c>
      <c r="F1703">
        <v>0</v>
      </c>
    </row>
    <row r="1704" spans="1:6" x14ac:dyDescent="0.25">
      <c r="A1704" t="s">
        <v>1595</v>
      </c>
      <c r="B1704" t="s">
        <v>1624</v>
      </c>
      <c r="C1704">
        <v>38214</v>
      </c>
      <c r="D1704">
        <v>0</v>
      </c>
      <c r="F1704">
        <v>0</v>
      </c>
    </row>
    <row r="1705" spans="1:6" x14ac:dyDescent="0.25">
      <c r="A1705" t="s">
        <v>1597</v>
      </c>
      <c r="B1705" t="s">
        <v>1625</v>
      </c>
      <c r="C1705">
        <v>38215</v>
      </c>
      <c r="D1705">
        <v>15576</v>
      </c>
      <c r="F1705">
        <v>15576</v>
      </c>
    </row>
    <row r="1706" spans="1:6" x14ac:dyDescent="0.25">
      <c r="A1706" t="s">
        <v>1599</v>
      </c>
      <c r="B1706" t="s">
        <v>1626</v>
      </c>
      <c r="C1706">
        <v>38216</v>
      </c>
      <c r="D1706">
        <v>0</v>
      </c>
      <c r="F1706">
        <v>0</v>
      </c>
    </row>
    <row r="1707" spans="1:6" x14ac:dyDescent="0.25">
      <c r="A1707" t="s">
        <v>1601</v>
      </c>
      <c r="B1707" t="s">
        <v>1627</v>
      </c>
      <c r="C1707">
        <v>38217</v>
      </c>
      <c r="D1707">
        <v>0</v>
      </c>
      <c r="F1707">
        <v>0</v>
      </c>
    </row>
    <row r="1708" spans="1:6" x14ac:dyDescent="0.25">
      <c r="A1708" t="s">
        <v>1603</v>
      </c>
      <c r="B1708" t="s">
        <v>1596</v>
      </c>
      <c r="C1708">
        <v>38218</v>
      </c>
      <c r="D1708">
        <v>1310549</v>
      </c>
      <c r="F1708">
        <v>1310549</v>
      </c>
    </row>
    <row r="1709" spans="1:6" x14ac:dyDescent="0.25">
      <c r="A1709" t="s">
        <v>1605</v>
      </c>
      <c r="B1709" t="s">
        <v>1598</v>
      </c>
      <c r="C1709">
        <v>38219</v>
      </c>
      <c r="D1709">
        <v>0</v>
      </c>
      <c r="F1709">
        <v>0</v>
      </c>
    </row>
    <row r="1710" spans="1:6" x14ac:dyDescent="0.25">
      <c r="A1710" t="s">
        <v>1607</v>
      </c>
      <c r="B1710" t="s">
        <v>1602</v>
      </c>
      <c r="C1710">
        <v>38220</v>
      </c>
      <c r="D1710">
        <v>0</v>
      </c>
      <c r="F1710">
        <v>0</v>
      </c>
    </row>
    <row r="1711" spans="1:6" x14ac:dyDescent="0.25">
      <c r="B1711" t="s">
        <v>2438</v>
      </c>
      <c r="D1711">
        <v>3683544</v>
      </c>
      <c r="F1711">
        <v>3683544</v>
      </c>
    </row>
    <row r="1712" spans="1:6" x14ac:dyDescent="0.25">
      <c r="B1712" t="s">
        <v>1629</v>
      </c>
    </row>
    <row r="1713" spans="1:6" x14ac:dyDescent="0.25">
      <c r="A1713" t="s">
        <v>2</v>
      </c>
      <c r="B1713" t="s">
        <v>1627</v>
      </c>
      <c r="C1713">
        <v>38301</v>
      </c>
      <c r="D1713">
        <v>0</v>
      </c>
      <c r="F1713">
        <v>0</v>
      </c>
    </row>
    <row r="1714" spans="1:6" x14ac:dyDescent="0.25">
      <c r="A1714" t="s">
        <v>15</v>
      </c>
      <c r="B1714" t="s">
        <v>1625</v>
      </c>
      <c r="C1714">
        <v>38302</v>
      </c>
      <c r="D1714">
        <v>0</v>
      </c>
      <c r="F1714">
        <v>0</v>
      </c>
    </row>
    <row r="1715" spans="1:6" x14ac:dyDescent="0.25">
      <c r="A1715" t="s">
        <v>16</v>
      </c>
      <c r="B1715" t="s">
        <v>1626</v>
      </c>
      <c r="C1715">
        <v>38303</v>
      </c>
      <c r="D1715">
        <v>0</v>
      </c>
      <c r="F1715">
        <v>0</v>
      </c>
    </row>
    <row r="1716" spans="1:6" x14ac:dyDescent="0.25">
      <c r="B1716" t="s">
        <v>2439</v>
      </c>
      <c r="D1716">
        <v>0</v>
      </c>
      <c r="F1716">
        <v>0</v>
      </c>
    </row>
    <row r="1717" spans="1:6" x14ac:dyDescent="0.25">
      <c r="B1717" t="s">
        <v>1631</v>
      </c>
    </row>
    <row r="1718" spans="1:6" x14ac:dyDescent="0.25">
      <c r="A1718" t="s">
        <v>2</v>
      </c>
      <c r="B1718" t="s">
        <v>1627</v>
      </c>
      <c r="C1718">
        <v>38401</v>
      </c>
      <c r="D1718">
        <v>0</v>
      </c>
      <c r="F1718">
        <v>0</v>
      </c>
    </row>
    <row r="1719" spans="1:6" x14ac:dyDescent="0.25">
      <c r="A1719" t="s">
        <v>15</v>
      </c>
      <c r="B1719" t="s">
        <v>1625</v>
      </c>
      <c r="C1719">
        <v>38402</v>
      </c>
      <c r="D1719">
        <v>0</v>
      </c>
      <c r="F1719">
        <v>0</v>
      </c>
    </row>
    <row r="1720" spans="1:6" x14ac:dyDescent="0.25">
      <c r="A1720" t="s">
        <v>16</v>
      </c>
      <c r="B1720" t="s">
        <v>1626</v>
      </c>
      <c r="C1720">
        <v>38403</v>
      </c>
      <c r="D1720">
        <v>0</v>
      </c>
      <c r="F1720">
        <v>0</v>
      </c>
    </row>
    <row r="1721" spans="1:6" x14ac:dyDescent="0.25">
      <c r="B1721" t="s">
        <v>2440</v>
      </c>
      <c r="D1721">
        <v>0</v>
      </c>
      <c r="F1721">
        <v>0</v>
      </c>
    </row>
    <row r="1722" spans="1:6" x14ac:dyDescent="0.25">
      <c r="B1722" t="s">
        <v>2291</v>
      </c>
    </row>
    <row r="1723" spans="1:6" x14ac:dyDescent="0.25">
      <c r="A1723" t="s">
        <v>2</v>
      </c>
      <c r="B1723" t="s">
        <v>1634</v>
      </c>
      <c r="C1723">
        <v>38501</v>
      </c>
      <c r="D1723">
        <v>18948</v>
      </c>
      <c r="F1723">
        <v>18948</v>
      </c>
    </row>
    <row r="1724" spans="1:6" x14ac:dyDescent="0.25">
      <c r="A1724" t="s">
        <v>15</v>
      </c>
      <c r="B1724" t="s">
        <v>1635</v>
      </c>
      <c r="C1724">
        <v>38502</v>
      </c>
      <c r="D1724">
        <v>0</v>
      </c>
      <c r="F1724">
        <v>0</v>
      </c>
    </row>
    <row r="1725" spans="1:6" x14ac:dyDescent="0.25">
      <c r="A1725" t="s">
        <v>16</v>
      </c>
      <c r="B1725" t="s">
        <v>1636</v>
      </c>
      <c r="C1725">
        <v>38503</v>
      </c>
      <c r="D1725">
        <v>0</v>
      </c>
      <c r="F1725">
        <v>0</v>
      </c>
    </row>
    <row r="1726" spans="1:6" x14ac:dyDescent="0.25">
      <c r="A1726" t="s">
        <v>25</v>
      </c>
      <c r="B1726" t="s">
        <v>1637</v>
      </c>
      <c r="C1726">
        <v>38504</v>
      </c>
      <c r="D1726">
        <v>190891</v>
      </c>
      <c r="F1726">
        <v>190891</v>
      </c>
    </row>
    <row r="1727" spans="1:6" x14ac:dyDescent="0.25">
      <c r="A1727" t="s">
        <v>26</v>
      </c>
      <c r="B1727" t="s">
        <v>1638</v>
      </c>
      <c r="C1727">
        <v>38505</v>
      </c>
      <c r="D1727">
        <v>65226</v>
      </c>
      <c r="F1727">
        <v>65226</v>
      </c>
    </row>
    <row r="1728" spans="1:6" x14ac:dyDescent="0.25">
      <c r="A1728" t="s">
        <v>27</v>
      </c>
      <c r="B1728" t="s">
        <v>1639</v>
      </c>
      <c r="C1728">
        <v>38506</v>
      </c>
      <c r="D1728">
        <v>2308</v>
      </c>
      <c r="F1728">
        <v>2308</v>
      </c>
    </row>
    <row r="1729" spans="1:6" x14ac:dyDescent="0.25">
      <c r="A1729" t="s">
        <v>531</v>
      </c>
      <c r="B1729" t="s">
        <v>1640</v>
      </c>
      <c r="C1729">
        <v>38507</v>
      </c>
      <c r="D1729">
        <v>6</v>
      </c>
      <c r="F1729">
        <v>6</v>
      </c>
    </row>
    <row r="1730" spans="1:6" x14ac:dyDescent="0.25">
      <c r="A1730" t="s">
        <v>1583</v>
      </c>
      <c r="B1730" t="s">
        <v>1641</v>
      </c>
      <c r="C1730">
        <v>38508</v>
      </c>
      <c r="D1730">
        <v>27932</v>
      </c>
      <c r="F1730">
        <v>27932</v>
      </c>
    </row>
    <row r="1731" spans="1:6" x14ac:dyDescent="0.25">
      <c r="B1731" t="s">
        <v>2441</v>
      </c>
      <c r="D1731">
        <v>305311</v>
      </c>
      <c r="F1731">
        <v>305311</v>
      </c>
    </row>
    <row r="1732" spans="1:6" x14ac:dyDescent="0.25">
      <c r="B1732" t="s">
        <v>2292</v>
      </c>
    </row>
    <row r="1733" spans="1:6" x14ac:dyDescent="0.25">
      <c r="A1733" t="s">
        <v>2</v>
      </c>
      <c r="B1733" t="s">
        <v>1634</v>
      </c>
      <c r="C1733">
        <v>38601</v>
      </c>
      <c r="D1733">
        <v>10662</v>
      </c>
      <c r="F1733">
        <v>10662</v>
      </c>
    </row>
    <row r="1734" spans="1:6" x14ac:dyDescent="0.25">
      <c r="A1734" t="s">
        <v>15</v>
      </c>
      <c r="B1734" t="s">
        <v>1635</v>
      </c>
      <c r="C1734">
        <v>38602</v>
      </c>
      <c r="D1734">
        <v>0</v>
      </c>
      <c r="F1734">
        <v>0</v>
      </c>
    </row>
    <row r="1735" spans="1:6" x14ac:dyDescent="0.25">
      <c r="A1735" t="s">
        <v>16</v>
      </c>
      <c r="B1735" t="s">
        <v>1636</v>
      </c>
      <c r="C1735">
        <v>38603</v>
      </c>
      <c r="D1735">
        <v>0</v>
      </c>
      <c r="F1735">
        <v>0</v>
      </c>
    </row>
    <row r="1736" spans="1:6" x14ac:dyDescent="0.25">
      <c r="A1736" t="s">
        <v>25</v>
      </c>
      <c r="B1736" t="s">
        <v>1637</v>
      </c>
      <c r="C1736">
        <v>38604</v>
      </c>
      <c r="D1736">
        <v>345111</v>
      </c>
      <c r="F1736">
        <v>345111</v>
      </c>
    </row>
    <row r="1737" spans="1:6" x14ac:dyDescent="0.25">
      <c r="A1737" t="s">
        <v>26</v>
      </c>
      <c r="B1737" t="s">
        <v>1638</v>
      </c>
      <c r="C1737">
        <v>38605</v>
      </c>
      <c r="D1737">
        <v>102634</v>
      </c>
      <c r="F1737">
        <v>102634</v>
      </c>
    </row>
    <row r="1738" spans="1:6" x14ac:dyDescent="0.25">
      <c r="A1738" t="s">
        <v>27</v>
      </c>
      <c r="B1738" t="s">
        <v>1639</v>
      </c>
      <c r="C1738">
        <v>38606</v>
      </c>
      <c r="D1738">
        <v>11482</v>
      </c>
      <c r="F1738">
        <v>11482</v>
      </c>
    </row>
    <row r="1739" spans="1:6" x14ac:dyDescent="0.25">
      <c r="A1739" t="s">
        <v>531</v>
      </c>
      <c r="B1739" t="s">
        <v>1640</v>
      </c>
      <c r="C1739">
        <v>38607</v>
      </c>
      <c r="D1739">
        <v>4922</v>
      </c>
      <c r="F1739">
        <v>4922</v>
      </c>
    </row>
    <row r="1740" spans="1:6" x14ac:dyDescent="0.25">
      <c r="A1740" t="s">
        <v>1583</v>
      </c>
      <c r="B1740" t="s">
        <v>1641</v>
      </c>
      <c r="C1740">
        <v>38608</v>
      </c>
      <c r="D1740">
        <v>343544</v>
      </c>
      <c r="F1740">
        <v>343544</v>
      </c>
    </row>
    <row r="1741" spans="1:6" x14ac:dyDescent="0.25">
      <c r="B1741" t="s">
        <v>2442</v>
      </c>
      <c r="D1741">
        <v>818355</v>
      </c>
      <c r="F1741">
        <v>818355</v>
      </c>
    </row>
    <row r="1742" spans="1:6" x14ac:dyDescent="0.25">
      <c r="B1742" t="s">
        <v>1726</v>
      </c>
    </row>
    <row r="1743" spans="1:6" x14ac:dyDescent="0.25">
      <c r="A1743" t="s">
        <v>2</v>
      </c>
      <c r="B1743" t="s">
        <v>1648</v>
      </c>
      <c r="C1743">
        <v>38701</v>
      </c>
      <c r="D1743">
        <v>0</v>
      </c>
      <c r="F1743">
        <v>0</v>
      </c>
    </row>
    <row r="1744" spans="1:6" x14ac:dyDescent="0.25">
      <c r="A1744" t="s">
        <v>15</v>
      </c>
      <c r="B1744" t="s">
        <v>1649</v>
      </c>
      <c r="C1744">
        <v>38702</v>
      </c>
      <c r="D1744">
        <v>0</v>
      </c>
      <c r="F1744">
        <v>0</v>
      </c>
    </row>
    <row r="1745" spans="1:6" x14ac:dyDescent="0.25">
      <c r="A1745" t="s">
        <v>16</v>
      </c>
      <c r="B1745" t="s">
        <v>1637</v>
      </c>
      <c r="C1745">
        <v>38703</v>
      </c>
      <c r="D1745">
        <v>0</v>
      </c>
      <c r="F1745">
        <v>0</v>
      </c>
    </row>
    <row r="1746" spans="1:6" x14ac:dyDescent="0.25">
      <c r="A1746" t="s">
        <v>25</v>
      </c>
      <c r="B1746" t="s">
        <v>1638</v>
      </c>
      <c r="C1746">
        <v>38704</v>
      </c>
      <c r="D1746">
        <v>19652</v>
      </c>
      <c r="F1746">
        <v>19652</v>
      </c>
    </row>
    <row r="1747" spans="1:6" x14ac:dyDescent="0.25">
      <c r="A1747" t="s">
        <v>26</v>
      </c>
      <c r="B1747" t="s">
        <v>1650</v>
      </c>
      <c r="C1747">
        <v>38705</v>
      </c>
      <c r="D1747">
        <v>0</v>
      </c>
      <c r="F1747">
        <v>0</v>
      </c>
    </row>
    <row r="1748" spans="1:6" x14ac:dyDescent="0.25">
      <c r="A1748" t="s">
        <v>27</v>
      </c>
      <c r="B1748" t="s">
        <v>1651</v>
      </c>
      <c r="C1748">
        <v>38706</v>
      </c>
      <c r="D1748">
        <v>0</v>
      </c>
      <c r="F1748">
        <v>0</v>
      </c>
    </row>
    <row r="1749" spans="1:6" x14ac:dyDescent="0.25">
      <c r="A1749" t="s">
        <v>531</v>
      </c>
      <c r="B1749" t="s">
        <v>1640</v>
      </c>
      <c r="C1749">
        <v>38707</v>
      </c>
      <c r="D1749">
        <v>0</v>
      </c>
      <c r="F1749">
        <v>0</v>
      </c>
    </row>
    <row r="1750" spans="1:6" x14ac:dyDescent="0.25">
      <c r="A1750" t="s">
        <v>1583</v>
      </c>
      <c r="B1750" t="s">
        <v>1641</v>
      </c>
      <c r="C1750">
        <v>38708</v>
      </c>
      <c r="D1750">
        <v>0</v>
      </c>
      <c r="F1750">
        <v>0</v>
      </c>
    </row>
    <row r="1751" spans="1:6" x14ac:dyDescent="0.25">
      <c r="B1751" t="s">
        <v>2443</v>
      </c>
      <c r="D1751">
        <v>19652</v>
      </c>
      <c r="F1751">
        <v>19652</v>
      </c>
    </row>
    <row r="1752" spans="1:6" x14ac:dyDescent="0.25">
      <c r="B1752" t="s">
        <v>1910</v>
      </c>
      <c r="D1752">
        <v>38657853</v>
      </c>
      <c r="F1752">
        <v>38657853</v>
      </c>
    </row>
    <row r="1753" spans="1:6" x14ac:dyDescent="0.25">
      <c r="B1753" t="s">
        <v>2444</v>
      </c>
      <c r="D1753">
        <v>96803929</v>
      </c>
      <c r="E1753">
        <v>3978202</v>
      </c>
      <c r="F1753">
        <v>100782131</v>
      </c>
    </row>
    <row r="1754" spans="1:6" x14ac:dyDescent="0.25">
      <c r="B1754" t="s">
        <v>2019</v>
      </c>
    </row>
    <row r="1755" spans="1:6" x14ac:dyDescent="0.25">
      <c r="B1755" t="s">
        <v>2020</v>
      </c>
    </row>
    <row r="1756" spans="1:6" x14ac:dyDescent="0.25">
      <c r="B1756" t="s">
        <v>1575</v>
      </c>
    </row>
    <row r="1757" spans="1:6" x14ac:dyDescent="0.25">
      <c r="A1757" t="s">
        <v>2</v>
      </c>
      <c r="B1757" t="s">
        <v>1576</v>
      </c>
      <c r="C1757">
        <v>41101</v>
      </c>
      <c r="D1757">
        <v>0</v>
      </c>
      <c r="E1757">
        <v>0</v>
      </c>
      <c r="F1757">
        <v>0</v>
      </c>
    </row>
    <row r="1758" spans="1:6" x14ac:dyDescent="0.25">
      <c r="A1758" t="s">
        <v>15</v>
      </c>
      <c r="B1758" t="s">
        <v>1577</v>
      </c>
      <c r="C1758">
        <v>41102</v>
      </c>
      <c r="D1758">
        <v>0</v>
      </c>
      <c r="E1758">
        <v>0</v>
      </c>
      <c r="F1758">
        <v>0</v>
      </c>
    </row>
    <row r="1759" spans="1:6" x14ac:dyDescent="0.25">
      <c r="A1759" t="s">
        <v>16</v>
      </c>
      <c r="B1759" t="s">
        <v>1578</v>
      </c>
      <c r="C1759">
        <v>41103</v>
      </c>
      <c r="D1759">
        <v>0</v>
      </c>
      <c r="E1759">
        <v>0</v>
      </c>
      <c r="F1759">
        <v>0</v>
      </c>
    </row>
    <row r="1760" spans="1:6" x14ac:dyDescent="0.25">
      <c r="A1760" t="s">
        <v>25</v>
      </c>
      <c r="B1760" t="s">
        <v>1579</v>
      </c>
      <c r="C1760">
        <v>41104</v>
      </c>
      <c r="D1760">
        <v>0</v>
      </c>
      <c r="E1760">
        <v>0</v>
      </c>
      <c r="F1760">
        <v>0</v>
      </c>
    </row>
    <row r="1761" spans="1:6" x14ac:dyDescent="0.25">
      <c r="A1761" t="s">
        <v>26</v>
      </c>
      <c r="B1761" t="s">
        <v>1580</v>
      </c>
      <c r="C1761">
        <v>41105</v>
      </c>
      <c r="D1761">
        <v>69369</v>
      </c>
      <c r="E1761">
        <v>0</v>
      </c>
      <c r="F1761">
        <v>69369</v>
      </c>
    </row>
    <row r="1762" spans="1:6" x14ac:dyDescent="0.25">
      <c r="A1762" t="s">
        <v>27</v>
      </c>
      <c r="B1762" t="s">
        <v>1581</v>
      </c>
      <c r="C1762">
        <v>41106</v>
      </c>
      <c r="D1762">
        <v>0</v>
      </c>
      <c r="E1762">
        <v>0</v>
      </c>
      <c r="F1762">
        <v>0</v>
      </c>
    </row>
    <row r="1763" spans="1:6" x14ac:dyDescent="0.25">
      <c r="A1763" t="s">
        <v>531</v>
      </c>
      <c r="B1763" t="s">
        <v>1582</v>
      </c>
      <c r="C1763">
        <v>41107</v>
      </c>
      <c r="D1763">
        <v>0</v>
      </c>
      <c r="E1763">
        <v>0</v>
      </c>
      <c r="F1763">
        <v>0</v>
      </c>
    </row>
    <row r="1764" spans="1:6" x14ac:dyDescent="0.25">
      <c r="A1764" t="s">
        <v>1583</v>
      </c>
      <c r="B1764" t="s">
        <v>1584</v>
      </c>
      <c r="C1764">
        <v>41108</v>
      </c>
      <c r="D1764">
        <v>1714</v>
      </c>
      <c r="E1764">
        <v>0</v>
      </c>
      <c r="F1764">
        <v>1714</v>
      </c>
    </row>
    <row r="1765" spans="1:6" x14ac:dyDescent="0.25">
      <c r="A1765" t="s">
        <v>1585</v>
      </c>
      <c r="B1765" t="s">
        <v>1586</v>
      </c>
      <c r="C1765">
        <v>41109</v>
      </c>
      <c r="D1765">
        <v>2141</v>
      </c>
      <c r="E1765">
        <v>0</v>
      </c>
      <c r="F1765">
        <v>2141</v>
      </c>
    </row>
    <row r="1766" spans="1:6" x14ac:dyDescent="0.25">
      <c r="A1766" t="s">
        <v>1587</v>
      </c>
      <c r="B1766" t="s">
        <v>1588</v>
      </c>
      <c r="C1766">
        <v>41110</v>
      </c>
      <c r="D1766">
        <v>0</v>
      </c>
      <c r="E1766">
        <v>0</v>
      </c>
      <c r="F1766">
        <v>0</v>
      </c>
    </row>
    <row r="1767" spans="1:6" x14ac:dyDescent="0.25">
      <c r="A1767" t="s">
        <v>1589</v>
      </c>
      <c r="B1767" t="s">
        <v>1590</v>
      </c>
      <c r="C1767">
        <v>41111</v>
      </c>
      <c r="D1767">
        <v>115873</v>
      </c>
      <c r="E1767">
        <v>0</v>
      </c>
      <c r="F1767">
        <v>115873</v>
      </c>
    </row>
    <row r="1768" spans="1:6" x14ac:dyDescent="0.25">
      <c r="A1768" t="s">
        <v>1591</v>
      </c>
      <c r="B1768" t="s">
        <v>1592</v>
      </c>
      <c r="C1768">
        <v>41112</v>
      </c>
      <c r="D1768">
        <v>1103530</v>
      </c>
      <c r="E1768">
        <v>0</v>
      </c>
      <c r="F1768">
        <v>1103530</v>
      </c>
    </row>
    <row r="1769" spans="1:6" x14ac:dyDescent="0.25">
      <c r="A1769" t="s">
        <v>1593</v>
      </c>
      <c r="B1769" t="s">
        <v>1594</v>
      </c>
      <c r="C1769">
        <v>41113</v>
      </c>
      <c r="D1769">
        <v>1892</v>
      </c>
      <c r="E1769">
        <v>0</v>
      </c>
      <c r="F1769">
        <v>1892</v>
      </c>
    </row>
    <row r="1770" spans="1:6" x14ac:dyDescent="0.25">
      <c r="A1770" t="s">
        <v>1595</v>
      </c>
      <c r="B1770" t="s">
        <v>1596</v>
      </c>
      <c r="C1770">
        <v>41114</v>
      </c>
      <c r="D1770">
        <v>47959</v>
      </c>
      <c r="E1770">
        <v>0</v>
      </c>
      <c r="F1770">
        <v>47959</v>
      </c>
    </row>
    <row r="1771" spans="1:6" x14ac:dyDescent="0.25">
      <c r="A1771" t="s">
        <v>1597</v>
      </c>
      <c r="B1771" t="s">
        <v>1598</v>
      </c>
      <c r="C1771">
        <v>41115</v>
      </c>
      <c r="D1771">
        <v>22024</v>
      </c>
      <c r="E1771">
        <v>0</v>
      </c>
      <c r="F1771">
        <v>22024</v>
      </c>
    </row>
    <row r="1772" spans="1:6" x14ac:dyDescent="0.25">
      <c r="A1772" t="s">
        <v>1599</v>
      </c>
      <c r="B1772" t="s">
        <v>1600</v>
      </c>
      <c r="C1772">
        <v>41116</v>
      </c>
      <c r="D1772">
        <v>0</v>
      </c>
      <c r="E1772">
        <v>0</v>
      </c>
      <c r="F1772">
        <v>0</v>
      </c>
    </row>
    <row r="1773" spans="1:6" x14ac:dyDescent="0.25">
      <c r="A1773" t="s">
        <v>1601</v>
      </c>
      <c r="B1773" t="s">
        <v>1602</v>
      </c>
      <c r="C1773">
        <v>41117</v>
      </c>
      <c r="D1773">
        <v>0</v>
      </c>
      <c r="E1773">
        <v>0</v>
      </c>
      <c r="F1773">
        <v>0</v>
      </c>
    </row>
    <row r="1774" spans="1:6" x14ac:dyDescent="0.25">
      <c r="A1774" t="s">
        <v>1603</v>
      </c>
      <c r="B1774" t="s">
        <v>1604</v>
      </c>
      <c r="C1774">
        <v>41118</v>
      </c>
      <c r="D1774">
        <v>877</v>
      </c>
      <c r="E1774">
        <v>0</v>
      </c>
      <c r="F1774">
        <v>877</v>
      </c>
    </row>
    <row r="1775" spans="1:6" x14ac:dyDescent="0.25">
      <c r="A1775" t="s">
        <v>1605</v>
      </c>
      <c r="B1775" t="s">
        <v>1606</v>
      </c>
      <c r="C1775">
        <v>41119</v>
      </c>
      <c r="D1775">
        <v>0</v>
      </c>
      <c r="E1775">
        <v>0</v>
      </c>
      <c r="F1775">
        <v>0</v>
      </c>
    </row>
    <row r="1776" spans="1:6" x14ac:dyDescent="0.25">
      <c r="A1776" t="s">
        <v>1607</v>
      </c>
      <c r="B1776" t="s">
        <v>1608</v>
      </c>
      <c r="C1776">
        <v>41120</v>
      </c>
      <c r="D1776">
        <v>0</v>
      </c>
      <c r="E1776">
        <v>0</v>
      </c>
      <c r="F1776">
        <v>0</v>
      </c>
    </row>
    <row r="1777" spans="1:6" x14ac:dyDescent="0.25">
      <c r="B1777" t="s">
        <v>2021</v>
      </c>
      <c r="D1777">
        <v>1365379</v>
      </c>
      <c r="E1777">
        <v>0</v>
      </c>
      <c r="F1777">
        <v>1365379</v>
      </c>
    </row>
    <row r="1778" spans="1:6" x14ac:dyDescent="0.25">
      <c r="B1778" t="s">
        <v>1656</v>
      </c>
    </row>
    <row r="1779" spans="1:6" x14ac:dyDescent="0.25">
      <c r="A1779" t="s">
        <v>2</v>
      </c>
      <c r="B1779" t="s">
        <v>1611</v>
      </c>
      <c r="C1779">
        <v>41201</v>
      </c>
      <c r="D1779">
        <v>0</v>
      </c>
      <c r="E1779">
        <v>0</v>
      </c>
      <c r="F1779">
        <v>0</v>
      </c>
    </row>
    <row r="1780" spans="1:6" x14ac:dyDescent="0.25">
      <c r="A1780" t="s">
        <v>15</v>
      </c>
      <c r="B1780" t="s">
        <v>1612</v>
      </c>
      <c r="C1780">
        <v>41202</v>
      </c>
      <c r="D1780">
        <v>0</v>
      </c>
      <c r="E1780">
        <v>0</v>
      </c>
      <c r="F1780">
        <v>0</v>
      </c>
    </row>
    <row r="1781" spans="1:6" x14ac:dyDescent="0.25">
      <c r="A1781" t="s">
        <v>16</v>
      </c>
      <c r="B1781" t="s">
        <v>1613</v>
      </c>
      <c r="C1781">
        <v>41203</v>
      </c>
      <c r="D1781">
        <v>0</v>
      </c>
      <c r="E1781">
        <v>0</v>
      </c>
      <c r="F1781">
        <v>0</v>
      </c>
    </row>
    <row r="1782" spans="1:6" x14ac:dyDescent="0.25">
      <c r="A1782" t="s">
        <v>25</v>
      </c>
      <c r="B1782" t="s">
        <v>1614</v>
      </c>
      <c r="C1782">
        <v>41204</v>
      </c>
      <c r="D1782">
        <v>12571</v>
      </c>
      <c r="E1782">
        <v>0</v>
      </c>
      <c r="F1782">
        <v>12571</v>
      </c>
    </row>
    <row r="1783" spans="1:6" x14ac:dyDescent="0.25">
      <c r="A1783" t="s">
        <v>26</v>
      </c>
      <c r="B1783" t="s">
        <v>1615</v>
      </c>
      <c r="C1783">
        <v>41205</v>
      </c>
      <c r="D1783">
        <v>0</v>
      </c>
      <c r="E1783">
        <v>0</v>
      </c>
      <c r="F1783">
        <v>0</v>
      </c>
    </row>
    <row r="1784" spans="1:6" x14ac:dyDescent="0.25">
      <c r="A1784" t="s">
        <v>27</v>
      </c>
      <c r="B1784" t="s">
        <v>1616</v>
      </c>
      <c r="C1784">
        <v>41206</v>
      </c>
      <c r="D1784">
        <v>0</v>
      </c>
      <c r="E1784">
        <v>0</v>
      </c>
      <c r="F1784">
        <v>0</v>
      </c>
    </row>
    <row r="1785" spans="1:6" x14ac:dyDescent="0.25">
      <c r="A1785" t="s">
        <v>531</v>
      </c>
      <c r="B1785" t="s">
        <v>1617</v>
      </c>
      <c r="C1785">
        <v>41207</v>
      </c>
      <c r="D1785">
        <v>0</v>
      </c>
      <c r="E1785">
        <v>0</v>
      </c>
      <c r="F1785">
        <v>0</v>
      </c>
    </row>
    <row r="1786" spans="1:6" x14ac:dyDescent="0.25">
      <c r="A1786" t="s">
        <v>1583</v>
      </c>
      <c r="B1786" t="s">
        <v>1618</v>
      </c>
      <c r="C1786">
        <v>41208</v>
      </c>
      <c r="D1786">
        <v>0</v>
      </c>
      <c r="E1786">
        <v>0</v>
      </c>
      <c r="F1786">
        <v>0</v>
      </c>
    </row>
    <row r="1787" spans="1:6" x14ac:dyDescent="0.25">
      <c r="A1787" t="s">
        <v>1585</v>
      </c>
      <c r="B1787" t="s">
        <v>1619</v>
      </c>
      <c r="C1787">
        <v>41209</v>
      </c>
      <c r="D1787">
        <v>0</v>
      </c>
      <c r="E1787">
        <v>0</v>
      </c>
      <c r="F1787">
        <v>0</v>
      </c>
    </row>
    <row r="1788" spans="1:6" x14ac:dyDescent="0.25">
      <c r="A1788" t="s">
        <v>1587</v>
      </c>
      <c r="B1788" t="s">
        <v>1620</v>
      </c>
      <c r="C1788">
        <v>41210</v>
      </c>
      <c r="D1788">
        <v>0</v>
      </c>
      <c r="E1788">
        <v>0</v>
      </c>
      <c r="F1788">
        <v>0</v>
      </c>
    </row>
    <row r="1789" spans="1:6" x14ac:dyDescent="0.25">
      <c r="A1789" t="s">
        <v>1589</v>
      </c>
      <c r="B1789" t="s">
        <v>1621</v>
      </c>
      <c r="C1789">
        <v>41211</v>
      </c>
      <c r="D1789">
        <v>0</v>
      </c>
      <c r="E1789">
        <v>0</v>
      </c>
      <c r="F1789">
        <v>0</v>
      </c>
    </row>
    <row r="1790" spans="1:6" x14ac:dyDescent="0.25">
      <c r="A1790" t="s">
        <v>1591</v>
      </c>
      <c r="B1790" t="s">
        <v>1622</v>
      </c>
      <c r="C1790">
        <v>41212</v>
      </c>
      <c r="D1790">
        <v>135</v>
      </c>
      <c r="E1790">
        <v>0</v>
      </c>
      <c r="F1790">
        <v>135</v>
      </c>
    </row>
    <row r="1791" spans="1:6" x14ac:dyDescent="0.25">
      <c r="A1791" t="s">
        <v>1593</v>
      </c>
      <c r="B1791" t="s">
        <v>1623</v>
      </c>
      <c r="C1791">
        <v>41213</v>
      </c>
      <c r="D1791">
        <v>0</v>
      </c>
      <c r="E1791">
        <v>0</v>
      </c>
      <c r="F1791">
        <v>0</v>
      </c>
    </row>
    <row r="1792" spans="1:6" x14ac:dyDescent="0.25">
      <c r="A1792" t="s">
        <v>1595</v>
      </c>
      <c r="B1792" t="s">
        <v>1624</v>
      </c>
      <c r="C1792">
        <v>41214</v>
      </c>
      <c r="D1792">
        <v>0</v>
      </c>
      <c r="E1792">
        <v>0</v>
      </c>
      <c r="F1792">
        <v>0</v>
      </c>
    </row>
    <row r="1793" spans="1:6" x14ac:dyDescent="0.25">
      <c r="A1793" t="s">
        <v>1597</v>
      </c>
      <c r="B1793" t="s">
        <v>1625</v>
      </c>
      <c r="C1793">
        <v>41215</v>
      </c>
      <c r="D1793">
        <v>0</v>
      </c>
      <c r="E1793">
        <v>0</v>
      </c>
      <c r="F1793">
        <v>0</v>
      </c>
    </row>
    <row r="1794" spans="1:6" x14ac:dyDescent="0.25">
      <c r="A1794" t="s">
        <v>1599</v>
      </c>
      <c r="B1794" t="s">
        <v>1626</v>
      </c>
      <c r="C1794">
        <v>41216</v>
      </c>
      <c r="D1794">
        <v>0</v>
      </c>
      <c r="E1794">
        <v>0</v>
      </c>
      <c r="F1794">
        <v>0</v>
      </c>
    </row>
    <row r="1795" spans="1:6" x14ac:dyDescent="0.25">
      <c r="A1795" t="s">
        <v>1601</v>
      </c>
      <c r="B1795" t="s">
        <v>1627</v>
      </c>
      <c r="C1795">
        <v>41217</v>
      </c>
      <c r="D1795">
        <v>0</v>
      </c>
      <c r="E1795">
        <v>0</v>
      </c>
      <c r="F1795">
        <v>0</v>
      </c>
    </row>
    <row r="1796" spans="1:6" x14ac:dyDescent="0.25">
      <c r="A1796" t="s">
        <v>1603</v>
      </c>
      <c r="B1796" t="s">
        <v>1596</v>
      </c>
      <c r="C1796">
        <v>41218</v>
      </c>
      <c r="D1796">
        <v>0</v>
      </c>
      <c r="E1796">
        <v>0</v>
      </c>
      <c r="F1796">
        <v>0</v>
      </c>
    </row>
    <row r="1797" spans="1:6" x14ac:dyDescent="0.25">
      <c r="A1797" t="s">
        <v>1605</v>
      </c>
      <c r="B1797" t="s">
        <v>1598</v>
      </c>
      <c r="C1797">
        <v>41219</v>
      </c>
      <c r="D1797">
        <v>0</v>
      </c>
      <c r="E1797">
        <v>0</v>
      </c>
      <c r="F1797">
        <v>0</v>
      </c>
    </row>
    <row r="1798" spans="1:6" x14ac:dyDescent="0.25">
      <c r="A1798" t="s">
        <v>1607</v>
      </c>
      <c r="B1798" t="s">
        <v>1602</v>
      </c>
      <c r="C1798">
        <v>41220</v>
      </c>
      <c r="D1798">
        <v>0</v>
      </c>
      <c r="E1798">
        <v>0</v>
      </c>
      <c r="F1798">
        <v>0</v>
      </c>
    </row>
    <row r="1799" spans="1:6" x14ac:dyDescent="0.25">
      <c r="B1799" t="s">
        <v>2022</v>
      </c>
      <c r="D1799">
        <v>12706</v>
      </c>
      <c r="E1799">
        <v>0</v>
      </c>
      <c r="F1799">
        <v>12706</v>
      </c>
    </row>
    <row r="1800" spans="1:6" x14ac:dyDescent="0.25">
      <c r="B1800" t="s">
        <v>1658</v>
      </c>
    </row>
    <row r="1801" spans="1:6" x14ac:dyDescent="0.25">
      <c r="A1801" t="s">
        <v>2</v>
      </c>
      <c r="B1801" t="s">
        <v>1627</v>
      </c>
      <c r="C1801">
        <v>41301</v>
      </c>
      <c r="D1801">
        <v>0</v>
      </c>
      <c r="E1801">
        <v>0</v>
      </c>
      <c r="F1801">
        <v>0</v>
      </c>
    </row>
    <row r="1802" spans="1:6" x14ac:dyDescent="0.25">
      <c r="A1802" t="s">
        <v>15</v>
      </c>
      <c r="B1802" t="s">
        <v>1625</v>
      </c>
      <c r="C1802">
        <v>41302</v>
      </c>
      <c r="D1802">
        <v>0</v>
      </c>
      <c r="E1802">
        <v>0</v>
      </c>
      <c r="F1802">
        <v>0</v>
      </c>
    </row>
    <row r="1803" spans="1:6" x14ac:dyDescent="0.25">
      <c r="A1803" t="s">
        <v>16</v>
      </c>
      <c r="B1803" t="s">
        <v>1626</v>
      </c>
      <c r="C1803">
        <v>41303</v>
      </c>
      <c r="D1803">
        <v>0</v>
      </c>
      <c r="E1803">
        <v>0</v>
      </c>
      <c r="F1803">
        <v>0</v>
      </c>
    </row>
    <row r="1804" spans="1:6" x14ac:dyDescent="0.25">
      <c r="B1804" t="s">
        <v>2023</v>
      </c>
      <c r="D1804">
        <v>0</v>
      </c>
      <c r="E1804">
        <v>0</v>
      </c>
      <c r="F1804">
        <v>0</v>
      </c>
    </row>
    <row r="1805" spans="1:6" x14ac:dyDescent="0.25">
      <c r="B1805" t="s">
        <v>2445</v>
      </c>
    </row>
    <row r="1806" spans="1:6" x14ac:dyDescent="0.25">
      <c r="A1806" t="s">
        <v>2</v>
      </c>
      <c r="B1806" t="s">
        <v>1576</v>
      </c>
      <c r="C1806">
        <v>41401</v>
      </c>
      <c r="D1806">
        <v>0</v>
      </c>
      <c r="F1806">
        <v>0</v>
      </c>
    </row>
    <row r="1807" spans="1:6" x14ac:dyDescent="0.25">
      <c r="A1807" t="s">
        <v>15</v>
      </c>
      <c r="B1807" t="s">
        <v>1577</v>
      </c>
      <c r="C1807">
        <v>41402</v>
      </c>
      <c r="D1807">
        <v>0</v>
      </c>
      <c r="F1807">
        <v>0</v>
      </c>
    </row>
    <row r="1808" spans="1:6" x14ac:dyDescent="0.25">
      <c r="A1808" t="s">
        <v>16</v>
      </c>
      <c r="B1808" t="s">
        <v>1578</v>
      </c>
      <c r="C1808">
        <v>41403</v>
      </c>
      <c r="D1808">
        <v>0</v>
      </c>
      <c r="F1808">
        <v>0</v>
      </c>
    </row>
    <row r="1809" spans="1:6" x14ac:dyDescent="0.25">
      <c r="A1809" t="s">
        <v>25</v>
      </c>
      <c r="B1809" t="s">
        <v>1579</v>
      </c>
      <c r="C1809">
        <v>41404</v>
      </c>
      <c r="D1809">
        <v>0</v>
      </c>
      <c r="F1809">
        <v>0</v>
      </c>
    </row>
    <row r="1810" spans="1:6" x14ac:dyDescent="0.25">
      <c r="A1810" t="s">
        <v>26</v>
      </c>
      <c r="B1810" t="s">
        <v>1580</v>
      </c>
      <c r="C1810">
        <v>41405</v>
      </c>
      <c r="D1810">
        <v>0</v>
      </c>
      <c r="F1810">
        <v>0</v>
      </c>
    </row>
    <row r="1811" spans="1:6" x14ac:dyDescent="0.25">
      <c r="A1811" t="s">
        <v>27</v>
      </c>
      <c r="B1811" t="s">
        <v>1581</v>
      </c>
      <c r="C1811">
        <v>41406</v>
      </c>
      <c r="D1811">
        <v>0</v>
      </c>
      <c r="F1811">
        <v>0</v>
      </c>
    </row>
    <row r="1812" spans="1:6" x14ac:dyDescent="0.25">
      <c r="A1812" t="s">
        <v>531</v>
      </c>
      <c r="B1812" t="s">
        <v>1582</v>
      </c>
      <c r="C1812">
        <v>41407</v>
      </c>
      <c r="D1812">
        <v>0</v>
      </c>
      <c r="F1812">
        <v>0</v>
      </c>
    </row>
    <row r="1813" spans="1:6" x14ac:dyDescent="0.25">
      <c r="A1813" t="s">
        <v>1583</v>
      </c>
      <c r="B1813" t="s">
        <v>1584</v>
      </c>
      <c r="C1813">
        <v>41408</v>
      </c>
      <c r="D1813">
        <v>0</v>
      </c>
      <c r="F1813">
        <v>0</v>
      </c>
    </row>
    <row r="1814" spans="1:6" x14ac:dyDescent="0.25">
      <c r="A1814" t="s">
        <v>1585</v>
      </c>
      <c r="B1814" t="s">
        <v>1586</v>
      </c>
      <c r="C1814">
        <v>41409</v>
      </c>
      <c r="D1814">
        <v>0</v>
      </c>
      <c r="F1814">
        <v>0</v>
      </c>
    </row>
    <row r="1815" spans="1:6" x14ac:dyDescent="0.25">
      <c r="A1815" t="s">
        <v>1587</v>
      </c>
      <c r="B1815" t="s">
        <v>1588</v>
      </c>
      <c r="C1815">
        <v>41410</v>
      </c>
      <c r="D1815">
        <v>0</v>
      </c>
      <c r="F1815">
        <v>0</v>
      </c>
    </row>
    <row r="1816" spans="1:6" x14ac:dyDescent="0.25">
      <c r="A1816" t="s">
        <v>1589</v>
      </c>
      <c r="B1816" t="s">
        <v>1590</v>
      </c>
      <c r="C1816">
        <v>41411</v>
      </c>
      <c r="D1816">
        <v>0</v>
      </c>
      <c r="F1816">
        <v>0</v>
      </c>
    </row>
    <row r="1817" spans="1:6" x14ac:dyDescent="0.25">
      <c r="A1817" t="s">
        <v>1591</v>
      </c>
      <c r="B1817" t="s">
        <v>1592</v>
      </c>
      <c r="C1817">
        <v>41412</v>
      </c>
      <c r="D1817">
        <v>0</v>
      </c>
      <c r="F1817">
        <v>0</v>
      </c>
    </row>
    <row r="1818" spans="1:6" x14ac:dyDescent="0.25">
      <c r="A1818" t="s">
        <v>1593</v>
      </c>
      <c r="B1818" t="s">
        <v>1594</v>
      </c>
      <c r="C1818">
        <v>41413</v>
      </c>
      <c r="D1818">
        <v>0</v>
      </c>
      <c r="F1818">
        <v>0</v>
      </c>
    </row>
    <row r="1819" spans="1:6" x14ac:dyDescent="0.25">
      <c r="A1819" t="s">
        <v>1595</v>
      </c>
      <c r="B1819" t="s">
        <v>1596</v>
      </c>
      <c r="C1819">
        <v>41414</v>
      </c>
      <c r="D1819">
        <v>0</v>
      </c>
      <c r="F1819">
        <v>0</v>
      </c>
    </row>
    <row r="1820" spans="1:6" x14ac:dyDescent="0.25">
      <c r="A1820" t="s">
        <v>1597</v>
      </c>
      <c r="B1820" t="s">
        <v>1598</v>
      </c>
      <c r="C1820">
        <v>41415</v>
      </c>
      <c r="D1820">
        <v>0</v>
      </c>
      <c r="F1820">
        <v>0</v>
      </c>
    </row>
    <row r="1821" spans="1:6" x14ac:dyDescent="0.25">
      <c r="A1821" t="s">
        <v>1599</v>
      </c>
      <c r="B1821" t="s">
        <v>1600</v>
      </c>
      <c r="C1821">
        <v>41416</v>
      </c>
      <c r="D1821">
        <v>0</v>
      </c>
      <c r="F1821">
        <v>0</v>
      </c>
    </row>
    <row r="1822" spans="1:6" x14ac:dyDescent="0.25">
      <c r="A1822" t="s">
        <v>1601</v>
      </c>
      <c r="B1822" t="s">
        <v>1602</v>
      </c>
      <c r="C1822">
        <v>41417</v>
      </c>
      <c r="D1822">
        <v>0</v>
      </c>
      <c r="F1822">
        <v>0</v>
      </c>
    </row>
    <row r="1823" spans="1:6" x14ac:dyDescent="0.25">
      <c r="A1823" t="s">
        <v>1603</v>
      </c>
      <c r="B1823" t="s">
        <v>1604</v>
      </c>
      <c r="C1823">
        <v>41418</v>
      </c>
      <c r="D1823">
        <v>0</v>
      </c>
      <c r="F1823">
        <v>0</v>
      </c>
    </row>
    <row r="1824" spans="1:6" x14ac:dyDescent="0.25">
      <c r="A1824" t="s">
        <v>1605</v>
      </c>
      <c r="B1824" t="s">
        <v>1606</v>
      </c>
      <c r="C1824">
        <v>41419</v>
      </c>
      <c r="D1824">
        <v>0</v>
      </c>
      <c r="F1824">
        <v>0</v>
      </c>
    </row>
    <row r="1825" spans="1:6" x14ac:dyDescent="0.25">
      <c r="A1825" t="s">
        <v>1607</v>
      </c>
      <c r="B1825" t="s">
        <v>1608</v>
      </c>
      <c r="C1825">
        <v>41420</v>
      </c>
      <c r="D1825">
        <v>0</v>
      </c>
      <c r="F1825">
        <v>0</v>
      </c>
    </row>
    <row r="1826" spans="1:6" x14ac:dyDescent="0.25">
      <c r="B1826" t="s">
        <v>2446</v>
      </c>
      <c r="D1826">
        <v>0</v>
      </c>
      <c r="F1826">
        <v>0</v>
      </c>
    </row>
    <row r="1827" spans="1:6" x14ac:dyDescent="0.25">
      <c r="B1827" t="s">
        <v>2447</v>
      </c>
    </row>
    <row r="1828" spans="1:6" x14ac:dyDescent="0.25">
      <c r="A1828" t="s">
        <v>2</v>
      </c>
      <c r="B1828" t="s">
        <v>1611</v>
      </c>
      <c r="C1828">
        <v>41501</v>
      </c>
      <c r="D1828">
        <v>0</v>
      </c>
      <c r="F1828">
        <v>0</v>
      </c>
    </row>
    <row r="1829" spans="1:6" x14ac:dyDescent="0.25">
      <c r="A1829" t="s">
        <v>15</v>
      </c>
      <c r="B1829" t="s">
        <v>1612</v>
      </c>
      <c r="C1829">
        <v>41502</v>
      </c>
      <c r="D1829">
        <v>0</v>
      </c>
      <c r="F1829">
        <v>0</v>
      </c>
    </row>
    <row r="1830" spans="1:6" x14ac:dyDescent="0.25">
      <c r="A1830" t="s">
        <v>16</v>
      </c>
      <c r="B1830" t="s">
        <v>1613</v>
      </c>
      <c r="C1830">
        <v>41503</v>
      </c>
      <c r="D1830">
        <v>0</v>
      </c>
      <c r="F1830">
        <v>0</v>
      </c>
    </row>
    <row r="1831" spans="1:6" x14ac:dyDescent="0.25">
      <c r="A1831" t="s">
        <v>25</v>
      </c>
      <c r="B1831" t="s">
        <v>1614</v>
      </c>
      <c r="C1831">
        <v>41504</v>
      </c>
      <c r="D1831">
        <v>0</v>
      </c>
      <c r="F1831">
        <v>0</v>
      </c>
    </row>
    <row r="1832" spans="1:6" x14ac:dyDescent="0.25">
      <c r="A1832" t="s">
        <v>26</v>
      </c>
      <c r="B1832" t="s">
        <v>1615</v>
      </c>
      <c r="C1832">
        <v>41505</v>
      </c>
      <c r="D1832">
        <v>0</v>
      </c>
      <c r="F1832">
        <v>0</v>
      </c>
    </row>
    <row r="1833" spans="1:6" x14ac:dyDescent="0.25">
      <c r="A1833" t="s">
        <v>27</v>
      </c>
      <c r="B1833" t="s">
        <v>1616</v>
      </c>
      <c r="C1833">
        <v>41506</v>
      </c>
      <c r="D1833">
        <v>0</v>
      </c>
      <c r="F1833">
        <v>0</v>
      </c>
    </row>
    <row r="1834" spans="1:6" x14ac:dyDescent="0.25">
      <c r="A1834" t="s">
        <v>531</v>
      </c>
      <c r="B1834" t="s">
        <v>1617</v>
      </c>
      <c r="C1834">
        <v>41507</v>
      </c>
      <c r="D1834">
        <v>0</v>
      </c>
      <c r="F1834">
        <v>0</v>
      </c>
    </row>
    <row r="1835" spans="1:6" x14ac:dyDescent="0.25">
      <c r="A1835" t="s">
        <v>1583</v>
      </c>
      <c r="B1835" t="s">
        <v>1618</v>
      </c>
      <c r="C1835">
        <v>41508</v>
      </c>
      <c r="D1835">
        <v>0</v>
      </c>
      <c r="F1835">
        <v>0</v>
      </c>
    </row>
    <row r="1836" spans="1:6" x14ac:dyDescent="0.25">
      <c r="A1836" t="s">
        <v>1585</v>
      </c>
      <c r="B1836" t="s">
        <v>1619</v>
      </c>
      <c r="C1836">
        <v>41509</v>
      </c>
      <c r="D1836">
        <v>0</v>
      </c>
      <c r="F1836">
        <v>0</v>
      </c>
    </row>
    <row r="1837" spans="1:6" x14ac:dyDescent="0.25">
      <c r="A1837" t="s">
        <v>1587</v>
      </c>
      <c r="B1837" t="s">
        <v>1620</v>
      </c>
      <c r="C1837">
        <v>41510</v>
      </c>
      <c r="D1837">
        <v>0</v>
      </c>
      <c r="F1837">
        <v>0</v>
      </c>
    </row>
    <row r="1838" spans="1:6" x14ac:dyDescent="0.25">
      <c r="A1838" t="s">
        <v>1589</v>
      </c>
      <c r="B1838" t="s">
        <v>1621</v>
      </c>
      <c r="C1838">
        <v>41511</v>
      </c>
      <c r="D1838">
        <v>0</v>
      </c>
      <c r="F1838">
        <v>0</v>
      </c>
    </row>
    <row r="1839" spans="1:6" x14ac:dyDescent="0.25">
      <c r="A1839" t="s">
        <v>1591</v>
      </c>
      <c r="B1839" t="s">
        <v>1622</v>
      </c>
      <c r="C1839">
        <v>41512</v>
      </c>
      <c r="D1839">
        <v>0</v>
      </c>
      <c r="F1839">
        <v>0</v>
      </c>
    </row>
    <row r="1840" spans="1:6" x14ac:dyDescent="0.25">
      <c r="A1840" t="s">
        <v>1593</v>
      </c>
      <c r="B1840" t="s">
        <v>1623</v>
      </c>
      <c r="C1840">
        <v>41513</v>
      </c>
      <c r="D1840">
        <v>0</v>
      </c>
      <c r="F1840">
        <v>0</v>
      </c>
    </row>
    <row r="1841" spans="1:6" x14ac:dyDescent="0.25">
      <c r="A1841" t="s">
        <v>1595</v>
      </c>
      <c r="B1841" t="s">
        <v>1624</v>
      </c>
      <c r="C1841">
        <v>41514</v>
      </c>
      <c r="D1841">
        <v>0</v>
      </c>
      <c r="F1841">
        <v>0</v>
      </c>
    </row>
    <row r="1842" spans="1:6" x14ac:dyDescent="0.25">
      <c r="A1842" t="s">
        <v>1597</v>
      </c>
      <c r="B1842" t="s">
        <v>1625</v>
      </c>
      <c r="C1842">
        <v>41515</v>
      </c>
      <c r="D1842">
        <v>0</v>
      </c>
      <c r="F1842">
        <v>0</v>
      </c>
    </row>
    <row r="1843" spans="1:6" x14ac:dyDescent="0.25">
      <c r="A1843" t="s">
        <v>1599</v>
      </c>
      <c r="B1843" t="s">
        <v>1626</v>
      </c>
      <c r="C1843">
        <v>41516</v>
      </c>
      <c r="D1843">
        <v>0</v>
      </c>
      <c r="F1843">
        <v>0</v>
      </c>
    </row>
    <row r="1844" spans="1:6" x14ac:dyDescent="0.25">
      <c r="A1844" t="s">
        <v>1601</v>
      </c>
      <c r="B1844" t="s">
        <v>1627</v>
      </c>
      <c r="C1844">
        <v>41517</v>
      </c>
      <c r="D1844">
        <v>0</v>
      </c>
      <c r="F1844">
        <v>0</v>
      </c>
    </row>
    <row r="1845" spans="1:6" x14ac:dyDescent="0.25">
      <c r="A1845" t="s">
        <v>1603</v>
      </c>
      <c r="B1845" t="s">
        <v>1596</v>
      </c>
      <c r="C1845">
        <v>41518</v>
      </c>
      <c r="D1845">
        <v>0</v>
      </c>
      <c r="F1845">
        <v>0</v>
      </c>
    </row>
    <row r="1846" spans="1:6" x14ac:dyDescent="0.25">
      <c r="A1846" t="s">
        <v>1605</v>
      </c>
      <c r="B1846" t="s">
        <v>1598</v>
      </c>
      <c r="C1846">
        <v>41519</v>
      </c>
      <c r="D1846">
        <v>0</v>
      </c>
      <c r="F1846">
        <v>0</v>
      </c>
    </row>
    <row r="1847" spans="1:6" x14ac:dyDescent="0.25">
      <c r="A1847" t="s">
        <v>1607</v>
      </c>
      <c r="B1847" t="s">
        <v>1602</v>
      </c>
      <c r="C1847">
        <v>41520</v>
      </c>
      <c r="D1847">
        <v>0</v>
      </c>
      <c r="F1847">
        <v>0</v>
      </c>
    </row>
    <row r="1848" spans="1:6" x14ac:dyDescent="0.25">
      <c r="B1848" t="s">
        <v>2448</v>
      </c>
      <c r="D1848">
        <v>0</v>
      </c>
      <c r="F1848">
        <v>0</v>
      </c>
    </row>
    <row r="1849" spans="1:6" x14ac:dyDescent="0.25">
      <c r="B1849" t="s">
        <v>2449</v>
      </c>
    </row>
    <row r="1850" spans="1:6" x14ac:dyDescent="0.25">
      <c r="A1850" t="s">
        <v>2</v>
      </c>
      <c r="B1850" t="s">
        <v>1627</v>
      </c>
      <c r="C1850">
        <v>41601</v>
      </c>
      <c r="D1850">
        <v>0</v>
      </c>
      <c r="F1850">
        <v>0</v>
      </c>
    </row>
    <row r="1851" spans="1:6" x14ac:dyDescent="0.25">
      <c r="A1851" t="s">
        <v>15</v>
      </c>
      <c r="B1851" t="s">
        <v>1625</v>
      </c>
      <c r="C1851">
        <v>41602</v>
      </c>
      <c r="D1851">
        <v>0</v>
      </c>
      <c r="F1851">
        <v>0</v>
      </c>
    </row>
    <row r="1852" spans="1:6" x14ac:dyDescent="0.25">
      <c r="A1852" t="s">
        <v>16</v>
      </c>
      <c r="B1852" t="s">
        <v>1626</v>
      </c>
      <c r="C1852">
        <v>41603</v>
      </c>
      <c r="D1852">
        <v>0</v>
      </c>
      <c r="F1852">
        <v>0</v>
      </c>
    </row>
    <row r="1853" spans="1:6" x14ac:dyDescent="0.25">
      <c r="B1853" t="s">
        <v>2450</v>
      </c>
      <c r="D1853">
        <v>0</v>
      </c>
      <c r="F1853">
        <v>0</v>
      </c>
    </row>
    <row r="1854" spans="1:6" x14ac:dyDescent="0.25">
      <c r="B1854" t="s">
        <v>1653</v>
      </c>
      <c r="D1854">
        <v>1378085</v>
      </c>
      <c r="E1854">
        <v>0</v>
      </c>
      <c r="F1854">
        <v>1378085</v>
      </c>
    </row>
    <row r="1855" spans="1:6" x14ac:dyDescent="0.25">
      <c r="B1855" t="s">
        <v>2024</v>
      </c>
    </row>
    <row r="1856" spans="1:6" x14ac:dyDescent="0.25">
      <c r="B1856" t="s">
        <v>2025</v>
      </c>
    </row>
    <row r="1857" spans="1:6" x14ac:dyDescent="0.25">
      <c r="A1857" t="s">
        <v>2</v>
      </c>
      <c r="B1857" t="s">
        <v>1634</v>
      </c>
      <c r="C1857">
        <v>42101</v>
      </c>
      <c r="D1857">
        <v>0</v>
      </c>
      <c r="F1857">
        <v>0</v>
      </c>
    </row>
    <row r="1858" spans="1:6" x14ac:dyDescent="0.25">
      <c r="A1858" t="s">
        <v>15</v>
      </c>
      <c r="B1858" t="s">
        <v>1635</v>
      </c>
      <c r="C1858">
        <v>42102</v>
      </c>
      <c r="D1858">
        <v>0</v>
      </c>
      <c r="F1858">
        <v>0</v>
      </c>
    </row>
    <row r="1859" spans="1:6" x14ac:dyDescent="0.25">
      <c r="A1859" t="s">
        <v>16</v>
      </c>
      <c r="B1859" t="s">
        <v>1636</v>
      </c>
      <c r="C1859">
        <v>42103</v>
      </c>
      <c r="D1859">
        <v>0</v>
      </c>
      <c r="F1859">
        <v>0</v>
      </c>
    </row>
    <row r="1860" spans="1:6" x14ac:dyDescent="0.25">
      <c r="A1860" t="s">
        <v>25</v>
      </c>
      <c r="B1860" t="s">
        <v>1637</v>
      </c>
      <c r="C1860">
        <v>42104</v>
      </c>
      <c r="D1860">
        <v>0</v>
      </c>
      <c r="F1860">
        <v>0</v>
      </c>
    </row>
    <row r="1861" spans="1:6" x14ac:dyDescent="0.25">
      <c r="A1861" t="s">
        <v>26</v>
      </c>
      <c r="B1861" t="s">
        <v>1638</v>
      </c>
      <c r="C1861">
        <v>42105</v>
      </c>
      <c r="D1861">
        <v>0</v>
      </c>
      <c r="F1861">
        <v>0</v>
      </c>
    </row>
    <row r="1862" spans="1:6" x14ac:dyDescent="0.25">
      <c r="A1862" t="s">
        <v>27</v>
      </c>
      <c r="B1862" t="s">
        <v>1639</v>
      </c>
      <c r="C1862">
        <v>42106</v>
      </c>
      <c r="D1862">
        <v>0</v>
      </c>
      <c r="F1862">
        <v>0</v>
      </c>
    </row>
    <row r="1863" spans="1:6" x14ac:dyDescent="0.25">
      <c r="A1863" t="s">
        <v>531</v>
      </c>
      <c r="B1863" t="s">
        <v>1640</v>
      </c>
      <c r="C1863">
        <v>42107</v>
      </c>
      <c r="D1863">
        <v>0</v>
      </c>
      <c r="F1863">
        <v>0</v>
      </c>
    </row>
    <row r="1864" spans="1:6" x14ac:dyDescent="0.25">
      <c r="A1864" t="s">
        <v>1583</v>
      </c>
      <c r="B1864" t="s">
        <v>1641</v>
      </c>
      <c r="C1864">
        <v>42108</v>
      </c>
      <c r="D1864">
        <v>0</v>
      </c>
      <c r="F1864">
        <v>0</v>
      </c>
    </row>
    <row r="1865" spans="1:6" x14ac:dyDescent="0.25">
      <c r="B1865" t="s">
        <v>2026</v>
      </c>
      <c r="D1865">
        <v>0</v>
      </c>
      <c r="F1865">
        <v>0</v>
      </c>
    </row>
    <row r="1866" spans="1:6" x14ac:dyDescent="0.25">
      <c r="B1866" t="s">
        <v>2451</v>
      </c>
    </row>
    <row r="1867" spans="1:6" x14ac:dyDescent="0.25">
      <c r="A1867" t="s">
        <v>2</v>
      </c>
      <c r="B1867" t="s">
        <v>1634</v>
      </c>
      <c r="C1867">
        <v>42201</v>
      </c>
      <c r="D1867">
        <v>0</v>
      </c>
      <c r="F1867">
        <v>0</v>
      </c>
    </row>
    <row r="1868" spans="1:6" x14ac:dyDescent="0.25">
      <c r="A1868" t="s">
        <v>15</v>
      </c>
      <c r="B1868" t="s">
        <v>1635</v>
      </c>
      <c r="C1868">
        <v>42202</v>
      </c>
      <c r="D1868">
        <v>0</v>
      </c>
      <c r="F1868">
        <v>0</v>
      </c>
    </row>
    <row r="1869" spans="1:6" x14ac:dyDescent="0.25">
      <c r="A1869" t="s">
        <v>16</v>
      </c>
      <c r="B1869" t="s">
        <v>1636</v>
      </c>
      <c r="C1869">
        <v>42203</v>
      </c>
      <c r="D1869">
        <v>0</v>
      </c>
      <c r="F1869">
        <v>0</v>
      </c>
    </row>
    <row r="1870" spans="1:6" x14ac:dyDescent="0.25">
      <c r="A1870" t="s">
        <v>25</v>
      </c>
      <c r="B1870" t="s">
        <v>1637</v>
      </c>
      <c r="C1870">
        <v>42204</v>
      </c>
      <c r="D1870">
        <v>0</v>
      </c>
      <c r="F1870">
        <v>0</v>
      </c>
    </row>
    <row r="1871" spans="1:6" x14ac:dyDescent="0.25">
      <c r="A1871" t="s">
        <v>26</v>
      </c>
      <c r="B1871" t="s">
        <v>1638</v>
      </c>
      <c r="C1871">
        <v>42205</v>
      </c>
      <c r="D1871">
        <v>0</v>
      </c>
      <c r="F1871">
        <v>0</v>
      </c>
    </row>
    <row r="1872" spans="1:6" x14ac:dyDescent="0.25">
      <c r="A1872" t="s">
        <v>27</v>
      </c>
      <c r="B1872" t="s">
        <v>1639</v>
      </c>
      <c r="C1872">
        <v>42206</v>
      </c>
      <c r="D1872">
        <v>0</v>
      </c>
      <c r="F1872">
        <v>0</v>
      </c>
    </row>
    <row r="1873" spans="1:6" x14ac:dyDescent="0.25">
      <c r="A1873" t="s">
        <v>531</v>
      </c>
      <c r="B1873" t="s">
        <v>1640</v>
      </c>
      <c r="C1873">
        <v>42207</v>
      </c>
      <c r="D1873">
        <v>0</v>
      </c>
      <c r="F1873">
        <v>0</v>
      </c>
    </row>
    <row r="1874" spans="1:6" x14ac:dyDescent="0.25">
      <c r="A1874" t="s">
        <v>1583</v>
      </c>
      <c r="B1874" t="s">
        <v>1641</v>
      </c>
      <c r="C1874">
        <v>42208</v>
      </c>
      <c r="D1874">
        <v>0</v>
      </c>
      <c r="F1874">
        <v>0</v>
      </c>
    </row>
    <row r="1875" spans="1:6" x14ac:dyDescent="0.25">
      <c r="B1875" t="s">
        <v>2028</v>
      </c>
      <c r="D1875">
        <v>0</v>
      </c>
      <c r="F1875">
        <v>0</v>
      </c>
    </row>
    <row r="1876" spans="1:6" x14ac:dyDescent="0.25">
      <c r="B1876" t="s">
        <v>2452</v>
      </c>
    </row>
    <row r="1877" spans="1:6" x14ac:dyDescent="0.25">
      <c r="A1877" t="s">
        <v>2</v>
      </c>
      <c r="B1877" t="s">
        <v>1634</v>
      </c>
      <c r="C1877">
        <v>42301</v>
      </c>
      <c r="D1877">
        <v>57157</v>
      </c>
      <c r="F1877">
        <v>57157</v>
      </c>
    </row>
    <row r="1878" spans="1:6" x14ac:dyDescent="0.25">
      <c r="A1878" t="s">
        <v>15</v>
      </c>
      <c r="B1878" t="s">
        <v>1635</v>
      </c>
      <c r="C1878">
        <v>42302</v>
      </c>
      <c r="D1878">
        <v>0</v>
      </c>
      <c r="F1878">
        <v>0</v>
      </c>
    </row>
    <row r="1879" spans="1:6" x14ac:dyDescent="0.25">
      <c r="A1879" t="s">
        <v>16</v>
      </c>
      <c r="B1879" t="s">
        <v>1636</v>
      </c>
      <c r="C1879">
        <v>42303</v>
      </c>
      <c r="D1879">
        <v>0</v>
      </c>
      <c r="F1879">
        <v>0</v>
      </c>
    </row>
    <row r="1880" spans="1:6" x14ac:dyDescent="0.25">
      <c r="A1880" t="s">
        <v>25</v>
      </c>
      <c r="B1880" t="s">
        <v>1637</v>
      </c>
      <c r="C1880">
        <v>42304</v>
      </c>
      <c r="D1880">
        <v>501</v>
      </c>
      <c r="F1880">
        <v>501</v>
      </c>
    </row>
    <row r="1881" spans="1:6" x14ac:dyDescent="0.25">
      <c r="A1881" t="s">
        <v>26</v>
      </c>
      <c r="B1881" t="s">
        <v>1638</v>
      </c>
      <c r="C1881">
        <v>42305</v>
      </c>
      <c r="D1881">
        <v>7903</v>
      </c>
      <c r="F1881">
        <v>7903</v>
      </c>
    </row>
    <row r="1882" spans="1:6" x14ac:dyDescent="0.25">
      <c r="A1882" t="s">
        <v>27</v>
      </c>
      <c r="B1882" t="s">
        <v>1639</v>
      </c>
      <c r="C1882">
        <v>42306</v>
      </c>
      <c r="D1882">
        <v>1</v>
      </c>
      <c r="F1882">
        <v>1</v>
      </c>
    </row>
    <row r="1883" spans="1:6" x14ac:dyDescent="0.25">
      <c r="A1883" t="s">
        <v>531</v>
      </c>
      <c r="B1883" t="s">
        <v>1640</v>
      </c>
      <c r="C1883">
        <v>42307</v>
      </c>
      <c r="D1883">
        <v>0</v>
      </c>
      <c r="F1883">
        <v>0</v>
      </c>
    </row>
    <row r="1884" spans="1:6" x14ac:dyDescent="0.25">
      <c r="A1884" t="s">
        <v>1583</v>
      </c>
      <c r="B1884" t="s">
        <v>1641</v>
      </c>
      <c r="C1884">
        <v>42308</v>
      </c>
      <c r="D1884">
        <v>206222</v>
      </c>
      <c r="F1884">
        <v>206222</v>
      </c>
    </row>
    <row r="1885" spans="1:6" x14ac:dyDescent="0.25">
      <c r="B1885" t="s">
        <v>2030</v>
      </c>
      <c r="D1885">
        <v>271784</v>
      </c>
      <c r="F1885">
        <v>271784</v>
      </c>
    </row>
    <row r="1886" spans="1:6" x14ac:dyDescent="0.25">
      <c r="B1886" t="s">
        <v>2453</v>
      </c>
    </row>
    <row r="1887" spans="1:6" x14ac:dyDescent="0.25">
      <c r="A1887" t="s">
        <v>2</v>
      </c>
      <c r="B1887" t="s">
        <v>1634</v>
      </c>
      <c r="C1887">
        <v>42401</v>
      </c>
      <c r="D1887">
        <v>0</v>
      </c>
      <c r="F1887">
        <v>0</v>
      </c>
    </row>
    <row r="1888" spans="1:6" x14ac:dyDescent="0.25">
      <c r="A1888" t="s">
        <v>15</v>
      </c>
      <c r="B1888" t="s">
        <v>1635</v>
      </c>
      <c r="C1888">
        <v>42402</v>
      </c>
      <c r="D1888">
        <v>0</v>
      </c>
      <c r="F1888">
        <v>0</v>
      </c>
    </row>
    <row r="1889" spans="1:6" x14ac:dyDescent="0.25">
      <c r="A1889" t="s">
        <v>16</v>
      </c>
      <c r="B1889" t="s">
        <v>1636</v>
      </c>
      <c r="C1889">
        <v>42403</v>
      </c>
      <c r="D1889">
        <v>0</v>
      </c>
      <c r="F1889">
        <v>0</v>
      </c>
    </row>
    <row r="1890" spans="1:6" x14ac:dyDescent="0.25">
      <c r="A1890" t="s">
        <v>25</v>
      </c>
      <c r="B1890" t="s">
        <v>1637</v>
      </c>
      <c r="C1890">
        <v>42404</v>
      </c>
      <c r="D1890">
        <v>0</v>
      </c>
      <c r="F1890">
        <v>0</v>
      </c>
    </row>
    <row r="1891" spans="1:6" x14ac:dyDescent="0.25">
      <c r="A1891" t="s">
        <v>26</v>
      </c>
      <c r="B1891" t="s">
        <v>1638</v>
      </c>
      <c r="C1891">
        <v>42405</v>
      </c>
      <c r="D1891">
        <v>6805</v>
      </c>
      <c r="F1891">
        <v>6805</v>
      </c>
    </row>
    <row r="1892" spans="1:6" x14ac:dyDescent="0.25">
      <c r="A1892" t="s">
        <v>27</v>
      </c>
      <c r="B1892" t="s">
        <v>1639</v>
      </c>
      <c r="C1892">
        <v>42406</v>
      </c>
      <c r="D1892">
        <v>0</v>
      </c>
      <c r="F1892">
        <v>0</v>
      </c>
    </row>
    <row r="1893" spans="1:6" x14ac:dyDescent="0.25">
      <c r="A1893" t="s">
        <v>531</v>
      </c>
      <c r="B1893" t="s">
        <v>1640</v>
      </c>
      <c r="C1893">
        <v>42407</v>
      </c>
      <c r="D1893">
        <v>0</v>
      </c>
      <c r="F1893">
        <v>0</v>
      </c>
    </row>
    <row r="1894" spans="1:6" x14ac:dyDescent="0.25">
      <c r="A1894" t="s">
        <v>1583</v>
      </c>
      <c r="B1894" t="s">
        <v>1641</v>
      </c>
      <c r="C1894">
        <v>42408</v>
      </c>
      <c r="D1894">
        <v>10090</v>
      </c>
      <c r="F1894">
        <v>10090</v>
      </c>
    </row>
    <row r="1895" spans="1:6" x14ac:dyDescent="0.25">
      <c r="B1895" t="s">
        <v>2032</v>
      </c>
      <c r="D1895">
        <v>16895</v>
      </c>
      <c r="F1895">
        <v>16895</v>
      </c>
    </row>
    <row r="1896" spans="1:6" x14ac:dyDescent="0.25">
      <c r="B1896" t="s">
        <v>2033</v>
      </c>
    </row>
    <row r="1897" spans="1:6" x14ac:dyDescent="0.25">
      <c r="A1897" t="s">
        <v>2</v>
      </c>
      <c r="B1897" t="s">
        <v>1648</v>
      </c>
      <c r="C1897">
        <v>42501</v>
      </c>
      <c r="D1897">
        <v>0</v>
      </c>
      <c r="F1897">
        <v>0</v>
      </c>
    </row>
    <row r="1898" spans="1:6" x14ac:dyDescent="0.25">
      <c r="A1898" t="s">
        <v>15</v>
      </c>
      <c r="B1898" t="s">
        <v>1649</v>
      </c>
      <c r="C1898">
        <v>42502</v>
      </c>
      <c r="D1898">
        <v>0</v>
      </c>
      <c r="F1898">
        <v>0</v>
      </c>
    </row>
    <row r="1899" spans="1:6" x14ac:dyDescent="0.25">
      <c r="A1899" t="s">
        <v>16</v>
      </c>
      <c r="B1899" t="s">
        <v>1637</v>
      </c>
      <c r="C1899">
        <v>42503</v>
      </c>
      <c r="D1899">
        <v>0</v>
      </c>
      <c r="F1899">
        <v>0</v>
      </c>
    </row>
    <row r="1900" spans="1:6" x14ac:dyDescent="0.25">
      <c r="A1900" t="s">
        <v>25</v>
      </c>
      <c r="B1900" t="s">
        <v>1638</v>
      </c>
      <c r="C1900">
        <v>42504</v>
      </c>
      <c r="D1900">
        <v>4114</v>
      </c>
      <c r="F1900">
        <v>4114</v>
      </c>
    </row>
    <row r="1901" spans="1:6" x14ac:dyDescent="0.25">
      <c r="A1901" t="s">
        <v>26</v>
      </c>
      <c r="B1901" t="s">
        <v>1650</v>
      </c>
      <c r="C1901">
        <v>42505</v>
      </c>
      <c r="D1901">
        <v>0</v>
      </c>
      <c r="F1901">
        <v>0</v>
      </c>
    </row>
    <row r="1902" spans="1:6" x14ac:dyDescent="0.25">
      <c r="A1902" t="s">
        <v>27</v>
      </c>
      <c r="B1902" t="s">
        <v>1651</v>
      </c>
      <c r="C1902">
        <v>42506</v>
      </c>
      <c r="D1902">
        <v>0</v>
      </c>
      <c r="F1902">
        <v>0</v>
      </c>
    </row>
    <row r="1903" spans="1:6" x14ac:dyDescent="0.25">
      <c r="A1903" t="s">
        <v>531</v>
      </c>
      <c r="B1903" t="s">
        <v>1640</v>
      </c>
      <c r="C1903">
        <v>42507</v>
      </c>
      <c r="D1903">
        <v>0</v>
      </c>
      <c r="F1903">
        <v>0</v>
      </c>
    </row>
    <row r="1904" spans="1:6" x14ac:dyDescent="0.25">
      <c r="A1904" t="s">
        <v>1583</v>
      </c>
      <c r="B1904" t="s">
        <v>1641</v>
      </c>
      <c r="C1904">
        <v>42508</v>
      </c>
      <c r="D1904">
        <v>0</v>
      </c>
      <c r="F1904">
        <v>0</v>
      </c>
    </row>
    <row r="1905" spans="1:6" x14ac:dyDescent="0.25">
      <c r="B1905" t="s">
        <v>2034</v>
      </c>
      <c r="D1905">
        <v>4114</v>
      </c>
      <c r="F1905">
        <v>4114</v>
      </c>
    </row>
    <row r="1906" spans="1:6" x14ac:dyDescent="0.25">
      <c r="B1906" t="s">
        <v>2454</v>
      </c>
    </row>
    <row r="1907" spans="1:6" x14ac:dyDescent="0.25">
      <c r="A1907" t="s">
        <v>2</v>
      </c>
      <c r="B1907" t="s">
        <v>1648</v>
      </c>
      <c r="C1907">
        <v>42601</v>
      </c>
      <c r="D1907">
        <v>0</v>
      </c>
      <c r="F1907">
        <v>0</v>
      </c>
    </row>
    <row r="1908" spans="1:6" x14ac:dyDescent="0.25">
      <c r="A1908" t="s">
        <v>15</v>
      </c>
      <c r="B1908" t="s">
        <v>1649</v>
      </c>
      <c r="C1908">
        <v>42602</v>
      </c>
      <c r="D1908">
        <v>0</v>
      </c>
      <c r="F1908">
        <v>0</v>
      </c>
    </row>
    <row r="1909" spans="1:6" x14ac:dyDescent="0.25">
      <c r="A1909" t="s">
        <v>16</v>
      </c>
      <c r="B1909" t="s">
        <v>1637</v>
      </c>
      <c r="C1909">
        <v>42603</v>
      </c>
      <c r="D1909">
        <v>0</v>
      </c>
      <c r="F1909">
        <v>0</v>
      </c>
    </row>
    <row r="1910" spans="1:6" x14ac:dyDescent="0.25">
      <c r="A1910" t="s">
        <v>25</v>
      </c>
      <c r="B1910" t="s">
        <v>1638</v>
      </c>
      <c r="C1910">
        <v>42604</v>
      </c>
      <c r="D1910">
        <v>0</v>
      </c>
      <c r="F1910">
        <v>0</v>
      </c>
    </row>
    <row r="1911" spans="1:6" x14ac:dyDescent="0.25">
      <c r="A1911" t="s">
        <v>26</v>
      </c>
      <c r="B1911" t="s">
        <v>1650</v>
      </c>
      <c r="C1911">
        <v>42605</v>
      </c>
      <c r="D1911">
        <v>0</v>
      </c>
      <c r="F1911">
        <v>0</v>
      </c>
    </row>
    <row r="1912" spans="1:6" x14ac:dyDescent="0.25">
      <c r="A1912" t="s">
        <v>27</v>
      </c>
      <c r="B1912" t="s">
        <v>1651</v>
      </c>
      <c r="C1912">
        <v>42606</v>
      </c>
      <c r="D1912">
        <v>0</v>
      </c>
      <c r="F1912">
        <v>0</v>
      </c>
    </row>
    <row r="1913" spans="1:6" x14ac:dyDescent="0.25">
      <c r="A1913" t="s">
        <v>531</v>
      </c>
      <c r="B1913" t="s">
        <v>1640</v>
      </c>
      <c r="C1913">
        <v>42607</v>
      </c>
      <c r="D1913">
        <v>0</v>
      </c>
      <c r="F1913">
        <v>0</v>
      </c>
    </row>
    <row r="1914" spans="1:6" x14ac:dyDescent="0.25">
      <c r="A1914" t="s">
        <v>1583</v>
      </c>
      <c r="B1914" t="s">
        <v>1641</v>
      </c>
      <c r="C1914">
        <v>42608</v>
      </c>
      <c r="D1914">
        <v>0</v>
      </c>
      <c r="F1914">
        <v>0</v>
      </c>
    </row>
    <row r="1915" spans="1:6" x14ac:dyDescent="0.25">
      <c r="B1915" t="s">
        <v>2455</v>
      </c>
      <c r="D1915">
        <v>0</v>
      </c>
      <c r="F1915">
        <v>0</v>
      </c>
    </row>
    <row r="1916" spans="1:6" x14ac:dyDescent="0.25">
      <c r="B1916" t="s">
        <v>1660</v>
      </c>
      <c r="D1916">
        <v>292793</v>
      </c>
      <c r="F1916">
        <v>292793</v>
      </c>
    </row>
    <row r="1917" spans="1:6" x14ac:dyDescent="0.25">
      <c r="B1917" t="s">
        <v>2035</v>
      </c>
    </row>
    <row r="1918" spans="1:6" x14ac:dyDescent="0.25">
      <c r="B1918" t="s">
        <v>2036</v>
      </c>
    </row>
    <row r="1919" spans="1:6" x14ac:dyDescent="0.25">
      <c r="A1919" t="s">
        <v>2</v>
      </c>
      <c r="B1919" t="s">
        <v>1637</v>
      </c>
      <c r="C1919">
        <v>43101</v>
      </c>
      <c r="D1919">
        <v>16176</v>
      </c>
      <c r="F1919">
        <v>16176</v>
      </c>
    </row>
    <row r="1920" spans="1:6" x14ac:dyDescent="0.25">
      <c r="A1920" t="s">
        <v>15</v>
      </c>
      <c r="B1920" t="s">
        <v>1638</v>
      </c>
      <c r="C1920">
        <v>43102</v>
      </c>
      <c r="D1920">
        <v>31139</v>
      </c>
      <c r="F1920">
        <v>31139</v>
      </c>
    </row>
    <row r="1921" spans="1:6" x14ac:dyDescent="0.25">
      <c r="A1921" t="s">
        <v>16</v>
      </c>
      <c r="B1921" t="s">
        <v>1640</v>
      </c>
      <c r="C1921">
        <v>43103</v>
      </c>
      <c r="D1921">
        <v>0</v>
      </c>
      <c r="F1921">
        <v>0</v>
      </c>
    </row>
    <row r="1922" spans="1:6" x14ac:dyDescent="0.25">
      <c r="A1922" t="s">
        <v>25</v>
      </c>
      <c r="B1922" t="s">
        <v>1641</v>
      </c>
      <c r="C1922">
        <v>43104</v>
      </c>
      <c r="D1922">
        <v>0</v>
      </c>
      <c r="F1922">
        <v>0</v>
      </c>
    </row>
    <row r="1923" spans="1:6" x14ac:dyDescent="0.25">
      <c r="B1923" t="s">
        <v>2037</v>
      </c>
      <c r="D1923">
        <v>47315</v>
      </c>
      <c r="F1923">
        <v>47315</v>
      </c>
    </row>
    <row r="1924" spans="1:6" x14ac:dyDescent="0.25">
      <c r="B1924" t="s">
        <v>2277</v>
      </c>
    </row>
    <row r="1925" spans="1:6" x14ac:dyDescent="0.25">
      <c r="A1925" t="s">
        <v>2</v>
      </c>
      <c r="B1925" t="s">
        <v>1637</v>
      </c>
      <c r="C1925">
        <v>43201</v>
      </c>
      <c r="D1925">
        <v>356831</v>
      </c>
      <c r="F1925">
        <v>356831</v>
      </c>
    </row>
    <row r="1926" spans="1:6" x14ac:dyDescent="0.25">
      <c r="A1926" t="s">
        <v>15</v>
      </c>
      <c r="B1926" t="s">
        <v>1638</v>
      </c>
      <c r="C1926">
        <v>43202</v>
      </c>
      <c r="D1926">
        <v>863097</v>
      </c>
      <c r="F1926">
        <v>863097</v>
      </c>
    </row>
    <row r="1927" spans="1:6" x14ac:dyDescent="0.25">
      <c r="A1927" t="s">
        <v>16</v>
      </c>
      <c r="B1927" t="s">
        <v>1640</v>
      </c>
      <c r="C1927">
        <v>43203</v>
      </c>
      <c r="D1927">
        <v>8964</v>
      </c>
      <c r="F1927">
        <v>8964</v>
      </c>
    </row>
    <row r="1928" spans="1:6" x14ac:dyDescent="0.25">
      <c r="A1928" t="s">
        <v>25</v>
      </c>
      <c r="B1928" t="s">
        <v>1641</v>
      </c>
      <c r="C1928">
        <v>43204</v>
      </c>
      <c r="D1928">
        <v>0</v>
      </c>
      <c r="F1928">
        <v>0</v>
      </c>
    </row>
    <row r="1929" spans="1:6" x14ac:dyDescent="0.25">
      <c r="B1929" t="s">
        <v>2039</v>
      </c>
      <c r="D1929">
        <v>1228892</v>
      </c>
      <c r="F1929">
        <v>1228892</v>
      </c>
    </row>
    <row r="1930" spans="1:6" x14ac:dyDescent="0.25">
      <c r="B1930" t="s">
        <v>2456</v>
      </c>
    </row>
    <row r="1931" spans="1:6" x14ac:dyDescent="0.25">
      <c r="A1931" t="s">
        <v>2</v>
      </c>
      <c r="B1931" t="s">
        <v>1637</v>
      </c>
      <c r="C1931">
        <v>43301</v>
      </c>
      <c r="D1931">
        <v>0</v>
      </c>
      <c r="F1931">
        <v>0</v>
      </c>
    </row>
    <row r="1932" spans="1:6" x14ac:dyDescent="0.25">
      <c r="A1932" t="s">
        <v>15</v>
      </c>
      <c r="B1932" t="s">
        <v>1638</v>
      </c>
      <c r="C1932">
        <v>43302</v>
      </c>
      <c r="D1932">
        <v>0</v>
      </c>
      <c r="F1932">
        <v>0</v>
      </c>
    </row>
    <row r="1933" spans="1:6" x14ac:dyDescent="0.25">
      <c r="A1933" t="s">
        <v>16</v>
      </c>
      <c r="B1933" t="s">
        <v>1640</v>
      </c>
      <c r="C1933">
        <v>43303</v>
      </c>
      <c r="D1933">
        <v>0</v>
      </c>
      <c r="F1933">
        <v>0</v>
      </c>
    </row>
    <row r="1934" spans="1:6" x14ac:dyDescent="0.25">
      <c r="A1934" t="s">
        <v>25</v>
      </c>
      <c r="B1934" t="s">
        <v>1641</v>
      </c>
      <c r="C1934">
        <v>43304</v>
      </c>
      <c r="D1934">
        <v>0</v>
      </c>
      <c r="F1934">
        <v>0</v>
      </c>
    </row>
    <row r="1935" spans="1:6" x14ac:dyDescent="0.25">
      <c r="B1935" t="s">
        <v>2041</v>
      </c>
      <c r="D1935">
        <v>0</v>
      </c>
      <c r="F1935">
        <v>0</v>
      </c>
    </row>
    <row r="1936" spans="1:6" x14ac:dyDescent="0.25">
      <c r="B1936" t="s">
        <v>2457</v>
      </c>
    </row>
    <row r="1937" spans="1:6" x14ac:dyDescent="0.25">
      <c r="A1937" t="s">
        <v>2</v>
      </c>
      <c r="B1937" t="s">
        <v>1637</v>
      </c>
      <c r="C1937">
        <v>43501</v>
      </c>
      <c r="D1937">
        <v>0</v>
      </c>
      <c r="F1937">
        <v>0</v>
      </c>
    </row>
    <row r="1938" spans="1:6" x14ac:dyDescent="0.25">
      <c r="A1938" t="s">
        <v>15</v>
      </c>
      <c r="B1938" t="s">
        <v>1638</v>
      </c>
      <c r="C1938">
        <v>43502</v>
      </c>
      <c r="D1938">
        <v>0</v>
      </c>
      <c r="F1938">
        <v>0</v>
      </c>
    </row>
    <row r="1939" spans="1:6" x14ac:dyDescent="0.25">
      <c r="A1939" t="s">
        <v>16</v>
      </c>
      <c r="B1939" t="s">
        <v>1640</v>
      </c>
      <c r="C1939">
        <v>43503</v>
      </c>
      <c r="D1939">
        <v>0</v>
      </c>
      <c r="F1939">
        <v>0</v>
      </c>
    </row>
    <row r="1940" spans="1:6" x14ac:dyDescent="0.25">
      <c r="A1940" t="s">
        <v>25</v>
      </c>
      <c r="B1940" t="s">
        <v>1641</v>
      </c>
      <c r="C1940">
        <v>43504</v>
      </c>
      <c r="D1940">
        <v>0</v>
      </c>
      <c r="F1940">
        <v>0</v>
      </c>
    </row>
    <row r="1941" spans="1:6" x14ac:dyDescent="0.25">
      <c r="B1941" t="s">
        <v>2045</v>
      </c>
      <c r="D1941">
        <v>0</v>
      </c>
      <c r="F1941">
        <v>0</v>
      </c>
    </row>
    <row r="1942" spans="1:6" x14ac:dyDescent="0.25">
      <c r="B1942" t="s">
        <v>1670</v>
      </c>
      <c r="D1942">
        <v>1276207</v>
      </c>
      <c r="F1942">
        <v>1276207</v>
      </c>
    </row>
    <row r="1943" spans="1:6" x14ac:dyDescent="0.25">
      <c r="B1943" t="s">
        <v>2046</v>
      </c>
    </row>
    <row r="1944" spans="1:6" x14ac:dyDescent="0.25">
      <c r="B1944" t="s">
        <v>1672</v>
      </c>
    </row>
    <row r="1945" spans="1:6" x14ac:dyDescent="0.25">
      <c r="A1945" t="s">
        <v>2</v>
      </c>
      <c r="B1945" t="s">
        <v>1673</v>
      </c>
      <c r="C1945">
        <v>44101</v>
      </c>
      <c r="D1945">
        <v>32312</v>
      </c>
      <c r="E1945">
        <v>0</v>
      </c>
      <c r="F1945">
        <v>32312</v>
      </c>
    </row>
    <row r="1946" spans="1:6" x14ac:dyDescent="0.25">
      <c r="A1946" t="s">
        <v>15</v>
      </c>
      <c r="B1946" t="s">
        <v>1674</v>
      </c>
      <c r="C1946">
        <v>44102</v>
      </c>
      <c r="D1946">
        <v>560</v>
      </c>
      <c r="E1946">
        <v>0</v>
      </c>
      <c r="F1946">
        <v>560</v>
      </c>
    </row>
    <row r="1947" spans="1:6" x14ac:dyDescent="0.25">
      <c r="A1947" t="s">
        <v>16</v>
      </c>
      <c r="B1947" t="s">
        <v>1675</v>
      </c>
      <c r="C1947">
        <v>44103</v>
      </c>
      <c r="D1947">
        <v>259</v>
      </c>
      <c r="E1947">
        <v>0</v>
      </c>
      <c r="F1947">
        <v>259</v>
      </c>
    </row>
    <row r="1948" spans="1:6" x14ac:dyDescent="0.25">
      <c r="A1948" t="s">
        <v>25</v>
      </c>
      <c r="B1948" t="s">
        <v>1676</v>
      </c>
      <c r="C1948">
        <v>44104</v>
      </c>
      <c r="D1948">
        <v>0</v>
      </c>
      <c r="E1948">
        <v>0</v>
      </c>
      <c r="F1948">
        <v>0</v>
      </c>
    </row>
    <row r="1949" spans="1:6" x14ac:dyDescent="0.25">
      <c r="A1949" t="s">
        <v>26</v>
      </c>
      <c r="B1949" t="s">
        <v>1677</v>
      </c>
      <c r="C1949">
        <v>44105</v>
      </c>
      <c r="D1949">
        <v>0</v>
      </c>
      <c r="E1949">
        <v>0</v>
      </c>
      <c r="F1949">
        <v>0</v>
      </c>
    </row>
    <row r="1950" spans="1:6" x14ac:dyDescent="0.25">
      <c r="B1950" t="s">
        <v>2047</v>
      </c>
      <c r="D1950">
        <v>33131</v>
      </c>
      <c r="E1950">
        <v>0</v>
      </c>
      <c r="F1950">
        <v>33131</v>
      </c>
    </row>
    <row r="1951" spans="1:6" x14ac:dyDescent="0.25">
      <c r="B1951" t="s">
        <v>1781</v>
      </c>
    </row>
    <row r="1952" spans="1:6" x14ac:dyDescent="0.25">
      <c r="A1952" t="s">
        <v>2</v>
      </c>
      <c r="B1952" t="s">
        <v>1693</v>
      </c>
      <c r="C1952">
        <v>44201</v>
      </c>
      <c r="D1952">
        <v>0</v>
      </c>
      <c r="E1952">
        <v>0</v>
      </c>
      <c r="F1952">
        <v>0</v>
      </c>
    </row>
    <row r="1953" spans="1:6" x14ac:dyDescent="0.25">
      <c r="A1953" t="s">
        <v>15</v>
      </c>
      <c r="B1953" t="s">
        <v>1694</v>
      </c>
      <c r="C1953">
        <v>44202</v>
      </c>
      <c r="D1953">
        <v>0</v>
      </c>
      <c r="E1953">
        <v>0</v>
      </c>
      <c r="F1953">
        <v>0</v>
      </c>
    </row>
    <row r="1954" spans="1:6" x14ac:dyDescent="0.25">
      <c r="A1954" t="s">
        <v>16</v>
      </c>
      <c r="B1954" t="s">
        <v>1695</v>
      </c>
      <c r="C1954">
        <v>44203</v>
      </c>
      <c r="D1954">
        <v>0</v>
      </c>
      <c r="E1954">
        <v>0</v>
      </c>
      <c r="F1954">
        <v>0</v>
      </c>
    </row>
    <row r="1955" spans="1:6" x14ac:dyDescent="0.25">
      <c r="A1955" t="s">
        <v>25</v>
      </c>
      <c r="B1955" t="s">
        <v>1696</v>
      </c>
      <c r="C1955">
        <v>44204</v>
      </c>
      <c r="D1955">
        <v>0</v>
      </c>
      <c r="E1955">
        <v>0</v>
      </c>
      <c r="F1955">
        <v>0</v>
      </c>
    </row>
    <row r="1956" spans="1:6" x14ac:dyDescent="0.25">
      <c r="A1956" t="s">
        <v>26</v>
      </c>
      <c r="B1956" t="s">
        <v>1680</v>
      </c>
      <c r="C1956">
        <v>44205</v>
      </c>
      <c r="D1956">
        <v>0</v>
      </c>
      <c r="E1956">
        <v>0</v>
      </c>
      <c r="F1956">
        <v>0</v>
      </c>
    </row>
    <row r="1957" spans="1:6" x14ac:dyDescent="0.25">
      <c r="A1957" t="s">
        <v>27</v>
      </c>
      <c r="B1957" t="s">
        <v>1681</v>
      </c>
      <c r="C1957">
        <v>44206</v>
      </c>
      <c r="D1957">
        <v>0</v>
      </c>
      <c r="E1957">
        <v>0</v>
      </c>
      <c r="F1957">
        <v>0</v>
      </c>
    </row>
    <row r="1958" spans="1:6" x14ac:dyDescent="0.25">
      <c r="A1958" t="s">
        <v>531</v>
      </c>
      <c r="B1958" t="s">
        <v>1682</v>
      </c>
      <c r="C1958">
        <v>44207</v>
      </c>
      <c r="D1958">
        <v>0</v>
      </c>
      <c r="E1958">
        <v>0</v>
      </c>
      <c r="F1958">
        <v>0</v>
      </c>
    </row>
    <row r="1959" spans="1:6" x14ac:dyDescent="0.25">
      <c r="A1959" t="s">
        <v>1583</v>
      </c>
      <c r="B1959" t="s">
        <v>1683</v>
      </c>
      <c r="C1959">
        <v>44208</v>
      </c>
      <c r="D1959">
        <v>0</v>
      </c>
      <c r="E1959">
        <v>0</v>
      </c>
      <c r="F1959">
        <v>0</v>
      </c>
    </row>
    <row r="1960" spans="1:6" x14ac:dyDescent="0.25">
      <c r="A1960" t="s">
        <v>1585</v>
      </c>
      <c r="B1960" t="s">
        <v>1684</v>
      </c>
      <c r="C1960">
        <v>44209</v>
      </c>
      <c r="D1960">
        <v>533</v>
      </c>
      <c r="E1960">
        <v>0</v>
      </c>
      <c r="F1960">
        <v>533</v>
      </c>
    </row>
    <row r="1961" spans="1:6" x14ac:dyDescent="0.25">
      <c r="A1961" t="s">
        <v>1587</v>
      </c>
      <c r="B1961" t="s">
        <v>1685</v>
      </c>
      <c r="C1961">
        <v>44210</v>
      </c>
      <c r="D1961">
        <v>128251</v>
      </c>
      <c r="E1961">
        <v>0</v>
      </c>
      <c r="F1961">
        <v>128251</v>
      </c>
    </row>
    <row r="1962" spans="1:6" x14ac:dyDescent="0.25">
      <c r="A1962" t="s">
        <v>1589</v>
      </c>
      <c r="B1962" t="s">
        <v>1686</v>
      </c>
      <c r="C1962">
        <v>44211</v>
      </c>
      <c r="D1962">
        <v>40855</v>
      </c>
      <c r="E1962">
        <v>0</v>
      </c>
      <c r="F1962">
        <v>40855</v>
      </c>
    </row>
    <row r="1963" spans="1:6" x14ac:dyDescent="0.25">
      <c r="A1963" t="s">
        <v>1591</v>
      </c>
      <c r="B1963" t="s">
        <v>1687</v>
      </c>
      <c r="C1963">
        <v>44212</v>
      </c>
      <c r="D1963">
        <v>67330</v>
      </c>
      <c r="E1963">
        <v>0</v>
      </c>
      <c r="F1963">
        <v>67330</v>
      </c>
    </row>
    <row r="1964" spans="1:6" x14ac:dyDescent="0.25">
      <c r="A1964" t="s">
        <v>1593</v>
      </c>
      <c r="B1964" t="s">
        <v>1688</v>
      </c>
      <c r="C1964">
        <v>44213</v>
      </c>
      <c r="D1964">
        <v>931492</v>
      </c>
      <c r="E1964">
        <v>0</v>
      </c>
      <c r="F1964">
        <v>931492</v>
      </c>
    </row>
    <row r="1965" spans="1:6" x14ac:dyDescent="0.25">
      <c r="A1965" t="s">
        <v>1595</v>
      </c>
      <c r="B1965" t="s">
        <v>1690</v>
      </c>
      <c r="C1965">
        <v>44214</v>
      </c>
      <c r="D1965">
        <v>0</v>
      </c>
      <c r="E1965">
        <v>0</v>
      </c>
      <c r="F1965">
        <v>0</v>
      </c>
    </row>
    <row r="1966" spans="1:6" x14ac:dyDescent="0.25">
      <c r="A1966" t="s">
        <v>1597</v>
      </c>
      <c r="B1966" t="s">
        <v>1637</v>
      </c>
      <c r="C1966">
        <v>44215</v>
      </c>
      <c r="D1966">
        <v>0</v>
      </c>
      <c r="E1966">
        <v>0</v>
      </c>
      <c r="F1966">
        <v>0</v>
      </c>
    </row>
    <row r="1967" spans="1:6" x14ac:dyDescent="0.25">
      <c r="A1967" t="s">
        <v>1599</v>
      </c>
      <c r="B1967" t="s">
        <v>1640</v>
      </c>
      <c r="C1967">
        <v>44216</v>
      </c>
      <c r="D1967">
        <v>0</v>
      </c>
      <c r="E1967">
        <v>0</v>
      </c>
      <c r="F1967">
        <v>0</v>
      </c>
    </row>
    <row r="1968" spans="1:6" x14ac:dyDescent="0.25">
      <c r="A1968" t="s">
        <v>1601</v>
      </c>
      <c r="B1968" t="s">
        <v>1636</v>
      </c>
      <c r="C1968">
        <v>44217</v>
      </c>
      <c r="D1968">
        <v>0</v>
      </c>
      <c r="E1968">
        <v>0</v>
      </c>
      <c r="F1968">
        <v>0</v>
      </c>
    </row>
    <row r="1969" spans="1:6" x14ac:dyDescent="0.25">
      <c r="A1969" t="s">
        <v>1603</v>
      </c>
      <c r="B1969" t="s">
        <v>1689</v>
      </c>
      <c r="C1969">
        <v>44218</v>
      </c>
      <c r="D1969">
        <v>226</v>
      </c>
      <c r="E1969">
        <v>0</v>
      </c>
      <c r="F1969">
        <v>226</v>
      </c>
    </row>
    <row r="1970" spans="1:6" x14ac:dyDescent="0.25">
      <c r="B1970" t="s">
        <v>2048</v>
      </c>
      <c r="D1970">
        <v>1168687</v>
      </c>
      <c r="E1970">
        <v>0</v>
      </c>
      <c r="F1970">
        <v>1168687</v>
      </c>
    </row>
    <row r="1971" spans="1:6" x14ac:dyDescent="0.25">
      <c r="B1971" t="s">
        <v>1783</v>
      </c>
    </row>
    <row r="1972" spans="1:6" x14ac:dyDescent="0.25">
      <c r="A1972" t="s">
        <v>2</v>
      </c>
      <c r="B1972" t="s">
        <v>1699</v>
      </c>
      <c r="C1972">
        <v>44301</v>
      </c>
      <c r="D1972">
        <v>0</v>
      </c>
      <c r="E1972">
        <v>0</v>
      </c>
      <c r="F1972">
        <v>0</v>
      </c>
    </row>
    <row r="1973" spans="1:6" x14ac:dyDescent="0.25">
      <c r="A1973" t="s">
        <v>15</v>
      </c>
      <c r="B1973" t="s">
        <v>1694</v>
      </c>
      <c r="C1973">
        <v>44302</v>
      </c>
      <c r="D1973">
        <v>0</v>
      </c>
      <c r="E1973">
        <v>0</v>
      </c>
      <c r="F1973">
        <v>0</v>
      </c>
    </row>
    <row r="1974" spans="1:6" x14ac:dyDescent="0.25">
      <c r="A1974" t="s">
        <v>16</v>
      </c>
      <c r="B1974" t="s">
        <v>1695</v>
      </c>
      <c r="C1974">
        <v>44303</v>
      </c>
      <c r="D1974">
        <v>0</v>
      </c>
      <c r="E1974">
        <v>0</v>
      </c>
      <c r="F1974">
        <v>0</v>
      </c>
    </row>
    <row r="1975" spans="1:6" x14ac:dyDescent="0.25">
      <c r="A1975" t="s">
        <v>25</v>
      </c>
      <c r="B1975" t="s">
        <v>1696</v>
      </c>
      <c r="C1975">
        <v>44304</v>
      </c>
      <c r="D1975">
        <v>0</v>
      </c>
      <c r="E1975">
        <v>0</v>
      </c>
      <c r="F1975">
        <v>0</v>
      </c>
    </row>
    <row r="1976" spans="1:6" x14ac:dyDescent="0.25">
      <c r="A1976" t="s">
        <v>26</v>
      </c>
      <c r="B1976" t="s">
        <v>1680</v>
      </c>
      <c r="C1976">
        <v>44305</v>
      </c>
      <c r="D1976">
        <v>0</v>
      </c>
      <c r="E1976">
        <v>0</v>
      </c>
      <c r="F1976">
        <v>0</v>
      </c>
    </row>
    <row r="1977" spans="1:6" x14ac:dyDescent="0.25">
      <c r="A1977" t="s">
        <v>27</v>
      </c>
      <c r="B1977" t="s">
        <v>1681</v>
      </c>
      <c r="C1977">
        <v>44306</v>
      </c>
      <c r="D1977">
        <v>0</v>
      </c>
      <c r="E1977">
        <v>0</v>
      </c>
      <c r="F1977">
        <v>0</v>
      </c>
    </row>
    <row r="1978" spans="1:6" x14ac:dyDescent="0.25">
      <c r="A1978" t="s">
        <v>531</v>
      </c>
      <c r="B1978" t="s">
        <v>1682</v>
      </c>
      <c r="C1978">
        <v>44307</v>
      </c>
      <c r="D1978">
        <v>0</v>
      </c>
      <c r="E1978">
        <v>0</v>
      </c>
      <c r="F1978">
        <v>0</v>
      </c>
    </row>
    <row r="1979" spans="1:6" x14ac:dyDescent="0.25">
      <c r="A1979" t="s">
        <v>1583</v>
      </c>
      <c r="B1979" t="s">
        <v>1683</v>
      </c>
      <c r="C1979">
        <v>44308</v>
      </c>
      <c r="D1979">
        <v>0</v>
      </c>
      <c r="E1979">
        <v>0</v>
      </c>
      <c r="F1979">
        <v>0</v>
      </c>
    </row>
    <row r="1980" spans="1:6" x14ac:dyDescent="0.25">
      <c r="A1980" t="s">
        <v>1585</v>
      </c>
      <c r="B1980" t="s">
        <v>1684</v>
      </c>
      <c r="C1980">
        <v>44309</v>
      </c>
      <c r="D1980">
        <v>0</v>
      </c>
      <c r="E1980">
        <v>0</v>
      </c>
      <c r="F1980">
        <v>0</v>
      </c>
    </row>
    <row r="1981" spans="1:6" x14ac:dyDescent="0.25">
      <c r="A1981" t="s">
        <v>1587</v>
      </c>
      <c r="B1981" t="s">
        <v>1685</v>
      </c>
      <c r="C1981">
        <v>44310</v>
      </c>
      <c r="D1981">
        <v>0</v>
      </c>
      <c r="E1981">
        <v>0</v>
      </c>
      <c r="F1981">
        <v>0</v>
      </c>
    </row>
    <row r="1982" spans="1:6" x14ac:dyDescent="0.25">
      <c r="A1982" t="s">
        <v>1589</v>
      </c>
      <c r="B1982" t="s">
        <v>1686</v>
      </c>
      <c r="C1982">
        <v>44311</v>
      </c>
      <c r="D1982">
        <v>0</v>
      </c>
      <c r="E1982">
        <v>0</v>
      </c>
      <c r="F1982">
        <v>0</v>
      </c>
    </row>
    <row r="1983" spans="1:6" x14ac:dyDescent="0.25">
      <c r="A1983" t="s">
        <v>1591</v>
      </c>
      <c r="B1983" t="s">
        <v>1687</v>
      </c>
      <c r="C1983">
        <v>44312</v>
      </c>
      <c r="D1983">
        <v>0</v>
      </c>
      <c r="E1983">
        <v>0</v>
      </c>
      <c r="F1983">
        <v>0</v>
      </c>
    </row>
    <row r="1984" spans="1:6" x14ac:dyDescent="0.25">
      <c r="A1984" t="s">
        <v>1593</v>
      </c>
      <c r="B1984" t="s">
        <v>1688</v>
      </c>
      <c r="C1984">
        <v>44313</v>
      </c>
      <c r="D1984">
        <v>0</v>
      </c>
      <c r="E1984">
        <v>0</v>
      </c>
      <c r="F1984">
        <v>0</v>
      </c>
    </row>
    <row r="1985" spans="1:6" x14ac:dyDescent="0.25">
      <c r="A1985" t="s">
        <v>1595</v>
      </c>
      <c r="B1985" t="s">
        <v>1690</v>
      </c>
      <c r="C1985">
        <v>44314</v>
      </c>
      <c r="D1985">
        <v>0</v>
      </c>
      <c r="E1985">
        <v>0</v>
      </c>
      <c r="F1985">
        <v>0</v>
      </c>
    </row>
    <row r="1986" spans="1:6" x14ac:dyDescent="0.25">
      <c r="A1986" t="s">
        <v>1597</v>
      </c>
      <c r="B1986" t="s">
        <v>1637</v>
      </c>
      <c r="C1986">
        <v>44315</v>
      </c>
      <c r="D1986">
        <v>0</v>
      </c>
      <c r="E1986">
        <v>0</v>
      </c>
      <c r="F1986">
        <v>0</v>
      </c>
    </row>
    <row r="1987" spans="1:6" x14ac:dyDescent="0.25">
      <c r="A1987" t="s">
        <v>1599</v>
      </c>
      <c r="B1987" t="s">
        <v>1640</v>
      </c>
      <c r="C1987">
        <v>44316</v>
      </c>
      <c r="D1987">
        <v>0</v>
      </c>
      <c r="E1987">
        <v>0</v>
      </c>
      <c r="F1987">
        <v>0</v>
      </c>
    </row>
    <row r="1988" spans="1:6" x14ac:dyDescent="0.25">
      <c r="A1988" t="s">
        <v>1601</v>
      </c>
      <c r="B1988" t="s">
        <v>1636</v>
      </c>
      <c r="C1988">
        <v>44317</v>
      </c>
      <c r="D1988">
        <v>0</v>
      </c>
      <c r="E1988">
        <v>0</v>
      </c>
      <c r="F1988">
        <v>0</v>
      </c>
    </row>
    <row r="1989" spans="1:6" x14ac:dyDescent="0.25">
      <c r="A1989" t="s">
        <v>1603</v>
      </c>
      <c r="B1989" t="s">
        <v>1689</v>
      </c>
      <c r="C1989">
        <v>44318</v>
      </c>
      <c r="D1989">
        <v>0</v>
      </c>
      <c r="E1989">
        <v>0</v>
      </c>
      <c r="F1989">
        <v>0</v>
      </c>
    </row>
    <row r="1990" spans="1:6" x14ac:dyDescent="0.25">
      <c r="B1990" t="s">
        <v>2049</v>
      </c>
      <c r="D1990">
        <v>0</v>
      </c>
      <c r="E1990">
        <v>0</v>
      </c>
      <c r="F1990">
        <v>0</v>
      </c>
    </row>
    <row r="1991" spans="1:6" x14ac:dyDescent="0.25">
      <c r="B1991" t="s">
        <v>1785</v>
      </c>
    </row>
    <row r="1992" spans="1:6" x14ac:dyDescent="0.25">
      <c r="A1992" t="s">
        <v>2</v>
      </c>
      <c r="B1992" t="s">
        <v>1702</v>
      </c>
      <c r="C1992">
        <v>44401</v>
      </c>
      <c r="D1992">
        <v>0</v>
      </c>
      <c r="E1992">
        <v>0</v>
      </c>
      <c r="F1992">
        <v>0</v>
      </c>
    </row>
    <row r="1993" spans="1:6" x14ac:dyDescent="0.25">
      <c r="A1993" t="s">
        <v>15</v>
      </c>
      <c r="B1993" t="s">
        <v>1703</v>
      </c>
      <c r="C1993">
        <v>44402</v>
      </c>
      <c r="D1993">
        <v>0</v>
      </c>
      <c r="E1993">
        <v>0</v>
      </c>
      <c r="F1993">
        <v>0</v>
      </c>
    </row>
    <row r="1994" spans="1:6" x14ac:dyDescent="0.25">
      <c r="B1994" t="s">
        <v>2050</v>
      </c>
      <c r="D1994">
        <v>0</v>
      </c>
      <c r="E1994">
        <v>0</v>
      </c>
      <c r="F1994">
        <v>0</v>
      </c>
    </row>
    <row r="1995" spans="1:6" x14ac:dyDescent="0.25">
      <c r="B1995" t="s">
        <v>1787</v>
      </c>
    </row>
    <row r="1996" spans="1:6" x14ac:dyDescent="0.25">
      <c r="A1996" t="s">
        <v>2</v>
      </c>
      <c r="B1996" t="s">
        <v>1702</v>
      </c>
      <c r="C1996">
        <v>44501</v>
      </c>
      <c r="D1996">
        <v>1691</v>
      </c>
      <c r="E1996">
        <v>0</v>
      </c>
      <c r="F1996">
        <v>1691</v>
      </c>
    </row>
    <row r="1997" spans="1:6" x14ac:dyDescent="0.25">
      <c r="A1997" t="s">
        <v>15</v>
      </c>
      <c r="B1997" t="s">
        <v>1703</v>
      </c>
      <c r="C1997">
        <v>44502</v>
      </c>
      <c r="D1997">
        <v>0</v>
      </c>
      <c r="E1997">
        <v>0</v>
      </c>
      <c r="F1997">
        <v>0</v>
      </c>
    </row>
    <row r="1998" spans="1:6" x14ac:dyDescent="0.25">
      <c r="B1998" t="s">
        <v>2051</v>
      </c>
      <c r="D1998">
        <v>1691</v>
      </c>
      <c r="E1998">
        <v>0</v>
      </c>
      <c r="F1998">
        <v>1691</v>
      </c>
    </row>
    <row r="1999" spans="1:6" x14ac:dyDescent="0.25">
      <c r="B1999" t="s">
        <v>1789</v>
      </c>
    </row>
    <row r="2000" spans="1:6" x14ac:dyDescent="0.25">
      <c r="A2000" t="s">
        <v>2</v>
      </c>
      <c r="B2000" t="s">
        <v>1710</v>
      </c>
      <c r="C2000">
        <v>44601</v>
      </c>
      <c r="D2000">
        <v>61</v>
      </c>
      <c r="E2000">
        <v>4818</v>
      </c>
      <c r="F2000">
        <v>4879</v>
      </c>
    </row>
    <row r="2001" spans="1:6" x14ac:dyDescent="0.25">
      <c r="A2001" t="s">
        <v>15</v>
      </c>
      <c r="B2001" t="s">
        <v>1711</v>
      </c>
      <c r="C2001">
        <v>44602</v>
      </c>
      <c r="D2001">
        <v>0</v>
      </c>
      <c r="E2001">
        <v>0</v>
      </c>
      <c r="F2001">
        <v>0</v>
      </c>
    </row>
    <row r="2002" spans="1:6" x14ac:dyDescent="0.25">
      <c r="A2002" t="s">
        <v>16</v>
      </c>
      <c r="B2002" t="s">
        <v>1712</v>
      </c>
      <c r="C2002">
        <v>44603</v>
      </c>
      <c r="D2002">
        <v>0</v>
      </c>
      <c r="E2002">
        <v>0</v>
      </c>
      <c r="F2002">
        <v>0</v>
      </c>
    </row>
    <row r="2003" spans="1:6" x14ac:dyDescent="0.25">
      <c r="A2003" t="s">
        <v>25</v>
      </c>
      <c r="B2003" t="s">
        <v>1713</v>
      </c>
      <c r="C2003">
        <v>44604</v>
      </c>
      <c r="D2003">
        <v>0</v>
      </c>
      <c r="E2003">
        <v>0</v>
      </c>
      <c r="F2003">
        <v>0</v>
      </c>
    </row>
    <row r="2004" spans="1:6" x14ac:dyDescent="0.25">
      <c r="A2004" t="s">
        <v>26</v>
      </c>
      <c r="B2004" t="s">
        <v>1714</v>
      </c>
      <c r="C2004">
        <v>44605</v>
      </c>
      <c r="D2004">
        <v>0</v>
      </c>
      <c r="E2004">
        <v>0</v>
      </c>
      <c r="F2004">
        <v>0</v>
      </c>
    </row>
    <row r="2005" spans="1:6" x14ac:dyDescent="0.25">
      <c r="B2005" t="s">
        <v>2052</v>
      </c>
      <c r="D2005">
        <v>61</v>
      </c>
      <c r="E2005">
        <v>4818</v>
      </c>
      <c r="F2005">
        <v>4879</v>
      </c>
    </row>
    <row r="2006" spans="1:6" x14ac:dyDescent="0.25">
      <c r="B2006" t="s">
        <v>2458</v>
      </c>
    </row>
    <row r="2007" spans="1:6" x14ac:dyDescent="0.25">
      <c r="A2007" t="s">
        <v>2</v>
      </c>
      <c r="B2007" t="s">
        <v>2316</v>
      </c>
      <c r="C2007">
        <v>44701</v>
      </c>
      <c r="D2007">
        <v>0</v>
      </c>
      <c r="F2007">
        <v>0</v>
      </c>
    </row>
    <row r="2008" spans="1:6" x14ac:dyDescent="0.25">
      <c r="A2008" t="s">
        <v>15</v>
      </c>
      <c r="B2008" t="s">
        <v>2317</v>
      </c>
      <c r="C2008">
        <v>44702</v>
      </c>
      <c r="D2008">
        <v>0</v>
      </c>
      <c r="F2008">
        <v>0</v>
      </c>
    </row>
    <row r="2009" spans="1:6" x14ac:dyDescent="0.25">
      <c r="A2009" t="s">
        <v>16</v>
      </c>
      <c r="B2009" t="s">
        <v>2318</v>
      </c>
      <c r="C2009">
        <v>44703</v>
      </c>
      <c r="D2009">
        <v>0</v>
      </c>
      <c r="F2009">
        <v>0</v>
      </c>
    </row>
    <row r="2010" spans="1:6" x14ac:dyDescent="0.25">
      <c r="A2010" t="s">
        <v>25</v>
      </c>
      <c r="B2010" t="s">
        <v>2319</v>
      </c>
      <c r="C2010">
        <v>44704</v>
      </c>
      <c r="D2010">
        <v>0</v>
      </c>
      <c r="F2010">
        <v>0</v>
      </c>
    </row>
    <row r="2011" spans="1:6" x14ac:dyDescent="0.25">
      <c r="A2011" t="s">
        <v>26</v>
      </c>
      <c r="B2011" t="s">
        <v>2320</v>
      </c>
      <c r="C2011">
        <v>44705</v>
      </c>
      <c r="D2011">
        <v>0</v>
      </c>
      <c r="F2011">
        <v>0</v>
      </c>
    </row>
    <row r="2012" spans="1:6" x14ac:dyDescent="0.25">
      <c r="A2012" t="s">
        <v>27</v>
      </c>
      <c r="B2012" t="s">
        <v>2321</v>
      </c>
      <c r="C2012">
        <v>44706</v>
      </c>
      <c r="D2012">
        <v>0</v>
      </c>
      <c r="F2012">
        <v>0</v>
      </c>
    </row>
    <row r="2013" spans="1:6" x14ac:dyDescent="0.25">
      <c r="A2013" t="s">
        <v>531</v>
      </c>
      <c r="B2013" t="s">
        <v>2322</v>
      </c>
      <c r="C2013">
        <v>44707</v>
      </c>
      <c r="D2013">
        <v>0</v>
      </c>
      <c r="F2013">
        <v>0</v>
      </c>
    </row>
    <row r="2014" spans="1:6" x14ac:dyDescent="0.25">
      <c r="A2014" t="s">
        <v>1583</v>
      </c>
      <c r="B2014" t="s">
        <v>2323</v>
      </c>
      <c r="C2014">
        <v>44708</v>
      </c>
      <c r="D2014">
        <v>0</v>
      </c>
      <c r="F2014">
        <v>0</v>
      </c>
    </row>
    <row r="2015" spans="1:6" x14ac:dyDescent="0.25">
      <c r="A2015" t="s">
        <v>1585</v>
      </c>
      <c r="B2015" t="s">
        <v>2324</v>
      </c>
      <c r="C2015">
        <v>44709</v>
      </c>
      <c r="D2015">
        <v>0</v>
      </c>
      <c r="F2015">
        <v>0</v>
      </c>
    </row>
    <row r="2016" spans="1:6" x14ac:dyDescent="0.25">
      <c r="A2016" t="s">
        <v>1587</v>
      </c>
      <c r="B2016" t="s">
        <v>2325</v>
      </c>
      <c r="C2016">
        <v>44710</v>
      </c>
      <c r="D2016">
        <v>0</v>
      </c>
      <c r="F2016">
        <v>0</v>
      </c>
    </row>
    <row r="2017" spans="1:6" x14ac:dyDescent="0.25">
      <c r="A2017" t="s">
        <v>1589</v>
      </c>
      <c r="B2017" t="s">
        <v>2326</v>
      </c>
      <c r="C2017">
        <v>44711</v>
      </c>
      <c r="D2017">
        <v>0</v>
      </c>
      <c r="F2017">
        <v>0</v>
      </c>
    </row>
    <row r="2018" spans="1:6" x14ac:dyDescent="0.25">
      <c r="A2018" t="s">
        <v>1591</v>
      </c>
      <c r="B2018" t="s">
        <v>2327</v>
      </c>
      <c r="C2018">
        <v>44712</v>
      </c>
      <c r="D2018">
        <v>0</v>
      </c>
      <c r="F2018">
        <v>0</v>
      </c>
    </row>
    <row r="2019" spans="1:6" x14ac:dyDescent="0.25">
      <c r="A2019" t="s">
        <v>1593</v>
      </c>
      <c r="B2019" t="s">
        <v>2328</v>
      </c>
      <c r="C2019">
        <v>44713</v>
      </c>
      <c r="D2019">
        <v>0</v>
      </c>
      <c r="F2019">
        <v>0</v>
      </c>
    </row>
    <row r="2020" spans="1:6" x14ac:dyDescent="0.25">
      <c r="A2020" t="s">
        <v>1595</v>
      </c>
      <c r="B2020" t="s">
        <v>2329</v>
      </c>
      <c r="C2020">
        <v>44714</v>
      </c>
      <c r="D2020">
        <v>0</v>
      </c>
      <c r="F2020">
        <v>0</v>
      </c>
    </row>
    <row r="2021" spans="1:6" x14ac:dyDescent="0.25">
      <c r="A2021" t="s">
        <v>1597</v>
      </c>
      <c r="B2021" t="s">
        <v>2330</v>
      </c>
      <c r="C2021">
        <v>44715</v>
      </c>
      <c r="D2021">
        <v>0</v>
      </c>
      <c r="F2021">
        <v>0</v>
      </c>
    </row>
    <row r="2022" spans="1:6" x14ac:dyDescent="0.25">
      <c r="A2022" t="s">
        <v>1599</v>
      </c>
      <c r="B2022" t="s">
        <v>2331</v>
      </c>
      <c r="C2022">
        <v>44716</v>
      </c>
      <c r="D2022">
        <v>0</v>
      </c>
      <c r="F2022">
        <v>0</v>
      </c>
    </row>
    <row r="2023" spans="1:6" x14ac:dyDescent="0.25">
      <c r="A2023" t="s">
        <v>1601</v>
      </c>
      <c r="B2023" t="s">
        <v>2332</v>
      </c>
      <c r="C2023">
        <v>44717</v>
      </c>
      <c r="D2023">
        <v>0</v>
      </c>
      <c r="F2023">
        <v>0</v>
      </c>
    </row>
    <row r="2024" spans="1:6" x14ac:dyDescent="0.25">
      <c r="A2024" t="s">
        <v>1603</v>
      </c>
      <c r="B2024" t="s">
        <v>2333</v>
      </c>
      <c r="C2024">
        <v>44718</v>
      </c>
      <c r="D2024">
        <v>0</v>
      </c>
      <c r="F2024">
        <v>0</v>
      </c>
    </row>
    <row r="2025" spans="1:6" x14ac:dyDescent="0.25">
      <c r="A2025" t="s">
        <v>1605</v>
      </c>
      <c r="B2025" t="s">
        <v>2334</v>
      </c>
      <c r="C2025">
        <v>44719</v>
      </c>
      <c r="D2025">
        <v>0</v>
      </c>
      <c r="F2025">
        <v>0</v>
      </c>
    </row>
    <row r="2026" spans="1:6" x14ac:dyDescent="0.25">
      <c r="A2026" t="s">
        <v>1607</v>
      </c>
      <c r="B2026" t="s">
        <v>2335</v>
      </c>
      <c r="C2026">
        <v>44720</v>
      </c>
      <c r="D2026">
        <v>0</v>
      </c>
      <c r="F2026">
        <v>0</v>
      </c>
    </row>
    <row r="2027" spans="1:6" x14ac:dyDescent="0.25">
      <c r="A2027" t="s">
        <v>2336</v>
      </c>
      <c r="B2027" t="s">
        <v>2337</v>
      </c>
      <c r="C2027">
        <v>44721</v>
      </c>
      <c r="D2027">
        <v>0</v>
      </c>
      <c r="F2027">
        <v>0</v>
      </c>
    </row>
    <row r="2028" spans="1:6" x14ac:dyDescent="0.25">
      <c r="A2028" t="s">
        <v>2338</v>
      </c>
      <c r="B2028" t="s">
        <v>2339</v>
      </c>
      <c r="C2028">
        <v>44722</v>
      </c>
      <c r="D2028">
        <v>0</v>
      </c>
      <c r="F2028">
        <v>0</v>
      </c>
    </row>
    <row r="2029" spans="1:6" x14ac:dyDescent="0.25">
      <c r="A2029" t="s">
        <v>2340</v>
      </c>
      <c r="B2029" t="s">
        <v>2341</v>
      </c>
      <c r="C2029">
        <v>44723</v>
      </c>
      <c r="D2029">
        <v>0</v>
      </c>
      <c r="F2029">
        <v>0</v>
      </c>
    </row>
    <row r="2030" spans="1:6" x14ac:dyDescent="0.25">
      <c r="A2030" t="s">
        <v>2342</v>
      </c>
      <c r="B2030" t="s">
        <v>2343</v>
      </c>
      <c r="C2030">
        <v>44724</v>
      </c>
      <c r="D2030">
        <v>0</v>
      </c>
      <c r="F2030">
        <v>0</v>
      </c>
    </row>
    <row r="2031" spans="1:6" x14ac:dyDescent="0.25">
      <c r="A2031" t="s">
        <v>2344</v>
      </c>
      <c r="B2031" t="s">
        <v>2345</v>
      </c>
      <c r="C2031">
        <v>44725</v>
      </c>
      <c r="D2031">
        <v>0</v>
      </c>
      <c r="F2031">
        <v>0</v>
      </c>
    </row>
    <row r="2032" spans="1:6" x14ac:dyDescent="0.25">
      <c r="A2032" t="s">
        <v>2346</v>
      </c>
      <c r="B2032" t="s">
        <v>2347</v>
      </c>
      <c r="C2032">
        <v>44726</v>
      </c>
      <c r="D2032">
        <v>0</v>
      </c>
      <c r="F2032">
        <v>0</v>
      </c>
    </row>
    <row r="2033" spans="1:6" x14ac:dyDescent="0.25">
      <c r="A2033" t="s">
        <v>2348</v>
      </c>
      <c r="B2033" t="s">
        <v>2349</v>
      </c>
      <c r="C2033">
        <v>44727</v>
      </c>
      <c r="D2033">
        <v>0</v>
      </c>
      <c r="F2033">
        <v>0</v>
      </c>
    </row>
    <row r="2034" spans="1:6" x14ac:dyDescent="0.25">
      <c r="A2034" t="s">
        <v>2350</v>
      </c>
      <c r="B2034" t="s">
        <v>2351</v>
      </c>
      <c r="C2034">
        <v>44728</v>
      </c>
      <c r="D2034">
        <v>0</v>
      </c>
      <c r="F2034">
        <v>0</v>
      </c>
    </row>
    <row r="2035" spans="1:6" x14ac:dyDescent="0.25">
      <c r="A2035" t="s">
        <v>2352</v>
      </c>
      <c r="B2035" t="s">
        <v>2353</v>
      </c>
      <c r="C2035">
        <v>44729</v>
      </c>
      <c r="D2035">
        <v>0</v>
      </c>
      <c r="F2035">
        <v>0</v>
      </c>
    </row>
    <row r="2036" spans="1:6" x14ac:dyDescent="0.25">
      <c r="A2036" t="s">
        <v>2354</v>
      </c>
      <c r="B2036" t="s">
        <v>2355</v>
      </c>
      <c r="C2036">
        <v>44730</v>
      </c>
      <c r="D2036">
        <v>0</v>
      </c>
      <c r="F2036">
        <v>0</v>
      </c>
    </row>
    <row r="2037" spans="1:6" x14ac:dyDescent="0.25">
      <c r="A2037" t="s">
        <v>2356</v>
      </c>
      <c r="B2037" t="s">
        <v>2357</v>
      </c>
      <c r="C2037">
        <v>44731</v>
      </c>
      <c r="D2037">
        <v>0</v>
      </c>
      <c r="F2037">
        <v>0</v>
      </c>
    </row>
    <row r="2038" spans="1:6" x14ac:dyDescent="0.25">
      <c r="A2038" t="s">
        <v>2358</v>
      </c>
      <c r="B2038" t="s">
        <v>2359</v>
      </c>
      <c r="C2038">
        <v>44732</v>
      </c>
      <c r="D2038">
        <v>0</v>
      </c>
      <c r="F2038">
        <v>0</v>
      </c>
    </row>
    <row r="2039" spans="1:6" x14ac:dyDescent="0.25">
      <c r="A2039" t="s">
        <v>2360</v>
      </c>
      <c r="B2039" t="s">
        <v>2361</v>
      </c>
      <c r="C2039">
        <v>44733</v>
      </c>
      <c r="D2039">
        <v>0</v>
      </c>
      <c r="F2039">
        <v>0</v>
      </c>
    </row>
    <row r="2040" spans="1:6" x14ac:dyDescent="0.25">
      <c r="A2040" t="s">
        <v>2362</v>
      </c>
      <c r="B2040" t="s">
        <v>2363</v>
      </c>
      <c r="C2040">
        <v>44734</v>
      </c>
      <c r="D2040">
        <v>0</v>
      </c>
      <c r="F2040">
        <v>0</v>
      </c>
    </row>
    <row r="2041" spans="1:6" x14ac:dyDescent="0.25">
      <c r="A2041" t="s">
        <v>2364</v>
      </c>
      <c r="B2041" t="s">
        <v>2365</v>
      </c>
      <c r="C2041">
        <v>44735</v>
      </c>
      <c r="D2041">
        <v>0</v>
      </c>
      <c r="F2041">
        <v>0</v>
      </c>
    </row>
    <row r="2042" spans="1:6" x14ac:dyDescent="0.25">
      <c r="A2042" t="s">
        <v>2366</v>
      </c>
      <c r="B2042" t="s">
        <v>2367</v>
      </c>
      <c r="C2042">
        <v>44736</v>
      </c>
      <c r="D2042">
        <v>0</v>
      </c>
      <c r="F2042">
        <v>0</v>
      </c>
    </row>
    <row r="2043" spans="1:6" x14ac:dyDescent="0.25">
      <c r="A2043" t="s">
        <v>2368</v>
      </c>
      <c r="B2043" t="s">
        <v>2369</v>
      </c>
      <c r="C2043">
        <v>44737</v>
      </c>
      <c r="D2043">
        <v>0</v>
      </c>
      <c r="F2043">
        <v>0</v>
      </c>
    </row>
    <row r="2044" spans="1:6" x14ac:dyDescent="0.25">
      <c r="A2044" t="s">
        <v>2370</v>
      </c>
      <c r="B2044" t="s">
        <v>2371</v>
      </c>
      <c r="C2044">
        <v>44738</v>
      </c>
      <c r="D2044">
        <v>0</v>
      </c>
      <c r="F2044">
        <v>0</v>
      </c>
    </row>
    <row r="2045" spans="1:6" x14ac:dyDescent="0.25">
      <c r="A2045" t="s">
        <v>2372</v>
      </c>
      <c r="B2045" t="s">
        <v>2373</v>
      </c>
      <c r="C2045">
        <v>44739</v>
      </c>
      <c r="D2045">
        <v>0</v>
      </c>
      <c r="F2045">
        <v>0</v>
      </c>
    </row>
    <row r="2046" spans="1:6" x14ac:dyDescent="0.25">
      <c r="A2046" t="s">
        <v>2374</v>
      </c>
      <c r="B2046" t="s">
        <v>2375</v>
      </c>
      <c r="C2046">
        <v>44740</v>
      </c>
      <c r="D2046">
        <v>0</v>
      </c>
      <c r="F2046">
        <v>0</v>
      </c>
    </row>
    <row r="2047" spans="1:6" x14ac:dyDescent="0.25">
      <c r="A2047" t="s">
        <v>2376</v>
      </c>
      <c r="B2047" t="s">
        <v>2377</v>
      </c>
      <c r="C2047">
        <v>44741</v>
      </c>
      <c r="D2047">
        <v>0</v>
      </c>
      <c r="F2047">
        <v>0</v>
      </c>
    </row>
    <row r="2048" spans="1:6" x14ac:dyDescent="0.25">
      <c r="B2048" t="s">
        <v>2459</v>
      </c>
      <c r="D2048">
        <v>0</v>
      </c>
      <c r="F2048">
        <v>0</v>
      </c>
    </row>
    <row r="2049" spans="1:6" x14ac:dyDescent="0.25">
      <c r="B2049" t="s">
        <v>2460</v>
      </c>
    </row>
    <row r="2050" spans="1:6" x14ac:dyDescent="0.25">
      <c r="A2050" t="s">
        <v>2</v>
      </c>
      <c r="B2050" t="s">
        <v>2380</v>
      </c>
      <c r="C2050">
        <v>44801</v>
      </c>
      <c r="D2050">
        <v>0</v>
      </c>
      <c r="F2050">
        <v>0</v>
      </c>
    </row>
    <row r="2051" spans="1:6" x14ac:dyDescent="0.25">
      <c r="A2051" t="s">
        <v>15</v>
      </c>
      <c r="B2051" t="s">
        <v>2381</v>
      </c>
      <c r="C2051">
        <v>44802</v>
      </c>
      <c r="D2051">
        <v>0</v>
      </c>
      <c r="F2051">
        <v>0</v>
      </c>
    </row>
    <row r="2052" spans="1:6" x14ac:dyDescent="0.25">
      <c r="A2052" t="s">
        <v>16</v>
      </c>
      <c r="B2052" t="s">
        <v>2382</v>
      </c>
      <c r="C2052">
        <v>44803</v>
      </c>
      <c r="D2052">
        <v>0</v>
      </c>
      <c r="F2052">
        <v>0</v>
      </c>
    </row>
    <row r="2053" spans="1:6" x14ac:dyDescent="0.25">
      <c r="A2053" t="s">
        <v>25</v>
      </c>
      <c r="B2053" t="s">
        <v>2383</v>
      </c>
      <c r="C2053">
        <v>44804</v>
      </c>
      <c r="D2053">
        <v>0</v>
      </c>
      <c r="F2053">
        <v>0</v>
      </c>
    </row>
    <row r="2054" spans="1:6" x14ac:dyDescent="0.25">
      <c r="B2054" t="s">
        <v>2461</v>
      </c>
      <c r="D2054">
        <v>0</v>
      </c>
      <c r="F2054">
        <v>0</v>
      </c>
    </row>
    <row r="2055" spans="1:6" x14ac:dyDescent="0.25">
      <c r="B2055" t="s">
        <v>2462</v>
      </c>
    </row>
    <row r="2056" spans="1:6" x14ac:dyDescent="0.25">
      <c r="A2056" t="s">
        <v>2</v>
      </c>
      <c r="B2056" t="s">
        <v>1710</v>
      </c>
      <c r="C2056">
        <v>44901</v>
      </c>
      <c r="D2056">
        <v>0</v>
      </c>
      <c r="F2056">
        <v>0</v>
      </c>
    </row>
    <row r="2057" spans="1:6" x14ac:dyDescent="0.25">
      <c r="A2057" t="s">
        <v>15</v>
      </c>
      <c r="B2057" t="s">
        <v>1711</v>
      </c>
      <c r="C2057">
        <v>44902</v>
      </c>
      <c r="D2057">
        <v>0</v>
      </c>
      <c r="F2057">
        <v>0</v>
      </c>
    </row>
    <row r="2058" spans="1:6" x14ac:dyDescent="0.25">
      <c r="A2058" t="s">
        <v>16</v>
      </c>
      <c r="B2058" t="s">
        <v>1712</v>
      </c>
      <c r="C2058">
        <v>44903</v>
      </c>
      <c r="D2058">
        <v>0</v>
      </c>
      <c r="F2058">
        <v>0</v>
      </c>
    </row>
    <row r="2059" spans="1:6" x14ac:dyDescent="0.25">
      <c r="A2059" t="s">
        <v>25</v>
      </c>
      <c r="B2059" t="s">
        <v>1713</v>
      </c>
      <c r="C2059">
        <v>44904</v>
      </c>
      <c r="D2059">
        <v>0</v>
      </c>
      <c r="F2059">
        <v>0</v>
      </c>
    </row>
    <row r="2060" spans="1:6" x14ac:dyDescent="0.25">
      <c r="A2060" t="s">
        <v>26</v>
      </c>
      <c r="B2060" t="s">
        <v>1714</v>
      </c>
      <c r="C2060">
        <v>44905</v>
      </c>
      <c r="D2060">
        <v>0</v>
      </c>
      <c r="F2060">
        <v>0</v>
      </c>
    </row>
    <row r="2061" spans="1:6" x14ac:dyDescent="0.25">
      <c r="B2061" t="s">
        <v>2463</v>
      </c>
      <c r="D2061">
        <v>0</v>
      </c>
      <c r="F2061">
        <v>0</v>
      </c>
    </row>
    <row r="2062" spans="1:6" x14ac:dyDescent="0.25">
      <c r="B2062" t="s">
        <v>1716</v>
      </c>
      <c r="D2062">
        <v>1203570</v>
      </c>
      <c r="E2062">
        <v>4818</v>
      </c>
      <c r="F2062">
        <v>1208388</v>
      </c>
    </row>
    <row r="2063" spans="1:6" x14ac:dyDescent="0.25">
      <c r="B2063" t="s">
        <v>2464</v>
      </c>
    </row>
    <row r="2064" spans="1:6" x14ac:dyDescent="0.25">
      <c r="B2064" t="s">
        <v>2465</v>
      </c>
    </row>
    <row r="2065" spans="1:6" x14ac:dyDescent="0.25">
      <c r="A2065" t="s">
        <v>2</v>
      </c>
      <c r="B2065" t="s">
        <v>1793</v>
      </c>
      <c r="C2065">
        <v>45101</v>
      </c>
      <c r="D2065">
        <v>46522163</v>
      </c>
      <c r="F2065">
        <v>46522163</v>
      </c>
    </row>
    <row r="2066" spans="1:6" x14ac:dyDescent="0.25">
      <c r="A2066" t="s">
        <v>15</v>
      </c>
      <c r="B2066" t="s">
        <v>1794</v>
      </c>
      <c r="C2066">
        <v>45102</v>
      </c>
      <c r="D2066">
        <v>3705167</v>
      </c>
      <c r="F2066">
        <v>3705167</v>
      </c>
    </row>
    <row r="2067" spans="1:6" x14ac:dyDescent="0.25">
      <c r="A2067" t="s">
        <v>16</v>
      </c>
      <c r="B2067" t="s">
        <v>1795</v>
      </c>
      <c r="C2067">
        <v>45103</v>
      </c>
      <c r="D2067">
        <v>680144</v>
      </c>
      <c r="F2067">
        <v>680144</v>
      </c>
    </row>
    <row r="2068" spans="1:6" x14ac:dyDescent="0.25">
      <c r="A2068" t="s">
        <v>25</v>
      </c>
      <c r="B2068" t="s">
        <v>1796</v>
      </c>
      <c r="C2068">
        <v>45104</v>
      </c>
      <c r="D2068">
        <v>122979667</v>
      </c>
      <c r="F2068">
        <v>122979667</v>
      </c>
    </row>
    <row r="2069" spans="1:6" x14ac:dyDescent="0.25">
      <c r="A2069" t="s">
        <v>26</v>
      </c>
      <c r="B2069" t="s">
        <v>1797</v>
      </c>
      <c r="C2069">
        <v>45105</v>
      </c>
      <c r="D2069">
        <v>0</v>
      </c>
      <c r="F2069">
        <v>0</v>
      </c>
    </row>
    <row r="2070" spans="1:6" x14ac:dyDescent="0.25">
      <c r="B2070" t="s">
        <v>2055</v>
      </c>
      <c r="D2070">
        <v>173887141</v>
      </c>
      <c r="F2070">
        <v>173887141</v>
      </c>
    </row>
    <row r="2071" spans="1:6" x14ac:dyDescent="0.25">
      <c r="B2071" t="s">
        <v>2466</v>
      </c>
    </row>
    <row r="2072" spans="1:6" x14ac:dyDescent="0.25">
      <c r="A2072" t="s">
        <v>2</v>
      </c>
      <c r="B2072" t="s">
        <v>1793</v>
      </c>
      <c r="C2072">
        <v>45201</v>
      </c>
      <c r="D2072">
        <v>0</v>
      </c>
      <c r="F2072">
        <v>0</v>
      </c>
    </row>
    <row r="2073" spans="1:6" x14ac:dyDescent="0.25">
      <c r="A2073" t="s">
        <v>15</v>
      </c>
      <c r="B2073" t="s">
        <v>1794</v>
      </c>
      <c r="C2073">
        <v>45202</v>
      </c>
      <c r="D2073">
        <v>0</v>
      </c>
      <c r="F2073">
        <v>0</v>
      </c>
    </row>
    <row r="2074" spans="1:6" x14ac:dyDescent="0.25">
      <c r="A2074" t="s">
        <v>16</v>
      </c>
      <c r="B2074" t="s">
        <v>1795</v>
      </c>
      <c r="C2074">
        <v>45203</v>
      </c>
      <c r="D2074">
        <v>0</v>
      </c>
      <c r="F2074">
        <v>0</v>
      </c>
    </row>
    <row r="2075" spans="1:6" x14ac:dyDescent="0.25">
      <c r="A2075" t="s">
        <v>25</v>
      </c>
      <c r="B2075" t="s">
        <v>1796</v>
      </c>
      <c r="C2075">
        <v>45204</v>
      </c>
      <c r="D2075">
        <v>0</v>
      </c>
      <c r="F2075">
        <v>0</v>
      </c>
    </row>
    <row r="2076" spans="1:6" x14ac:dyDescent="0.25">
      <c r="A2076" t="s">
        <v>26</v>
      </c>
      <c r="B2076" t="s">
        <v>1797</v>
      </c>
      <c r="C2076">
        <v>45205</v>
      </c>
      <c r="D2076">
        <v>0</v>
      </c>
      <c r="F2076">
        <v>0</v>
      </c>
    </row>
    <row r="2077" spans="1:6" x14ac:dyDescent="0.25">
      <c r="B2077" t="s">
        <v>2057</v>
      </c>
      <c r="D2077">
        <v>0</v>
      </c>
      <c r="F2077">
        <v>0</v>
      </c>
    </row>
    <row r="2078" spans="1:6" x14ac:dyDescent="0.25">
      <c r="B2078" t="s">
        <v>2467</v>
      </c>
    </row>
    <row r="2079" spans="1:6" x14ac:dyDescent="0.25">
      <c r="A2079" t="s">
        <v>2</v>
      </c>
      <c r="B2079" t="s">
        <v>1793</v>
      </c>
      <c r="C2079">
        <v>45301</v>
      </c>
      <c r="D2079">
        <v>1282</v>
      </c>
      <c r="F2079">
        <v>1282</v>
      </c>
    </row>
    <row r="2080" spans="1:6" x14ac:dyDescent="0.25">
      <c r="A2080" t="s">
        <v>15</v>
      </c>
      <c r="B2080" t="s">
        <v>1794</v>
      </c>
      <c r="C2080">
        <v>45302</v>
      </c>
      <c r="D2080">
        <v>0</v>
      </c>
      <c r="F2080">
        <v>0</v>
      </c>
    </row>
    <row r="2081" spans="1:6" x14ac:dyDescent="0.25">
      <c r="A2081" t="s">
        <v>16</v>
      </c>
      <c r="B2081" t="s">
        <v>1795</v>
      </c>
      <c r="C2081">
        <v>45303</v>
      </c>
      <c r="D2081">
        <v>0</v>
      </c>
      <c r="F2081">
        <v>0</v>
      </c>
    </row>
    <row r="2082" spans="1:6" x14ac:dyDescent="0.25">
      <c r="A2082" t="s">
        <v>25</v>
      </c>
      <c r="B2082" t="s">
        <v>1796</v>
      </c>
      <c r="C2082">
        <v>45304</v>
      </c>
      <c r="D2082">
        <v>0</v>
      </c>
      <c r="F2082">
        <v>0</v>
      </c>
    </row>
    <row r="2083" spans="1:6" x14ac:dyDescent="0.25">
      <c r="A2083" t="s">
        <v>26</v>
      </c>
      <c r="B2083" t="s">
        <v>1797</v>
      </c>
      <c r="C2083">
        <v>45305</v>
      </c>
      <c r="D2083">
        <v>0</v>
      </c>
      <c r="F2083">
        <v>0</v>
      </c>
    </row>
    <row r="2084" spans="1:6" x14ac:dyDescent="0.25">
      <c r="B2084" t="s">
        <v>2059</v>
      </c>
      <c r="D2084">
        <v>1282</v>
      </c>
      <c r="F2084">
        <v>1282</v>
      </c>
    </row>
    <row r="2085" spans="1:6" x14ac:dyDescent="0.25">
      <c r="B2085" t="s">
        <v>2468</v>
      </c>
    </row>
    <row r="2086" spans="1:6" x14ac:dyDescent="0.25">
      <c r="A2086" t="s">
        <v>2</v>
      </c>
      <c r="B2086" t="s">
        <v>1793</v>
      </c>
      <c r="C2086">
        <v>45401</v>
      </c>
      <c r="D2086">
        <v>0</v>
      </c>
      <c r="F2086">
        <v>0</v>
      </c>
    </row>
    <row r="2087" spans="1:6" x14ac:dyDescent="0.25">
      <c r="A2087" t="s">
        <v>15</v>
      </c>
      <c r="B2087" t="s">
        <v>1794</v>
      </c>
      <c r="C2087">
        <v>45402</v>
      </c>
      <c r="D2087">
        <v>0</v>
      </c>
      <c r="F2087">
        <v>0</v>
      </c>
    </row>
    <row r="2088" spans="1:6" x14ac:dyDescent="0.25">
      <c r="A2088" t="s">
        <v>16</v>
      </c>
      <c r="B2088" t="s">
        <v>1795</v>
      </c>
      <c r="C2088">
        <v>45403</v>
      </c>
      <c r="D2088">
        <v>0</v>
      </c>
      <c r="F2088">
        <v>0</v>
      </c>
    </row>
    <row r="2089" spans="1:6" x14ac:dyDescent="0.25">
      <c r="A2089" t="s">
        <v>25</v>
      </c>
      <c r="B2089" t="s">
        <v>1796</v>
      </c>
      <c r="C2089">
        <v>45404</v>
      </c>
      <c r="D2089">
        <v>0</v>
      </c>
      <c r="F2089">
        <v>0</v>
      </c>
    </row>
    <row r="2090" spans="1:6" x14ac:dyDescent="0.25">
      <c r="A2090" t="s">
        <v>26</v>
      </c>
      <c r="B2090" t="s">
        <v>1797</v>
      </c>
      <c r="C2090">
        <v>45405</v>
      </c>
      <c r="D2090">
        <v>0</v>
      </c>
      <c r="F2090">
        <v>0</v>
      </c>
    </row>
    <row r="2091" spans="1:6" x14ac:dyDescent="0.25">
      <c r="B2091" t="s">
        <v>2061</v>
      </c>
      <c r="D2091">
        <v>0</v>
      </c>
      <c r="F2091">
        <v>0</v>
      </c>
    </row>
    <row r="2092" spans="1:6" x14ac:dyDescent="0.25">
      <c r="B2092" t="s">
        <v>2469</v>
      </c>
    </row>
    <row r="2093" spans="1:6" x14ac:dyDescent="0.25">
      <c r="A2093" t="s">
        <v>2</v>
      </c>
      <c r="B2093" t="s">
        <v>1793</v>
      </c>
      <c r="C2093">
        <v>45501</v>
      </c>
      <c r="D2093">
        <v>1434475</v>
      </c>
      <c r="F2093">
        <v>1434475</v>
      </c>
    </row>
    <row r="2094" spans="1:6" x14ac:dyDescent="0.25">
      <c r="A2094" t="s">
        <v>15</v>
      </c>
      <c r="B2094" t="s">
        <v>1794</v>
      </c>
      <c r="C2094">
        <v>45502</v>
      </c>
      <c r="D2094">
        <v>0</v>
      </c>
      <c r="F2094">
        <v>0</v>
      </c>
    </row>
    <row r="2095" spans="1:6" x14ac:dyDescent="0.25">
      <c r="A2095" t="s">
        <v>16</v>
      </c>
      <c r="B2095" t="s">
        <v>1795</v>
      </c>
      <c r="C2095">
        <v>45503</v>
      </c>
      <c r="D2095">
        <v>38196</v>
      </c>
      <c r="F2095">
        <v>38196</v>
      </c>
    </row>
    <row r="2096" spans="1:6" x14ac:dyDescent="0.25">
      <c r="A2096" t="s">
        <v>25</v>
      </c>
      <c r="B2096" t="s">
        <v>1796</v>
      </c>
      <c r="C2096">
        <v>45504</v>
      </c>
      <c r="D2096">
        <v>0</v>
      </c>
      <c r="F2096">
        <v>0</v>
      </c>
    </row>
    <row r="2097" spans="1:6" x14ac:dyDescent="0.25">
      <c r="A2097" t="s">
        <v>26</v>
      </c>
      <c r="B2097" t="s">
        <v>1797</v>
      </c>
      <c r="C2097">
        <v>45505</v>
      </c>
      <c r="D2097">
        <v>0</v>
      </c>
      <c r="F2097">
        <v>0</v>
      </c>
    </row>
    <row r="2098" spans="1:6" x14ac:dyDescent="0.25">
      <c r="B2098" t="s">
        <v>2063</v>
      </c>
      <c r="D2098">
        <v>1472671</v>
      </c>
      <c r="F2098">
        <v>1472671</v>
      </c>
    </row>
    <row r="2099" spans="1:6" x14ac:dyDescent="0.25">
      <c r="B2099" t="s">
        <v>2470</v>
      </c>
    </row>
    <row r="2100" spans="1:6" x14ac:dyDescent="0.25">
      <c r="A2100" t="s">
        <v>2</v>
      </c>
      <c r="B2100" t="s">
        <v>2394</v>
      </c>
      <c r="C2100">
        <v>45601</v>
      </c>
      <c r="D2100">
        <v>0</v>
      </c>
      <c r="F2100">
        <v>0</v>
      </c>
    </row>
    <row r="2101" spans="1:6" x14ac:dyDescent="0.25">
      <c r="A2101" t="s">
        <v>15</v>
      </c>
      <c r="B2101" t="s">
        <v>2395</v>
      </c>
      <c r="C2101">
        <v>45602</v>
      </c>
      <c r="D2101">
        <v>0</v>
      </c>
      <c r="F2101">
        <v>0</v>
      </c>
    </row>
    <row r="2102" spans="1:6" x14ac:dyDescent="0.25">
      <c r="A2102" t="s">
        <v>16</v>
      </c>
      <c r="B2102" t="s">
        <v>2396</v>
      </c>
      <c r="C2102">
        <v>45603</v>
      </c>
      <c r="D2102">
        <v>0</v>
      </c>
      <c r="F2102">
        <v>0</v>
      </c>
    </row>
    <row r="2103" spans="1:6" x14ac:dyDescent="0.25">
      <c r="A2103" t="s">
        <v>25</v>
      </c>
      <c r="B2103" t="s">
        <v>2397</v>
      </c>
      <c r="C2103">
        <v>45604</v>
      </c>
      <c r="D2103">
        <v>0</v>
      </c>
      <c r="F2103">
        <v>0</v>
      </c>
    </row>
    <row r="2104" spans="1:6" x14ac:dyDescent="0.25">
      <c r="A2104" t="s">
        <v>26</v>
      </c>
      <c r="B2104" t="s">
        <v>2398</v>
      </c>
      <c r="C2104">
        <v>45605</v>
      </c>
      <c r="D2104">
        <v>0</v>
      </c>
      <c r="F2104">
        <v>0</v>
      </c>
    </row>
    <row r="2105" spans="1:6" x14ac:dyDescent="0.25">
      <c r="A2105" t="s">
        <v>27</v>
      </c>
      <c r="B2105" t="s">
        <v>2399</v>
      </c>
      <c r="C2105">
        <v>45606</v>
      </c>
      <c r="D2105">
        <v>0</v>
      </c>
      <c r="F2105">
        <v>0</v>
      </c>
    </row>
    <row r="2106" spans="1:6" x14ac:dyDescent="0.25">
      <c r="A2106" t="s">
        <v>531</v>
      </c>
      <c r="B2106" t="s">
        <v>2400</v>
      </c>
      <c r="C2106">
        <v>45607</v>
      </c>
      <c r="D2106">
        <v>0</v>
      </c>
      <c r="F2106">
        <v>0</v>
      </c>
    </row>
    <row r="2107" spans="1:6" x14ac:dyDescent="0.25">
      <c r="A2107" t="s">
        <v>1583</v>
      </c>
      <c r="B2107" t="s">
        <v>2401</v>
      </c>
      <c r="C2107">
        <v>45608</v>
      </c>
      <c r="D2107">
        <v>0</v>
      </c>
      <c r="F2107">
        <v>0</v>
      </c>
    </row>
    <row r="2108" spans="1:6" x14ac:dyDescent="0.25">
      <c r="A2108" t="s">
        <v>1585</v>
      </c>
      <c r="B2108" t="s">
        <v>2402</v>
      </c>
      <c r="C2108">
        <v>45609</v>
      </c>
      <c r="D2108">
        <v>0</v>
      </c>
      <c r="F2108">
        <v>0</v>
      </c>
    </row>
    <row r="2109" spans="1:6" x14ac:dyDescent="0.25">
      <c r="A2109" t="s">
        <v>1587</v>
      </c>
      <c r="B2109" t="s">
        <v>2403</v>
      </c>
      <c r="C2109">
        <v>45610</v>
      </c>
      <c r="D2109">
        <v>0</v>
      </c>
      <c r="F2109">
        <v>0</v>
      </c>
    </row>
    <row r="2110" spans="1:6" x14ac:dyDescent="0.25">
      <c r="A2110" t="s">
        <v>1589</v>
      </c>
      <c r="B2110" t="s">
        <v>2404</v>
      </c>
      <c r="C2110">
        <v>45611</v>
      </c>
      <c r="D2110">
        <v>0</v>
      </c>
      <c r="F2110">
        <v>0</v>
      </c>
    </row>
    <row r="2111" spans="1:6" x14ac:dyDescent="0.25">
      <c r="A2111" t="s">
        <v>1591</v>
      </c>
      <c r="B2111" t="s">
        <v>2471</v>
      </c>
      <c r="C2111">
        <v>45612</v>
      </c>
      <c r="D2111">
        <v>0</v>
      </c>
      <c r="F2111">
        <v>0</v>
      </c>
    </row>
    <row r="2112" spans="1:6" x14ac:dyDescent="0.25">
      <c r="A2112" t="s">
        <v>1593</v>
      </c>
      <c r="B2112" t="s">
        <v>2406</v>
      </c>
      <c r="C2112">
        <v>45613</v>
      </c>
      <c r="D2112">
        <v>0</v>
      </c>
      <c r="F2112">
        <v>0</v>
      </c>
    </row>
    <row r="2113" spans="1:6" x14ac:dyDescent="0.25">
      <c r="A2113" t="s">
        <v>1595</v>
      </c>
      <c r="B2113" t="s">
        <v>2407</v>
      </c>
      <c r="C2113">
        <v>45614</v>
      </c>
      <c r="D2113">
        <v>0</v>
      </c>
      <c r="F2113">
        <v>0</v>
      </c>
    </row>
    <row r="2114" spans="1:6" x14ac:dyDescent="0.25">
      <c r="A2114" t="s">
        <v>1597</v>
      </c>
      <c r="B2114" t="s">
        <v>2408</v>
      </c>
      <c r="C2114">
        <v>45615</v>
      </c>
      <c r="D2114">
        <v>0</v>
      </c>
      <c r="F2114">
        <v>0</v>
      </c>
    </row>
    <row r="2115" spans="1:6" x14ac:dyDescent="0.25">
      <c r="A2115" t="s">
        <v>1599</v>
      </c>
      <c r="B2115" t="s">
        <v>2409</v>
      </c>
      <c r="C2115">
        <v>45616</v>
      </c>
      <c r="D2115">
        <v>0</v>
      </c>
      <c r="F2115">
        <v>0</v>
      </c>
    </row>
    <row r="2116" spans="1:6" x14ac:dyDescent="0.25">
      <c r="A2116" t="s">
        <v>1601</v>
      </c>
      <c r="B2116" t="s">
        <v>2410</v>
      </c>
      <c r="C2116">
        <v>45617</v>
      </c>
      <c r="D2116">
        <v>0</v>
      </c>
      <c r="F2116">
        <v>0</v>
      </c>
    </row>
    <row r="2117" spans="1:6" x14ac:dyDescent="0.25">
      <c r="A2117" t="s">
        <v>1603</v>
      </c>
      <c r="B2117" t="s">
        <v>2411</v>
      </c>
      <c r="C2117">
        <v>45618</v>
      </c>
      <c r="D2117">
        <v>0</v>
      </c>
      <c r="F2117">
        <v>0</v>
      </c>
    </row>
    <row r="2118" spans="1:6" x14ac:dyDescent="0.25">
      <c r="A2118" t="s">
        <v>1605</v>
      </c>
      <c r="B2118" t="s">
        <v>2412</v>
      </c>
      <c r="C2118">
        <v>45619</v>
      </c>
      <c r="D2118">
        <v>0</v>
      </c>
      <c r="F2118">
        <v>0</v>
      </c>
    </row>
    <row r="2119" spans="1:6" x14ac:dyDescent="0.25">
      <c r="A2119" t="s">
        <v>1607</v>
      </c>
      <c r="B2119" t="s">
        <v>2413</v>
      </c>
      <c r="C2119">
        <v>45620</v>
      </c>
      <c r="D2119">
        <v>0</v>
      </c>
      <c r="F2119">
        <v>0</v>
      </c>
    </row>
    <row r="2120" spans="1:6" x14ac:dyDescent="0.25">
      <c r="A2120" t="s">
        <v>2336</v>
      </c>
      <c r="B2120" t="s">
        <v>2414</v>
      </c>
      <c r="C2120">
        <v>45621</v>
      </c>
      <c r="D2120">
        <v>0</v>
      </c>
      <c r="F2120">
        <v>0</v>
      </c>
    </row>
    <row r="2121" spans="1:6" x14ac:dyDescent="0.25">
      <c r="A2121" t="s">
        <v>2338</v>
      </c>
      <c r="B2121" t="s">
        <v>2472</v>
      </c>
      <c r="C2121">
        <v>45622</v>
      </c>
      <c r="D2121">
        <v>0</v>
      </c>
      <c r="F2121">
        <v>0</v>
      </c>
    </row>
    <row r="2122" spans="1:6" x14ac:dyDescent="0.25">
      <c r="A2122" t="s">
        <v>2340</v>
      </c>
      <c r="B2122" t="s">
        <v>2416</v>
      </c>
      <c r="C2122">
        <v>45623</v>
      </c>
      <c r="D2122">
        <v>0</v>
      </c>
      <c r="F2122">
        <v>0</v>
      </c>
    </row>
    <row r="2123" spans="1:6" x14ac:dyDescent="0.25">
      <c r="A2123" t="s">
        <v>2342</v>
      </c>
      <c r="B2123" t="s">
        <v>2417</v>
      </c>
      <c r="C2123">
        <v>45624</v>
      </c>
      <c r="D2123">
        <v>0</v>
      </c>
      <c r="F2123">
        <v>0</v>
      </c>
    </row>
    <row r="2124" spans="1:6" x14ac:dyDescent="0.25">
      <c r="A2124" t="s">
        <v>2344</v>
      </c>
      <c r="B2124" t="s">
        <v>2418</v>
      </c>
      <c r="C2124">
        <v>45625</v>
      </c>
      <c r="D2124">
        <v>0</v>
      </c>
      <c r="F2124">
        <v>0</v>
      </c>
    </row>
    <row r="2125" spans="1:6" x14ac:dyDescent="0.25">
      <c r="A2125" t="s">
        <v>2346</v>
      </c>
      <c r="B2125" t="s">
        <v>2419</v>
      </c>
      <c r="C2125">
        <v>45626</v>
      </c>
      <c r="D2125">
        <v>0</v>
      </c>
      <c r="F2125">
        <v>0</v>
      </c>
    </row>
    <row r="2126" spans="1:6" x14ac:dyDescent="0.25">
      <c r="A2126" t="s">
        <v>2348</v>
      </c>
      <c r="B2126" t="s">
        <v>2420</v>
      </c>
      <c r="C2126">
        <v>45627</v>
      </c>
      <c r="D2126">
        <v>0</v>
      </c>
      <c r="F2126">
        <v>0</v>
      </c>
    </row>
    <row r="2127" spans="1:6" x14ac:dyDescent="0.25">
      <c r="B2127" t="s">
        <v>2473</v>
      </c>
      <c r="D2127">
        <v>0</v>
      </c>
      <c r="F2127">
        <v>0</v>
      </c>
    </row>
    <row r="2128" spans="1:6" x14ac:dyDescent="0.25">
      <c r="B2128" t="s">
        <v>1728</v>
      </c>
      <c r="D2128">
        <v>175361094</v>
      </c>
      <c r="F2128">
        <v>175361094</v>
      </c>
    </row>
    <row r="2129" spans="1:6" x14ac:dyDescent="0.25">
      <c r="B2129" t="s">
        <v>2066</v>
      </c>
    </row>
    <row r="2130" spans="1:6" x14ac:dyDescent="0.25">
      <c r="B2130" t="s">
        <v>2067</v>
      </c>
    </row>
    <row r="2131" spans="1:6" x14ac:dyDescent="0.25">
      <c r="A2131" t="s">
        <v>2</v>
      </c>
      <c r="B2131" t="s">
        <v>2474</v>
      </c>
      <c r="C2131">
        <v>46101</v>
      </c>
      <c r="D2131">
        <v>140247</v>
      </c>
      <c r="F2131">
        <v>140247</v>
      </c>
    </row>
    <row r="2132" spans="1:6" x14ac:dyDescent="0.25">
      <c r="B2132" t="s">
        <v>2069</v>
      </c>
    </row>
    <row r="2133" spans="1:6" x14ac:dyDescent="0.25">
      <c r="A2133" t="s">
        <v>2</v>
      </c>
      <c r="B2133" t="s">
        <v>2475</v>
      </c>
      <c r="C2133">
        <v>46201</v>
      </c>
      <c r="D2133">
        <v>77193225</v>
      </c>
      <c r="F2133">
        <v>77193225</v>
      </c>
    </row>
    <row r="2134" spans="1:6" x14ac:dyDescent="0.25">
      <c r="B2134" t="s">
        <v>2476</v>
      </c>
    </row>
    <row r="2135" spans="1:6" x14ac:dyDescent="0.25">
      <c r="A2135" t="s">
        <v>2</v>
      </c>
      <c r="B2135" t="s">
        <v>2477</v>
      </c>
      <c r="C2135">
        <v>46301</v>
      </c>
      <c r="D2135">
        <v>160662273</v>
      </c>
      <c r="F2135">
        <v>160662273</v>
      </c>
    </row>
    <row r="2136" spans="1:6" x14ac:dyDescent="0.25">
      <c r="B2136" t="s">
        <v>2073</v>
      </c>
    </row>
    <row r="2137" spans="1:6" x14ac:dyDescent="0.25">
      <c r="A2137" t="s">
        <v>2</v>
      </c>
      <c r="B2137" t="s">
        <v>2478</v>
      </c>
      <c r="C2137">
        <v>46401</v>
      </c>
      <c r="D2137">
        <v>5566</v>
      </c>
      <c r="F2137">
        <v>5566</v>
      </c>
    </row>
    <row r="2138" spans="1:6" x14ac:dyDescent="0.25">
      <c r="B2138" t="s">
        <v>2280</v>
      </c>
    </row>
    <row r="2139" spans="1:6" x14ac:dyDescent="0.25">
      <c r="A2139" t="s">
        <v>2</v>
      </c>
      <c r="B2139" t="s">
        <v>2479</v>
      </c>
      <c r="C2139">
        <v>46501</v>
      </c>
      <c r="D2139">
        <v>1402339</v>
      </c>
      <c r="F2139">
        <v>1402339</v>
      </c>
    </row>
    <row r="2140" spans="1:6" x14ac:dyDescent="0.25">
      <c r="B2140" t="s">
        <v>1732</v>
      </c>
      <c r="D2140">
        <v>239403650</v>
      </c>
      <c r="F2140">
        <v>239403650</v>
      </c>
    </row>
    <row r="2141" spans="1:6" x14ac:dyDescent="0.25">
      <c r="B2141" t="s">
        <v>2077</v>
      </c>
    </row>
    <row r="2142" spans="1:6" x14ac:dyDescent="0.25">
      <c r="B2142" t="s">
        <v>2078</v>
      </c>
    </row>
    <row r="2143" spans="1:6" x14ac:dyDescent="0.25">
      <c r="A2143" t="s">
        <v>2</v>
      </c>
      <c r="B2143" t="s">
        <v>2079</v>
      </c>
      <c r="C2143">
        <v>47101</v>
      </c>
      <c r="D2143">
        <v>0</v>
      </c>
      <c r="E2143">
        <v>75214</v>
      </c>
      <c r="F2143">
        <v>75214</v>
      </c>
    </row>
    <row r="2144" spans="1:6" x14ac:dyDescent="0.25">
      <c r="A2144" t="s">
        <v>15</v>
      </c>
      <c r="B2144" t="s">
        <v>2080</v>
      </c>
      <c r="C2144">
        <v>47102</v>
      </c>
      <c r="D2144">
        <v>0</v>
      </c>
      <c r="E2144">
        <v>0</v>
      </c>
      <c r="F2144">
        <v>0</v>
      </c>
    </row>
    <row r="2145" spans="1:6" x14ac:dyDescent="0.25">
      <c r="A2145" t="s">
        <v>16</v>
      </c>
      <c r="B2145" t="s">
        <v>2081</v>
      </c>
      <c r="C2145">
        <v>47103</v>
      </c>
      <c r="D2145">
        <v>1553657</v>
      </c>
      <c r="E2145">
        <v>1172625</v>
      </c>
      <c r="F2145">
        <v>2726282</v>
      </c>
    </row>
    <row r="2146" spans="1:6" x14ac:dyDescent="0.25">
      <c r="A2146" t="s">
        <v>25</v>
      </c>
      <c r="B2146" t="s">
        <v>2082</v>
      </c>
      <c r="C2146">
        <v>47104</v>
      </c>
      <c r="D2146">
        <v>114661</v>
      </c>
      <c r="E2146">
        <v>0</v>
      </c>
      <c r="F2146">
        <v>114661</v>
      </c>
    </row>
    <row r="2147" spans="1:6" x14ac:dyDescent="0.25">
      <c r="A2147" t="s">
        <v>26</v>
      </c>
      <c r="B2147" t="s">
        <v>2083</v>
      </c>
      <c r="C2147">
        <v>47105</v>
      </c>
      <c r="D2147">
        <v>697</v>
      </c>
      <c r="E2147">
        <v>15796</v>
      </c>
      <c r="F2147">
        <v>16493</v>
      </c>
    </row>
    <row r="2148" spans="1:6" x14ac:dyDescent="0.25">
      <c r="A2148" t="s">
        <v>27</v>
      </c>
      <c r="B2148" t="s">
        <v>2084</v>
      </c>
      <c r="C2148">
        <v>47106</v>
      </c>
      <c r="D2148">
        <v>63993</v>
      </c>
      <c r="E2148">
        <v>496</v>
      </c>
      <c r="F2148">
        <v>64489</v>
      </c>
    </row>
    <row r="2149" spans="1:6" x14ac:dyDescent="0.25">
      <c r="A2149" t="s">
        <v>531</v>
      </c>
      <c r="B2149" t="s">
        <v>2085</v>
      </c>
      <c r="C2149">
        <v>47107</v>
      </c>
      <c r="D2149">
        <v>0</v>
      </c>
      <c r="E2149">
        <v>0</v>
      </c>
      <c r="F2149">
        <v>0</v>
      </c>
    </row>
    <row r="2150" spans="1:6" x14ac:dyDescent="0.25">
      <c r="A2150" t="s">
        <v>1583</v>
      </c>
      <c r="B2150" t="s">
        <v>2086</v>
      </c>
      <c r="C2150">
        <v>47108</v>
      </c>
      <c r="D2150">
        <v>835315</v>
      </c>
      <c r="E2150">
        <v>0</v>
      </c>
      <c r="F2150">
        <v>835315</v>
      </c>
    </row>
    <row r="2151" spans="1:6" x14ac:dyDescent="0.25">
      <c r="A2151" t="s">
        <v>1585</v>
      </c>
      <c r="B2151" t="s">
        <v>2087</v>
      </c>
      <c r="C2151">
        <v>47109</v>
      </c>
      <c r="D2151">
        <v>2146</v>
      </c>
      <c r="E2151">
        <v>3</v>
      </c>
      <c r="F2151">
        <v>2149</v>
      </c>
    </row>
    <row r="2152" spans="1:6" x14ac:dyDescent="0.25">
      <c r="B2152" t="s">
        <v>2088</v>
      </c>
      <c r="D2152">
        <v>2570469</v>
      </c>
      <c r="E2152">
        <v>1264134</v>
      </c>
      <c r="F2152">
        <v>3834603</v>
      </c>
    </row>
    <row r="2153" spans="1:6" x14ac:dyDescent="0.25">
      <c r="B2153" t="s">
        <v>2089</v>
      </c>
    </row>
    <row r="2154" spans="1:6" x14ac:dyDescent="0.25">
      <c r="A2154" t="s">
        <v>2</v>
      </c>
      <c r="B2154" t="s">
        <v>2090</v>
      </c>
      <c r="C2154">
        <v>47201</v>
      </c>
      <c r="D2154">
        <v>12774</v>
      </c>
      <c r="F2154">
        <v>12774</v>
      </c>
    </row>
    <row r="2155" spans="1:6" x14ac:dyDescent="0.25">
      <c r="A2155" t="s">
        <v>15</v>
      </c>
      <c r="B2155" t="s">
        <v>2091</v>
      </c>
      <c r="C2155">
        <v>47202</v>
      </c>
      <c r="D2155">
        <v>0</v>
      </c>
      <c r="F2155">
        <v>0</v>
      </c>
    </row>
    <row r="2156" spans="1:6" x14ac:dyDescent="0.25">
      <c r="A2156" t="s">
        <v>16</v>
      </c>
      <c r="B2156" t="s">
        <v>2092</v>
      </c>
      <c r="C2156">
        <v>47203</v>
      </c>
      <c r="D2156">
        <v>0</v>
      </c>
      <c r="F2156">
        <v>0</v>
      </c>
    </row>
    <row r="2157" spans="1:6" x14ac:dyDescent="0.25">
      <c r="A2157" t="s">
        <v>25</v>
      </c>
      <c r="B2157" t="s">
        <v>2093</v>
      </c>
      <c r="C2157">
        <v>47204</v>
      </c>
      <c r="D2157">
        <v>0</v>
      </c>
      <c r="F2157">
        <v>0</v>
      </c>
    </row>
    <row r="2158" spans="1:6" x14ac:dyDescent="0.25">
      <c r="B2158" t="s">
        <v>2094</v>
      </c>
      <c r="D2158">
        <v>12774</v>
      </c>
      <c r="F2158">
        <v>12774</v>
      </c>
    </row>
    <row r="2159" spans="1:6" x14ac:dyDescent="0.25">
      <c r="B2159" t="s">
        <v>2480</v>
      </c>
    </row>
    <row r="2160" spans="1:6" x14ac:dyDescent="0.25">
      <c r="A2160" t="s">
        <v>2</v>
      </c>
      <c r="B2160" t="s">
        <v>2096</v>
      </c>
      <c r="C2160">
        <v>47301</v>
      </c>
      <c r="D2160">
        <v>54962</v>
      </c>
      <c r="F2160">
        <v>54962</v>
      </c>
    </row>
    <row r="2161" spans="1:6" x14ac:dyDescent="0.25">
      <c r="A2161" t="s">
        <v>15</v>
      </c>
      <c r="B2161" t="s">
        <v>2097</v>
      </c>
      <c r="C2161">
        <v>47302</v>
      </c>
      <c r="D2161">
        <v>8033580</v>
      </c>
      <c r="F2161">
        <v>8033580</v>
      </c>
    </row>
    <row r="2162" spans="1:6" x14ac:dyDescent="0.25">
      <c r="A2162" t="s">
        <v>16</v>
      </c>
      <c r="B2162" t="s">
        <v>2550</v>
      </c>
      <c r="C2162">
        <v>47303</v>
      </c>
      <c r="D2162">
        <v>0</v>
      </c>
      <c r="F2162">
        <v>0</v>
      </c>
    </row>
    <row r="2163" spans="1:6" x14ac:dyDescent="0.25">
      <c r="A2163" t="s">
        <v>25</v>
      </c>
      <c r="B2163" t="s">
        <v>2099</v>
      </c>
      <c r="C2163">
        <v>47304</v>
      </c>
      <c r="D2163">
        <v>4830083</v>
      </c>
      <c r="F2163">
        <v>4830083</v>
      </c>
    </row>
    <row r="2164" spans="1:6" x14ac:dyDescent="0.25">
      <c r="A2164" t="s">
        <v>26</v>
      </c>
      <c r="B2164" t="s">
        <v>2481</v>
      </c>
      <c r="C2164">
        <v>47305</v>
      </c>
      <c r="D2164">
        <v>7316906</v>
      </c>
      <c r="F2164">
        <v>7316906</v>
      </c>
    </row>
    <row r="2165" spans="1:6" x14ac:dyDescent="0.25">
      <c r="B2165" t="s">
        <v>2482</v>
      </c>
      <c r="D2165">
        <v>20235531</v>
      </c>
      <c r="F2165">
        <v>20235531</v>
      </c>
    </row>
    <row r="2166" spans="1:6" x14ac:dyDescent="0.25">
      <c r="B2166" t="s">
        <v>1885</v>
      </c>
    </row>
    <row r="2167" spans="1:6" x14ac:dyDescent="0.25">
      <c r="A2167" t="s">
        <v>2</v>
      </c>
      <c r="B2167" t="s">
        <v>1886</v>
      </c>
      <c r="C2167">
        <v>47401</v>
      </c>
      <c r="D2167">
        <v>21419</v>
      </c>
      <c r="E2167">
        <v>0</v>
      </c>
      <c r="F2167">
        <v>21419</v>
      </c>
    </row>
    <row r="2168" spans="1:6" x14ac:dyDescent="0.25">
      <c r="A2168" t="s">
        <v>15</v>
      </c>
      <c r="B2168" t="s">
        <v>1887</v>
      </c>
      <c r="C2168">
        <v>47402</v>
      </c>
      <c r="D2168">
        <v>0</v>
      </c>
      <c r="E2168">
        <v>0</v>
      </c>
      <c r="F2168">
        <v>0</v>
      </c>
    </row>
    <row r="2169" spans="1:6" x14ac:dyDescent="0.25">
      <c r="B2169" t="s">
        <v>2101</v>
      </c>
      <c r="D2169">
        <v>21419</v>
      </c>
      <c r="E2169">
        <v>0</v>
      </c>
      <c r="F2169">
        <v>21419</v>
      </c>
    </row>
    <row r="2170" spans="1:6" x14ac:dyDescent="0.25">
      <c r="B2170" t="s">
        <v>2551</v>
      </c>
    </row>
    <row r="2171" spans="1:6" x14ac:dyDescent="0.25">
      <c r="A2171" t="s">
        <v>2</v>
      </c>
      <c r="B2171" t="s">
        <v>2103</v>
      </c>
      <c r="C2171">
        <v>47501</v>
      </c>
      <c r="D2171">
        <v>0</v>
      </c>
      <c r="F2171">
        <v>0</v>
      </c>
    </row>
    <row r="2172" spans="1:6" x14ac:dyDescent="0.25">
      <c r="A2172" t="s">
        <v>15</v>
      </c>
      <c r="B2172" t="s">
        <v>2104</v>
      </c>
      <c r="C2172">
        <v>47502</v>
      </c>
      <c r="D2172">
        <v>0</v>
      </c>
      <c r="F2172">
        <v>0</v>
      </c>
    </row>
    <row r="2173" spans="1:6" x14ac:dyDescent="0.25">
      <c r="A2173" t="s">
        <v>16</v>
      </c>
      <c r="B2173" t="s">
        <v>2105</v>
      </c>
      <c r="C2173">
        <v>47503</v>
      </c>
      <c r="D2173">
        <v>1861</v>
      </c>
      <c r="F2173">
        <v>1861</v>
      </c>
    </row>
    <row r="2174" spans="1:6" x14ac:dyDescent="0.25">
      <c r="A2174" t="s">
        <v>25</v>
      </c>
      <c r="B2174" t="s">
        <v>2106</v>
      </c>
      <c r="C2174">
        <v>47504</v>
      </c>
      <c r="D2174">
        <v>0</v>
      </c>
      <c r="E2174">
        <v>0</v>
      </c>
      <c r="F2174">
        <v>0</v>
      </c>
    </row>
    <row r="2175" spans="1:6" x14ac:dyDescent="0.25">
      <c r="A2175" t="s">
        <v>26</v>
      </c>
      <c r="B2175" t="s">
        <v>2107</v>
      </c>
      <c r="C2175">
        <v>47505</v>
      </c>
      <c r="D2175">
        <v>1635</v>
      </c>
      <c r="E2175">
        <v>0</v>
      </c>
      <c r="F2175">
        <v>1635</v>
      </c>
    </row>
    <row r="2176" spans="1:6" x14ac:dyDescent="0.25">
      <c r="A2176" t="s">
        <v>27</v>
      </c>
      <c r="B2176" t="s">
        <v>2108</v>
      </c>
      <c r="C2176">
        <v>47506</v>
      </c>
      <c r="D2176">
        <v>0</v>
      </c>
      <c r="F2176">
        <v>0</v>
      </c>
    </row>
    <row r="2177" spans="1:6" x14ac:dyDescent="0.25">
      <c r="B2177" t="s">
        <v>2109</v>
      </c>
      <c r="D2177">
        <v>3496</v>
      </c>
      <c r="E2177">
        <v>0</v>
      </c>
      <c r="F2177">
        <v>3496</v>
      </c>
    </row>
    <row r="2178" spans="1:6" x14ac:dyDescent="0.25">
      <c r="B2178" t="s">
        <v>2110</v>
      </c>
    </row>
    <row r="2179" spans="1:6" x14ac:dyDescent="0.25">
      <c r="A2179" t="s">
        <v>2</v>
      </c>
      <c r="B2179" t="s">
        <v>2111</v>
      </c>
      <c r="C2179">
        <v>47601</v>
      </c>
      <c r="D2179">
        <v>61216</v>
      </c>
      <c r="F2179">
        <v>61216</v>
      </c>
    </row>
    <row r="2180" spans="1:6" x14ac:dyDescent="0.25">
      <c r="A2180" t="s">
        <v>15</v>
      </c>
      <c r="B2180" t="s">
        <v>2112</v>
      </c>
      <c r="C2180">
        <v>47602</v>
      </c>
      <c r="D2180">
        <v>127071</v>
      </c>
      <c r="F2180">
        <v>127071</v>
      </c>
    </row>
    <row r="2181" spans="1:6" x14ac:dyDescent="0.25">
      <c r="B2181" t="s">
        <v>2113</v>
      </c>
      <c r="D2181">
        <v>188287</v>
      </c>
      <c r="F2181">
        <v>188287</v>
      </c>
    </row>
    <row r="2182" spans="1:6" x14ac:dyDescent="0.25">
      <c r="B2182" t="s">
        <v>2114</v>
      </c>
    </row>
    <row r="2183" spans="1:6" x14ac:dyDescent="0.25">
      <c r="A2183" t="s">
        <v>2</v>
      </c>
      <c r="B2183" t="s">
        <v>2115</v>
      </c>
      <c r="C2183">
        <v>47701</v>
      </c>
      <c r="D2183">
        <v>0</v>
      </c>
      <c r="F2183">
        <v>0</v>
      </c>
    </row>
    <row r="2184" spans="1:6" x14ac:dyDescent="0.25">
      <c r="A2184" t="s">
        <v>15</v>
      </c>
      <c r="B2184" t="s">
        <v>2116</v>
      </c>
      <c r="C2184">
        <v>47702</v>
      </c>
      <c r="D2184">
        <v>0</v>
      </c>
      <c r="F2184">
        <v>0</v>
      </c>
    </row>
    <row r="2185" spans="1:6" x14ac:dyDescent="0.25">
      <c r="A2185" t="s">
        <v>16</v>
      </c>
      <c r="B2185" t="s">
        <v>2117</v>
      </c>
      <c r="C2185">
        <v>47703</v>
      </c>
      <c r="D2185">
        <v>0</v>
      </c>
      <c r="F2185">
        <v>0</v>
      </c>
    </row>
    <row r="2186" spans="1:6" x14ac:dyDescent="0.25">
      <c r="A2186" t="s">
        <v>25</v>
      </c>
      <c r="B2186" t="s">
        <v>2118</v>
      </c>
      <c r="C2186">
        <v>47704</v>
      </c>
      <c r="D2186">
        <v>0</v>
      </c>
      <c r="F2186">
        <v>0</v>
      </c>
    </row>
    <row r="2187" spans="1:6" x14ac:dyDescent="0.25">
      <c r="B2187" t="s">
        <v>2119</v>
      </c>
      <c r="D2187">
        <v>0</v>
      </c>
      <c r="F2187">
        <v>0</v>
      </c>
    </row>
    <row r="2188" spans="1:6" x14ac:dyDescent="0.25">
      <c r="B2188" t="s">
        <v>2120</v>
      </c>
    </row>
    <row r="2189" spans="1:6" x14ac:dyDescent="0.25">
      <c r="A2189" t="s">
        <v>2</v>
      </c>
      <c r="B2189" t="s">
        <v>2121</v>
      </c>
      <c r="C2189">
        <v>47801</v>
      </c>
      <c r="D2189">
        <v>0</v>
      </c>
      <c r="E2189">
        <v>0</v>
      </c>
      <c r="F2189">
        <v>0</v>
      </c>
    </row>
    <row r="2190" spans="1:6" x14ac:dyDescent="0.25">
      <c r="A2190" t="s">
        <v>15</v>
      </c>
      <c r="B2190" t="s">
        <v>2123</v>
      </c>
      <c r="C2190">
        <v>47803</v>
      </c>
      <c r="D2190">
        <v>505415</v>
      </c>
      <c r="E2190">
        <v>10504</v>
      </c>
      <c r="F2190">
        <v>515919</v>
      </c>
    </row>
    <row r="2191" spans="1:6" x14ac:dyDescent="0.25">
      <c r="A2191" t="s">
        <v>16</v>
      </c>
      <c r="B2191" t="s">
        <v>2552</v>
      </c>
      <c r="C2191">
        <v>47804</v>
      </c>
      <c r="D2191">
        <v>0</v>
      </c>
      <c r="E2191">
        <v>0</v>
      </c>
      <c r="F2191">
        <v>0</v>
      </c>
    </row>
    <row r="2192" spans="1:6" x14ac:dyDescent="0.25">
      <c r="A2192" t="s">
        <v>25</v>
      </c>
      <c r="B2192" t="s">
        <v>2553</v>
      </c>
      <c r="C2192">
        <v>47805</v>
      </c>
      <c r="D2192">
        <v>23859</v>
      </c>
      <c r="E2192">
        <v>0</v>
      </c>
      <c r="F2192">
        <v>23859</v>
      </c>
    </row>
    <row r="2193" spans="1:6" x14ac:dyDescent="0.25">
      <c r="B2193" t="s">
        <v>2554</v>
      </c>
      <c r="D2193">
        <v>529274</v>
      </c>
      <c r="E2193">
        <v>10504</v>
      </c>
      <c r="F2193">
        <v>539778</v>
      </c>
    </row>
    <row r="2194" spans="1:6" x14ac:dyDescent="0.25">
      <c r="B2194" t="s">
        <v>1866</v>
      </c>
      <c r="D2194">
        <v>23561250</v>
      </c>
      <c r="E2194">
        <v>1274638</v>
      </c>
      <c r="F2194">
        <v>24835888</v>
      </c>
    </row>
    <row r="2195" spans="1:6" x14ac:dyDescent="0.25">
      <c r="B2195" t="s">
        <v>2483</v>
      </c>
    </row>
    <row r="2196" spans="1:6" x14ac:dyDescent="0.25">
      <c r="B2196" t="s">
        <v>1394</v>
      </c>
    </row>
    <row r="2197" spans="1:6" x14ac:dyDescent="0.25">
      <c r="A2197" t="s">
        <v>2</v>
      </c>
      <c r="B2197" t="s">
        <v>2126</v>
      </c>
      <c r="C2197">
        <v>48101</v>
      </c>
      <c r="D2197">
        <v>4351759</v>
      </c>
      <c r="E2197">
        <v>0</v>
      </c>
      <c r="F2197">
        <v>4351759</v>
      </c>
    </row>
    <row r="2198" spans="1:6" x14ac:dyDescent="0.25">
      <c r="A2198" t="s">
        <v>15</v>
      </c>
      <c r="B2198" t="s">
        <v>2127</v>
      </c>
      <c r="C2198">
        <v>48102</v>
      </c>
      <c r="D2198">
        <v>160868</v>
      </c>
      <c r="E2198">
        <v>0</v>
      </c>
      <c r="F2198">
        <v>160868</v>
      </c>
    </row>
    <row r="2199" spans="1:6" x14ac:dyDescent="0.25">
      <c r="A2199" t="s">
        <v>16</v>
      </c>
      <c r="B2199" t="s">
        <v>2128</v>
      </c>
      <c r="C2199">
        <v>48103</v>
      </c>
      <c r="D2199">
        <v>1162961</v>
      </c>
      <c r="E2199">
        <v>0</v>
      </c>
      <c r="F2199">
        <v>1162961</v>
      </c>
    </row>
    <row r="2200" spans="1:6" x14ac:dyDescent="0.25">
      <c r="A2200" t="s">
        <v>25</v>
      </c>
      <c r="B2200" t="s">
        <v>2129</v>
      </c>
      <c r="C2200">
        <v>48104</v>
      </c>
      <c r="D2200">
        <v>0</v>
      </c>
      <c r="E2200">
        <v>0</v>
      </c>
      <c r="F2200">
        <v>0</v>
      </c>
    </row>
    <row r="2201" spans="1:6" x14ac:dyDescent="0.25">
      <c r="A2201" t="s">
        <v>26</v>
      </c>
      <c r="B2201" t="s">
        <v>2130</v>
      </c>
      <c r="C2201">
        <v>48105</v>
      </c>
      <c r="D2201">
        <v>0</v>
      </c>
      <c r="E2201">
        <v>0</v>
      </c>
      <c r="F2201">
        <v>0</v>
      </c>
    </row>
    <row r="2202" spans="1:6" x14ac:dyDescent="0.25">
      <c r="A2202" t="s">
        <v>27</v>
      </c>
      <c r="B2202" t="s">
        <v>2131</v>
      </c>
      <c r="C2202">
        <v>48106</v>
      </c>
      <c r="D2202">
        <v>0</v>
      </c>
      <c r="E2202">
        <v>0</v>
      </c>
      <c r="F2202">
        <v>0</v>
      </c>
    </row>
    <row r="2203" spans="1:6" x14ac:dyDescent="0.25">
      <c r="A2203" t="s">
        <v>531</v>
      </c>
      <c r="B2203" t="s">
        <v>2132</v>
      </c>
      <c r="C2203">
        <v>48107</v>
      </c>
      <c r="D2203">
        <v>0</v>
      </c>
      <c r="E2203">
        <v>0</v>
      </c>
      <c r="F2203">
        <v>0</v>
      </c>
    </row>
    <row r="2204" spans="1:6" x14ac:dyDescent="0.25">
      <c r="A2204" t="s">
        <v>1583</v>
      </c>
      <c r="B2204" t="s">
        <v>2133</v>
      </c>
      <c r="C2204">
        <v>48108</v>
      </c>
      <c r="D2204">
        <v>0</v>
      </c>
      <c r="E2204">
        <v>0</v>
      </c>
      <c r="F2204">
        <v>0</v>
      </c>
    </row>
    <row r="2205" spans="1:6" x14ac:dyDescent="0.25">
      <c r="A2205" t="s">
        <v>1585</v>
      </c>
      <c r="B2205" t="s">
        <v>2134</v>
      </c>
      <c r="C2205">
        <v>48109</v>
      </c>
      <c r="D2205">
        <v>42455</v>
      </c>
      <c r="E2205">
        <v>0</v>
      </c>
      <c r="F2205">
        <v>42455</v>
      </c>
    </row>
    <row r="2206" spans="1:6" x14ac:dyDescent="0.25">
      <c r="A2206" t="s">
        <v>1587</v>
      </c>
      <c r="B2206" t="s">
        <v>2135</v>
      </c>
      <c r="C2206">
        <v>48110</v>
      </c>
      <c r="D2206">
        <v>0</v>
      </c>
      <c r="E2206">
        <v>0</v>
      </c>
      <c r="F2206">
        <v>0</v>
      </c>
    </row>
    <row r="2207" spans="1:6" x14ac:dyDescent="0.25">
      <c r="A2207" t="s">
        <v>1589</v>
      </c>
      <c r="B2207" t="s">
        <v>2136</v>
      </c>
      <c r="C2207">
        <v>48111</v>
      </c>
      <c r="D2207">
        <v>0</v>
      </c>
      <c r="E2207">
        <v>0</v>
      </c>
      <c r="F2207">
        <v>0</v>
      </c>
    </row>
    <row r="2208" spans="1:6" x14ac:dyDescent="0.25">
      <c r="A2208" t="s">
        <v>1591</v>
      </c>
      <c r="B2208" t="s">
        <v>2137</v>
      </c>
      <c r="C2208">
        <v>48112</v>
      </c>
      <c r="D2208">
        <v>6512</v>
      </c>
      <c r="E2208">
        <v>0</v>
      </c>
      <c r="F2208">
        <v>6512</v>
      </c>
    </row>
    <row r="2209" spans="1:6" x14ac:dyDescent="0.25">
      <c r="A2209" t="s">
        <v>1593</v>
      </c>
      <c r="B2209" t="s">
        <v>2138</v>
      </c>
      <c r="C2209">
        <v>48113</v>
      </c>
      <c r="D2209">
        <v>14331</v>
      </c>
      <c r="E2209">
        <v>0</v>
      </c>
      <c r="F2209">
        <v>14331</v>
      </c>
    </row>
    <row r="2210" spans="1:6" x14ac:dyDescent="0.25">
      <c r="B2210" t="s">
        <v>2139</v>
      </c>
      <c r="D2210">
        <v>5738886</v>
      </c>
      <c r="E2210">
        <v>0</v>
      </c>
      <c r="F2210">
        <v>5738886</v>
      </c>
    </row>
    <row r="2211" spans="1:6" x14ac:dyDescent="0.25">
      <c r="B2211" t="s">
        <v>1395</v>
      </c>
    </row>
    <row r="2212" spans="1:6" x14ac:dyDescent="0.25">
      <c r="A2212" t="s">
        <v>2</v>
      </c>
      <c r="B2212" t="s">
        <v>2141</v>
      </c>
      <c r="C2212">
        <v>48201</v>
      </c>
      <c r="D2212">
        <v>14329</v>
      </c>
      <c r="F2212">
        <v>14329</v>
      </c>
    </row>
    <row r="2213" spans="1:6" x14ac:dyDescent="0.25">
      <c r="A2213" t="s">
        <v>15</v>
      </c>
      <c r="B2213" t="s">
        <v>2142</v>
      </c>
      <c r="C2213">
        <v>48202</v>
      </c>
      <c r="D2213">
        <v>0</v>
      </c>
      <c r="F2213">
        <v>0</v>
      </c>
    </row>
    <row r="2214" spans="1:6" x14ac:dyDescent="0.25">
      <c r="A2214" t="s">
        <v>16</v>
      </c>
      <c r="B2214" t="s">
        <v>2143</v>
      </c>
      <c r="C2214">
        <v>48203</v>
      </c>
      <c r="D2214">
        <v>5646</v>
      </c>
      <c r="F2214">
        <v>5646</v>
      </c>
    </row>
    <row r="2215" spans="1:6" x14ac:dyDescent="0.25">
      <c r="A2215" t="s">
        <v>25</v>
      </c>
      <c r="B2215" t="s">
        <v>2144</v>
      </c>
      <c r="C2215">
        <v>48204</v>
      </c>
      <c r="D2215">
        <v>0</v>
      </c>
      <c r="F2215">
        <v>0</v>
      </c>
    </row>
    <row r="2216" spans="1:6" x14ac:dyDescent="0.25">
      <c r="A2216" t="s">
        <v>26</v>
      </c>
      <c r="B2216" t="s">
        <v>2145</v>
      </c>
      <c r="C2216">
        <v>48205</v>
      </c>
      <c r="D2216">
        <v>0</v>
      </c>
      <c r="F2216">
        <v>0</v>
      </c>
    </row>
    <row r="2217" spans="1:6" x14ac:dyDescent="0.25">
      <c r="A2217" t="s">
        <v>27</v>
      </c>
      <c r="B2217" t="s">
        <v>2146</v>
      </c>
      <c r="C2217">
        <v>48206</v>
      </c>
      <c r="D2217">
        <v>0</v>
      </c>
      <c r="F2217">
        <v>0</v>
      </c>
    </row>
    <row r="2218" spans="1:6" x14ac:dyDescent="0.25">
      <c r="A2218" t="s">
        <v>531</v>
      </c>
      <c r="B2218" t="s">
        <v>2147</v>
      </c>
      <c r="C2218">
        <v>48207</v>
      </c>
      <c r="D2218">
        <v>0</v>
      </c>
      <c r="F2218">
        <v>0</v>
      </c>
    </row>
    <row r="2219" spans="1:6" x14ac:dyDescent="0.25">
      <c r="A2219" t="s">
        <v>1583</v>
      </c>
      <c r="B2219" t="s">
        <v>2148</v>
      </c>
      <c r="C2219">
        <v>48208</v>
      </c>
      <c r="D2219">
        <v>103090</v>
      </c>
      <c r="E2219">
        <v>0</v>
      </c>
      <c r="F2219">
        <v>103090</v>
      </c>
    </row>
    <row r="2220" spans="1:6" x14ac:dyDescent="0.25">
      <c r="A2220" t="s">
        <v>1585</v>
      </c>
      <c r="B2220" t="s">
        <v>2149</v>
      </c>
      <c r="C2220">
        <v>48209</v>
      </c>
      <c r="D2220">
        <v>313699</v>
      </c>
      <c r="E2220">
        <v>0</v>
      </c>
      <c r="F2220">
        <v>313699</v>
      </c>
    </row>
    <row r="2221" spans="1:6" x14ac:dyDescent="0.25">
      <c r="B2221" t="s">
        <v>2150</v>
      </c>
      <c r="D2221">
        <v>436764</v>
      </c>
      <c r="E2221">
        <v>0</v>
      </c>
      <c r="F2221">
        <v>436764</v>
      </c>
    </row>
    <row r="2222" spans="1:6" x14ac:dyDescent="0.25">
      <c r="B2222" t="s">
        <v>1396</v>
      </c>
    </row>
    <row r="2223" spans="1:6" x14ac:dyDescent="0.25">
      <c r="A2223" t="s">
        <v>2</v>
      </c>
      <c r="B2223" t="s">
        <v>2152</v>
      </c>
      <c r="C2223">
        <v>48301</v>
      </c>
      <c r="D2223">
        <v>445696</v>
      </c>
      <c r="F2223">
        <v>445696</v>
      </c>
    </row>
    <row r="2224" spans="1:6" x14ac:dyDescent="0.25">
      <c r="A2224" t="s">
        <v>15</v>
      </c>
      <c r="B2224" t="s">
        <v>2555</v>
      </c>
      <c r="C2224">
        <v>48302</v>
      </c>
      <c r="D2224">
        <v>518076</v>
      </c>
      <c r="F2224">
        <v>518076</v>
      </c>
    </row>
    <row r="2225" spans="1:6" x14ac:dyDescent="0.25">
      <c r="A2225" t="s">
        <v>16</v>
      </c>
      <c r="B2225" t="s">
        <v>2154</v>
      </c>
      <c r="C2225">
        <v>48303</v>
      </c>
      <c r="D2225">
        <v>327293</v>
      </c>
      <c r="F2225">
        <v>327293</v>
      </c>
    </row>
    <row r="2226" spans="1:6" x14ac:dyDescent="0.25">
      <c r="B2226" t="s">
        <v>2155</v>
      </c>
      <c r="D2226">
        <v>1291065</v>
      </c>
      <c r="F2226">
        <v>1291065</v>
      </c>
    </row>
    <row r="2227" spans="1:6" x14ac:dyDescent="0.25">
      <c r="B2227" t="s">
        <v>1397</v>
      </c>
    </row>
    <row r="2228" spans="1:6" x14ac:dyDescent="0.25">
      <c r="A2228" t="s">
        <v>2</v>
      </c>
      <c r="B2228" t="s">
        <v>2556</v>
      </c>
      <c r="C2228">
        <v>48401</v>
      </c>
      <c r="D2228">
        <v>46446</v>
      </c>
      <c r="E2228">
        <v>0</v>
      </c>
      <c r="F2228">
        <v>46446</v>
      </c>
    </row>
    <row r="2229" spans="1:6" x14ac:dyDescent="0.25">
      <c r="A2229" t="s">
        <v>15</v>
      </c>
      <c r="B2229" t="s">
        <v>2157</v>
      </c>
      <c r="C2229">
        <v>48402</v>
      </c>
      <c r="D2229">
        <v>0</v>
      </c>
      <c r="E2229">
        <v>0</v>
      </c>
      <c r="F2229">
        <v>0</v>
      </c>
    </row>
    <row r="2230" spans="1:6" x14ac:dyDescent="0.25">
      <c r="A2230" t="s">
        <v>16</v>
      </c>
      <c r="B2230" t="s">
        <v>1468</v>
      </c>
      <c r="C2230">
        <v>48403</v>
      </c>
      <c r="D2230">
        <v>256987</v>
      </c>
      <c r="E2230">
        <v>44480</v>
      </c>
      <c r="F2230">
        <v>301467</v>
      </c>
    </row>
    <row r="2231" spans="1:6" x14ac:dyDescent="0.25">
      <c r="A2231" t="s">
        <v>25</v>
      </c>
      <c r="B2231" t="s">
        <v>2158</v>
      </c>
      <c r="C2231">
        <v>48404</v>
      </c>
      <c r="D2231">
        <v>209856</v>
      </c>
      <c r="E2231">
        <v>0</v>
      </c>
      <c r="F2231">
        <v>209856</v>
      </c>
    </row>
    <row r="2232" spans="1:6" x14ac:dyDescent="0.25">
      <c r="A2232" t="s">
        <v>26</v>
      </c>
      <c r="B2232" t="s">
        <v>2159</v>
      </c>
      <c r="C2232">
        <v>48405</v>
      </c>
      <c r="D2232">
        <v>21104</v>
      </c>
      <c r="E2232">
        <v>0</v>
      </c>
      <c r="F2232">
        <v>21104</v>
      </c>
    </row>
    <row r="2233" spans="1:6" x14ac:dyDescent="0.25">
      <c r="A2233" t="s">
        <v>27</v>
      </c>
      <c r="B2233" t="s">
        <v>2160</v>
      </c>
      <c r="C2233">
        <v>48406</v>
      </c>
      <c r="D2233">
        <v>47500</v>
      </c>
      <c r="E2233">
        <v>0</v>
      </c>
      <c r="F2233">
        <v>47500</v>
      </c>
    </row>
    <row r="2234" spans="1:6" x14ac:dyDescent="0.25">
      <c r="A2234" t="s">
        <v>531</v>
      </c>
      <c r="B2234" t="s">
        <v>1479</v>
      </c>
      <c r="C2234">
        <v>48407</v>
      </c>
      <c r="D2234">
        <v>2575326</v>
      </c>
      <c r="E2234">
        <v>0</v>
      </c>
      <c r="F2234">
        <v>2575326</v>
      </c>
    </row>
    <row r="2235" spans="1:6" x14ac:dyDescent="0.25">
      <c r="A2235" t="s">
        <v>1583</v>
      </c>
      <c r="B2235" t="s">
        <v>2161</v>
      </c>
      <c r="C2235">
        <v>48408</v>
      </c>
      <c r="D2235">
        <v>4174</v>
      </c>
      <c r="E2235">
        <v>0</v>
      </c>
      <c r="F2235">
        <v>4174</v>
      </c>
    </row>
    <row r="2236" spans="1:6" x14ac:dyDescent="0.25">
      <c r="A2236" t="s">
        <v>1585</v>
      </c>
      <c r="B2236" t="s">
        <v>1480</v>
      </c>
      <c r="C2236">
        <v>48409</v>
      </c>
      <c r="D2236">
        <v>332872</v>
      </c>
      <c r="E2236">
        <v>51801</v>
      </c>
      <c r="F2236">
        <v>384673</v>
      </c>
    </row>
    <row r="2237" spans="1:6" x14ac:dyDescent="0.25">
      <c r="A2237" t="s">
        <v>1587</v>
      </c>
      <c r="B2237" t="s">
        <v>2162</v>
      </c>
      <c r="C2237">
        <v>48410</v>
      </c>
      <c r="D2237">
        <v>23532</v>
      </c>
      <c r="E2237">
        <v>0</v>
      </c>
      <c r="F2237">
        <v>23532</v>
      </c>
    </row>
    <row r="2238" spans="1:6" x14ac:dyDescent="0.25">
      <c r="A2238" t="s">
        <v>1589</v>
      </c>
      <c r="B2238" t="s">
        <v>2163</v>
      </c>
      <c r="C2238">
        <v>48411</v>
      </c>
      <c r="D2238">
        <v>13</v>
      </c>
      <c r="E2238">
        <v>0</v>
      </c>
      <c r="F2238">
        <v>13</v>
      </c>
    </row>
    <row r="2239" spans="1:6" x14ac:dyDescent="0.25">
      <c r="A2239" t="s">
        <v>1591</v>
      </c>
      <c r="B2239" t="s">
        <v>1481</v>
      </c>
      <c r="C2239">
        <v>48412</v>
      </c>
      <c r="D2239">
        <v>686089</v>
      </c>
      <c r="E2239">
        <v>0</v>
      </c>
      <c r="F2239">
        <v>686089</v>
      </c>
    </row>
    <row r="2240" spans="1:6" x14ac:dyDescent="0.25">
      <c r="A2240" t="s">
        <v>1593</v>
      </c>
      <c r="B2240" t="s">
        <v>2164</v>
      </c>
      <c r="C2240">
        <v>48413</v>
      </c>
      <c r="D2240">
        <v>767965</v>
      </c>
      <c r="E2240">
        <v>0</v>
      </c>
      <c r="F2240">
        <v>767965</v>
      </c>
    </row>
    <row r="2241" spans="1:6" x14ac:dyDescent="0.25">
      <c r="A2241" t="s">
        <v>1595</v>
      </c>
      <c r="B2241" t="s">
        <v>1482</v>
      </c>
      <c r="C2241">
        <v>48414</v>
      </c>
      <c r="D2241">
        <v>1110473</v>
      </c>
      <c r="E2241">
        <v>166288</v>
      </c>
      <c r="F2241">
        <v>1276761</v>
      </c>
    </row>
    <row r="2242" spans="1:6" x14ac:dyDescent="0.25">
      <c r="B2242" t="s">
        <v>2165</v>
      </c>
      <c r="D2242">
        <v>6082337</v>
      </c>
      <c r="E2242">
        <v>262569</v>
      </c>
      <c r="F2242">
        <v>6344906</v>
      </c>
    </row>
    <row r="2243" spans="1:6" x14ac:dyDescent="0.25">
      <c r="B2243" t="s">
        <v>2166</v>
      </c>
    </row>
    <row r="2244" spans="1:6" x14ac:dyDescent="0.25">
      <c r="A2244" t="s">
        <v>2</v>
      </c>
      <c r="B2244" t="s">
        <v>1932</v>
      </c>
      <c r="C2244">
        <v>48501</v>
      </c>
      <c r="D2244">
        <v>0</v>
      </c>
      <c r="F2244">
        <v>0</v>
      </c>
    </row>
    <row r="2245" spans="1:6" x14ac:dyDescent="0.25">
      <c r="A2245" t="s">
        <v>15</v>
      </c>
      <c r="B2245" t="s">
        <v>1933</v>
      </c>
      <c r="C2245">
        <v>48502</v>
      </c>
      <c r="D2245">
        <v>0</v>
      </c>
      <c r="F2245">
        <v>0</v>
      </c>
    </row>
    <row r="2246" spans="1:6" x14ac:dyDescent="0.25">
      <c r="A2246" t="s">
        <v>16</v>
      </c>
      <c r="B2246" t="s">
        <v>1934</v>
      </c>
      <c r="C2246">
        <v>48503</v>
      </c>
      <c r="D2246">
        <v>0</v>
      </c>
      <c r="F2246">
        <v>0</v>
      </c>
    </row>
    <row r="2247" spans="1:6" x14ac:dyDescent="0.25">
      <c r="A2247" t="s">
        <v>25</v>
      </c>
      <c r="B2247" t="s">
        <v>1935</v>
      </c>
      <c r="C2247">
        <v>48504</v>
      </c>
      <c r="D2247">
        <v>0</v>
      </c>
      <c r="F2247">
        <v>0</v>
      </c>
    </row>
    <row r="2248" spans="1:6" x14ac:dyDescent="0.25">
      <c r="A2248" t="s">
        <v>26</v>
      </c>
      <c r="B2248" t="s">
        <v>2484</v>
      </c>
      <c r="C2248">
        <v>48505</v>
      </c>
      <c r="D2248">
        <v>0</v>
      </c>
      <c r="F2248">
        <v>0</v>
      </c>
    </row>
    <row r="2249" spans="1:6" x14ac:dyDescent="0.25">
      <c r="B2249" t="s">
        <v>2168</v>
      </c>
      <c r="D2249">
        <v>0</v>
      </c>
      <c r="F2249">
        <v>0</v>
      </c>
    </row>
    <row r="2250" spans="1:6" x14ac:dyDescent="0.25">
      <c r="B2250" t="s">
        <v>2169</v>
      </c>
    </row>
    <row r="2251" spans="1:6" x14ac:dyDescent="0.25">
      <c r="A2251" t="s">
        <v>2</v>
      </c>
      <c r="B2251" t="s">
        <v>1938</v>
      </c>
      <c r="C2251">
        <v>48601</v>
      </c>
      <c r="D2251">
        <v>6547</v>
      </c>
      <c r="E2251">
        <v>0</v>
      </c>
      <c r="F2251">
        <v>6547</v>
      </c>
    </row>
    <row r="2252" spans="1:6" x14ac:dyDescent="0.25">
      <c r="A2252" t="s">
        <v>15</v>
      </c>
      <c r="B2252" t="s">
        <v>2170</v>
      </c>
      <c r="C2252">
        <v>48602</v>
      </c>
      <c r="D2252">
        <v>2383</v>
      </c>
      <c r="E2252">
        <v>0</v>
      </c>
      <c r="F2252">
        <v>2383</v>
      </c>
    </row>
    <row r="2253" spans="1:6" x14ac:dyDescent="0.25">
      <c r="A2253" t="s">
        <v>16</v>
      </c>
      <c r="B2253" t="s">
        <v>2171</v>
      </c>
      <c r="C2253">
        <v>48603</v>
      </c>
      <c r="D2253">
        <v>9251</v>
      </c>
      <c r="E2253">
        <v>0</v>
      </c>
      <c r="F2253">
        <v>9251</v>
      </c>
    </row>
    <row r="2254" spans="1:6" x14ac:dyDescent="0.25">
      <c r="A2254" t="s">
        <v>25</v>
      </c>
      <c r="B2254" t="s">
        <v>2172</v>
      </c>
      <c r="C2254">
        <v>48604</v>
      </c>
      <c r="D2254">
        <v>26</v>
      </c>
      <c r="E2254">
        <v>0</v>
      </c>
      <c r="F2254">
        <v>26</v>
      </c>
    </row>
    <row r="2255" spans="1:6" x14ac:dyDescent="0.25">
      <c r="A2255" t="s">
        <v>26</v>
      </c>
      <c r="B2255" t="s">
        <v>2173</v>
      </c>
      <c r="C2255">
        <v>48605</v>
      </c>
      <c r="D2255">
        <v>0</v>
      </c>
      <c r="E2255">
        <v>0</v>
      </c>
      <c r="F2255">
        <v>0</v>
      </c>
    </row>
    <row r="2256" spans="1:6" x14ac:dyDescent="0.25">
      <c r="A2256" t="s">
        <v>27</v>
      </c>
      <c r="B2256" t="s">
        <v>2174</v>
      </c>
      <c r="C2256">
        <v>48606</v>
      </c>
      <c r="D2256">
        <v>179</v>
      </c>
      <c r="E2256">
        <v>0</v>
      </c>
      <c r="F2256">
        <v>179</v>
      </c>
    </row>
    <row r="2257" spans="1:6" x14ac:dyDescent="0.25">
      <c r="A2257" t="s">
        <v>531</v>
      </c>
      <c r="B2257" t="s">
        <v>2175</v>
      </c>
      <c r="C2257">
        <v>48607</v>
      </c>
      <c r="D2257">
        <v>168133</v>
      </c>
      <c r="E2257">
        <v>0</v>
      </c>
      <c r="F2257">
        <v>168133</v>
      </c>
    </row>
    <row r="2258" spans="1:6" x14ac:dyDescent="0.25">
      <c r="A2258" t="s">
        <v>1583</v>
      </c>
      <c r="B2258" t="s">
        <v>2176</v>
      </c>
      <c r="C2258">
        <v>48608</v>
      </c>
      <c r="D2258">
        <v>35293</v>
      </c>
      <c r="E2258">
        <v>0</v>
      </c>
      <c r="F2258">
        <v>35293</v>
      </c>
    </row>
    <row r="2259" spans="1:6" x14ac:dyDescent="0.25">
      <c r="A2259" t="s">
        <v>1585</v>
      </c>
      <c r="B2259" t="s">
        <v>2177</v>
      </c>
      <c r="C2259">
        <v>48609</v>
      </c>
      <c r="D2259">
        <v>14</v>
      </c>
      <c r="E2259">
        <v>0</v>
      </c>
      <c r="F2259">
        <v>14</v>
      </c>
    </row>
    <row r="2260" spans="1:6" x14ac:dyDescent="0.25">
      <c r="A2260" t="s">
        <v>1587</v>
      </c>
      <c r="B2260" t="s">
        <v>2178</v>
      </c>
      <c r="C2260">
        <v>48610</v>
      </c>
      <c r="D2260">
        <v>0</v>
      </c>
      <c r="E2260">
        <v>0</v>
      </c>
      <c r="F2260">
        <v>0</v>
      </c>
    </row>
    <row r="2261" spans="1:6" x14ac:dyDescent="0.25">
      <c r="A2261" t="s">
        <v>1589</v>
      </c>
      <c r="B2261" t="s">
        <v>2179</v>
      </c>
      <c r="C2261">
        <v>48611</v>
      </c>
      <c r="D2261">
        <v>337321</v>
      </c>
      <c r="E2261">
        <v>0</v>
      </c>
      <c r="F2261">
        <v>337321</v>
      </c>
    </row>
    <row r="2262" spans="1:6" x14ac:dyDescent="0.25">
      <c r="B2262" t="s">
        <v>2180</v>
      </c>
      <c r="D2262">
        <v>559147</v>
      </c>
      <c r="E2262">
        <v>0</v>
      </c>
      <c r="F2262">
        <v>559147</v>
      </c>
    </row>
    <row r="2263" spans="1:6" x14ac:dyDescent="0.25">
      <c r="B2263" t="s">
        <v>1910</v>
      </c>
      <c r="D2263">
        <v>14108199</v>
      </c>
      <c r="E2263">
        <v>262569</v>
      </c>
      <c r="F2263">
        <v>14370768</v>
      </c>
    </row>
    <row r="2264" spans="1:6" x14ac:dyDescent="0.25">
      <c r="B2264" t="s">
        <v>2281</v>
      </c>
      <c r="D2264">
        <v>456584848</v>
      </c>
      <c r="E2264">
        <v>1542025</v>
      </c>
      <c r="F2264">
        <v>458126873</v>
      </c>
    </row>
    <row r="2265" spans="1:6" x14ac:dyDescent="0.25">
      <c r="B2265" t="s">
        <v>2182</v>
      </c>
      <c r="D2265">
        <v>553388777</v>
      </c>
      <c r="E2265">
        <v>5520227</v>
      </c>
      <c r="F2265">
        <v>558909004</v>
      </c>
    </row>
    <row r="2266" spans="1:6" x14ac:dyDescent="0.25">
      <c r="B2266" t="s">
        <v>2282</v>
      </c>
      <c r="C2266">
        <v>1000</v>
      </c>
      <c r="F2266">
        <v>5704273</v>
      </c>
    </row>
    <row r="2267" spans="1:6" x14ac:dyDescent="0.25">
      <c r="B2267" t="s">
        <v>2283</v>
      </c>
      <c r="C2267">
        <v>2000</v>
      </c>
      <c r="F2267">
        <v>0</v>
      </c>
    </row>
    <row r="2268" spans="1:6" x14ac:dyDescent="0.25">
      <c r="B2268" t="s">
        <v>2185</v>
      </c>
    </row>
    <row r="2269" spans="1:6" x14ac:dyDescent="0.25">
      <c r="B2269" t="s">
        <v>2186</v>
      </c>
    </row>
    <row r="2270" spans="1:6" x14ac:dyDescent="0.25">
      <c r="B2270" t="s">
        <v>2187</v>
      </c>
    </row>
    <row r="2271" spans="1:6" x14ac:dyDescent="0.25">
      <c r="A2271" t="s">
        <v>2</v>
      </c>
      <c r="B2271" t="s">
        <v>2284</v>
      </c>
      <c r="C2271">
        <v>51101</v>
      </c>
      <c r="D2271">
        <v>1047426</v>
      </c>
      <c r="F2271">
        <v>1047426</v>
      </c>
    </row>
    <row r="2272" spans="1:6" x14ac:dyDescent="0.25">
      <c r="B2272" t="s">
        <v>2189</v>
      </c>
    </row>
    <row r="2273" spans="1:6" x14ac:dyDescent="0.25">
      <c r="A2273" t="s">
        <v>2</v>
      </c>
      <c r="B2273" t="s">
        <v>2285</v>
      </c>
      <c r="C2273">
        <v>51201</v>
      </c>
      <c r="D2273">
        <v>2616430</v>
      </c>
      <c r="F2273">
        <v>2616430</v>
      </c>
    </row>
    <row r="2274" spans="1:6" x14ac:dyDescent="0.25">
      <c r="A2274" t="s">
        <v>15</v>
      </c>
      <c r="B2274" t="s">
        <v>2286</v>
      </c>
      <c r="C2274">
        <v>51202</v>
      </c>
      <c r="D2274">
        <v>2296431</v>
      </c>
      <c r="F2274">
        <v>2296431</v>
      </c>
    </row>
    <row r="2275" spans="1:6" x14ac:dyDescent="0.25">
      <c r="A2275" t="s">
        <v>16</v>
      </c>
      <c r="B2275" t="s">
        <v>2192</v>
      </c>
      <c r="C2275">
        <v>3000</v>
      </c>
      <c r="D2275">
        <v>1367425</v>
      </c>
      <c r="F2275">
        <v>1367425</v>
      </c>
    </row>
    <row r="2276" spans="1:6" x14ac:dyDescent="0.25">
      <c r="A2276" t="s">
        <v>25</v>
      </c>
      <c r="B2276" t="s">
        <v>2193</v>
      </c>
      <c r="C2276">
        <v>4000</v>
      </c>
      <c r="D2276">
        <v>0</v>
      </c>
      <c r="F2276">
        <v>0</v>
      </c>
    </row>
    <row r="2277" spans="1:6" x14ac:dyDescent="0.25">
      <c r="B2277" t="s">
        <v>2194</v>
      </c>
    </row>
    <row r="2278" spans="1:6" x14ac:dyDescent="0.25">
      <c r="B2278" t="s">
        <v>2195</v>
      </c>
    </row>
    <row r="2279" spans="1:6" x14ac:dyDescent="0.25">
      <c r="B2279" t="s">
        <v>2196</v>
      </c>
    </row>
    <row r="2280" spans="1:6" x14ac:dyDescent="0.25">
      <c r="A2280" t="s">
        <v>2</v>
      </c>
      <c r="B2280" t="s">
        <v>2197</v>
      </c>
      <c r="C2280">
        <v>61101</v>
      </c>
      <c r="F2280">
        <v>4336848</v>
      </c>
    </row>
    <row r="2281" spans="1:6" x14ac:dyDescent="0.25">
      <c r="A2281" t="s">
        <v>15</v>
      </c>
      <c r="B2281" t="s">
        <v>2198</v>
      </c>
      <c r="C2281">
        <v>61102</v>
      </c>
      <c r="F2281">
        <v>0</v>
      </c>
    </row>
    <row r="2282" spans="1:6" x14ac:dyDescent="0.25">
      <c r="B2282" t="s">
        <v>2199</v>
      </c>
    </row>
    <row r="2283" spans="1:6" x14ac:dyDescent="0.25">
      <c r="B2283" t="s">
        <v>2200</v>
      </c>
    </row>
    <row r="2284" spans="1:6" x14ac:dyDescent="0.25">
      <c r="B2284" t="s">
        <v>2485</v>
      </c>
    </row>
    <row r="2285" spans="1:6" x14ac:dyDescent="0.25">
      <c r="A2285" t="s">
        <v>2</v>
      </c>
      <c r="B2285" t="s">
        <v>2486</v>
      </c>
      <c r="C2285">
        <v>71101</v>
      </c>
      <c r="D2285">
        <v>27751906</v>
      </c>
      <c r="F2285">
        <v>27751906</v>
      </c>
    </row>
    <row r="2286" spans="1:6" x14ac:dyDescent="0.25">
      <c r="A2286" t="s">
        <v>15</v>
      </c>
      <c r="B2286" t="s">
        <v>2487</v>
      </c>
      <c r="C2286">
        <v>71102</v>
      </c>
      <c r="D2286">
        <v>16309424</v>
      </c>
      <c r="F2286">
        <v>16309424</v>
      </c>
    </row>
    <row r="2287" spans="1:6" x14ac:dyDescent="0.25">
      <c r="A2287" t="s">
        <v>16</v>
      </c>
      <c r="B2287" t="s">
        <v>2488</v>
      </c>
      <c r="C2287">
        <v>71103</v>
      </c>
      <c r="D2287">
        <v>0</v>
      </c>
      <c r="F2287">
        <v>0</v>
      </c>
    </row>
    <row r="2288" spans="1:6" x14ac:dyDescent="0.25">
      <c r="A2288" t="s">
        <v>25</v>
      </c>
      <c r="B2288" t="s">
        <v>2489</v>
      </c>
      <c r="C2288">
        <v>71104</v>
      </c>
      <c r="D2288">
        <v>0</v>
      </c>
      <c r="F2288">
        <v>0</v>
      </c>
    </row>
    <row r="2289" spans="1:6" x14ac:dyDescent="0.25">
      <c r="A2289" t="s">
        <v>26</v>
      </c>
      <c r="B2289" t="s">
        <v>2490</v>
      </c>
      <c r="C2289">
        <v>71105</v>
      </c>
      <c r="D2289">
        <v>0</v>
      </c>
      <c r="F2289">
        <v>0</v>
      </c>
    </row>
    <row r="2290" spans="1:6" x14ac:dyDescent="0.25">
      <c r="A2290" t="s">
        <v>27</v>
      </c>
      <c r="B2290" t="s">
        <v>2491</v>
      </c>
      <c r="C2290">
        <v>71106</v>
      </c>
      <c r="D2290">
        <v>0</v>
      </c>
      <c r="F2290">
        <v>0</v>
      </c>
    </row>
    <row r="2291" spans="1:6" x14ac:dyDescent="0.25">
      <c r="B2291" t="s">
        <v>2492</v>
      </c>
      <c r="D2291">
        <v>44061330</v>
      </c>
      <c r="F2291">
        <v>44061330</v>
      </c>
    </row>
    <row r="2292" spans="1:6" x14ac:dyDescent="0.25">
      <c r="B2292" t="s">
        <v>2493</v>
      </c>
    </row>
    <row r="2293" spans="1:6" x14ac:dyDescent="0.25">
      <c r="A2293" t="s">
        <v>2</v>
      </c>
      <c r="B2293" t="s">
        <v>2486</v>
      </c>
      <c r="C2293">
        <v>71201</v>
      </c>
      <c r="D2293">
        <v>2879787</v>
      </c>
      <c r="F2293">
        <v>2879787</v>
      </c>
    </row>
    <row r="2294" spans="1:6" x14ac:dyDescent="0.25">
      <c r="B2294" t="s">
        <v>2494</v>
      </c>
    </row>
    <row r="2295" spans="1:6" x14ac:dyDescent="0.25">
      <c r="A2295" t="s">
        <v>2</v>
      </c>
      <c r="B2295" t="s">
        <v>2487</v>
      </c>
      <c r="C2295">
        <v>71301</v>
      </c>
      <c r="D2295">
        <v>222594</v>
      </c>
      <c r="F2295">
        <v>222594</v>
      </c>
    </row>
    <row r="2296" spans="1:6" x14ac:dyDescent="0.25">
      <c r="A2296" t="s">
        <v>15</v>
      </c>
      <c r="B2296" t="s">
        <v>2488</v>
      </c>
      <c r="C2296">
        <v>71302</v>
      </c>
      <c r="D2296">
        <v>0</v>
      </c>
      <c r="F2296">
        <v>0</v>
      </c>
    </row>
    <row r="2297" spans="1:6" x14ac:dyDescent="0.25">
      <c r="A2297" t="s">
        <v>16</v>
      </c>
      <c r="B2297" t="s">
        <v>2489</v>
      </c>
      <c r="C2297">
        <v>71303</v>
      </c>
      <c r="D2297">
        <v>0</v>
      </c>
      <c r="F2297">
        <v>0</v>
      </c>
    </row>
    <row r="2298" spans="1:6" x14ac:dyDescent="0.25">
      <c r="A2298" t="s">
        <v>25</v>
      </c>
      <c r="B2298" t="s">
        <v>2490</v>
      </c>
      <c r="C2298">
        <v>71304</v>
      </c>
      <c r="D2298">
        <v>0</v>
      </c>
      <c r="F2298">
        <v>0</v>
      </c>
    </row>
    <row r="2299" spans="1:6" x14ac:dyDescent="0.25">
      <c r="A2299" t="s">
        <v>26</v>
      </c>
      <c r="B2299" t="s">
        <v>2491</v>
      </c>
      <c r="C2299">
        <v>71305</v>
      </c>
      <c r="D2299">
        <v>0</v>
      </c>
      <c r="F2299">
        <v>0</v>
      </c>
    </row>
    <row r="2300" spans="1:6" x14ac:dyDescent="0.25">
      <c r="B2300" t="s">
        <v>2495</v>
      </c>
      <c r="D2300">
        <v>222594</v>
      </c>
      <c r="F2300">
        <v>222594</v>
      </c>
    </row>
    <row r="2301" spans="1:6" x14ac:dyDescent="0.25">
      <c r="B2301" t="s">
        <v>2496</v>
      </c>
    </row>
    <row r="2302" spans="1:6" x14ac:dyDescent="0.25">
      <c r="A2302" t="s">
        <v>2</v>
      </c>
      <c r="B2302" t="s">
        <v>2497</v>
      </c>
      <c r="C2302">
        <v>71401</v>
      </c>
      <c r="D2302">
        <v>0</v>
      </c>
      <c r="F2302">
        <v>0</v>
      </c>
    </row>
    <row r="2303" spans="1:6" x14ac:dyDescent="0.25">
      <c r="A2303" t="s">
        <v>15</v>
      </c>
      <c r="B2303" t="s">
        <v>2498</v>
      </c>
      <c r="C2303">
        <v>71402</v>
      </c>
      <c r="D2303">
        <v>0</v>
      </c>
      <c r="F2303">
        <v>0</v>
      </c>
    </row>
    <row r="2304" spans="1:6" x14ac:dyDescent="0.25">
      <c r="A2304" t="s">
        <v>16</v>
      </c>
      <c r="B2304" t="s">
        <v>2499</v>
      </c>
      <c r="C2304">
        <v>71403</v>
      </c>
      <c r="D2304">
        <v>0</v>
      </c>
      <c r="F2304">
        <v>0</v>
      </c>
    </row>
    <row r="2305" spans="1:6" x14ac:dyDescent="0.25">
      <c r="A2305" t="s">
        <v>25</v>
      </c>
      <c r="B2305" t="s">
        <v>2500</v>
      </c>
      <c r="C2305">
        <v>71404</v>
      </c>
      <c r="D2305">
        <v>0</v>
      </c>
      <c r="F2305">
        <v>0</v>
      </c>
    </row>
    <row r="2306" spans="1:6" x14ac:dyDescent="0.25">
      <c r="A2306" t="s">
        <v>26</v>
      </c>
      <c r="B2306" t="s">
        <v>2501</v>
      </c>
      <c r="C2306">
        <v>71405</v>
      </c>
      <c r="D2306">
        <v>0</v>
      </c>
      <c r="F2306">
        <v>0</v>
      </c>
    </row>
    <row r="2307" spans="1:6" x14ac:dyDescent="0.25">
      <c r="A2307" t="s">
        <v>27</v>
      </c>
      <c r="B2307" t="s">
        <v>2502</v>
      </c>
      <c r="C2307">
        <v>71406</v>
      </c>
      <c r="D2307">
        <v>0</v>
      </c>
      <c r="F2307">
        <v>0</v>
      </c>
    </row>
    <row r="2308" spans="1:6" x14ac:dyDescent="0.25">
      <c r="A2308" t="s">
        <v>531</v>
      </c>
      <c r="B2308" t="s">
        <v>2503</v>
      </c>
      <c r="C2308">
        <v>71407</v>
      </c>
      <c r="D2308">
        <v>0</v>
      </c>
      <c r="F2308">
        <v>0</v>
      </c>
    </row>
    <row r="2309" spans="1:6" x14ac:dyDescent="0.25">
      <c r="B2309" t="s">
        <v>2504</v>
      </c>
      <c r="D2309">
        <v>0</v>
      </c>
      <c r="F2309">
        <v>0</v>
      </c>
    </row>
    <row r="2310" spans="1:6" x14ac:dyDescent="0.25">
      <c r="B2310" t="s">
        <v>2209</v>
      </c>
    </row>
    <row r="2311" spans="1:6" x14ac:dyDescent="0.25">
      <c r="A2311" t="s">
        <v>2</v>
      </c>
      <c r="B2311" t="s">
        <v>2210</v>
      </c>
      <c r="C2311">
        <v>71501</v>
      </c>
      <c r="D2311">
        <v>0</v>
      </c>
      <c r="F2311">
        <v>0</v>
      </c>
    </row>
    <row r="2312" spans="1:6" x14ac:dyDescent="0.25">
      <c r="A2312" t="s">
        <v>15</v>
      </c>
      <c r="B2312" t="s">
        <v>2211</v>
      </c>
      <c r="C2312">
        <v>71502</v>
      </c>
      <c r="D2312">
        <v>0</v>
      </c>
      <c r="F2312">
        <v>0</v>
      </c>
    </row>
    <row r="2313" spans="1:6" x14ac:dyDescent="0.25">
      <c r="B2313" t="s">
        <v>2212</v>
      </c>
      <c r="D2313">
        <v>0</v>
      </c>
      <c r="F2313">
        <v>0</v>
      </c>
    </row>
    <row r="2314" spans="1:6" x14ac:dyDescent="0.25">
      <c r="B2314" t="s">
        <v>2213</v>
      </c>
    </row>
    <row r="2315" spans="1:6" x14ac:dyDescent="0.25">
      <c r="A2315" t="s">
        <v>2</v>
      </c>
      <c r="B2315" t="s">
        <v>2214</v>
      </c>
      <c r="C2315">
        <v>71601</v>
      </c>
      <c r="D2315">
        <v>0</v>
      </c>
      <c r="F2315">
        <v>0</v>
      </c>
    </row>
    <row r="2316" spans="1:6" x14ac:dyDescent="0.25">
      <c r="A2316" t="s">
        <v>15</v>
      </c>
      <c r="B2316" t="s">
        <v>2215</v>
      </c>
      <c r="C2316">
        <v>71602</v>
      </c>
      <c r="D2316">
        <v>0</v>
      </c>
      <c r="F2316">
        <v>0</v>
      </c>
    </row>
    <row r="2317" spans="1:6" x14ac:dyDescent="0.25">
      <c r="A2317" t="s">
        <v>16</v>
      </c>
      <c r="B2317" t="s">
        <v>2216</v>
      </c>
      <c r="C2317">
        <v>71603</v>
      </c>
      <c r="D2317">
        <v>0</v>
      </c>
      <c r="F2317">
        <v>0</v>
      </c>
    </row>
    <row r="2318" spans="1:6" x14ac:dyDescent="0.25">
      <c r="A2318" t="s">
        <v>25</v>
      </c>
      <c r="B2318" t="s">
        <v>2217</v>
      </c>
      <c r="C2318">
        <v>71604</v>
      </c>
      <c r="D2318">
        <v>0</v>
      </c>
      <c r="F2318">
        <v>0</v>
      </c>
    </row>
    <row r="2319" spans="1:6" x14ac:dyDescent="0.25">
      <c r="B2319" t="s">
        <v>2218</v>
      </c>
      <c r="D2319">
        <v>0</v>
      </c>
      <c r="F2319">
        <v>0</v>
      </c>
    </row>
    <row r="2320" spans="1:6" x14ac:dyDescent="0.25">
      <c r="B2320" t="s">
        <v>2505</v>
      </c>
    </row>
    <row r="2321" spans="1:6" x14ac:dyDescent="0.25">
      <c r="A2321" t="s">
        <v>2</v>
      </c>
      <c r="B2321" t="s">
        <v>2506</v>
      </c>
      <c r="C2321">
        <v>71701</v>
      </c>
      <c r="D2321">
        <v>514627</v>
      </c>
      <c r="F2321">
        <v>514627</v>
      </c>
    </row>
    <row r="2322" spans="1:6" x14ac:dyDescent="0.25">
      <c r="A2322" t="s">
        <v>15</v>
      </c>
      <c r="B2322" t="s">
        <v>2507</v>
      </c>
      <c r="C2322">
        <v>71702</v>
      </c>
      <c r="D2322">
        <v>0</v>
      </c>
      <c r="F2322">
        <v>0</v>
      </c>
    </row>
    <row r="2323" spans="1:6" x14ac:dyDescent="0.25">
      <c r="A2323" t="s">
        <v>16</v>
      </c>
      <c r="B2323" t="s">
        <v>2508</v>
      </c>
      <c r="C2323">
        <v>71703</v>
      </c>
      <c r="D2323">
        <v>0</v>
      </c>
      <c r="F2323">
        <v>0</v>
      </c>
    </row>
    <row r="2324" spans="1:6" x14ac:dyDescent="0.25">
      <c r="A2324" t="s">
        <v>25</v>
      </c>
      <c r="B2324" t="s">
        <v>2509</v>
      </c>
      <c r="C2324">
        <v>71704</v>
      </c>
      <c r="D2324">
        <v>0</v>
      </c>
      <c r="F2324">
        <v>0</v>
      </c>
    </row>
    <row r="2325" spans="1:6" x14ac:dyDescent="0.25">
      <c r="A2325" t="s">
        <v>26</v>
      </c>
      <c r="B2325" t="s">
        <v>2510</v>
      </c>
      <c r="C2325">
        <v>71705</v>
      </c>
      <c r="D2325">
        <v>0</v>
      </c>
      <c r="F2325">
        <v>0</v>
      </c>
    </row>
    <row r="2326" spans="1:6" x14ac:dyDescent="0.25">
      <c r="A2326" t="s">
        <v>27</v>
      </c>
      <c r="B2326" t="s">
        <v>2511</v>
      </c>
      <c r="C2326">
        <v>71706</v>
      </c>
      <c r="D2326">
        <v>0</v>
      </c>
      <c r="F2326">
        <v>0</v>
      </c>
    </row>
    <row r="2327" spans="1:6" x14ac:dyDescent="0.25">
      <c r="B2327" t="s">
        <v>2512</v>
      </c>
      <c r="D2327">
        <v>514627</v>
      </c>
      <c r="F2327">
        <v>514627</v>
      </c>
    </row>
    <row r="2328" spans="1:6" x14ac:dyDescent="0.25">
      <c r="B2328" t="s">
        <v>2513</v>
      </c>
    </row>
    <row r="2329" spans="1:6" x14ac:dyDescent="0.25">
      <c r="A2329" t="s">
        <v>2</v>
      </c>
      <c r="B2329" t="s">
        <v>2220</v>
      </c>
      <c r="C2329">
        <v>71801</v>
      </c>
      <c r="D2329">
        <v>0</v>
      </c>
      <c r="F2329">
        <v>0</v>
      </c>
    </row>
    <row r="2330" spans="1:6" x14ac:dyDescent="0.25">
      <c r="A2330" t="s">
        <v>15</v>
      </c>
      <c r="B2330" t="s">
        <v>2221</v>
      </c>
      <c r="C2330">
        <v>71802</v>
      </c>
      <c r="D2330">
        <v>0</v>
      </c>
      <c r="F2330">
        <v>0</v>
      </c>
    </row>
    <row r="2331" spans="1:6" x14ac:dyDescent="0.25">
      <c r="A2331" t="s">
        <v>16</v>
      </c>
      <c r="B2331" t="s">
        <v>2514</v>
      </c>
      <c r="C2331">
        <v>71803</v>
      </c>
      <c r="D2331">
        <v>0</v>
      </c>
      <c r="F2331">
        <v>0</v>
      </c>
    </row>
    <row r="2332" spans="1:6" x14ac:dyDescent="0.25">
      <c r="A2332" t="s">
        <v>25</v>
      </c>
      <c r="B2332" t="s">
        <v>2515</v>
      </c>
      <c r="C2332">
        <v>71804</v>
      </c>
      <c r="D2332">
        <v>0</v>
      </c>
      <c r="F2332">
        <v>0</v>
      </c>
    </row>
    <row r="2333" spans="1:6" x14ac:dyDescent="0.25">
      <c r="A2333" t="s">
        <v>26</v>
      </c>
      <c r="B2333" t="s">
        <v>2516</v>
      </c>
      <c r="C2333">
        <v>71805</v>
      </c>
      <c r="D2333">
        <v>0</v>
      </c>
      <c r="F2333">
        <v>0</v>
      </c>
    </row>
    <row r="2334" spans="1:6" x14ac:dyDescent="0.25">
      <c r="A2334" t="s">
        <v>27</v>
      </c>
      <c r="B2334" t="s">
        <v>2517</v>
      </c>
      <c r="C2334">
        <v>71806</v>
      </c>
      <c r="D2334">
        <v>0</v>
      </c>
      <c r="F2334">
        <v>0</v>
      </c>
    </row>
    <row r="2335" spans="1:6" x14ac:dyDescent="0.25">
      <c r="B2335" t="s">
        <v>2518</v>
      </c>
      <c r="D2335">
        <v>0</v>
      </c>
      <c r="F2335">
        <v>0</v>
      </c>
    </row>
    <row r="2336" spans="1:6" x14ac:dyDescent="0.25">
      <c r="B2336" t="s">
        <v>2227</v>
      </c>
    </row>
    <row r="2337" spans="1:6" x14ac:dyDescent="0.25">
      <c r="A2337" t="s">
        <v>2</v>
      </c>
      <c r="B2337" t="s">
        <v>2519</v>
      </c>
      <c r="C2337">
        <v>71901</v>
      </c>
      <c r="D2337">
        <v>1444326</v>
      </c>
      <c r="F2337">
        <v>1444326</v>
      </c>
    </row>
    <row r="2338" spans="1:6" x14ac:dyDescent="0.25">
      <c r="A2338" t="s">
        <v>15</v>
      </c>
      <c r="B2338" t="s">
        <v>2520</v>
      </c>
      <c r="C2338">
        <v>71902</v>
      </c>
      <c r="D2338">
        <v>185013</v>
      </c>
      <c r="F2338">
        <v>185013</v>
      </c>
    </row>
    <row r="2339" spans="1:6" x14ac:dyDescent="0.25">
      <c r="A2339" t="s">
        <v>16</v>
      </c>
      <c r="B2339" t="s">
        <v>2230</v>
      </c>
      <c r="C2339">
        <v>71903</v>
      </c>
      <c r="D2339">
        <v>0</v>
      </c>
      <c r="F2339">
        <v>0</v>
      </c>
    </row>
    <row r="2340" spans="1:6" x14ac:dyDescent="0.25">
      <c r="A2340" t="s">
        <v>25</v>
      </c>
      <c r="B2340" t="s">
        <v>2231</v>
      </c>
      <c r="C2340">
        <v>71904</v>
      </c>
      <c r="D2340">
        <v>0</v>
      </c>
      <c r="F2340">
        <v>0</v>
      </c>
    </row>
    <row r="2341" spans="1:6" x14ac:dyDescent="0.25">
      <c r="A2341" t="s">
        <v>26</v>
      </c>
      <c r="B2341" t="s">
        <v>2232</v>
      </c>
      <c r="C2341">
        <v>71905</v>
      </c>
      <c r="D2341">
        <v>0</v>
      </c>
      <c r="F2341">
        <v>0</v>
      </c>
    </row>
    <row r="2342" spans="1:6" x14ac:dyDescent="0.25">
      <c r="A2342" t="s">
        <v>27</v>
      </c>
      <c r="B2342" t="s">
        <v>2233</v>
      </c>
      <c r="C2342">
        <v>71906</v>
      </c>
      <c r="D2342">
        <v>0</v>
      </c>
      <c r="F2342">
        <v>0</v>
      </c>
    </row>
    <row r="2343" spans="1:6" x14ac:dyDescent="0.25">
      <c r="A2343" t="s">
        <v>531</v>
      </c>
      <c r="B2343" t="s">
        <v>2521</v>
      </c>
      <c r="C2343">
        <v>71907</v>
      </c>
      <c r="D2343">
        <v>0</v>
      </c>
      <c r="F2343">
        <v>0</v>
      </c>
    </row>
    <row r="2344" spans="1:6" x14ac:dyDescent="0.25">
      <c r="A2344" t="s">
        <v>1583</v>
      </c>
      <c r="B2344" t="s">
        <v>2522</v>
      </c>
      <c r="C2344">
        <v>71908</v>
      </c>
      <c r="D2344">
        <v>0</v>
      </c>
      <c r="F2344">
        <v>0</v>
      </c>
    </row>
    <row r="2345" spans="1:6" x14ac:dyDescent="0.25">
      <c r="A2345" t="s">
        <v>1585</v>
      </c>
      <c r="B2345" t="s">
        <v>2523</v>
      </c>
      <c r="C2345">
        <v>71909</v>
      </c>
      <c r="D2345">
        <v>0</v>
      </c>
      <c r="F2345">
        <v>0</v>
      </c>
    </row>
    <row r="2346" spans="1:6" x14ac:dyDescent="0.25">
      <c r="B2346" t="s">
        <v>2524</v>
      </c>
      <c r="D2346">
        <v>1629339</v>
      </c>
      <c r="F2346">
        <v>1629339</v>
      </c>
    </row>
    <row r="2347" spans="1:6" x14ac:dyDescent="0.25">
      <c r="B2347" t="s">
        <v>1653</v>
      </c>
      <c r="D2347">
        <v>49307677</v>
      </c>
      <c r="F2347">
        <v>49307677</v>
      </c>
    </row>
    <row r="2348" spans="1:6" x14ac:dyDescent="0.25">
      <c r="B2348" t="s">
        <v>2235</v>
      </c>
    </row>
    <row r="2349" spans="1:6" x14ac:dyDescent="0.25">
      <c r="B2349" t="s">
        <v>2525</v>
      </c>
    </row>
    <row r="2350" spans="1:6" x14ac:dyDescent="0.25">
      <c r="A2350" t="s">
        <v>2</v>
      </c>
      <c r="B2350" t="s">
        <v>2486</v>
      </c>
      <c r="C2350">
        <v>72101</v>
      </c>
      <c r="D2350">
        <v>33309251</v>
      </c>
      <c r="F2350">
        <v>33309251</v>
      </c>
    </row>
    <row r="2351" spans="1:6" x14ac:dyDescent="0.25">
      <c r="A2351" t="s">
        <v>15</v>
      </c>
      <c r="B2351" t="s">
        <v>2487</v>
      </c>
      <c r="C2351">
        <v>72102</v>
      </c>
      <c r="D2351">
        <v>16485038</v>
      </c>
      <c r="F2351">
        <v>16485038</v>
      </c>
    </row>
    <row r="2352" spans="1:6" x14ac:dyDescent="0.25">
      <c r="A2352" t="s">
        <v>16</v>
      </c>
      <c r="B2352" t="s">
        <v>2488</v>
      </c>
      <c r="C2352">
        <v>72103</v>
      </c>
      <c r="D2352">
        <v>0</v>
      </c>
      <c r="F2352">
        <v>0</v>
      </c>
    </row>
    <row r="2353" spans="1:6" x14ac:dyDescent="0.25">
      <c r="A2353" t="s">
        <v>25</v>
      </c>
      <c r="B2353" t="s">
        <v>2489</v>
      </c>
      <c r="C2353">
        <v>72104</v>
      </c>
      <c r="D2353">
        <v>0</v>
      </c>
      <c r="F2353">
        <v>0</v>
      </c>
    </row>
    <row r="2354" spans="1:6" x14ac:dyDescent="0.25">
      <c r="A2354" t="s">
        <v>26</v>
      </c>
      <c r="B2354" t="s">
        <v>2490</v>
      </c>
      <c r="C2354">
        <v>72105</v>
      </c>
      <c r="D2354">
        <v>0</v>
      </c>
      <c r="F2354">
        <v>0</v>
      </c>
    </row>
    <row r="2355" spans="1:6" x14ac:dyDescent="0.25">
      <c r="A2355" t="s">
        <v>27</v>
      </c>
      <c r="B2355" t="s">
        <v>2491</v>
      </c>
      <c r="C2355">
        <v>72106</v>
      </c>
      <c r="D2355">
        <v>0</v>
      </c>
      <c r="F2355">
        <v>0</v>
      </c>
    </row>
    <row r="2356" spans="1:6" x14ac:dyDescent="0.25">
      <c r="B2356" t="s">
        <v>2526</v>
      </c>
      <c r="D2356">
        <v>49794289</v>
      </c>
      <c r="F2356">
        <v>49794289</v>
      </c>
    </row>
    <row r="2357" spans="1:6" x14ac:dyDescent="0.25">
      <c r="B2357" t="s">
        <v>2527</v>
      </c>
    </row>
    <row r="2358" spans="1:6" x14ac:dyDescent="0.25">
      <c r="A2358" t="s">
        <v>2</v>
      </c>
      <c r="B2358" t="s">
        <v>2486</v>
      </c>
      <c r="C2358">
        <v>72201</v>
      </c>
      <c r="D2358">
        <v>2879787</v>
      </c>
      <c r="F2358">
        <v>2879787</v>
      </c>
    </row>
    <row r="2359" spans="1:6" x14ac:dyDescent="0.25">
      <c r="B2359" t="s">
        <v>2528</v>
      </c>
    </row>
    <row r="2360" spans="1:6" x14ac:dyDescent="0.25">
      <c r="A2360" t="s">
        <v>2</v>
      </c>
      <c r="B2360" t="s">
        <v>2487</v>
      </c>
      <c r="C2360">
        <v>72301</v>
      </c>
      <c r="D2360">
        <v>350115</v>
      </c>
      <c r="F2360">
        <v>350115</v>
      </c>
    </row>
    <row r="2361" spans="1:6" x14ac:dyDescent="0.25">
      <c r="A2361" t="s">
        <v>15</v>
      </c>
      <c r="B2361" t="s">
        <v>2488</v>
      </c>
      <c r="C2361">
        <v>72302</v>
      </c>
      <c r="D2361">
        <v>0</v>
      </c>
      <c r="F2361">
        <v>0</v>
      </c>
    </row>
    <row r="2362" spans="1:6" x14ac:dyDescent="0.25">
      <c r="A2362" t="s">
        <v>16</v>
      </c>
      <c r="B2362" t="s">
        <v>2489</v>
      </c>
      <c r="C2362">
        <v>72303</v>
      </c>
      <c r="D2362">
        <v>0</v>
      </c>
      <c r="F2362">
        <v>0</v>
      </c>
    </row>
    <row r="2363" spans="1:6" x14ac:dyDescent="0.25">
      <c r="A2363" t="s">
        <v>25</v>
      </c>
      <c r="B2363" t="s">
        <v>2490</v>
      </c>
      <c r="C2363">
        <v>72304</v>
      </c>
      <c r="D2363">
        <v>0</v>
      </c>
      <c r="F2363">
        <v>0</v>
      </c>
    </row>
    <row r="2364" spans="1:6" x14ac:dyDescent="0.25">
      <c r="A2364" t="s">
        <v>26</v>
      </c>
      <c r="B2364" t="s">
        <v>2491</v>
      </c>
      <c r="C2364">
        <v>72305</v>
      </c>
      <c r="D2364">
        <v>0</v>
      </c>
      <c r="F2364">
        <v>0</v>
      </c>
    </row>
    <row r="2365" spans="1:6" x14ac:dyDescent="0.25">
      <c r="B2365" t="s">
        <v>2529</v>
      </c>
      <c r="D2365">
        <v>350115</v>
      </c>
      <c r="F2365">
        <v>350115</v>
      </c>
    </row>
    <row r="2366" spans="1:6" x14ac:dyDescent="0.25">
      <c r="B2366" t="s">
        <v>2530</v>
      </c>
    </row>
    <row r="2367" spans="1:6" x14ac:dyDescent="0.25">
      <c r="A2367" t="s">
        <v>2</v>
      </c>
      <c r="B2367" t="s">
        <v>2497</v>
      </c>
      <c r="C2367">
        <v>72401</v>
      </c>
      <c r="D2367">
        <v>0</v>
      </c>
      <c r="F2367">
        <v>0</v>
      </c>
    </row>
    <row r="2368" spans="1:6" x14ac:dyDescent="0.25">
      <c r="A2368" t="s">
        <v>15</v>
      </c>
      <c r="B2368" t="s">
        <v>2498</v>
      </c>
      <c r="C2368">
        <v>72402</v>
      </c>
      <c r="D2368">
        <v>0</v>
      </c>
      <c r="F2368">
        <v>0</v>
      </c>
    </row>
    <row r="2369" spans="1:6" x14ac:dyDescent="0.25">
      <c r="A2369" t="s">
        <v>16</v>
      </c>
      <c r="B2369" t="s">
        <v>2499</v>
      </c>
      <c r="C2369">
        <v>72403</v>
      </c>
      <c r="D2369">
        <v>0</v>
      </c>
      <c r="F2369">
        <v>0</v>
      </c>
    </row>
    <row r="2370" spans="1:6" x14ac:dyDescent="0.25">
      <c r="A2370" t="s">
        <v>25</v>
      </c>
      <c r="B2370" t="s">
        <v>2500</v>
      </c>
      <c r="C2370">
        <v>72404</v>
      </c>
      <c r="D2370">
        <v>0</v>
      </c>
      <c r="F2370">
        <v>0</v>
      </c>
    </row>
    <row r="2371" spans="1:6" x14ac:dyDescent="0.25">
      <c r="A2371" t="s">
        <v>26</v>
      </c>
      <c r="B2371" t="s">
        <v>2501</v>
      </c>
      <c r="C2371">
        <v>72405</v>
      </c>
      <c r="D2371">
        <v>0</v>
      </c>
      <c r="F2371">
        <v>0</v>
      </c>
    </row>
    <row r="2372" spans="1:6" x14ac:dyDescent="0.25">
      <c r="A2372" t="s">
        <v>27</v>
      </c>
      <c r="B2372" t="s">
        <v>2502</v>
      </c>
      <c r="C2372">
        <v>72406</v>
      </c>
      <c r="D2372">
        <v>0</v>
      </c>
      <c r="F2372">
        <v>0</v>
      </c>
    </row>
    <row r="2373" spans="1:6" x14ac:dyDescent="0.25">
      <c r="A2373" t="s">
        <v>531</v>
      </c>
      <c r="B2373" t="s">
        <v>2531</v>
      </c>
      <c r="C2373">
        <v>72407</v>
      </c>
      <c r="D2373">
        <v>0</v>
      </c>
      <c r="F2373">
        <v>0</v>
      </c>
    </row>
    <row r="2374" spans="1:6" x14ac:dyDescent="0.25">
      <c r="B2374" t="s">
        <v>2532</v>
      </c>
      <c r="D2374">
        <v>0</v>
      </c>
      <c r="F2374">
        <v>0</v>
      </c>
    </row>
    <row r="2375" spans="1:6" x14ac:dyDescent="0.25">
      <c r="B2375" t="s">
        <v>2244</v>
      </c>
    </row>
    <row r="2376" spans="1:6" x14ac:dyDescent="0.25">
      <c r="A2376" t="s">
        <v>2</v>
      </c>
      <c r="B2376" t="s">
        <v>2245</v>
      </c>
      <c r="C2376">
        <v>72501</v>
      </c>
      <c r="D2376">
        <v>439</v>
      </c>
      <c r="F2376">
        <v>439</v>
      </c>
    </row>
    <row r="2377" spans="1:6" x14ac:dyDescent="0.25">
      <c r="A2377" t="s">
        <v>15</v>
      </c>
      <c r="B2377" t="s">
        <v>2246</v>
      </c>
      <c r="C2377">
        <v>72502</v>
      </c>
      <c r="D2377">
        <v>0</v>
      </c>
      <c r="F2377">
        <v>0</v>
      </c>
    </row>
    <row r="2378" spans="1:6" x14ac:dyDescent="0.25">
      <c r="B2378" t="s">
        <v>2247</v>
      </c>
      <c r="D2378">
        <v>439</v>
      </c>
      <c r="F2378">
        <v>439</v>
      </c>
    </row>
    <row r="2379" spans="1:6" x14ac:dyDescent="0.25">
      <c r="B2379" t="s">
        <v>2248</v>
      </c>
    </row>
    <row r="2380" spans="1:6" x14ac:dyDescent="0.25">
      <c r="A2380" t="s">
        <v>2</v>
      </c>
      <c r="B2380" t="s">
        <v>2249</v>
      </c>
      <c r="C2380">
        <v>72601</v>
      </c>
      <c r="D2380">
        <v>0</v>
      </c>
      <c r="F2380">
        <v>0</v>
      </c>
    </row>
    <row r="2381" spans="1:6" x14ac:dyDescent="0.25">
      <c r="A2381" t="s">
        <v>15</v>
      </c>
      <c r="B2381" t="s">
        <v>2250</v>
      </c>
      <c r="C2381">
        <v>72602</v>
      </c>
      <c r="D2381">
        <v>0</v>
      </c>
      <c r="F2381">
        <v>0</v>
      </c>
    </row>
    <row r="2382" spans="1:6" x14ac:dyDescent="0.25">
      <c r="A2382" t="s">
        <v>16</v>
      </c>
      <c r="B2382" t="s">
        <v>2251</v>
      </c>
      <c r="C2382">
        <v>72603</v>
      </c>
      <c r="D2382">
        <v>0</v>
      </c>
      <c r="F2382">
        <v>0</v>
      </c>
    </row>
    <row r="2383" spans="1:6" x14ac:dyDescent="0.25">
      <c r="A2383" t="s">
        <v>25</v>
      </c>
      <c r="B2383" t="s">
        <v>2252</v>
      </c>
      <c r="C2383">
        <v>72604</v>
      </c>
      <c r="D2383">
        <v>0</v>
      </c>
      <c r="F2383">
        <v>0</v>
      </c>
    </row>
    <row r="2384" spans="1:6" x14ac:dyDescent="0.25">
      <c r="B2384" t="s">
        <v>2253</v>
      </c>
      <c r="D2384">
        <v>0</v>
      </c>
      <c r="F2384">
        <v>0</v>
      </c>
    </row>
    <row r="2385" spans="1:6" x14ac:dyDescent="0.25">
      <c r="B2385" t="s">
        <v>2533</v>
      </c>
    </row>
    <row r="2386" spans="1:6" x14ac:dyDescent="0.25">
      <c r="A2386" t="s">
        <v>2</v>
      </c>
      <c r="B2386" t="s">
        <v>2506</v>
      </c>
      <c r="C2386">
        <v>72701</v>
      </c>
      <c r="D2386">
        <v>283760</v>
      </c>
      <c r="F2386">
        <v>283760</v>
      </c>
    </row>
    <row r="2387" spans="1:6" x14ac:dyDescent="0.25">
      <c r="A2387" t="s">
        <v>15</v>
      </c>
      <c r="B2387" t="s">
        <v>2507</v>
      </c>
      <c r="C2387">
        <v>72702</v>
      </c>
      <c r="D2387">
        <v>0</v>
      </c>
      <c r="F2387">
        <v>0</v>
      </c>
    </row>
    <row r="2388" spans="1:6" x14ac:dyDescent="0.25">
      <c r="A2388" t="s">
        <v>16</v>
      </c>
      <c r="B2388" t="s">
        <v>2508</v>
      </c>
      <c r="C2388">
        <v>72703</v>
      </c>
      <c r="D2388">
        <v>0</v>
      </c>
      <c r="F2388">
        <v>0</v>
      </c>
    </row>
    <row r="2389" spans="1:6" x14ac:dyDescent="0.25">
      <c r="A2389" t="s">
        <v>25</v>
      </c>
      <c r="B2389" t="s">
        <v>2509</v>
      </c>
      <c r="C2389">
        <v>72704</v>
      </c>
      <c r="D2389">
        <v>0</v>
      </c>
      <c r="F2389">
        <v>0</v>
      </c>
    </row>
    <row r="2390" spans="1:6" x14ac:dyDescent="0.25">
      <c r="A2390" t="s">
        <v>26</v>
      </c>
      <c r="B2390" t="s">
        <v>2510</v>
      </c>
      <c r="C2390">
        <v>72705</v>
      </c>
      <c r="D2390">
        <v>0</v>
      </c>
      <c r="F2390">
        <v>0</v>
      </c>
    </row>
    <row r="2391" spans="1:6" x14ac:dyDescent="0.25">
      <c r="A2391" t="s">
        <v>27</v>
      </c>
      <c r="B2391" t="s">
        <v>2511</v>
      </c>
      <c r="C2391">
        <v>72706</v>
      </c>
      <c r="D2391">
        <v>0</v>
      </c>
      <c r="F2391">
        <v>0</v>
      </c>
    </row>
    <row r="2392" spans="1:6" x14ac:dyDescent="0.25">
      <c r="B2392" t="s">
        <v>2534</v>
      </c>
      <c r="D2392">
        <v>283760</v>
      </c>
      <c r="F2392">
        <v>283760</v>
      </c>
    </row>
    <row r="2393" spans="1:6" x14ac:dyDescent="0.25">
      <c r="B2393" t="s">
        <v>2535</v>
      </c>
    </row>
    <row r="2394" spans="1:6" x14ac:dyDescent="0.25">
      <c r="A2394" t="s">
        <v>2</v>
      </c>
      <c r="B2394" t="s">
        <v>2220</v>
      </c>
      <c r="C2394">
        <v>72801</v>
      </c>
      <c r="D2394">
        <v>0</v>
      </c>
      <c r="F2394">
        <v>0</v>
      </c>
    </row>
    <row r="2395" spans="1:6" x14ac:dyDescent="0.25">
      <c r="A2395" t="s">
        <v>15</v>
      </c>
      <c r="B2395" t="s">
        <v>2221</v>
      </c>
      <c r="C2395">
        <v>72802</v>
      </c>
      <c r="D2395">
        <v>0</v>
      </c>
      <c r="F2395">
        <v>0</v>
      </c>
    </row>
    <row r="2396" spans="1:6" x14ac:dyDescent="0.25">
      <c r="A2396" t="s">
        <v>16</v>
      </c>
      <c r="B2396" t="s">
        <v>2514</v>
      </c>
      <c r="C2396">
        <v>72803</v>
      </c>
      <c r="D2396">
        <v>0</v>
      </c>
      <c r="F2396">
        <v>0</v>
      </c>
    </row>
    <row r="2397" spans="1:6" x14ac:dyDescent="0.25">
      <c r="A2397" t="s">
        <v>25</v>
      </c>
      <c r="B2397" t="s">
        <v>2536</v>
      </c>
      <c r="C2397">
        <v>72804</v>
      </c>
      <c r="D2397">
        <v>0</v>
      </c>
      <c r="F2397">
        <v>0</v>
      </c>
    </row>
    <row r="2398" spans="1:6" x14ac:dyDescent="0.25">
      <c r="A2398" t="s">
        <v>26</v>
      </c>
      <c r="B2398" t="s">
        <v>2537</v>
      </c>
      <c r="C2398">
        <v>72805</v>
      </c>
      <c r="D2398">
        <v>0</v>
      </c>
      <c r="F2398">
        <v>0</v>
      </c>
    </row>
    <row r="2399" spans="1:6" x14ac:dyDescent="0.25">
      <c r="A2399" t="s">
        <v>27</v>
      </c>
      <c r="B2399" t="s">
        <v>2538</v>
      </c>
      <c r="C2399">
        <v>72806</v>
      </c>
      <c r="D2399">
        <v>0</v>
      </c>
      <c r="F2399">
        <v>0</v>
      </c>
    </row>
    <row r="2400" spans="1:6" x14ac:dyDescent="0.25">
      <c r="B2400" t="s">
        <v>2539</v>
      </c>
      <c r="D2400">
        <v>0</v>
      </c>
      <c r="F2400">
        <v>0</v>
      </c>
    </row>
    <row r="2401" spans="1:6" x14ac:dyDescent="0.25">
      <c r="B2401" t="s">
        <v>2258</v>
      </c>
    </row>
    <row r="2402" spans="1:6" x14ac:dyDescent="0.25">
      <c r="A2402" t="s">
        <v>2</v>
      </c>
      <c r="B2402" t="s">
        <v>2519</v>
      </c>
      <c r="C2402">
        <v>72901</v>
      </c>
      <c r="D2402">
        <v>111907</v>
      </c>
      <c r="F2402">
        <v>111907</v>
      </c>
    </row>
    <row r="2403" spans="1:6" x14ac:dyDescent="0.25">
      <c r="A2403" t="s">
        <v>15</v>
      </c>
      <c r="B2403" t="s">
        <v>2520</v>
      </c>
      <c r="C2403">
        <v>72902</v>
      </c>
      <c r="D2403">
        <v>80111</v>
      </c>
      <c r="F2403">
        <v>80111</v>
      </c>
    </row>
    <row r="2404" spans="1:6" x14ac:dyDescent="0.25">
      <c r="A2404" t="s">
        <v>16</v>
      </c>
      <c r="B2404" t="s">
        <v>2230</v>
      </c>
      <c r="C2404">
        <v>72903</v>
      </c>
      <c r="D2404">
        <v>0</v>
      </c>
      <c r="F2404">
        <v>0</v>
      </c>
    </row>
    <row r="2405" spans="1:6" x14ac:dyDescent="0.25">
      <c r="A2405" t="s">
        <v>25</v>
      </c>
      <c r="B2405" t="s">
        <v>2231</v>
      </c>
      <c r="C2405">
        <v>72904</v>
      </c>
      <c r="D2405">
        <v>0</v>
      </c>
      <c r="F2405">
        <v>0</v>
      </c>
    </row>
    <row r="2406" spans="1:6" x14ac:dyDescent="0.25">
      <c r="A2406" t="s">
        <v>26</v>
      </c>
      <c r="B2406" t="s">
        <v>2540</v>
      </c>
      <c r="C2406">
        <v>72905</v>
      </c>
      <c r="D2406">
        <v>0</v>
      </c>
      <c r="F2406">
        <v>0</v>
      </c>
    </row>
    <row r="2407" spans="1:6" x14ac:dyDescent="0.25">
      <c r="A2407" t="s">
        <v>27</v>
      </c>
      <c r="B2407" t="s">
        <v>2233</v>
      </c>
      <c r="C2407">
        <v>72906</v>
      </c>
      <c r="D2407">
        <v>0</v>
      </c>
      <c r="F2407">
        <v>0</v>
      </c>
    </row>
    <row r="2408" spans="1:6" x14ac:dyDescent="0.25">
      <c r="A2408" t="s">
        <v>531</v>
      </c>
      <c r="B2408" t="s">
        <v>2521</v>
      </c>
      <c r="C2408">
        <v>72907</v>
      </c>
      <c r="D2408">
        <v>0</v>
      </c>
      <c r="F2408">
        <v>0</v>
      </c>
    </row>
    <row r="2409" spans="1:6" x14ac:dyDescent="0.25">
      <c r="A2409" t="s">
        <v>1583</v>
      </c>
      <c r="B2409" t="s">
        <v>2522</v>
      </c>
      <c r="C2409">
        <v>72908</v>
      </c>
      <c r="D2409">
        <v>0</v>
      </c>
      <c r="F2409">
        <v>0</v>
      </c>
    </row>
    <row r="2410" spans="1:6" x14ac:dyDescent="0.25">
      <c r="A2410" t="s">
        <v>1585</v>
      </c>
      <c r="B2410" t="s">
        <v>2523</v>
      </c>
      <c r="C2410">
        <v>72909</v>
      </c>
      <c r="D2410">
        <v>0</v>
      </c>
      <c r="F2410">
        <v>0</v>
      </c>
    </row>
    <row r="2411" spans="1:6" x14ac:dyDescent="0.25">
      <c r="B2411" t="s">
        <v>2541</v>
      </c>
      <c r="D2411">
        <v>192018</v>
      </c>
      <c r="F2411">
        <v>192018</v>
      </c>
    </row>
    <row r="2412" spans="1:6" x14ac:dyDescent="0.25">
      <c r="B2412" t="s">
        <v>1660</v>
      </c>
      <c r="D2412">
        <v>53500408</v>
      </c>
      <c r="F2412">
        <v>53500408</v>
      </c>
    </row>
    <row r="2413" spans="1:6" x14ac:dyDescent="0.25">
      <c r="B2413" t="s">
        <v>2260</v>
      </c>
    </row>
    <row r="2414" spans="1:6" x14ac:dyDescent="0.25">
      <c r="B2414" t="s">
        <v>2261</v>
      </c>
    </row>
    <row r="2415" spans="1:6" x14ac:dyDescent="0.25">
      <c r="B2415" t="s">
        <v>2262</v>
      </c>
    </row>
    <row r="2416" spans="1:6" x14ac:dyDescent="0.25">
      <c r="A2416" t="s">
        <v>2</v>
      </c>
      <c r="B2416" t="s">
        <v>2263</v>
      </c>
      <c r="C2416">
        <v>81101</v>
      </c>
      <c r="F2416">
        <v>0</v>
      </c>
    </row>
    <row r="2417" spans="1:6" x14ac:dyDescent="0.25">
      <c r="A2417" t="s">
        <v>15</v>
      </c>
      <c r="B2417" t="s">
        <v>2264</v>
      </c>
      <c r="C2417">
        <v>81102</v>
      </c>
      <c r="F2417">
        <v>4192731</v>
      </c>
    </row>
    <row r="2418" spans="1:6" x14ac:dyDescent="0.25">
      <c r="B2418" t="s">
        <v>2265</v>
      </c>
    </row>
    <row r="2419" spans="1:6" x14ac:dyDescent="0.25">
      <c r="A2419" t="s">
        <v>2</v>
      </c>
      <c r="B2419" t="s">
        <v>2266</v>
      </c>
      <c r="C2419">
        <v>81201</v>
      </c>
      <c r="F2419">
        <v>144117</v>
      </c>
    </row>
    <row r="2420" spans="1:6" x14ac:dyDescent="0.25">
      <c r="A2420" t="s">
        <v>15</v>
      </c>
      <c r="B2420" t="s">
        <v>2267</v>
      </c>
      <c r="C2420">
        <v>81202</v>
      </c>
      <c r="F2420">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6B2A4-8405-42A3-91E8-AF57EDAA6734}">
  <dimension ref="A1:F2416"/>
  <sheetViews>
    <sheetView workbookViewId="0"/>
  </sheetViews>
  <sheetFormatPr defaultRowHeight="15" x14ac:dyDescent="0.25"/>
  <cols>
    <col min="1" max="1" width="13.140625" bestFit="1" customWidth="1"/>
    <col min="2" max="2" width="81.140625" bestFit="1" customWidth="1"/>
    <col min="3" max="3" width="12" bestFit="1" customWidth="1"/>
    <col min="4" max="4" width="10" bestFit="1" customWidth="1"/>
    <col min="5" max="5" width="13" bestFit="1" customWidth="1"/>
    <col min="6" max="6" width="10" bestFit="1" customWidth="1"/>
  </cols>
  <sheetData>
    <row r="1" spans="1:6" x14ac:dyDescent="0.25">
      <c r="A1" t="s">
        <v>1568</v>
      </c>
      <c r="B1" t="s">
        <v>1569</v>
      </c>
      <c r="C1" t="s">
        <v>1570</v>
      </c>
      <c r="D1" t="s">
        <v>1006</v>
      </c>
      <c r="E1" t="s">
        <v>2600</v>
      </c>
      <c r="F1" t="s">
        <v>2601</v>
      </c>
    </row>
    <row r="2" spans="1:6" x14ac:dyDescent="0.25">
      <c r="B2" t="s">
        <v>1573</v>
      </c>
    </row>
    <row r="3" spans="1:6" x14ac:dyDescent="0.25">
      <c r="B3" t="s">
        <v>1574</v>
      </c>
    </row>
    <row r="4" spans="1:6" x14ac:dyDescent="0.25">
      <c r="B4" t="s">
        <v>1575</v>
      </c>
    </row>
    <row r="5" spans="1:6" x14ac:dyDescent="0.25">
      <c r="A5" t="s">
        <v>2</v>
      </c>
      <c r="B5" t="s">
        <v>1576</v>
      </c>
      <c r="C5">
        <v>11101</v>
      </c>
      <c r="D5">
        <v>0</v>
      </c>
      <c r="E5">
        <v>0</v>
      </c>
      <c r="F5">
        <v>0</v>
      </c>
    </row>
    <row r="6" spans="1:6" x14ac:dyDescent="0.25">
      <c r="A6" t="s">
        <v>15</v>
      </c>
      <c r="B6" t="s">
        <v>1577</v>
      </c>
      <c r="C6">
        <v>11102</v>
      </c>
      <c r="D6">
        <v>2669</v>
      </c>
      <c r="E6">
        <v>0</v>
      </c>
      <c r="F6">
        <v>2669</v>
      </c>
    </row>
    <row r="7" spans="1:6" x14ac:dyDescent="0.25">
      <c r="A7" t="s">
        <v>16</v>
      </c>
      <c r="B7" t="s">
        <v>1578</v>
      </c>
      <c r="C7">
        <v>11103</v>
      </c>
      <c r="D7">
        <v>0</v>
      </c>
      <c r="E7">
        <v>0</v>
      </c>
      <c r="F7">
        <v>0</v>
      </c>
    </row>
    <row r="8" spans="1:6" x14ac:dyDescent="0.25">
      <c r="A8" t="s">
        <v>25</v>
      </c>
      <c r="B8" t="s">
        <v>1579</v>
      </c>
      <c r="C8">
        <v>11104</v>
      </c>
      <c r="D8">
        <v>0</v>
      </c>
      <c r="E8">
        <v>0</v>
      </c>
      <c r="F8">
        <v>0</v>
      </c>
    </row>
    <row r="9" spans="1:6" x14ac:dyDescent="0.25">
      <c r="A9" t="s">
        <v>26</v>
      </c>
      <c r="B9" t="s">
        <v>1580</v>
      </c>
      <c r="C9">
        <v>11105</v>
      </c>
      <c r="D9">
        <v>107800</v>
      </c>
      <c r="E9">
        <v>0</v>
      </c>
      <c r="F9">
        <v>107800</v>
      </c>
    </row>
    <row r="10" spans="1:6" x14ac:dyDescent="0.25">
      <c r="A10" t="s">
        <v>27</v>
      </c>
      <c r="B10" t="s">
        <v>1581</v>
      </c>
      <c r="C10">
        <v>11106</v>
      </c>
      <c r="D10">
        <v>17462</v>
      </c>
      <c r="E10">
        <v>0</v>
      </c>
      <c r="F10">
        <v>17462</v>
      </c>
    </row>
    <row r="11" spans="1:6" x14ac:dyDescent="0.25">
      <c r="A11" t="s">
        <v>531</v>
      </c>
      <c r="B11" t="s">
        <v>1582</v>
      </c>
      <c r="C11">
        <v>11107</v>
      </c>
      <c r="D11">
        <v>0</v>
      </c>
      <c r="E11">
        <v>0</v>
      </c>
      <c r="F11">
        <v>0</v>
      </c>
    </row>
    <row r="12" spans="1:6" x14ac:dyDescent="0.25">
      <c r="A12" t="s">
        <v>1583</v>
      </c>
      <c r="B12" t="s">
        <v>1584</v>
      </c>
      <c r="C12">
        <v>11108</v>
      </c>
      <c r="D12">
        <v>0</v>
      </c>
      <c r="E12">
        <v>0</v>
      </c>
      <c r="F12">
        <v>0</v>
      </c>
    </row>
    <row r="13" spans="1:6" x14ac:dyDescent="0.25">
      <c r="A13" t="s">
        <v>1585</v>
      </c>
      <c r="B13" t="s">
        <v>1586</v>
      </c>
      <c r="C13">
        <v>11109</v>
      </c>
      <c r="D13">
        <v>50561</v>
      </c>
      <c r="E13">
        <v>0</v>
      </c>
      <c r="F13">
        <v>50561</v>
      </c>
    </row>
    <row r="14" spans="1:6" x14ac:dyDescent="0.25">
      <c r="A14" t="s">
        <v>1587</v>
      </c>
      <c r="B14" t="s">
        <v>1588</v>
      </c>
      <c r="C14">
        <v>11110</v>
      </c>
      <c r="D14">
        <v>269597</v>
      </c>
      <c r="E14">
        <v>0</v>
      </c>
      <c r="F14">
        <v>269597</v>
      </c>
    </row>
    <row r="15" spans="1:6" x14ac:dyDescent="0.25">
      <c r="A15" t="s">
        <v>1589</v>
      </c>
      <c r="B15" t="s">
        <v>1590</v>
      </c>
      <c r="C15">
        <v>11111</v>
      </c>
      <c r="D15">
        <v>854130</v>
      </c>
      <c r="E15">
        <v>22240</v>
      </c>
      <c r="F15">
        <v>876370</v>
      </c>
    </row>
    <row r="16" spans="1:6" x14ac:dyDescent="0.25">
      <c r="A16" t="s">
        <v>1591</v>
      </c>
      <c r="B16" t="s">
        <v>1592</v>
      </c>
      <c r="C16">
        <v>11112</v>
      </c>
      <c r="D16">
        <v>8797995</v>
      </c>
      <c r="E16">
        <v>178885</v>
      </c>
      <c r="F16">
        <v>8976880</v>
      </c>
    </row>
    <row r="17" spans="1:6" x14ac:dyDescent="0.25">
      <c r="A17" t="s">
        <v>1593</v>
      </c>
      <c r="B17" t="s">
        <v>1594</v>
      </c>
      <c r="C17">
        <v>11113</v>
      </c>
      <c r="D17">
        <v>14</v>
      </c>
      <c r="E17">
        <v>0</v>
      </c>
      <c r="F17">
        <v>14</v>
      </c>
    </row>
    <row r="18" spans="1:6" x14ac:dyDescent="0.25">
      <c r="A18" t="s">
        <v>1595</v>
      </c>
      <c r="B18" t="s">
        <v>1596</v>
      </c>
      <c r="C18">
        <v>11114</v>
      </c>
      <c r="D18">
        <v>429672</v>
      </c>
      <c r="E18">
        <v>0</v>
      </c>
      <c r="F18">
        <v>429672</v>
      </c>
    </row>
    <row r="19" spans="1:6" x14ac:dyDescent="0.25">
      <c r="A19" t="s">
        <v>1597</v>
      </c>
      <c r="B19" t="s">
        <v>1598</v>
      </c>
      <c r="C19">
        <v>11115</v>
      </c>
      <c r="D19">
        <v>9238848</v>
      </c>
      <c r="E19">
        <v>2929</v>
      </c>
      <c r="F19">
        <v>9241777</v>
      </c>
    </row>
    <row r="20" spans="1:6" x14ac:dyDescent="0.25">
      <c r="A20" t="s">
        <v>1599</v>
      </c>
      <c r="B20" t="s">
        <v>1600</v>
      </c>
      <c r="C20">
        <v>11116</v>
      </c>
      <c r="D20">
        <v>0</v>
      </c>
      <c r="E20">
        <v>173177</v>
      </c>
      <c r="F20">
        <v>173177</v>
      </c>
    </row>
    <row r="21" spans="1:6" x14ac:dyDescent="0.25">
      <c r="A21" t="s">
        <v>1601</v>
      </c>
      <c r="B21" t="s">
        <v>1602</v>
      </c>
      <c r="C21">
        <v>11117</v>
      </c>
      <c r="D21">
        <v>0</v>
      </c>
      <c r="E21">
        <v>0</v>
      </c>
      <c r="F21">
        <v>0</v>
      </c>
    </row>
    <row r="22" spans="1:6" x14ac:dyDescent="0.25">
      <c r="A22" t="s">
        <v>1603</v>
      </c>
      <c r="B22" t="s">
        <v>1604</v>
      </c>
      <c r="C22">
        <v>11118</v>
      </c>
      <c r="D22">
        <v>2705241</v>
      </c>
      <c r="E22">
        <v>205304</v>
      </c>
      <c r="F22">
        <v>2910545</v>
      </c>
    </row>
    <row r="23" spans="1:6" x14ac:dyDescent="0.25">
      <c r="A23" t="s">
        <v>1605</v>
      </c>
      <c r="B23" t="s">
        <v>1606</v>
      </c>
      <c r="C23">
        <v>11119</v>
      </c>
      <c r="D23">
        <v>148864</v>
      </c>
      <c r="E23">
        <v>336772</v>
      </c>
      <c r="F23">
        <v>485636</v>
      </c>
    </row>
    <row r="24" spans="1:6" x14ac:dyDescent="0.25">
      <c r="A24" t="s">
        <v>1607</v>
      </c>
      <c r="B24" t="s">
        <v>1608</v>
      </c>
      <c r="C24">
        <v>11120</v>
      </c>
      <c r="D24">
        <v>0</v>
      </c>
      <c r="E24">
        <v>0</v>
      </c>
      <c r="F24">
        <v>0</v>
      </c>
    </row>
    <row r="25" spans="1:6" x14ac:dyDescent="0.25">
      <c r="B25" t="s">
        <v>1609</v>
      </c>
      <c r="D25">
        <v>22622853</v>
      </c>
      <c r="E25">
        <v>919307</v>
      </c>
      <c r="F25">
        <v>23542160</v>
      </c>
    </row>
    <row r="26" spans="1:6" x14ac:dyDescent="0.25">
      <c r="B26" t="s">
        <v>1656</v>
      </c>
    </row>
    <row r="27" spans="1:6" x14ac:dyDescent="0.25">
      <c r="A27" t="s">
        <v>2</v>
      </c>
      <c r="B27" t="s">
        <v>1611</v>
      </c>
      <c r="C27">
        <v>11201</v>
      </c>
      <c r="D27">
        <v>0</v>
      </c>
      <c r="E27">
        <v>0</v>
      </c>
      <c r="F27">
        <v>0</v>
      </c>
    </row>
    <row r="28" spans="1:6" x14ac:dyDescent="0.25">
      <c r="A28" t="s">
        <v>15</v>
      </c>
      <c r="B28" t="s">
        <v>1612</v>
      </c>
      <c r="C28">
        <v>11202</v>
      </c>
      <c r="D28">
        <v>0</v>
      </c>
      <c r="E28">
        <v>0</v>
      </c>
      <c r="F28">
        <v>0</v>
      </c>
    </row>
    <row r="29" spans="1:6" x14ac:dyDescent="0.25">
      <c r="A29" t="s">
        <v>16</v>
      </c>
      <c r="B29" t="s">
        <v>1613</v>
      </c>
      <c r="C29">
        <v>11203</v>
      </c>
      <c r="D29">
        <v>0</v>
      </c>
      <c r="E29">
        <v>0</v>
      </c>
      <c r="F29">
        <v>0</v>
      </c>
    </row>
    <row r="30" spans="1:6" x14ac:dyDescent="0.25">
      <c r="A30" t="s">
        <v>25</v>
      </c>
      <c r="B30" t="s">
        <v>1614</v>
      </c>
      <c r="C30">
        <v>11204</v>
      </c>
      <c r="D30">
        <v>0</v>
      </c>
      <c r="E30">
        <v>0</v>
      </c>
      <c r="F30">
        <v>0</v>
      </c>
    </row>
    <row r="31" spans="1:6" x14ac:dyDescent="0.25">
      <c r="A31" t="s">
        <v>26</v>
      </c>
      <c r="B31" t="s">
        <v>1615</v>
      </c>
      <c r="C31">
        <v>11205</v>
      </c>
      <c r="D31">
        <v>0</v>
      </c>
      <c r="E31">
        <v>0</v>
      </c>
      <c r="F31">
        <v>0</v>
      </c>
    </row>
    <row r="32" spans="1:6" x14ac:dyDescent="0.25">
      <c r="A32" t="s">
        <v>27</v>
      </c>
      <c r="B32" t="s">
        <v>1616</v>
      </c>
      <c r="C32">
        <v>11206</v>
      </c>
      <c r="D32">
        <v>0</v>
      </c>
      <c r="E32">
        <v>0</v>
      </c>
      <c r="F32">
        <v>0</v>
      </c>
    </row>
    <row r="33" spans="1:6" x14ac:dyDescent="0.25">
      <c r="A33" t="s">
        <v>531</v>
      </c>
      <c r="B33" t="s">
        <v>1617</v>
      </c>
      <c r="C33">
        <v>11207</v>
      </c>
      <c r="D33">
        <v>0</v>
      </c>
      <c r="E33">
        <v>0</v>
      </c>
      <c r="F33">
        <v>0</v>
      </c>
    </row>
    <row r="34" spans="1:6" x14ac:dyDescent="0.25">
      <c r="A34" t="s">
        <v>1583</v>
      </c>
      <c r="B34" t="s">
        <v>1618</v>
      </c>
      <c r="C34">
        <v>11208</v>
      </c>
      <c r="D34">
        <v>0</v>
      </c>
      <c r="E34">
        <v>0</v>
      </c>
      <c r="F34">
        <v>0</v>
      </c>
    </row>
    <row r="35" spans="1:6" x14ac:dyDescent="0.25">
      <c r="A35" t="s">
        <v>1585</v>
      </c>
      <c r="B35" t="s">
        <v>1619</v>
      </c>
      <c r="C35">
        <v>11209</v>
      </c>
      <c r="D35">
        <v>0</v>
      </c>
      <c r="E35">
        <v>0</v>
      </c>
      <c r="F35">
        <v>0</v>
      </c>
    </row>
    <row r="36" spans="1:6" x14ac:dyDescent="0.25">
      <c r="A36" t="s">
        <v>1587</v>
      </c>
      <c r="B36" t="s">
        <v>1620</v>
      </c>
      <c r="C36">
        <v>11210</v>
      </c>
      <c r="D36">
        <v>0</v>
      </c>
      <c r="E36">
        <v>0</v>
      </c>
      <c r="F36">
        <v>0</v>
      </c>
    </row>
    <row r="37" spans="1:6" x14ac:dyDescent="0.25">
      <c r="A37" t="s">
        <v>1589</v>
      </c>
      <c r="B37" t="s">
        <v>1621</v>
      </c>
      <c r="C37">
        <v>11211</v>
      </c>
      <c r="D37">
        <v>488327</v>
      </c>
      <c r="E37">
        <v>0</v>
      </c>
      <c r="F37">
        <v>488327</v>
      </c>
    </row>
    <row r="38" spans="1:6" x14ac:dyDescent="0.25">
      <c r="A38" t="s">
        <v>1591</v>
      </c>
      <c r="B38" t="s">
        <v>1622</v>
      </c>
      <c r="C38">
        <v>11212</v>
      </c>
      <c r="D38">
        <v>155783</v>
      </c>
      <c r="E38">
        <v>0</v>
      </c>
      <c r="F38">
        <v>155783</v>
      </c>
    </row>
    <row r="39" spans="1:6" x14ac:dyDescent="0.25">
      <c r="A39" t="s">
        <v>1593</v>
      </c>
      <c r="B39" t="s">
        <v>1623</v>
      </c>
      <c r="C39">
        <v>11213</v>
      </c>
      <c r="D39">
        <v>0</v>
      </c>
      <c r="E39">
        <v>0</v>
      </c>
      <c r="F39">
        <v>0</v>
      </c>
    </row>
    <row r="40" spans="1:6" x14ac:dyDescent="0.25">
      <c r="A40" t="s">
        <v>1595</v>
      </c>
      <c r="B40" t="s">
        <v>1624</v>
      </c>
      <c r="C40">
        <v>11214</v>
      </c>
      <c r="D40">
        <v>0</v>
      </c>
      <c r="E40">
        <v>0</v>
      </c>
      <c r="F40">
        <v>0</v>
      </c>
    </row>
    <row r="41" spans="1:6" x14ac:dyDescent="0.25">
      <c r="A41" t="s">
        <v>1597</v>
      </c>
      <c r="B41" t="s">
        <v>1625</v>
      </c>
      <c r="C41">
        <v>11215</v>
      </c>
      <c r="D41">
        <v>2528603</v>
      </c>
      <c r="E41">
        <v>234</v>
      </c>
      <c r="F41">
        <v>2528837</v>
      </c>
    </row>
    <row r="42" spans="1:6" x14ac:dyDescent="0.25">
      <c r="A42" t="s">
        <v>1599</v>
      </c>
      <c r="B42" t="s">
        <v>1626</v>
      </c>
      <c r="C42">
        <v>11216</v>
      </c>
      <c r="D42">
        <v>0</v>
      </c>
      <c r="E42">
        <v>9</v>
      </c>
      <c r="F42">
        <v>9</v>
      </c>
    </row>
    <row r="43" spans="1:6" x14ac:dyDescent="0.25">
      <c r="A43" t="s">
        <v>1601</v>
      </c>
      <c r="B43" t="s">
        <v>1627</v>
      </c>
      <c r="C43">
        <v>11217</v>
      </c>
      <c r="D43">
        <v>0</v>
      </c>
      <c r="E43">
        <v>0</v>
      </c>
      <c r="F43">
        <v>0</v>
      </c>
    </row>
    <row r="44" spans="1:6" x14ac:dyDescent="0.25">
      <c r="A44" t="s">
        <v>1603</v>
      </c>
      <c r="B44" t="s">
        <v>1596</v>
      </c>
      <c r="C44">
        <v>11218</v>
      </c>
      <c r="D44">
        <v>0</v>
      </c>
      <c r="E44">
        <v>0</v>
      </c>
      <c r="F44">
        <v>0</v>
      </c>
    </row>
    <row r="45" spans="1:6" x14ac:dyDescent="0.25">
      <c r="A45" t="s">
        <v>1605</v>
      </c>
      <c r="B45" t="s">
        <v>1598</v>
      </c>
      <c r="C45">
        <v>11219</v>
      </c>
      <c r="D45">
        <v>0</v>
      </c>
      <c r="E45">
        <v>0</v>
      </c>
      <c r="F45">
        <v>0</v>
      </c>
    </row>
    <row r="46" spans="1:6" x14ac:dyDescent="0.25">
      <c r="A46" t="s">
        <v>1607</v>
      </c>
      <c r="B46" t="s">
        <v>1602</v>
      </c>
      <c r="C46">
        <v>11220</v>
      </c>
      <c r="D46">
        <v>0</v>
      </c>
      <c r="E46">
        <v>0</v>
      </c>
      <c r="F46">
        <v>0</v>
      </c>
    </row>
    <row r="47" spans="1:6" x14ac:dyDescent="0.25">
      <c r="B47" t="s">
        <v>1628</v>
      </c>
      <c r="D47">
        <v>3172713</v>
      </c>
      <c r="E47">
        <v>243</v>
      </c>
      <c r="F47">
        <v>3172956</v>
      </c>
    </row>
    <row r="48" spans="1:6" x14ac:dyDescent="0.25">
      <c r="B48" t="s">
        <v>1629</v>
      </c>
    </row>
    <row r="49" spans="1:6" x14ac:dyDescent="0.25">
      <c r="A49" t="s">
        <v>2</v>
      </c>
      <c r="B49" t="s">
        <v>1627</v>
      </c>
      <c r="C49">
        <v>11301</v>
      </c>
      <c r="D49">
        <v>2679550</v>
      </c>
      <c r="E49">
        <v>0</v>
      </c>
      <c r="F49">
        <v>2679550</v>
      </c>
    </row>
    <row r="50" spans="1:6" x14ac:dyDescent="0.25">
      <c r="A50" t="s">
        <v>15</v>
      </c>
      <c r="B50" t="s">
        <v>1625</v>
      </c>
      <c r="C50">
        <v>11302</v>
      </c>
      <c r="D50">
        <v>6</v>
      </c>
      <c r="E50">
        <v>144</v>
      </c>
      <c r="F50">
        <v>150</v>
      </c>
    </row>
    <row r="51" spans="1:6" x14ac:dyDescent="0.25">
      <c r="A51" t="s">
        <v>16</v>
      </c>
      <c r="B51" t="s">
        <v>1626</v>
      </c>
      <c r="C51">
        <v>11303</v>
      </c>
      <c r="D51">
        <v>0</v>
      </c>
      <c r="E51">
        <v>2892</v>
      </c>
      <c r="F51">
        <v>2892</v>
      </c>
    </row>
    <row r="52" spans="1:6" x14ac:dyDescent="0.25">
      <c r="B52" t="s">
        <v>1630</v>
      </c>
      <c r="D52">
        <v>2679556</v>
      </c>
      <c r="E52">
        <v>3036</v>
      </c>
      <c r="F52">
        <v>2682592</v>
      </c>
    </row>
    <row r="53" spans="1:6" x14ac:dyDescent="0.25">
      <c r="B53" t="s">
        <v>1631</v>
      </c>
    </row>
    <row r="54" spans="1:6" x14ac:dyDescent="0.25">
      <c r="A54" t="s">
        <v>2</v>
      </c>
      <c r="B54" t="s">
        <v>1627</v>
      </c>
      <c r="C54">
        <v>11401</v>
      </c>
      <c r="D54">
        <v>0</v>
      </c>
      <c r="E54">
        <v>0</v>
      </c>
      <c r="F54">
        <v>0</v>
      </c>
    </row>
    <row r="55" spans="1:6" x14ac:dyDescent="0.25">
      <c r="A55" t="s">
        <v>15</v>
      </c>
      <c r="B55" t="s">
        <v>1625</v>
      </c>
      <c r="C55">
        <v>11402</v>
      </c>
      <c r="D55">
        <v>0</v>
      </c>
      <c r="E55">
        <v>0</v>
      </c>
      <c r="F55">
        <v>0</v>
      </c>
    </row>
    <row r="56" spans="1:6" x14ac:dyDescent="0.25">
      <c r="A56" t="s">
        <v>16</v>
      </c>
      <c r="B56" t="s">
        <v>1626</v>
      </c>
      <c r="C56">
        <v>11403</v>
      </c>
      <c r="D56">
        <v>0</v>
      </c>
      <c r="E56">
        <v>6713</v>
      </c>
      <c r="F56">
        <v>6713</v>
      </c>
    </row>
    <row r="57" spans="1:6" x14ac:dyDescent="0.25">
      <c r="B57" t="s">
        <v>1632</v>
      </c>
      <c r="D57">
        <v>0</v>
      </c>
      <c r="E57">
        <v>6713</v>
      </c>
      <c r="F57">
        <v>6713</v>
      </c>
    </row>
    <row r="58" spans="1:6" x14ac:dyDescent="0.25">
      <c r="B58" t="s">
        <v>1633</v>
      </c>
    </row>
    <row r="59" spans="1:6" x14ac:dyDescent="0.25">
      <c r="A59" t="s">
        <v>2</v>
      </c>
      <c r="B59" t="s">
        <v>1634</v>
      </c>
      <c r="C59">
        <v>11501</v>
      </c>
      <c r="D59">
        <v>84716</v>
      </c>
      <c r="E59">
        <v>0</v>
      </c>
      <c r="F59">
        <v>84716</v>
      </c>
    </row>
    <row r="60" spans="1:6" x14ac:dyDescent="0.25">
      <c r="A60" t="s">
        <v>15</v>
      </c>
      <c r="B60" t="s">
        <v>1635</v>
      </c>
      <c r="C60">
        <v>11502</v>
      </c>
      <c r="D60">
        <v>0</v>
      </c>
      <c r="E60">
        <v>0</v>
      </c>
      <c r="F60">
        <v>0</v>
      </c>
    </row>
    <row r="61" spans="1:6" x14ac:dyDescent="0.25">
      <c r="A61" t="s">
        <v>16</v>
      </c>
      <c r="B61" t="s">
        <v>1636</v>
      </c>
      <c r="C61">
        <v>11503</v>
      </c>
      <c r="D61">
        <v>0</v>
      </c>
      <c r="E61">
        <v>0</v>
      </c>
      <c r="F61">
        <v>0</v>
      </c>
    </row>
    <row r="62" spans="1:6" x14ac:dyDescent="0.25">
      <c r="A62" t="s">
        <v>25</v>
      </c>
      <c r="B62" t="s">
        <v>1637</v>
      </c>
      <c r="C62">
        <v>11504</v>
      </c>
      <c r="D62">
        <v>0</v>
      </c>
      <c r="E62">
        <v>0</v>
      </c>
      <c r="F62">
        <v>0</v>
      </c>
    </row>
    <row r="63" spans="1:6" x14ac:dyDescent="0.25">
      <c r="A63" t="s">
        <v>26</v>
      </c>
      <c r="B63" t="s">
        <v>1638</v>
      </c>
      <c r="C63">
        <v>11505</v>
      </c>
      <c r="D63">
        <v>7395</v>
      </c>
      <c r="E63">
        <v>0</v>
      </c>
      <c r="F63">
        <v>7395</v>
      </c>
    </row>
    <row r="64" spans="1:6" x14ac:dyDescent="0.25">
      <c r="A64" t="s">
        <v>27</v>
      </c>
      <c r="B64" t="s">
        <v>1639</v>
      </c>
      <c r="C64">
        <v>11506</v>
      </c>
      <c r="D64">
        <v>0</v>
      </c>
      <c r="E64">
        <v>0</v>
      </c>
      <c r="F64">
        <v>0</v>
      </c>
    </row>
    <row r="65" spans="1:6" x14ac:dyDescent="0.25">
      <c r="A65" t="s">
        <v>531</v>
      </c>
      <c r="B65" t="s">
        <v>1640</v>
      </c>
      <c r="C65">
        <v>11507</v>
      </c>
      <c r="D65">
        <v>0</v>
      </c>
      <c r="E65">
        <v>0</v>
      </c>
      <c r="F65">
        <v>0</v>
      </c>
    </row>
    <row r="66" spans="1:6" x14ac:dyDescent="0.25">
      <c r="A66" t="s">
        <v>1583</v>
      </c>
      <c r="B66" t="s">
        <v>1641</v>
      </c>
      <c r="C66">
        <v>11508</v>
      </c>
      <c r="D66">
        <v>0</v>
      </c>
      <c r="E66">
        <v>0</v>
      </c>
      <c r="F66">
        <v>0</v>
      </c>
    </row>
    <row r="67" spans="1:6" x14ac:dyDescent="0.25">
      <c r="B67" t="s">
        <v>1642</v>
      </c>
      <c r="D67">
        <v>92111</v>
      </c>
      <c r="E67">
        <v>0</v>
      </c>
      <c r="F67">
        <v>92111</v>
      </c>
    </row>
    <row r="68" spans="1:6" x14ac:dyDescent="0.25">
      <c r="B68" t="s">
        <v>2287</v>
      </c>
    </row>
    <row r="69" spans="1:6" x14ac:dyDescent="0.25">
      <c r="A69" t="s">
        <v>2</v>
      </c>
      <c r="B69" t="s">
        <v>1634</v>
      </c>
      <c r="C69">
        <v>11601</v>
      </c>
      <c r="D69">
        <v>345800</v>
      </c>
      <c r="E69">
        <v>0</v>
      </c>
      <c r="F69">
        <v>345800</v>
      </c>
    </row>
    <row r="70" spans="1:6" x14ac:dyDescent="0.25">
      <c r="A70" t="s">
        <v>15</v>
      </c>
      <c r="B70" t="s">
        <v>1635</v>
      </c>
      <c r="C70">
        <v>11602</v>
      </c>
      <c r="D70">
        <v>21</v>
      </c>
      <c r="E70">
        <v>0</v>
      </c>
      <c r="F70">
        <v>21</v>
      </c>
    </row>
    <row r="71" spans="1:6" x14ac:dyDescent="0.25">
      <c r="A71" t="s">
        <v>16</v>
      </c>
      <c r="B71" t="s">
        <v>1636</v>
      </c>
      <c r="C71">
        <v>11603</v>
      </c>
      <c r="D71">
        <v>0</v>
      </c>
      <c r="E71">
        <v>0</v>
      </c>
      <c r="F71">
        <v>0</v>
      </c>
    </row>
    <row r="72" spans="1:6" x14ac:dyDescent="0.25">
      <c r="A72" t="s">
        <v>25</v>
      </c>
      <c r="B72" t="s">
        <v>1637</v>
      </c>
      <c r="C72">
        <v>11604</v>
      </c>
      <c r="D72">
        <v>45901</v>
      </c>
      <c r="E72">
        <v>0</v>
      </c>
      <c r="F72">
        <v>45901</v>
      </c>
    </row>
    <row r="73" spans="1:6" x14ac:dyDescent="0.25">
      <c r="A73" t="s">
        <v>26</v>
      </c>
      <c r="B73" t="s">
        <v>1638</v>
      </c>
      <c r="C73">
        <v>11605</v>
      </c>
      <c r="D73">
        <v>296939</v>
      </c>
      <c r="E73">
        <v>0</v>
      </c>
      <c r="F73">
        <v>296939</v>
      </c>
    </row>
    <row r="74" spans="1:6" x14ac:dyDescent="0.25">
      <c r="A74" t="s">
        <v>27</v>
      </c>
      <c r="B74" t="s">
        <v>1639</v>
      </c>
      <c r="C74">
        <v>11606</v>
      </c>
      <c r="D74">
        <v>13888</v>
      </c>
      <c r="E74">
        <v>0</v>
      </c>
      <c r="F74">
        <v>13888</v>
      </c>
    </row>
    <row r="75" spans="1:6" x14ac:dyDescent="0.25">
      <c r="A75" t="s">
        <v>531</v>
      </c>
      <c r="B75" t="s">
        <v>1640</v>
      </c>
      <c r="C75">
        <v>11607</v>
      </c>
      <c r="D75">
        <v>546</v>
      </c>
      <c r="E75">
        <v>0</v>
      </c>
      <c r="F75">
        <v>546</v>
      </c>
    </row>
    <row r="76" spans="1:6" x14ac:dyDescent="0.25">
      <c r="A76" t="s">
        <v>1583</v>
      </c>
      <c r="B76" t="s">
        <v>1641</v>
      </c>
      <c r="C76">
        <v>11608</v>
      </c>
      <c r="D76">
        <v>2788891</v>
      </c>
      <c r="E76">
        <v>0</v>
      </c>
      <c r="F76">
        <v>2788891</v>
      </c>
    </row>
    <row r="77" spans="1:6" x14ac:dyDescent="0.25">
      <c r="B77" t="s">
        <v>1644</v>
      </c>
      <c r="D77">
        <v>3491986</v>
      </c>
      <c r="E77">
        <v>0</v>
      </c>
      <c r="F77">
        <v>3491986</v>
      </c>
    </row>
    <row r="78" spans="1:6" x14ac:dyDescent="0.25">
      <c r="B78" t="s">
        <v>2288</v>
      </c>
    </row>
    <row r="79" spans="1:6" x14ac:dyDescent="0.25">
      <c r="A79" t="s">
        <v>2</v>
      </c>
      <c r="B79" t="s">
        <v>1634</v>
      </c>
      <c r="C79">
        <v>11701</v>
      </c>
      <c r="D79">
        <v>450114</v>
      </c>
      <c r="E79">
        <v>0</v>
      </c>
      <c r="F79">
        <v>450114</v>
      </c>
    </row>
    <row r="80" spans="1:6" x14ac:dyDescent="0.25">
      <c r="A80" t="s">
        <v>15</v>
      </c>
      <c r="B80" t="s">
        <v>1635</v>
      </c>
      <c r="C80">
        <v>11702</v>
      </c>
      <c r="D80">
        <v>75718</v>
      </c>
      <c r="E80">
        <v>0</v>
      </c>
      <c r="F80">
        <v>75718</v>
      </c>
    </row>
    <row r="81" spans="1:6" x14ac:dyDescent="0.25">
      <c r="A81" t="s">
        <v>16</v>
      </c>
      <c r="B81" t="s">
        <v>1636</v>
      </c>
      <c r="C81">
        <v>11703</v>
      </c>
      <c r="D81">
        <v>0</v>
      </c>
      <c r="E81">
        <v>0</v>
      </c>
      <c r="F81">
        <v>0</v>
      </c>
    </row>
    <row r="82" spans="1:6" x14ac:dyDescent="0.25">
      <c r="A82" t="s">
        <v>25</v>
      </c>
      <c r="B82" t="s">
        <v>1637</v>
      </c>
      <c r="C82">
        <v>11704</v>
      </c>
      <c r="D82">
        <v>94210</v>
      </c>
      <c r="E82">
        <v>0</v>
      </c>
      <c r="F82">
        <v>94210</v>
      </c>
    </row>
    <row r="83" spans="1:6" x14ac:dyDescent="0.25">
      <c r="A83" t="s">
        <v>26</v>
      </c>
      <c r="B83" t="s">
        <v>1638</v>
      </c>
      <c r="C83">
        <v>11705</v>
      </c>
      <c r="D83">
        <v>2813502</v>
      </c>
      <c r="E83">
        <v>0</v>
      </c>
      <c r="F83">
        <v>2813502</v>
      </c>
    </row>
    <row r="84" spans="1:6" x14ac:dyDescent="0.25">
      <c r="A84" t="s">
        <v>27</v>
      </c>
      <c r="B84" t="s">
        <v>1639</v>
      </c>
      <c r="C84">
        <v>11706</v>
      </c>
      <c r="D84">
        <v>40451</v>
      </c>
      <c r="E84">
        <v>0</v>
      </c>
      <c r="F84">
        <v>40451</v>
      </c>
    </row>
    <row r="85" spans="1:6" x14ac:dyDescent="0.25">
      <c r="A85" t="s">
        <v>531</v>
      </c>
      <c r="B85" t="s">
        <v>1640</v>
      </c>
      <c r="C85">
        <v>11707</v>
      </c>
      <c r="D85">
        <v>0</v>
      </c>
      <c r="E85">
        <v>0</v>
      </c>
      <c r="F85">
        <v>0</v>
      </c>
    </row>
    <row r="86" spans="1:6" x14ac:dyDescent="0.25">
      <c r="A86" t="s">
        <v>1583</v>
      </c>
      <c r="B86" t="s">
        <v>1641</v>
      </c>
      <c r="C86">
        <v>11708</v>
      </c>
      <c r="D86">
        <v>727525</v>
      </c>
      <c r="E86">
        <v>0</v>
      </c>
      <c r="F86">
        <v>727525</v>
      </c>
    </row>
    <row r="87" spans="1:6" x14ac:dyDescent="0.25">
      <c r="B87" t="s">
        <v>1646</v>
      </c>
      <c r="D87">
        <v>4201520</v>
      </c>
      <c r="E87">
        <v>0</v>
      </c>
      <c r="F87">
        <v>4201520</v>
      </c>
    </row>
    <row r="88" spans="1:6" x14ac:dyDescent="0.25">
      <c r="B88" t="s">
        <v>1647</v>
      </c>
    </row>
    <row r="89" spans="1:6" x14ac:dyDescent="0.25">
      <c r="A89" t="s">
        <v>2</v>
      </c>
      <c r="B89" t="s">
        <v>1648</v>
      </c>
      <c r="C89">
        <v>11801</v>
      </c>
      <c r="D89">
        <v>0</v>
      </c>
      <c r="E89">
        <v>0</v>
      </c>
      <c r="F89">
        <v>0</v>
      </c>
    </row>
    <row r="90" spans="1:6" x14ac:dyDescent="0.25">
      <c r="A90" t="s">
        <v>15</v>
      </c>
      <c r="B90" t="s">
        <v>1649</v>
      </c>
      <c r="C90">
        <v>11802</v>
      </c>
      <c r="D90">
        <v>0</v>
      </c>
      <c r="E90">
        <v>0</v>
      </c>
      <c r="F90">
        <v>0</v>
      </c>
    </row>
    <row r="91" spans="1:6" x14ac:dyDescent="0.25">
      <c r="A91" t="s">
        <v>16</v>
      </c>
      <c r="B91" t="s">
        <v>1637</v>
      </c>
      <c r="C91">
        <v>11803</v>
      </c>
      <c r="D91">
        <v>284</v>
      </c>
      <c r="E91">
        <v>0</v>
      </c>
      <c r="F91">
        <v>284</v>
      </c>
    </row>
    <row r="92" spans="1:6" x14ac:dyDescent="0.25">
      <c r="A92" t="s">
        <v>25</v>
      </c>
      <c r="B92" t="s">
        <v>1638</v>
      </c>
      <c r="C92">
        <v>11804</v>
      </c>
      <c r="D92">
        <v>58876</v>
      </c>
      <c r="E92">
        <v>0</v>
      </c>
      <c r="F92">
        <v>58876</v>
      </c>
    </row>
    <row r="93" spans="1:6" x14ac:dyDescent="0.25">
      <c r="A93" t="s">
        <v>26</v>
      </c>
      <c r="B93" t="s">
        <v>1650</v>
      </c>
      <c r="C93">
        <v>11805</v>
      </c>
      <c r="D93">
        <v>0</v>
      </c>
      <c r="E93">
        <v>0</v>
      </c>
      <c r="F93">
        <v>0</v>
      </c>
    </row>
    <row r="94" spans="1:6" x14ac:dyDescent="0.25">
      <c r="A94" t="s">
        <v>27</v>
      </c>
      <c r="B94" t="s">
        <v>1651</v>
      </c>
      <c r="C94">
        <v>11806</v>
      </c>
      <c r="D94">
        <v>0</v>
      </c>
      <c r="E94">
        <v>0</v>
      </c>
      <c r="F94">
        <v>0</v>
      </c>
    </row>
    <row r="95" spans="1:6" x14ac:dyDescent="0.25">
      <c r="A95" t="s">
        <v>531</v>
      </c>
      <c r="B95" t="s">
        <v>1640</v>
      </c>
      <c r="C95">
        <v>11807</v>
      </c>
      <c r="D95">
        <v>0</v>
      </c>
      <c r="E95">
        <v>0</v>
      </c>
      <c r="F95">
        <v>0</v>
      </c>
    </row>
    <row r="96" spans="1:6" x14ac:dyDescent="0.25">
      <c r="A96" t="s">
        <v>1583</v>
      </c>
      <c r="B96" t="s">
        <v>1641</v>
      </c>
      <c r="C96">
        <v>11808</v>
      </c>
      <c r="D96">
        <v>0</v>
      </c>
      <c r="E96">
        <v>0</v>
      </c>
      <c r="F96">
        <v>0</v>
      </c>
    </row>
    <row r="97" spans="1:6" x14ac:dyDescent="0.25">
      <c r="B97" t="s">
        <v>1652</v>
      </c>
      <c r="D97">
        <v>59160</v>
      </c>
      <c r="E97">
        <v>0</v>
      </c>
      <c r="F97">
        <v>59160</v>
      </c>
    </row>
    <row r="98" spans="1:6" x14ac:dyDescent="0.25">
      <c r="B98" t="s">
        <v>1653</v>
      </c>
      <c r="D98">
        <v>36319899</v>
      </c>
      <c r="E98">
        <v>929299</v>
      </c>
      <c r="F98">
        <v>37249198</v>
      </c>
    </row>
    <row r="99" spans="1:6" x14ac:dyDescent="0.25">
      <c r="B99" t="s">
        <v>1654</v>
      </c>
    </row>
    <row r="100" spans="1:6" x14ac:dyDescent="0.25">
      <c r="B100" t="s">
        <v>1575</v>
      </c>
    </row>
    <row r="101" spans="1:6" x14ac:dyDescent="0.25">
      <c r="A101" t="s">
        <v>2</v>
      </c>
      <c r="B101" t="s">
        <v>1576</v>
      </c>
      <c r="C101">
        <v>12101</v>
      </c>
      <c r="D101">
        <v>0</v>
      </c>
      <c r="E101">
        <v>0</v>
      </c>
      <c r="F101">
        <v>0</v>
      </c>
    </row>
    <row r="102" spans="1:6" x14ac:dyDescent="0.25">
      <c r="A102" t="s">
        <v>15</v>
      </c>
      <c r="B102" t="s">
        <v>1577</v>
      </c>
      <c r="C102">
        <v>12102</v>
      </c>
      <c r="D102">
        <v>0</v>
      </c>
      <c r="E102">
        <v>0</v>
      </c>
      <c r="F102">
        <v>0</v>
      </c>
    </row>
    <row r="103" spans="1:6" x14ac:dyDescent="0.25">
      <c r="A103" t="s">
        <v>16</v>
      </c>
      <c r="B103" t="s">
        <v>1578</v>
      </c>
      <c r="C103">
        <v>12103</v>
      </c>
      <c r="D103">
        <v>0</v>
      </c>
      <c r="E103">
        <v>0</v>
      </c>
      <c r="F103">
        <v>0</v>
      </c>
    </row>
    <row r="104" spans="1:6" x14ac:dyDescent="0.25">
      <c r="A104" t="s">
        <v>25</v>
      </c>
      <c r="B104" t="s">
        <v>1579</v>
      </c>
      <c r="C104">
        <v>12104</v>
      </c>
      <c r="D104">
        <v>0</v>
      </c>
      <c r="E104">
        <v>0</v>
      </c>
      <c r="F104">
        <v>0</v>
      </c>
    </row>
    <row r="105" spans="1:6" x14ac:dyDescent="0.25">
      <c r="A105" t="s">
        <v>26</v>
      </c>
      <c r="B105" t="s">
        <v>1580</v>
      </c>
      <c r="C105">
        <v>12105</v>
      </c>
      <c r="D105">
        <v>0</v>
      </c>
      <c r="E105">
        <v>0</v>
      </c>
      <c r="F105">
        <v>0</v>
      </c>
    </row>
    <row r="106" spans="1:6" x14ac:dyDescent="0.25">
      <c r="A106" t="s">
        <v>27</v>
      </c>
      <c r="B106" t="s">
        <v>1581</v>
      </c>
      <c r="C106">
        <v>12106</v>
      </c>
      <c r="D106">
        <v>0</v>
      </c>
      <c r="E106">
        <v>0</v>
      </c>
      <c r="F106">
        <v>0</v>
      </c>
    </row>
    <row r="107" spans="1:6" x14ac:dyDescent="0.25">
      <c r="A107" t="s">
        <v>531</v>
      </c>
      <c r="B107" t="s">
        <v>1582</v>
      </c>
      <c r="C107">
        <v>12107</v>
      </c>
      <c r="D107">
        <v>0</v>
      </c>
      <c r="E107">
        <v>0</v>
      </c>
      <c r="F107">
        <v>0</v>
      </c>
    </row>
    <row r="108" spans="1:6" x14ac:dyDescent="0.25">
      <c r="A108" t="s">
        <v>1583</v>
      </c>
      <c r="B108" t="s">
        <v>1584</v>
      </c>
      <c r="C108">
        <v>12108</v>
      </c>
      <c r="D108">
        <v>0</v>
      </c>
      <c r="E108">
        <v>0</v>
      </c>
      <c r="F108">
        <v>0</v>
      </c>
    </row>
    <row r="109" spans="1:6" x14ac:dyDescent="0.25">
      <c r="A109" t="s">
        <v>1585</v>
      </c>
      <c r="B109" t="s">
        <v>1586</v>
      </c>
      <c r="C109">
        <v>12109</v>
      </c>
      <c r="D109">
        <v>0</v>
      </c>
      <c r="E109">
        <v>0</v>
      </c>
      <c r="F109">
        <v>0</v>
      </c>
    </row>
    <row r="110" spans="1:6" x14ac:dyDescent="0.25">
      <c r="A110" t="s">
        <v>1587</v>
      </c>
      <c r="B110" t="s">
        <v>1588</v>
      </c>
      <c r="C110">
        <v>12110</v>
      </c>
      <c r="D110">
        <v>0</v>
      </c>
      <c r="E110">
        <v>0</v>
      </c>
      <c r="F110">
        <v>0</v>
      </c>
    </row>
    <row r="111" spans="1:6" x14ac:dyDescent="0.25">
      <c r="A111" t="s">
        <v>1589</v>
      </c>
      <c r="B111" t="s">
        <v>1590</v>
      </c>
      <c r="C111">
        <v>12111</v>
      </c>
      <c r="D111">
        <v>0</v>
      </c>
      <c r="E111">
        <v>0</v>
      </c>
      <c r="F111">
        <v>0</v>
      </c>
    </row>
    <row r="112" spans="1:6" x14ac:dyDescent="0.25">
      <c r="A112" t="s">
        <v>1591</v>
      </c>
      <c r="B112" t="s">
        <v>1592</v>
      </c>
      <c r="C112">
        <v>12112</v>
      </c>
      <c r="D112">
        <v>1573</v>
      </c>
      <c r="E112">
        <v>0</v>
      </c>
      <c r="F112">
        <v>1573</v>
      </c>
    </row>
    <row r="113" spans="1:6" x14ac:dyDescent="0.25">
      <c r="A113" t="s">
        <v>1593</v>
      </c>
      <c r="B113" t="s">
        <v>1594</v>
      </c>
      <c r="C113">
        <v>12113</v>
      </c>
      <c r="D113">
        <v>0</v>
      </c>
      <c r="E113">
        <v>0</v>
      </c>
      <c r="F113">
        <v>0</v>
      </c>
    </row>
    <row r="114" spans="1:6" x14ac:dyDescent="0.25">
      <c r="A114" t="s">
        <v>1595</v>
      </c>
      <c r="B114" t="s">
        <v>1596</v>
      </c>
      <c r="C114">
        <v>12114</v>
      </c>
      <c r="D114">
        <v>194</v>
      </c>
      <c r="E114">
        <v>0</v>
      </c>
      <c r="F114">
        <v>194</v>
      </c>
    </row>
    <row r="115" spans="1:6" x14ac:dyDescent="0.25">
      <c r="A115" t="s">
        <v>1597</v>
      </c>
      <c r="B115" t="s">
        <v>1598</v>
      </c>
      <c r="C115">
        <v>12115</v>
      </c>
      <c r="D115">
        <v>0</v>
      </c>
      <c r="E115">
        <v>0</v>
      </c>
      <c r="F115">
        <v>0</v>
      </c>
    </row>
    <row r="116" spans="1:6" x14ac:dyDescent="0.25">
      <c r="A116" t="s">
        <v>1599</v>
      </c>
      <c r="B116" t="s">
        <v>1600</v>
      </c>
      <c r="C116">
        <v>12116</v>
      </c>
      <c r="D116">
        <v>0</v>
      </c>
      <c r="E116">
        <v>0</v>
      </c>
      <c r="F116">
        <v>0</v>
      </c>
    </row>
    <row r="117" spans="1:6" x14ac:dyDescent="0.25">
      <c r="A117" t="s">
        <v>1601</v>
      </c>
      <c r="B117" t="s">
        <v>1602</v>
      </c>
      <c r="C117">
        <v>12117</v>
      </c>
      <c r="D117">
        <v>0</v>
      </c>
      <c r="E117">
        <v>0</v>
      </c>
      <c r="F117">
        <v>0</v>
      </c>
    </row>
    <row r="118" spans="1:6" x14ac:dyDescent="0.25">
      <c r="A118" t="s">
        <v>1603</v>
      </c>
      <c r="B118" t="s">
        <v>1604</v>
      </c>
      <c r="C118">
        <v>12118</v>
      </c>
      <c r="D118">
        <v>0</v>
      </c>
      <c r="E118">
        <v>0</v>
      </c>
      <c r="F118">
        <v>0</v>
      </c>
    </row>
    <row r="119" spans="1:6" x14ac:dyDescent="0.25">
      <c r="A119" t="s">
        <v>1605</v>
      </c>
      <c r="B119" t="s">
        <v>1606</v>
      </c>
      <c r="C119">
        <v>12119</v>
      </c>
      <c r="D119">
        <v>0</v>
      </c>
      <c r="E119">
        <v>36151</v>
      </c>
      <c r="F119">
        <v>36151</v>
      </c>
    </row>
    <row r="120" spans="1:6" x14ac:dyDescent="0.25">
      <c r="A120" t="s">
        <v>1607</v>
      </c>
      <c r="B120" t="s">
        <v>1608</v>
      </c>
      <c r="C120">
        <v>12120</v>
      </c>
      <c r="D120">
        <v>0</v>
      </c>
      <c r="E120">
        <v>0</v>
      </c>
      <c r="F120">
        <v>0</v>
      </c>
    </row>
    <row r="121" spans="1:6" x14ac:dyDescent="0.25">
      <c r="B121" t="s">
        <v>1655</v>
      </c>
      <c r="D121">
        <v>1767</v>
      </c>
      <c r="E121">
        <v>36151</v>
      </c>
      <c r="F121">
        <v>37918</v>
      </c>
    </row>
    <row r="122" spans="1:6" x14ac:dyDescent="0.25">
      <c r="B122" t="s">
        <v>1656</v>
      </c>
    </row>
    <row r="123" spans="1:6" x14ac:dyDescent="0.25">
      <c r="A123" t="s">
        <v>2</v>
      </c>
      <c r="B123" t="s">
        <v>1611</v>
      </c>
      <c r="C123">
        <v>12201</v>
      </c>
      <c r="D123">
        <v>0</v>
      </c>
      <c r="E123">
        <v>0</v>
      </c>
      <c r="F123">
        <v>0</v>
      </c>
    </row>
    <row r="124" spans="1:6" x14ac:dyDescent="0.25">
      <c r="A124" t="s">
        <v>15</v>
      </c>
      <c r="B124" t="s">
        <v>1612</v>
      </c>
      <c r="C124">
        <v>12202</v>
      </c>
      <c r="D124">
        <v>0</v>
      </c>
      <c r="E124">
        <v>0</v>
      </c>
      <c r="F124">
        <v>0</v>
      </c>
    </row>
    <row r="125" spans="1:6" x14ac:dyDescent="0.25">
      <c r="A125" t="s">
        <v>16</v>
      </c>
      <c r="B125" t="s">
        <v>1613</v>
      </c>
      <c r="C125">
        <v>12203</v>
      </c>
      <c r="D125">
        <v>0</v>
      </c>
      <c r="E125">
        <v>0</v>
      </c>
      <c r="F125">
        <v>0</v>
      </c>
    </row>
    <row r="126" spans="1:6" x14ac:dyDescent="0.25">
      <c r="A126" t="s">
        <v>25</v>
      </c>
      <c r="B126" t="s">
        <v>1614</v>
      </c>
      <c r="C126">
        <v>12204</v>
      </c>
      <c r="D126">
        <v>0</v>
      </c>
      <c r="E126">
        <v>0</v>
      </c>
      <c r="F126">
        <v>0</v>
      </c>
    </row>
    <row r="127" spans="1:6" x14ac:dyDescent="0.25">
      <c r="A127" t="s">
        <v>26</v>
      </c>
      <c r="B127" t="s">
        <v>1615</v>
      </c>
      <c r="C127">
        <v>12205</v>
      </c>
      <c r="D127">
        <v>0</v>
      </c>
      <c r="E127">
        <v>0</v>
      </c>
      <c r="F127">
        <v>0</v>
      </c>
    </row>
    <row r="128" spans="1:6" x14ac:dyDescent="0.25">
      <c r="A128" t="s">
        <v>27</v>
      </c>
      <c r="B128" t="s">
        <v>1616</v>
      </c>
      <c r="C128">
        <v>12206</v>
      </c>
      <c r="D128">
        <v>0</v>
      </c>
      <c r="E128">
        <v>0</v>
      </c>
      <c r="F128">
        <v>0</v>
      </c>
    </row>
    <row r="129" spans="1:6" x14ac:dyDescent="0.25">
      <c r="A129" t="s">
        <v>531</v>
      </c>
      <c r="B129" t="s">
        <v>1617</v>
      </c>
      <c r="C129">
        <v>12207</v>
      </c>
      <c r="D129">
        <v>0</v>
      </c>
      <c r="E129">
        <v>0</v>
      </c>
      <c r="F129">
        <v>0</v>
      </c>
    </row>
    <row r="130" spans="1:6" x14ac:dyDescent="0.25">
      <c r="A130" t="s">
        <v>1583</v>
      </c>
      <c r="B130" t="s">
        <v>1618</v>
      </c>
      <c r="C130">
        <v>12208</v>
      </c>
      <c r="D130">
        <v>0</v>
      </c>
      <c r="E130">
        <v>0</v>
      </c>
      <c r="F130">
        <v>0</v>
      </c>
    </row>
    <row r="131" spans="1:6" x14ac:dyDescent="0.25">
      <c r="A131" t="s">
        <v>1585</v>
      </c>
      <c r="B131" t="s">
        <v>1619</v>
      </c>
      <c r="C131">
        <v>12209</v>
      </c>
      <c r="D131">
        <v>0</v>
      </c>
      <c r="E131">
        <v>0</v>
      </c>
      <c r="F131">
        <v>0</v>
      </c>
    </row>
    <row r="132" spans="1:6" x14ac:dyDescent="0.25">
      <c r="A132" t="s">
        <v>1587</v>
      </c>
      <c r="B132" t="s">
        <v>1620</v>
      </c>
      <c r="C132">
        <v>12210</v>
      </c>
      <c r="D132">
        <v>0</v>
      </c>
      <c r="E132">
        <v>0</v>
      </c>
      <c r="F132">
        <v>0</v>
      </c>
    </row>
    <row r="133" spans="1:6" x14ac:dyDescent="0.25">
      <c r="A133" t="s">
        <v>1589</v>
      </c>
      <c r="B133" t="s">
        <v>1621</v>
      </c>
      <c r="C133">
        <v>12211</v>
      </c>
      <c r="D133">
        <v>0</v>
      </c>
      <c r="E133">
        <v>0</v>
      </c>
      <c r="F133">
        <v>0</v>
      </c>
    </row>
    <row r="134" spans="1:6" x14ac:dyDescent="0.25">
      <c r="A134" t="s">
        <v>1591</v>
      </c>
      <c r="B134" t="s">
        <v>1622</v>
      </c>
      <c r="C134">
        <v>12212</v>
      </c>
      <c r="D134">
        <v>0</v>
      </c>
      <c r="E134">
        <v>0</v>
      </c>
      <c r="F134">
        <v>0</v>
      </c>
    </row>
    <row r="135" spans="1:6" x14ac:dyDescent="0.25">
      <c r="A135" t="s">
        <v>1593</v>
      </c>
      <c r="B135" t="s">
        <v>1623</v>
      </c>
      <c r="C135">
        <v>12213</v>
      </c>
      <c r="D135">
        <v>0</v>
      </c>
      <c r="E135">
        <v>0</v>
      </c>
      <c r="F135">
        <v>0</v>
      </c>
    </row>
    <row r="136" spans="1:6" x14ac:dyDescent="0.25">
      <c r="A136" t="s">
        <v>1595</v>
      </c>
      <c r="B136" t="s">
        <v>1624</v>
      </c>
      <c r="C136">
        <v>12214</v>
      </c>
      <c r="D136">
        <v>0</v>
      </c>
      <c r="E136">
        <v>0</v>
      </c>
      <c r="F136">
        <v>0</v>
      </c>
    </row>
    <row r="137" spans="1:6" x14ac:dyDescent="0.25">
      <c r="A137" t="s">
        <v>1597</v>
      </c>
      <c r="B137" t="s">
        <v>1625</v>
      </c>
      <c r="C137">
        <v>12215</v>
      </c>
      <c r="D137">
        <v>0</v>
      </c>
      <c r="E137">
        <v>0</v>
      </c>
      <c r="F137">
        <v>0</v>
      </c>
    </row>
    <row r="138" spans="1:6" x14ac:dyDescent="0.25">
      <c r="A138" t="s">
        <v>1599</v>
      </c>
      <c r="B138" t="s">
        <v>1626</v>
      </c>
      <c r="C138">
        <v>12216</v>
      </c>
      <c r="D138">
        <v>0</v>
      </c>
      <c r="E138">
        <v>8713</v>
      </c>
      <c r="F138">
        <v>8713</v>
      </c>
    </row>
    <row r="139" spans="1:6" x14ac:dyDescent="0.25">
      <c r="A139" t="s">
        <v>1601</v>
      </c>
      <c r="B139" t="s">
        <v>1627</v>
      </c>
      <c r="C139">
        <v>12217</v>
      </c>
      <c r="D139">
        <v>0</v>
      </c>
      <c r="E139">
        <v>0</v>
      </c>
      <c r="F139">
        <v>0</v>
      </c>
    </row>
    <row r="140" spans="1:6" x14ac:dyDescent="0.25">
      <c r="A140" t="s">
        <v>1603</v>
      </c>
      <c r="B140" t="s">
        <v>1596</v>
      </c>
      <c r="C140">
        <v>12218</v>
      </c>
      <c r="D140">
        <v>0</v>
      </c>
      <c r="E140">
        <v>0</v>
      </c>
      <c r="F140">
        <v>0</v>
      </c>
    </row>
    <row r="141" spans="1:6" x14ac:dyDescent="0.25">
      <c r="A141" t="s">
        <v>1605</v>
      </c>
      <c r="B141" t="s">
        <v>1598</v>
      </c>
      <c r="C141">
        <v>12219</v>
      </c>
      <c r="D141">
        <v>0</v>
      </c>
      <c r="E141">
        <v>0</v>
      </c>
      <c r="F141">
        <v>0</v>
      </c>
    </row>
    <row r="142" spans="1:6" x14ac:dyDescent="0.25">
      <c r="A142" t="s">
        <v>1607</v>
      </c>
      <c r="B142" t="s">
        <v>1602</v>
      </c>
      <c r="C142">
        <v>12220</v>
      </c>
      <c r="D142">
        <v>0</v>
      </c>
      <c r="E142">
        <v>0</v>
      </c>
      <c r="F142">
        <v>0</v>
      </c>
    </row>
    <row r="143" spans="1:6" x14ac:dyDescent="0.25">
      <c r="B143" t="s">
        <v>1657</v>
      </c>
      <c r="D143">
        <v>0</v>
      </c>
      <c r="E143">
        <v>8713</v>
      </c>
      <c r="F143">
        <v>8713</v>
      </c>
    </row>
    <row r="144" spans="1:6" x14ac:dyDescent="0.25">
      <c r="B144" t="s">
        <v>1658</v>
      </c>
    </row>
    <row r="145" spans="1:6" x14ac:dyDescent="0.25">
      <c r="A145" t="s">
        <v>2</v>
      </c>
      <c r="B145" t="s">
        <v>1627</v>
      </c>
      <c r="C145">
        <v>12301</v>
      </c>
      <c r="D145">
        <v>0</v>
      </c>
      <c r="E145">
        <v>0</v>
      </c>
      <c r="F145">
        <v>0</v>
      </c>
    </row>
    <row r="146" spans="1:6" x14ac:dyDescent="0.25">
      <c r="A146" t="s">
        <v>15</v>
      </c>
      <c r="B146" t="s">
        <v>1625</v>
      </c>
      <c r="C146">
        <v>12302</v>
      </c>
      <c r="D146">
        <v>0</v>
      </c>
      <c r="E146">
        <v>0</v>
      </c>
      <c r="F146">
        <v>0</v>
      </c>
    </row>
    <row r="147" spans="1:6" x14ac:dyDescent="0.25">
      <c r="A147" t="s">
        <v>16</v>
      </c>
      <c r="B147" t="s">
        <v>1626</v>
      </c>
      <c r="C147">
        <v>12303</v>
      </c>
      <c r="D147">
        <v>0</v>
      </c>
      <c r="E147">
        <v>0</v>
      </c>
      <c r="F147">
        <v>0</v>
      </c>
    </row>
    <row r="148" spans="1:6" x14ac:dyDescent="0.25">
      <c r="B148" t="s">
        <v>1659</v>
      </c>
      <c r="D148">
        <v>0</v>
      </c>
      <c r="E148">
        <v>0</v>
      </c>
      <c r="F148">
        <v>0</v>
      </c>
    </row>
    <row r="149" spans="1:6" x14ac:dyDescent="0.25">
      <c r="B149" t="s">
        <v>1660</v>
      </c>
      <c r="D149">
        <v>1767</v>
      </c>
      <c r="E149">
        <v>44864</v>
      </c>
      <c r="F149">
        <v>46631</v>
      </c>
    </row>
    <row r="150" spans="1:6" x14ac:dyDescent="0.25">
      <c r="B150" t="s">
        <v>2289</v>
      </c>
    </row>
    <row r="151" spans="1:6" x14ac:dyDescent="0.25">
      <c r="B151" t="s">
        <v>1575</v>
      </c>
    </row>
    <row r="152" spans="1:6" x14ac:dyDescent="0.25">
      <c r="A152" t="s">
        <v>2</v>
      </c>
      <c r="B152" t="s">
        <v>1576</v>
      </c>
      <c r="C152">
        <v>13101</v>
      </c>
      <c r="D152">
        <v>0</v>
      </c>
      <c r="E152">
        <v>0</v>
      </c>
      <c r="F152">
        <v>0</v>
      </c>
    </row>
    <row r="153" spans="1:6" x14ac:dyDescent="0.25">
      <c r="A153" t="s">
        <v>15</v>
      </c>
      <c r="B153" t="s">
        <v>1577</v>
      </c>
      <c r="C153">
        <v>13102</v>
      </c>
      <c r="D153">
        <v>0</v>
      </c>
      <c r="E153">
        <v>0</v>
      </c>
      <c r="F153">
        <v>0</v>
      </c>
    </row>
    <row r="154" spans="1:6" x14ac:dyDescent="0.25">
      <c r="A154" t="s">
        <v>16</v>
      </c>
      <c r="B154" t="s">
        <v>1578</v>
      </c>
      <c r="C154">
        <v>13103</v>
      </c>
      <c r="D154">
        <v>0</v>
      </c>
      <c r="E154">
        <v>0</v>
      </c>
      <c r="F154">
        <v>0</v>
      </c>
    </row>
    <row r="155" spans="1:6" x14ac:dyDescent="0.25">
      <c r="A155" t="s">
        <v>25</v>
      </c>
      <c r="B155" t="s">
        <v>1579</v>
      </c>
      <c r="C155">
        <v>13104</v>
      </c>
      <c r="D155">
        <v>0</v>
      </c>
      <c r="E155">
        <v>0</v>
      </c>
      <c r="F155">
        <v>0</v>
      </c>
    </row>
    <row r="156" spans="1:6" x14ac:dyDescent="0.25">
      <c r="A156" t="s">
        <v>26</v>
      </c>
      <c r="B156" t="s">
        <v>1580</v>
      </c>
      <c r="C156">
        <v>13105</v>
      </c>
      <c r="D156">
        <v>652</v>
      </c>
      <c r="E156">
        <v>0</v>
      </c>
      <c r="F156">
        <v>652</v>
      </c>
    </row>
    <row r="157" spans="1:6" x14ac:dyDescent="0.25">
      <c r="A157" t="s">
        <v>27</v>
      </c>
      <c r="B157" t="s">
        <v>1581</v>
      </c>
      <c r="C157">
        <v>13106</v>
      </c>
      <c r="D157">
        <v>30</v>
      </c>
      <c r="E157">
        <v>0</v>
      </c>
      <c r="F157">
        <v>30</v>
      </c>
    </row>
    <row r="158" spans="1:6" x14ac:dyDescent="0.25">
      <c r="A158" t="s">
        <v>531</v>
      </c>
      <c r="B158" t="s">
        <v>1582</v>
      </c>
      <c r="C158">
        <v>13107</v>
      </c>
      <c r="D158">
        <v>0</v>
      </c>
      <c r="E158">
        <v>0</v>
      </c>
      <c r="F158">
        <v>0</v>
      </c>
    </row>
    <row r="159" spans="1:6" x14ac:dyDescent="0.25">
      <c r="A159" t="s">
        <v>1583</v>
      </c>
      <c r="B159" t="s">
        <v>1584</v>
      </c>
      <c r="C159">
        <v>13108</v>
      </c>
      <c r="D159">
        <v>0</v>
      </c>
      <c r="E159">
        <v>0</v>
      </c>
      <c r="F159">
        <v>0</v>
      </c>
    </row>
    <row r="160" spans="1:6" x14ac:dyDescent="0.25">
      <c r="A160" t="s">
        <v>1585</v>
      </c>
      <c r="B160" t="s">
        <v>1586</v>
      </c>
      <c r="C160">
        <v>13109</v>
      </c>
      <c r="D160">
        <v>917</v>
      </c>
      <c r="E160">
        <v>0</v>
      </c>
      <c r="F160">
        <v>917</v>
      </c>
    </row>
    <row r="161" spans="1:6" x14ac:dyDescent="0.25">
      <c r="A161" t="s">
        <v>1587</v>
      </c>
      <c r="B161" t="s">
        <v>1588</v>
      </c>
      <c r="C161">
        <v>13110</v>
      </c>
      <c r="D161">
        <v>27591</v>
      </c>
      <c r="E161">
        <v>0</v>
      </c>
      <c r="F161">
        <v>27591</v>
      </c>
    </row>
    <row r="162" spans="1:6" x14ac:dyDescent="0.25">
      <c r="A162" t="s">
        <v>1589</v>
      </c>
      <c r="B162" t="s">
        <v>1590</v>
      </c>
      <c r="C162">
        <v>13111</v>
      </c>
      <c r="D162">
        <v>2849</v>
      </c>
      <c r="E162">
        <v>0</v>
      </c>
      <c r="F162">
        <v>2849</v>
      </c>
    </row>
    <row r="163" spans="1:6" x14ac:dyDescent="0.25">
      <c r="A163" t="s">
        <v>1591</v>
      </c>
      <c r="B163" t="s">
        <v>1592</v>
      </c>
      <c r="C163">
        <v>13112</v>
      </c>
      <c r="D163">
        <v>328589</v>
      </c>
      <c r="E163">
        <v>0</v>
      </c>
      <c r="F163">
        <v>328589</v>
      </c>
    </row>
    <row r="164" spans="1:6" x14ac:dyDescent="0.25">
      <c r="A164" t="s">
        <v>1593</v>
      </c>
      <c r="B164" t="s">
        <v>1594</v>
      </c>
      <c r="C164">
        <v>13113</v>
      </c>
      <c r="D164">
        <v>243</v>
      </c>
      <c r="E164">
        <v>0</v>
      </c>
      <c r="F164">
        <v>243</v>
      </c>
    </row>
    <row r="165" spans="1:6" x14ac:dyDescent="0.25">
      <c r="A165" t="s">
        <v>1595</v>
      </c>
      <c r="B165" t="s">
        <v>1596</v>
      </c>
      <c r="C165">
        <v>13114</v>
      </c>
      <c r="D165">
        <v>27790</v>
      </c>
      <c r="E165">
        <v>0</v>
      </c>
      <c r="F165">
        <v>27790</v>
      </c>
    </row>
    <row r="166" spans="1:6" x14ac:dyDescent="0.25">
      <c r="A166" t="s">
        <v>1597</v>
      </c>
      <c r="B166" t="s">
        <v>1598</v>
      </c>
      <c r="C166">
        <v>13115</v>
      </c>
      <c r="D166">
        <v>278798</v>
      </c>
      <c r="E166">
        <v>0</v>
      </c>
      <c r="F166">
        <v>278798</v>
      </c>
    </row>
    <row r="167" spans="1:6" x14ac:dyDescent="0.25">
      <c r="A167" t="s">
        <v>1599</v>
      </c>
      <c r="B167" t="s">
        <v>1600</v>
      </c>
      <c r="C167">
        <v>13116</v>
      </c>
      <c r="D167">
        <v>0</v>
      </c>
      <c r="E167">
        <v>0</v>
      </c>
      <c r="F167">
        <v>0</v>
      </c>
    </row>
    <row r="168" spans="1:6" x14ac:dyDescent="0.25">
      <c r="A168" t="s">
        <v>1601</v>
      </c>
      <c r="B168" t="s">
        <v>1602</v>
      </c>
      <c r="C168">
        <v>13117</v>
      </c>
      <c r="D168">
        <v>0</v>
      </c>
      <c r="E168">
        <v>0</v>
      </c>
      <c r="F168">
        <v>0</v>
      </c>
    </row>
    <row r="169" spans="1:6" x14ac:dyDescent="0.25">
      <c r="A169" t="s">
        <v>1603</v>
      </c>
      <c r="B169" t="s">
        <v>1604</v>
      </c>
      <c r="C169">
        <v>13118</v>
      </c>
      <c r="D169">
        <v>0</v>
      </c>
      <c r="E169">
        <v>0</v>
      </c>
      <c r="F169">
        <v>0</v>
      </c>
    </row>
    <row r="170" spans="1:6" x14ac:dyDescent="0.25">
      <c r="A170" t="s">
        <v>1605</v>
      </c>
      <c r="B170" t="s">
        <v>1606</v>
      </c>
      <c r="C170">
        <v>13119</v>
      </c>
      <c r="D170">
        <v>13965</v>
      </c>
      <c r="E170">
        <v>0</v>
      </c>
      <c r="F170">
        <v>13965</v>
      </c>
    </row>
    <row r="171" spans="1:6" x14ac:dyDescent="0.25">
      <c r="A171" t="s">
        <v>1607</v>
      </c>
      <c r="B171" t="s">
        <v>1608</v>
      </c>
      <c r="C171">
        <v>13120</v>
      </c>
      <c r="D171">
        <v>0</v>
      </c>
      <c r="E171">
        <v>0</v>
      </c>
      <c r="F171">
        <v>0</v>
      </c>
    </row>
    <row r="172" spans="1:6" x14ac:dyDescent="0.25">
      <c r="B172" t="s">
        <v>1662</v>
      </c>
      <c r="D172">
        <v>681424</v>
      </c>
      <c r="E172">
        <v>0</v>
      </c>
      <c r="F172">
        <v>681424</v>
      </c>
    </row>
    <row r="173" spans="1:6" x14ac:dyDescent="0.25">
      <c r="B173" t="s">
        <v>1656</v>
      </c>
    </row>
    <row r="174" spans="1:6" x14ac:dyDescent="0.25">
      <c r="A174" t="s">
        <v>2</v>
      </c>
      <c r="B174" t="s">
        <v>1611</v>
      </c>
      <c r="C174">
        <v>13201</v>
      </c>
      <c r="D174">
        <v>0</v>
      </c>
      <c r="E174">
        <v>0</v>
      </c>
      <c r="F174">
        <v>0</v>
      </c>
    </row>
    <row r="175" spans="1:6" x14ac:dyDescent="0.25">
      <c r="A175" t="s">
        <v>15</v>
      </c>
      <c r="B175" t="s">
        <v>1612</v>
      </c>
      <c r="C175">
        <v>13202</v>
      </c>
      <c r="D175">
        <v>0</v>
      </c>
      <c r="E175">
        <v>0</v>
      </c>
      <c r="F175">
        <v>0</v>
      </c>
    </row>
    <row r="176" spans="1:6" x14ac:dyDescent="0.25">
      <c r="A176" t="s">
        <v>16</v>
      </c>
      <c r="B176" t="s">
        <v>1613</v>
      </c>
      <c r="C176">
        <v>13203</v>
      </c>
      <c r="D176">
        <v>0</v>
      </c>
      <c r="E176">
        <v>0</v>
      </c>
      <c r="F176">
        <v>0</v>
      </c>
    </row>
    <row r="177" spans="1:6" x14ac:dyDescent="0.25">
      <c r="A177" t="s">
        <v>25</v>
      </c>
      <c r="B177" t="s">
        <v>1614</v>
      </c>
      <c r="C177">
        <v>13204</v>
      </c>
      <c r="D177">
        <v>0</v>
      </c>
      <c r="E177">
        <v>0</v>
      </c>
      <c r="F177">
        <v>0</v>
      </c>
    </row>
    <row r="178" spans="1:6" x14ac:dyDescent="0.25">
      <c r="A178" t="s">
        <v>26</v>
      </c>
      <c r="B178" t="s">
        <v>1615</v>
      </c>
      <c r="C178">
        <v>13205</v>
      </c>
      <c r="D178">
        <v>0</v>
      </c>
      <c r="E178">
        <v>0</v>
      </c>
      <c r="F178">
        <v>0</v>
      </c>
    </row>
    <row r="179" spans="1:6" x14ac:dyDescent="0.25">
      <c r="A179" t="s">
        <v>27</v>
      </c>
      <c r="B179" t="s">
        <v>1616</v>
      </c>
      <c r="C179">
        <v>13206</v>
      </c>
      <c r="D179">
        <v>0</v>
      </c>
      <c r="E179">
        <v>0</v>
      </c>
      <c r="F179">
        <v>0</v>
      </c>
    </row>
    <row r="180" spans="1:6" x14ac:dyDescent="0.25">
      <c r="A180" t="s">
        <v>531</v>
      </c>
      <c r="B180" t="s">
        <v>1617</v>
      </c>
      <c r="C180">
        <v>13207</v>
      </c>
      <c r="D180">
        <v>0</v>
      </c>
      <c r="E180">
        <v>0</v>
      </c>
      <c r="F180">
        <v>0</v>
      </c>
    </row>
    <row r="181" spans="1:6" x14ac:dyDescent="0.25">
      <c r="A181" t="s">
        <v>1583</v>
      </c>
      <c r="B181" t="s">
        <v>1618</v>
      </c>
      <c r="C181">
        <v>13208</v>
      </c>
      <c r="D181">
        <v>0</v>
      </c>
      <c r="E181">
        <v>0</v>
      </c>
      <c r="F181">
        <v>0</v>
      </c>
    </row>
    <row r="182" spans="1:6" x14ac:dyDescent="0.25">
      <c r="A182" t="s">
        <v>1585</v>
      </c>
      <c r="B182" t="s">
        <v>1619</v>
      </c>
      <c r="C182">
        <v>13209</v>
      </c>
      <c r="D182">
        <v>0</v>
      </c>
      <c r="E182">
        <v>0</v>
      </c>
      <c r="F182">
        <v>0</v>
      </c>
    </row>
    <row r="183" spans="1:6" x14ac:dyDescent="0.25">
      <c r="A183" t="s">
        <v>1587</v>
      </c>
      <c r="B183" t="s">
        <v>1620</v>
      </c>
      <c r="C183">
        <v>13210</v>
      </c>
      <c r="D183">
        <v>0</v>
      </c>
      <c r="E183">
        <v>0</v>
      </c>
      <c r="F183">
        <v>0</v>
      </c>
    </row>
    <row r="184" spans="1:6" x14ac:dyDescent="0.25">
      <c r="A184" t="s">
        <v>1589</v>
      </c>
      <c r="B184" t="s">
        <v>1621</v>
      </c>
      <c r="C184">
        <v>13211</v>
      </c>
      <c r="D184">
        <v>0</v>
      </c>
      <c r="E184">
        <v>0</v>
      </c>
      <c r="F184">
        <v>0</v>
      </c>
    </row>
    <row r="185" spans="1:6" x14ac:dyDescent="0.25">
      <c r="A185" t="s">
        <v>1591</v>
      </c>
      <c r="B185" t="s">
        <v>1622</v>
      </c>
      <c r="C185">
        <v>13212</v>
      </c>
      <c r="D185">
        <v>0</v>
      </c>
      <c r="E185">
        <v>0</v>
      </c>
      <c r="F185">
        <v>0</v>
      </c>
    </row>
    <row r="186" spans="1:6" x14ac:dyDescent="0.25">
      <c r="A186" t="s">
        <v>1593</v>
      </c>
      <c r="B186" t="s">
        <v>1623</v>
      </c>
      <c r="C186">
        <v>13213</v>
      </c>
      <c r="D186">
        <v>0</v>
      </c>
      <c r="E186">
        <v>0</v>
      </c>
      <c r="F186">
        <v>0</v>
      </c>
    </row>
    <row r="187" spans="1:6" x14ac:dyDescent="0.25">
      <c r="A187" t="s">
        <v>1595</v>
      </c>
      <c r="B187" t="s">
        <v>1624</v>
      </c>
      <c r="C187">
        <v>13214</v>
      </c>
      <c r="D187">
        <v>0</v>
      </c>
      <c r="E187">
        <v>0</v>
      </c>
      <c r="F187">
        <v>0</v>
      </c>
    </row>
    <row r="188" spans="1:6" x14ac:dyDescent="0.25">
      <c r="A188" t="s">
        <v>1597</v>
      </c>
      <c r="B188" t="s">
        <v>1625</v>
      </c>
      <c r="C188">
        <v>13215</v>
      </c>
      <c r="D188">
        <v>0</v>
      </c>
      <c r="E188">
        <v>0</v>
      </c>
      <c r="F188">
        <v>0</v>
      </c>
    </row>
    <row r="189" spans="1:6" x14ac:dyDescent="0.25">
      <c r="A189" t="s">
        <v>1599</v>
      </c>
      <c r="B189" t="s">
        <v>1626</v>
      </c>
      <c r="C189">
        <v>13216</v>
      </c>
      <c r="D189">
        <v>0</v>
      </c>
      <c r="E189">
        <v>0</v>
      </c>
      <c r="F189">
        <v>0</v>
      </c>
    </row>
    <row r="190" spans="1:6" x14ac:dyDescent="0.25">
      <c r="A190" t="s">
        <v>1601</v>
      </c>
      <c r="B190" t="s">
        <v>1627</v>
      </c>
      <c r="C190">
        <v>13217</v>
      </c>
      <c r="D190">
        <v>0</v>
      </c>
      <c r="E190">
        <v>0</v>
      </c>
      <c r="F190">
        <v>0</v>
      </c>
    </row>
    <row r="191" spans="1:6" x14ac:dyDescent="0.25">
      <c r="A191" t="s">
        <v>1603</v>
      </c>
      <c r="B191" t="s">
        <v>1596</v>
      </c>
      <c r="C191">
        <v>13218</v>
      </c>
      <c r="D191">
        <v>0</v>
      </c>
      <c r="E191">
        <v>0</v>
      </c>
      <c r="F191">
        <v>0</v>
      </c>
    </row>
    <row r="192" spans="1:6" x14ac:dyDescent="0.25">
      <c r="A192" t="s">
        <v>1605</v>
      </c>
      <c r="B192" t="s">
        <v>1598</v>
      </c>
      <c r="C192">
        <v>13219</v>
      </c>
      <c r="D192">
        <v>0</v>
      </c>
      <c r="E192">
        <v>0</v>
      </c>
      <c r="F192">
        <v>0</v>
      </c>
    </row>
    <row r="193" spans="1:6" x14ac:dyDescent="0.25">
      <c r="A193" t="s">
        <v>1607</v>
      </c>
      <c r="B193" t="s">
        <v>1602</v>
      </c>
      <c r="C193">
        <v>13220</v>
      </c>
      <c r="D193">
        <v>0</v>
      </c>
      <c r="E193">
        <v>0</v>
      </c>
      <c r="F193">
        <v>0</v>
      </c>
    </row>
    <row r="194" spans="1:6" x14ac:dyDescent="0.25">
      <c r="B194" t="s">
        <v>1663</v>
      </c>
      <c r="D194">
        <v>0</v>
      </c>
      <c r="E194">
        <v>0</v>
      </c>
      <c r="F194">
        <v>0</v>
      </c>
    </row>
    <row r="195" spans="1:6" x14ac:dyDescent="0.25">
      <c r="B195" t="s">
        <v>1629</v>
      </c>
    </row>
    <row r="196" spans="1:6" x14ac:dyDescent="0.25">
      <c r="A196" t="s">
        <v>2</v>
      </c>
      <c r="B196" t="s">
        <v>1627</v>
      </c>
      <c r="C196">
        <v>13301</v>
      </c>
      <c r="D196">
        <v>0</v>
      </c>
      <c r="E196">
        <v>0</v>
      </c>
      <c r="F196">
        <v>0</v>
      </c>
    </row>
    <row r="197" spans="1:6" x14ac:dyDescent="0.25">
      <c r="A197" t="s">
        <v>15</v>
      </c>
      <c r="B197" t="s">
        <v>1625</v>
      </c>
      <c r="C197">
        <v>13302</v>
      </c>
      <c r="D197">
        <v>0</v>
      </c>
      <c r="E197">
        <v>0</v>
      </c>
      <c r="F197">
        <v>0</v>
      </c>
    </row>
    <row r="198" spans="1:6" x14ac:dyDescent="0.25">
      <c r="A198" t="s">
        <v>16</v>
      </c>
      <c r="B198" t="s">
        <v>1626</v>
      </c>
      <c r="C198">
        <v>13303</v>
      </c>
      <c r="D198">
        <v>0</v>
      </c>
      <c r="E198">
        <v>0</v>
      </c>
      <c r="F198">
        <v>0</v>
      </c>
    </row>
    <row r="199" spans="1:6" x14ac:dyDescent="0.25">
      <c r="B199" t="s">
        <v>1664</v>
      </c>
      <c r="D199">
        <v>0</v>
      </c>
      <c r="E199">
        <v>0</v>
      </c>
      <c r="F199">
        <v>0</v>
      </c>
    </row>
    <row r="200" spans="1:6" x14ac:dyDescent="0.25">
      <c r="B200" t="s">
        <v>1631</v>
      </c>
    </row>
    <row r="201" spans="1:6" x14ac:dyDescent="0.25">
      <c r="A201" t="s">
        <v>2</v>
      </c>
      <c r="B201" t="s">
        <v>1627</v>
      </c>
      <c r="C201">
        <v>13401</v>
      </c>
      <c r="D201">
        <v>0</v>
      </c>
      <c r="E201">
        <v>0</v>
      </c>
      <c r="F201">
        <v>0</v>
      </c>
    </row>
    <row r="202" spans="1:6" x14ac:dyDescent="0.25">
      <c r="A202" t="s">
        <v>15</v>
      </c>
      <c r="B202" t="s">
        <v>1625</v>
      </c>
      <c r="C202">
        <v>13402</v>
      </c>
      <c r="D202">
        <v>0</v>
      </c>
      <c r="E202">
        <v>0</v>
      </c>
      <c r="F202">
        <v>0</v>
      </c>
    </row>
    <row r="203" spans="1:6" x14ac:dyDescent="0.25">
      <c r="A203" t="s">
        <v>16</v>
      </c>
      <c r="B203" t="s">
        <v>1626</v>
      </c>
      <c r="C203">
        <v>13403</v>
      </c>
      <c r="D203">
        <v>0</v>
      </c>
      <c r="E203">
        <v>0</v>
      </c>
      <c r="F203">
        <v>0</v>
      </c>
    </row>
    <row r="204" spans="1:6" x14ac:dyDescent="0.25">
      <c r="B204" t="s">
        <v>1665</v>
      </c>
      <c r="D204">
        <v>0</v>
      </c>
      <c r="E204">
        <v>0</v>
      </c>
      <c r="F204">
        <v>0</v>
      </c>
    </row>
    <row r="205" spans="1:6" x14ac:dyDescent="0.25">
      <c r="B205" t="s">
        <v>1633</v>
      </c>
    </row>
    <row r="206" spans="1:6" x14ac:dyDescent="0.25">
      <c r="A206" t="s">
        <v>2</v>
      </c>
      <c r="B206" t="s">
        <v>1634</v>
      </c>
      <c r="C206">
        <v>13501</v>
      </c>
      <c r="D206">
        <v>0</v>
      </c>
      <c r="E206">
        <v>0</v>
      </c>
      <c r="F206">
        <v>0</v>
      </c>
    </row>
    <row r="207" spans="1:6" x14ac:dyDescent="0.25">
      <c r="A207" t="s">
        <v>15</v>
      </c>
      <c r="B207" t="s">
        <v>1635</v>
      </c>
      <c r="C207">
        <v>13502</v>
      </c>
      <c r="D207">
        <v>0</v>
      </c>
      <c r="E207">
        <v>0</v>
      </c>
      <c r="F207">
        <v>0</v>
      </c>
    </row>
    <row r="208" spans="1:6" x14ac:dyDescent="0.25">
      <c r="A208" t="s">
        <v>16</v>
      </c>
      <c r="B208" t="s">
        <v>1636</v>
      </c>
      <c r="C208">
        <v>13503</v>
      </c>
      <c r="D208">
        <v>0</v>
      </c>
      <c r="E208">
        <v>0</v>
      </c>
      <c r="F208">
        <v>0</v>
      </c>
    </row>
    <row r="209" spans="1:6" x14ac:dyDescent="0.25">
      <c r="A209" t="s">
        <v>25</v>
      </c>
      <c r="B209" t="s">
        <v>1637</v>
      </c>
      <c r="C209">
        <v>13504</v>
      </c>
      <c r="D209">
        <v>0</v>
      </c>
      <c r="E209">
        <v>0</v>
      </c>
      <c r="F209">
        <v>0</v>
      </c>
    </row>
    <row r="210" spans="1:6" x14ac:dyDescent="0.25">
      <c r="A210" t="s">
        <v>26</v>
      </c>
      <c r="B210" t="s">
        <v>1638</v>
      </c>
      <c r="C210">
        <v>13505</v>
      </c>
      <c r="D210">
        <v>0</v>
      </c>
      <c r="E210">
        <v>0</v>
      </c>
      <c r="F210">
        <v>0</v>
      </c>
    </row>
    <row r="211" spans="1:6" x14ac:dyDescent="0.25">
      <c r="A211" t="s">
        <v>27</v>
      </c>
      <c r="B211" t="s">
        <v>1639</v>
      </c>
      <c r="C211">
        <v>13506</v>
      </c>
      <c r="D211">
        <v>0</v>
      </c>
      <c r="E211">
        <v>0</v>
      </c>
      <c r="F211">
        <v>0</v>
      </c>
    </row>
    <row r="212" spans="1:6" x14ac:dyDescent="0.25">
      <c r="A212" t="s">
        <v>531</v>
      </c>
      <c r="B212" t="s">
        <v>1640</v>
      </c>
      <c r="C212">
        <v>13507</v>
      </c>
      <c r="D212">
        <v>0</v>
      </c>
      <c r="E212">
        <v>0</v>
      </c>
      <c r="F212">
        <v>0</v>
      </c>
    </row>
    <row r="213" spans="1:6" x14ac:dyDescent="0.25">
      <c r="A213" t="s">
        <v>1583</v>
      </c>
      <c r="B213" t="s">
        <v>1641</v>
      </c>
      <c r="C213">
        <v>13508</v>
      </c>
      <c r="D213">
        <v>0</v>
      </c>
      <c r="E213">
        <v>0</v>
      </c>
      <c r="F213">
        <v>0</v>
      </c>
    </row>
    <row r="214" spans="1:6" x14ac:dyDescent="0.25">
      <c r="B214" t="s">
        <v>1666</v>
      </c>
      <c r="D214">
        <v>0</v>
      </c>
      <c r="E214">
        <v>0</v>
      </c>
      <c r="F214">
        <v>0</v>
      </c>
    </row>
    <row r="215" spans="1:6" x14ac:dyDescent="0.25">
      <c r="B215" t="s">
        <v>2287</v>
      </c>
    </row>
    <row r="216" spans="1:6" x14ac:dyDescent="0.25">
      <c r="A216" t="s">
        <v>2</v>
      </c>
      <c r="B216" t="s">
        <v>1634</v>
      </c>
      <c r="C216">
        <v>13601</v>
      </c>
      <c r="D216">
        <v>0</v>
      </c>
      <c r="E216">
        <v>0</v>
      </c>
      <c r="F216">
        <v>0</v>
      </c>
    </row>
    <row r="217" spans="1:6" x14ac:dyDescent="0.25">
      <c r="A217" t="s">
        <v>15</v>
      </c>
      <c r="B217" t="s">
        <v>1635</v>
      </c>
      <c r="C217">
        <v>13602</v>
      </c>
      <c r="D217">
        <v>0</v>
      </c>
      <c r="E217">
        <v>0</v>
      </c>
      <c r="F217">
        <v>0</v>
      </c>
    </row>
    <row r="218" spans="1:6" x14ac:dyDescent="0.25">
      <c r="A218" t="s">
        <v>16</v>
      </c>
      <c r="B218" t="s">
        <v>1636</v>
      </c>
      <c r="C218">
        <v>13603</v>
      </c>
      <c r="D218">
        <v>0</v>
      </c>
      <c r="E218">
        <v>0</v>
      </c>
      <c r="F218">
        <v>0</v>
      </c>
    </row>
    <row r="219" spans="1:6" x14ac:dyDescent="0.25">
      <c r="A219" t="s">
        <v>25</v>
      </c>
      <c r="B219" t="s">
        <v>1637</v>
      </c>
      <c r="C219">
        <v>13604</v>
      </c>
      <c r="D219">
        <v>0</v>
      </c>
      <c r="E219">
        <v>0</v>
      </c>
      <c r="F219">
        <v>0</v>
      </c>
    </row>
    <row r="220" spans="1:6" x14ac:dyDescent="0.25">
      <c r="A220" t="s">
        <v>26</v>
      </c>
      <c r="B220" t="s">
        <v>1638</v>
      </c>
      <c r="C220">
        <v>13605</v>
      </c>
      <c r="D220">
        <v>9393</v>
      </c>
      <c r="E220">
        <v>0</v>
      </c>
      <c r="F220">
        <v>9393</v>
      </c>
    </row>
    <row r="221" spans="1:6" x14ac:dyDescent="0.25">
      <c r="A221" t="s">
        <v>27</v>
      </c>
      <c r="B221" t="s">
        <v>1639</v>
      </c>
      <c r="C221">
        <v>13606</v>
      </c>
      <c r="D221">
        <v>0</v>
      </c>
      <c r="E221">
        <v>0</v>
      </c>
      <c r="F221">
        <v>0</v>
      </c>
    </row>
    <row r="222" spans="1:6" x14ac:dyDescent="0.25">
      <c r="A222" t="s">
        <v>531</v>
      </c>
      <c r="B222" t="s">
        <v>1640</v>
      </c>
      <c r="C222">
        <v>13607</v>
      </c>
      <c r="D222">
        <v>0</v>
      </c>
      <c r="E222">
        <v>0</v>
      </c>
      <c r="F222">
        <v>0</v>
      </c>
    </row>
    <row r="223" spans="1:6" x14ac:dyDescent="0.25">
      <c r="A223" t="s">
        <v>1583</v>
      </c>
      <c r="B223" t="s">
        <v>1641</v>
      </c>
      <c r="C223">
        <v>13608</v>
      </c>
      <c r="D223">
        <v>0</v>
      </c>
      <c r="E223">
        <v>0</v>
      </c>
      <c r="F223">
        <v>0</v>
      </c>
    </row>
    <row r="224" spans="1:6" x14ac:dyDescent="0.25">
      <c r="B224" t="s">
        <v>1667</v>
      </c>
      <c r="D224">
        <v>9393</v>
      </c>
      <c r="E224">
        <v>0</v>
      </c>
      <c r="F224">
        <v>9393</v>
      </c>
    </row>
    <row r="225" spans="1:6" x14ac:dyDescent="0.25">
      <c r="B225" t="s">
        <v>2288</v>
      </c>
    </row>
    <row r="226" spans="1:6" x14ac:dyDescent="0.25">
      <c r="A226" t="s">
        <v>2</v>
      </c>
      <c r="B226" t="s">
        <v>1634</v>
      </c>
      <c r="C226">
        <v>13701</v>
      </c>
      <c r="D226">
        <v>0</v>
      </c>
      <c r="E226">
        <v>0</v>
      </c>
      <c r="F226">
        <v>0</v>
      </c>
    </row>
    <row r="227" spans="1:6" x14ac:dyDescent="0.25">
      <c r="A227" t="s">
        <v>15</v>
      </c>
      <c r="B227" t="s">
        <v>1635</v>
      </c>
      <c r="C227">
        <v>13702</v>
      </c>
      <c r="D227">
        <v>0</v>
      </c>
      <c r="E227">
        <v>0</v>
      </c>
      <c r="F227">
        <v>0</v>
      </c>
    </row>
    <row r="228" spans="1:6" x14ac:dyDescent="0.25">
      <c r="A228" t="s">
        <v>16</v>
      </c>
      <c r="B228" t="s">
        <v>1636</v>
      </c>
      <c r="C228">
        <v>13703</v>
      </c>
      <c r="D228">
        <v>0</v>
      </c>
      <c r="E228">
        <v>0</v>
      </c>
      <c r="F228">
        <v>0</v>
      </c>
    </row>
    <row r="229" spans="1:6" x14ac:dyDescent="0.25">
      <c r="A229" t="s">
        <v>25</v>
      </c>
      <c r="B229" t="s">
        <v>1637</v>
      </c>
      <c r="C229">
        <v>13704</v>
      </c>
      <c r="D229">
        <v>0</v>
      </c>
      <c r="E229">
        <v>0</v>
      </c>
      <c r="F229">
        <v>0</v>
      </c>
    </row>
    <row r="230" spans="1:6" x14ac:dyDescent="0.25">
      <c r="A230" t="s">
        <v>26</v>
      </c>
      <c r="B230" t="s">
        <v>1638</v>
      </c>
      <c r="C230">
        <v>13705</v>
      </c>
      <c r="D230">
        <v>0</v>
      </c>
      <c r="E230">
        <v>0</v>
      </c>
      <c r="F230">
        <v>0</v>
      </c>
    </row>
    <row r="231" spans="1:6" x14ac:dyDescent="0.25">
      <c r="A231" t="s">
        <v>27</v>
      </c>
      <c r="B231" t="s">
        <v>1639</v>
      </c>
      <c r="C231">
        <v>13706</v>
      </c>
      <c r="D231">
        <v>0</v>
      </c>
      <c r="E231">
        <v>0</v>
      </c>
      <c r="F231">
        <v>0</v>
      </c>
    </row>
    <row r="232" spans="1:6" x14ac:dyDescent="0.25">
      <c r="A232" t="s">
        <v>531</v>
      </c>
      <c r="B232" t="s">
        <v>1640</v>
      </c>
      <c r="C232">
        <v>13707</v>
      </c>
      <c r="D232">
        <v>0</v>
      </c>
      <c r="E232">
        <v>0</v>
      </c>
      <c r="F232">
        <v>0</v>
      </c>
    </row>
    <row r="233" spans="1:6" x14ac:dyDescent="0.25">
      <c r="A233" t="s">
        <v>1583</v>
      </c>
      <c r="B233" t="s">
        <v>1641</v>
      </c>
      <c r="C233">
        <v>13708</v>
      </c>
      <c r="D233">
        <v>5140</v>
      </c>
      <c r="E233">
        <v>0</v>
      </c>
      <c r="F233">
        <v>5140</v>
      </c>
    </row>
    <row r="234" spans="1:6" x14ac:dyDescent="0.25">
      <c r="B234" t="s">
        <v>1668</v>
      </c>
      <c r="D234">
        <v>5140</v>
      </c>
      <c r="E234">
        <v>0</v>
      </c>
      <c r="F234">
        <v>5140</v>
      </c>
    </row>
    <row r="235" spans="1:6" x14ac:dyDescent="0.25">
      <c r="B235" t="s">
        <v>1647</v>
      </c>
    </row>
    <row r="236" spans="1:6" x14ac:dyDescent="0.25">
      <c r="A236" t="s">
        <v>2</v>
      </c>
      <c r="B236" t="s">
        <v>1648</v>
      </c>
      <c r="C236">
        <v>13801</v>
      </c>
      <c r="D236">
        <v>0</v>
      </c>
      <c r="E236">
        <v>0</v>
      </c>
      <c r="F236">
        <v>0</v>
      </c>
    </row>
    <row r="237" spans="1:6" x14ac:dyDescent="0.25">
      <c r="A237" t="s">
        <v>15</v>
      </c>
      <c r="B237" t="s">
        <v>1649</v>
      </c>
      <c r="C237">
        <v>13802</v>
      </c>
      <c r="D237">
        <v>0</v>
      </c>
      <c r="E237">
        <v>0</v>
      </c>
      <c r="F237">
        <v>0</v>
      </c>
    </row>
    <row r="238" spans="1:6" x14ac:dyDescent="0.25">
      <c r="A238" t="s">
        <v>16</v>
      </c>
      <c r="B238" t="s">
        <v>1637</v>
      </c>
      <c r="C238">
        <v>13803</v>
      </c>
      <c r="D238">
        <v>0</v>
      </c>
      <c r="E238">
        <v>0</v>
      </c>
      <c r="F238">
        <v>0</v>
      </c>
    </row>
    <row r="239" spans="1:6" x14ac:dyDescent="0.25">
      <c r="A239" t="s">
        <v>25</v>
      </c>
      <c r="B239" t="s">
        <v>1638</v>
      </c>
      <c r="C239">
        <v>13804</v>
      </c>
      <c r="D239">
        <v>3127</v>
      </c>
      <c r="E239">
        <v>0</v>
      </c>
      <c r="F239">
        <v>3127</v>
      </c>
    </row>
    <row r="240" spans="1:6" x14ac:dyDescent="0.25">
      <c r="A240" t="s">
        <v>26</v>
      </c>
      <c r="B240" t="s">
        <v>1650</v>
      </c>
      <c r="C240">
        <v>13805</v>
      </c>
      <c r="D240">
        <v>0</v>
      </c>
      <c r="E240">
        <v>0</v>
      </c>
      <c r="F240">
        <v>0</v>
      </c>
    </row>
    <row r="241" spans="1:6" x14ac:dyDescent="0.25">
      <c r="A241" t="s">
        <v>27</v>
      </c>
      <c r="B241" t="s">
        <v>1651</v>
      </c>
      <c r="C241">
        <v>13806</v>
      </c>
      <c r="D241">
        <v>0</v>
      </c>
      <c r="E241">
        <v>0</v>
      </c>
      <c r="F241">
        <v>0</v>
      </c>
    </row>
    <row r="242" spans="1:6" x14ac:dyDescent="0.25">
      <c r="A242" t="s">
        <v>531</v>
      </c>
      <c r="B242" t="s">
        <v>1640</v>
      </c>
      <c r="C242">
        <v>13807</v>
      </c>
      <c r="D242">
        <v>0</v>
      </c>
      <c r="E242">
        <v>0</v>
      </c>
      <c r="F242">
        <v>0</v>
      </c>
    </row>
    <row r="243" spans="1:6" x14ac:dyDescent="0.25">
      <c r="A243" t="s">
        <v>1583</v>
      </c>
      <c r="B243" t="s">
        <v>1641</v>
      </c>
      <c r="C243">
        <v>13808</v>
      </c>
      <c r="D243">
        <v>0</v>
      </c>
      <c r="E243">
        <v>0</v>
      </c>
      <c r="F243">
        <v>0</v>
      </c>
    </row>
    <row r="244" spans="1:6" x14ac:dyDescent="0.25">
      <c r="B244" t="s">
        <v>1669</v>
      </c>
      <c r="D244">
        <v>3127</v>
      </c>
      <c r="E244">
        <v>0</v>
      </c>
      <c r="F244">
        <v>3127</v>
      </c>
    </row>
    <row r="245" spans="1:6" x14ac:dyDescent="0.25">
      <c r="B245" t="s">
        <v>1670</v>
      </c>
      <c r="D245">
        <v>699084</v>
      </c>
      <c r="E245">
        <v>0</v>
      </c>
      <c r="F245">
        <v>699084</v>
      </c>
    </row>
    <row r="246" spans="1:6" x14ac:dyDescent="0.25">
      <c r="B246" t="s">
        <v>2290</v>
      </c>
    </row>
    <row r="247" spans="1:6" x14ac:dyDescent="0.25">
      <c r="B247" t="s">
        <v>1672</v>
      </c>
    </row>
    <row r="248" spans="1:6" x14ac:dyDescent="0.25">
      <c r="A248" t="s">
        <v>2</v>
      </c>
      <c r="B248" t="s">
        <v>1673</v>
      </c>
      <c r="C248">
        <v>14101</v>
      </c>
      <c r="D248">
        <v>7495</v>
      </c>
      <c r="E248">
        <v>0</v>
      </c>
      <c r="F248">
        <v>7495</v>
      </c>
    </row>
    <row r="249" spans="1:6" x14ac:dyDescent="0.25">
      <c r="A249" t="s">
        <v>15</v>
      </c>
      <c r="B249" t="s">
        <v>1674</v>
      </c>
      <c r="C249">
        <v>14102</v>
      </c>
      <c r="D249">
        <v>0</v>
      </c>
      <c r="E249">
        <v>0</v>
      </c>
      <c r="F249">
        <v>0</v>
      </c>
    </row>
    <row r="250" spans="1:6" x14ac:dyDescent="0.25">
      <c r="A250" t="s">
        <v>16</v>
      </c>
      <c r="B250" t="s">
        <v>1675</v>
      </c>
      <c r="C250">
        <v>14103</v>
      </c>
      <c r="D250">
        <v>0</v>
      </c>
      <c r="E250">
        <v>0</v>
      </c>
      <c r="F250">
        <v>0</v>
      </c>
    </row>
    <row r="251" spans="1:6" x14ac:dyDescent="0.25">
      <c r="A251" t="s">
        <v>25</v>
      </c>
      <c r="B251" t="s">
        <v>1676</v>
      </c>
      <c r="C251">
        <v>14104</v>
      </c>
      <c r="D251">
        <v>0</v>
      </c>
      <c r="E251">
        <v>0</v>
      </c>
      <c r="F251">
        <v>0</v>
      </c>
    </row>
    <row r="252" spans="1:6" x14ac:dyDescent="0.25">
      <c r="A252" t="s">
        <v>26</v>
      </c>
      <c r="B252" t="s">
        <v>1677</v>
      </c>
      <c r="C252">
        <v>14105</v>
      </c>
      <c r="D252">
        <v>0</v>
      </c>
      <c r="E252">
        <v>0</v>
      </c>
      <c r="F252">
        <v>0</v>
      </c>
    </row>
    <row r="253" spans="1:6" x14ac:dyDescent="0.25">
      <c r="B253" t="s">
        <v>1678</v>
      </c>
      <c r="D253">
        <v>7495</v>
      </c>
      <c r="E253">
        <v>0</v>
      </c>
      <c r="F253">
        <v>7495</v>
      </c>
    </row>
    <row r="254" spans="1:6" x14ac:dyDescent="0.25">
      <c r="B254" t="s">
        <v>1679</v>
      </c>
    </row>
    <row r="255" spans="1:6" x14ac:dyDescent="0.25">
      <c r="A255" t="s">
        <v>2</v>
      </c>
      <c r="B255" t="s">
        <v>1680</v>
      </c>
      <c r="C255">
        <v>14201</v>
      </c>
      <c r="D255">
        <v>0</v>
      </c>
      <c r="E255">
        <v>0</v>
      </c>
      <c r="F255">
        <v>0</v>
      </c>
    </row>
    <row r="256" spans="1:6" x14ac:dyDescent="0.25">
      <c r="A256" t="s">
        <v>15</v>
      </c>
      <c r="B256" t="s">
        <v>1681</v>
      </c>
      <c r="C256">
        <v>14202</v>
      </c>
      <c r="D256">
        <v>0</v>
      </c>
      <c r="E256">
        <v>0</v>
      </c>
      <c r="F256">
        <v>0</v>
      </c>
    </row>
    <row r="257" spans="1:6" x14ac:dyDescent="0.25">
      <c r="A257" t="s">
        <v>16</v>
      </c>
      <c r="B257" t="s">
        <v>1682</v>
      </c>
      <c r="C257">
        <v>14203</v>
      </c>
      <c r="D257">
        <v>0</v>
      </c>
      <c r="E257">
        <v>0</v>
      </c>
      <c r="F257">
        <v>0</v>
      </c>
    </row>
    <row r="258" spans="1:6" x14ac:dyDescent="0.25">
      <c r="A258" t="s">
        <v>25</v>
      </c>
      <c r="B258" t="s">
        <v>1683</v>
      </c>
      <c r="C258">
        <v>14204</v>
      </c>
      <c r="D258">
        <v>0</v>
      </c>
      <c r="E258">
        <v>0</v>
      </c>
      <c r="F258">
        <v>0</v>
      </c>
    </row>
    <row r="259" spans="1:6" x14ac:dyDescent="0.25">
      <c r="A259" t="s">
        <v>26</v>
      </c>
      <c r="B259" t="s">
        <v>1684</v>
      </c>
      <c r="C259">
        <v>14205</v>
      </c>
      <c r="D259">
        <v>0</v>
      </c>
      <c r="E259">
        <v>0</v>
      </c>
      <c r="F259">
        <v>0</v>
      </c>
    </row>
    <row r="260" spans="1:6" x14ac:dyDescent="0.25">
      <c r="A260" t="s">
        <v>27</v>
      </c>
      <c r="B260" t="s">
        <v>1685</v>
      </c>
      <c r="C260">
        <v>14206</v>
      </c>
      <c r="D260">
        <v>0</v>
      </c>
      <c r="E260">
        <v>0</v>
      </c>
      <c r="F260">
        <v>0</v>
      </c>
    </row>
    <row r="261" spans="1:6" x14ac:dyDescent="0.25">
      <c r="A261" t="s">
        <v>531</v>
      </c>
      <c r="B261" t="s">
        <v>1686</v>
      </c>
      <c r="C261">
        <v>14207</v>
      </c>
      <c r="D261">
        <v>0</v>
      </c>
      <c r="E261">
        <v>0</v>
      </c>
      <c r="F261">
        <v>0</v>
      </c>
    </row>
    <row r="262" spans="1:6" x14ac:dyDescent="0.25">
      <c r="A262" t="s">
        <v>1583</v>
      </c>
      <c r="B262" t="s">
        <v>1687</v>
      </c>
      <c r="C262">
        <v>14208</v>
      </c>
      <c r="D262">
        <v>0</v>
      </c>
      <c r="E262">
        <v>0</v>
      </c>
      <c r="F262">
        <v>0</v>
      </c>
    </row>
    <row r="263" spans="1:6" x14ac:dyDescent="0.25">
      <c r="A263" t="s">
        <v>1585</v>
      </c>
      <c r="B263" t="s">
        <v>1688</v>
      </c>
      <c r="C263">
        <v>14209</v>
      </c>
      <c r="D263">
        <v>0</v>
      </c>
      <c r="E263">
        <v>0</v>
      </c>
      <c r="F263">
        <v>0</v>
      </c>
    </row>
    <row r="264" spans="1:6" x14ac:dyDescent="0.25">
      <c r="A264" t="s">
        <v>1587</v>
      </c>
      <c r="B264" t="s">
        <v>1637</v>
      </c>
      <c r="C264">
        <v>14210</v>
      </c>
      <c r="D264">
        <v>0</v>
      </c>
      <c r="E264">
        <v>0</v>
      </c>
      <c r="F264">
        <v>0</v>
      </c>
    </row>
    <row r="265" spans="1:6" x14ac:dyDescent="0.25">
      <c r="A265" t="s">
        <v>1589</v>
      </c>
      <c r="B265" t="s">
        <v>1640</v>
      </c>
      <c r="C265">
        <v>14211</v>
      </c>
      <c r="D265">
        <v>0</v>
      </c>
      <c r="E265">
        <v>0</v>
      </c>
      <c r="F265">
        <v>0</v>
      </c>
    </row>
    <row r="266" spans="1:6" x14ac:dyDescent="0.25">
      <c r="A266" t="s">
        <v>1591</v>
      </c>
      <c r="B266" t="s">
        <v>1689</v>
      </c>
      <c r="C266">
        <v>14212</v>
      </c>
      <c r="D266">
        <v>0</v>
      </c>
      <c r="E266">
        <v>0</v>
      </c>
      <c r="F266">
        <v>0</v>
      </c>
    </row>
    <row r="267" spans="1:6" x14ac:dyDescent="0.25">
      <c r="A267" t="s">
        <v>1593</v>
      </c>
      <c r="B267" t="s">
        <v>1690</v>
      </c>
      <c r="C267">
        <v>14213</v>
      </c>
      <c r="D267">
        <v>0</v>
      </c>
      <c r="E267">
        <v>0</v>
      </c>
      <c r="F267">
        <v>0</v>
      </c>
    </row>
    <row r="268" spans="1:6" x14ac:dyDescent="0.25">
      <c r="B268" t="s">
        <v>1691</v>
      </c>
      <c r="D268">
        <v>0</v>
      </c>
      <c r="E268">
        <v>0</v>
      </c>
      <c r="F268">
        <v>0</v>
      </c>
    </row>
    <row r="269" spans="1:6" x14ac:dyDescent="0.25">
      <c r="B269" t="s">
        <v>1692</v>
      </c>
    </row>
    <row r="270" spans="1:6" x14ac:dyDescent="0.25">
      <c r="A270" t="s">
        <v>2</v>
      </c>
      <c r="B270" t="s">
        <v>1693</v>
      </c>
      <c r="C270">
        <v>14301</v>
      </c>
      <c r="D270">
        <v>0</v>
      </c>
      <c r="E270">
        <v>0</v>
      </c>
      <c r="F270">
        <v>0</v>
      </c>
    </row>
    <row r="271" spans="1:6" x14ac:dyDescent="0.25">
      <c r="A271" t="s">
        <v>15</v>
      </c>
      <c r="B271" t="s">
        <v>1694</v>
      </c>
      <c r="C271">
        <v>14302</v>
      </c>
      <c r="D271">
        <v>0</v>
      </c>
      <c r="E271">
        <v>0</v>
      </c>
      <c r="F271">
        <v>0</v>
      </c>
    </row>
    <row r="272" spans="1:6" x14ac:dyDescent="0.25">
      <c r="A272" t="s">
        <v>16</v>
      </c>
      <c r="B272" t="s">
        <v>1695</v>
      </c>
      <c r="C272">
        <v>14303</v>
      </c>
      <c r="D272">
        <v>0</v>
      </c>
      <c r="E272">
        <v>0</v>
      </c>
      <c r="F272">
        <v>0</v>
      </c>
    </row>
    <row r="273" spans="1:6" x14ac:dyDescent="0.25">
      <c r="A273" t="s">
        <v>25</v>
      </c>
      <c r="B273" t="s">
        <v>1696</v>
      </c>
      <c r="C273">
        <v>14304</v>
      </c>
      <c r="D273">
        <v>0</v>
      </c>
      <c r="E273">
        <v>0</v>
      </c>
      <c r="F273">
        <v>0</v>
      </c>
    </row>
    <row r="274" spans="1:6" x14ac:dyDescent="0.25">
      <c r="A274" t="s">
        <v>26</v>
      </c>
      <c r="B274" t="s">
        <v>1680</v>
      </c>
      <c r="C274">
        <v>14305</v>
      </c>
      <c r="D274">
        <v>0</v>
      </c>
      <c r="E274">
        <v>0</v>
      </c>
      <c r="F274">
        <v>0</v>
      </c>
    </row>
    <row r="275" spans="1:6" x14ac:dyDescent="0.25">
      <c r="A275" t="s">
        <v>27</v>
      </c>
      <c r="B275" t="s">
        <v>1681</v>
      </c>
      <c r="C275">
        <v>14306</v>
      </c>
      <c r="D275">
        <v>0</v>
      </c>
      <c r="E275">
        <v>0</v>
      </c>
      <c r="F275">
        <v>0</v>
      </c>
    </row>
    <row r="276" spans="1:6" x14ac:dyDescent="0.25">
      <c r="A276" t="s">
        <v>531</v>
      </c>
      <c r="B276" t="s">
        <v>1682</v>
      </c>
      <c r="C276">
        <v>14307</v>
      </c>
      <c r="D276">
        <v>0</v>
      </c>
      <c r="E276">
        <v>0</v>
      </c>
      <c r="F276">
        <v>0</v>
      </c>
    </row>
    <row r="277" spans="1:6" x14ac:dyDescent="0.25">
      <c r="A277" t="s">
        <v>1583</v>
      </c>
      <c r="B277" t="s">
        <v>1683</v>
      </c>
      <c r="C277">
        <v>14308</v>
      </c>
      <c r="D277">
        <v>0</v>
      </c>
      <c r="E277">
        <v>0</v>
      </c>
      <c r="F277">
        <v>0</v>
      </c>
    </row>
    <row r="278" spans="1:6" x14ac:dyDescent="0.25">
      <c r="A278" t="s">
        <v>1585</v>
      </c>
      <c r="B278" t="s">
        <v>1684</v>
      </c>
      <c r="C278">
        <v>14309</v>
      </c>
      <c r="D278">
        <v>1</v>
      </c>
      <c r="E278">
        <v>0</v>
      </c>
      <c r="F278">
        <v>1</v>
      </c>
    </row>
    <row r="279" spans="1:6" x14ac:dyDescent="0.25">
      <c r="A279" t="s">
        <v>1587</v>
      </c>
      <c r="B279" t="s">
        <v>1685</v>
      </c>
      <c r="C279">
        <v>14310</v>
      </c>
      <c r="D279">
        <v>0</v>
      </c>
      <c r="E279">
        <v>0</v>
      </c>
      <c r="F279">
        <v>0</v>
      </c>
    </row>
    <row r="280" spans="1:6" x14ac:dyDescent="0.25">
      <c r="A280" t="s">
        <v>1589</v>
      </c>
      <c r="B280" t="s">
        <v>1686</v>
      </c>
      <c r="C280">
        <v>14311</v>
      </c>
      <c r="D280">
        <v>0</v>
      </c>
      <c r="E280">
        <v>0</v>
      </c>
      <c r="F280">
        <v>0</v>
      </c>
    </row>
    <row r="281" spans="1:6" x14ac:dyDescent="0.25">
      <c r="A281" t="s">
        <v>1591</v>
      </c>
      <c r="B281" t="s">
        <v>1687</v>
      </c>
      <c r="C281">
        <v>14312</v>
      </c>
      <c r="D281">
        <v>12846</v>
      </c>
      <c r="E281">
        <v>0</v>
      </c>
      <c r="F281">
        <v>12846</v>
      </c>
    </row>
    <row r="282" spans="1:6" x14ac:dyDescent="0.25">
      <c r="A282" t="s">
        <v>1593</v>
      </c>
      <c r="B282" t="s">
        <v>1688</v>
      </c>
      <c r="C282">
        <v>14313</v>
      </c>
      <c r="D282">
        <v>0</v>
      </c>
      <c r="E282">
        <v>0</v>
      </c>
      <c r="F282">
        <v>0</v>
      </c>
    </row>
    <row r="283" spans="1:6" x14ac:dyDescent="0.25">
      <c r="A283" t="s">
        <v>1595</v>
      </c>
      <c r="B283" t="s">
        <v>1690</v>
      </c>
      <c r="C283">
        <v>14314</v>
      </c>
      <c r="D283">
        <v>0</v>
      </c>
      <c r="E283">
        <v>0</v>
      </c>
      <c r="F283">
        <v>0</v>
      </c>
    </row>
    <row r="284" spans="1:6" x14ac:dyDescent="0.25">
      <c r="A284" t="s">
        <v>1597</v>
      </c>
      <c r="B284" t="s">
        <v>1637</v>
      </c>
      <c r="C284">
        <v>14315</v>
      </c>
      <c r="D284">
        <v>0</v>
      </c>
      <c r="E284">
        <v>0</v>
      </c>
      <c r="F284">
        <v>0</v>
      </c>
    </row>
    <row r="285" spans="1:6" x14ac:dyDescent="0.25">
      <c r="A285" t="s">
        <v>1599</v>
      </c>
      <c r="B285" t="s">
        <v>1640</v>
      </c>
      <c r="C285">
        <v>14316</v>
      </c>
      <c r="D285">
        <v>0</v>
      </c>
      <c r="E285">
        <v>0</v>
      </c>
      <c r="F285">
        <v>0</v>
      </c>
    </row>
    <row r="286" spans="1:6" x14ac:dyDescent="0.25">
      <c r="A286" t="s">
        <v>1601</v>
      </c>
      <c r="B286" t="s">
        <v>1636</v>
      </c>
      <c r="C286">
        <v>14317</v>
      </c>
      <c r="D286">
        <v>0</v>
      </c>
      <c r="E286">
        <v>0</v>
      </c>
      <c r="F286">
        <v>0</v>
      </c>
    </row>
    <row r="287" spans="1:6" x14ac:dyDescent="0.25">
      <c r="A287" t="s">
        <v>1603</v>
      </c>
      <c r="B287" t="s">
        <v>1689</v>
      </c>
      <c r="C287">
        <v>14318</v>
      </c>
      <c r="D287">
        <v>548</v>
      </c>
      <c r="E287">
        <v>0</v>
      </c>
      <c r="F287">
        <v>548</v>
      </c>
    </row>
    <row r="288" spans="1:6" x14ac:dyDescent="0.25">
      <c r="B288" t="s">
        <v>1697</v>
      </c>
      <c r="D288">
        <v>13395</v>
      </c>
      <c r="E288">
        <v>0</v>
      </c>
      <c r="F288">
        <v>13395</v>
      </c>
    </row>
    <row r="289" spans="1:6" x14ac:dyDescent="0.25">
      <c r="B289" t="s">
        <v>1698</v>
      </c>
    </row>
    <row r="290" spans="1:6" x14ac:dyDescent="0.25">
      <c r="A290" t="s">
        <v>2</v>
      </c>
      <c r="B290" t="s">
        <v>1699</v>
      </c>
      <c r="C290">
        <v>14401</v>
      </c>
      <c r="D290">
        <v>0</v>
      </c>
      <c r="E290">
        <v>0</v>
      </c>
      <c r="F290">
        <v>0</v>
      </c>
    </row>
    <row r="291" spans="1:6" x14ac:dyDescent="0.25">
      <c r="A291" t="s">
        <v>15</v>
      </c>
      <c r="B291" t="s">
        <v>1694</v>
      </c>
      <c r="C291">
        <v>14402</v>
      </c>
      <c r="D291">
        <v>0</v>
      </c>
      <c r="E291">
        <v>0</v>
      </c>
      <c r="F291">
        <v>0</v>
      </c>
    </row>
    <row r="292" spans="1:6" x14ac:dyDescent="0.25">
      <c r="A292" t="s">
        <v>16</v>
      </c>
      <c r="B292" t="s">
        <v>1695</v>
      </c>
      <c r="C292">
        <v>14403</v>
      </c>
      <c r="D292">
        <v>0</v>
      </c>
      <c r="E292">
        <v>0</v>
      </c>
      <c r="F292">
        <v>0</v>
      </c>
    </row>
    <row r="293" spans="1:6" x14ac:dyDescent="0.25">
      <c r="A293" t="s">
        <v>25</v>
      </c>
      <c r="B293" t="s">
        <v>1696</v>
      </c>
      <c r="C293">
        <v>14404</v>
      </c>
      <c r="D293">
        <v>0</v>
      </c>
      <c r="E293">
        <v>0</v>
      </c>
      <c r="F293">
        <v>0</v>
      </c>
    </row>
    <row r="294" spans="1:6" x14ac:dyDescent="0.25">
      <c r="A294" t="s">
        <v>26</v>
      </c>
      <c r="B294" t="s">
        <v>1680</v>
      </c>
      <c r="C294">
        <v>14405</v>
      </c>
      <c r="D294">
        <v>0</v>
      </c>
      <c r="E294">
        <v>0</v>
      </c>
      <c r="F294">
        <v>0</v>
      </c>
    </row>
    <row r="295" spans="1:6" x14ac:dyDescent="0.25">
      <c r="A295" t="s">
        <v>27</v>
      </c>
      <c r="B295" t="s">
        <v>1681</v>
      </c>
      <c r="C295">
        <v>14406</v>
      </c>
      <c r="D295">
        <v>0</v>
      </c>
      <c r="E295">
        <v>0</v>
      </c>
      <c r="F295">
        <v>0</v>
      </c>
    </row>
    <row r="296" spans="1:6" x14ac:dyDescent="0.25">
      <c r="A296" t="s">
        <v>531</v>
      </c>
      <c r="B296" t="s">
        <v>1682</v>
      </c>
      <c r="C296">
        <v>14407</v>
      </c>
      <c r="D296">
        <v>0</v>
      </c>
      <c r="E296">
        <v>0</v>
      </c>
      <c r="F296">
        <v>0</v>
      </c>
    </row>
    <row r="297" spans="1:6" x14ac:dyDescent="0.25">
      <c r="A297" t="s">
        <v>1583</v>
      </c>
      <c r="B297" t="s">
        <v>1683</v>
      </c>
      <c r="C297">
        <v>14408</v>
      </c>
      <c r="D297">
        <v>0</v>
      </c>
      <c r="E297">
        <v>0</v>
      </c>
      <c r="F297">
        <v>0</v>
      </c>
    </row>
    <row r="298" spans="1:6" x14ac:dyDescent="0.25">
      <c r="A298" t="s">
        <v>1585</v>
      </c>
      <c r="B298" t="s">
        <v>1684</v>
      </c>
      <c r="C298">
        <v>14409</v>
      </c>
      <c r="D298">
        <v>0</v>
      </c>
      <c r="E298">
        <v>0</v>
      </c>
      <c r="F298">
        <v>0</v>
      </c>
    </row>
    <row r="299" spans="1:6" x14ac:dyDescent="0.25">
      <c r="A299" t="s">
        <v>1587</v>
      </c>
      <c r="B299" t="s">
        <v>1685</v>
      </c>
      <c r="C299">
        <v>14410</v>
      </c>
      <c r="D299">
        <v>0</v>
      </c>
      <c r="E299">
        <v>0</v>
      </c>
      <c r="F299">
        <v>0</v>
      </c>
    </row>
    <row r="300" spans="1:6" x14ac:dyDescent="0.25">
      <c r="A300" t="s">
        <v>1589</v>
      </c>
      <c r="B300" t="s">
        <v>1686</v>
      </c>
      <c r="C300">
        <v>14411</v>
      </c>
      <c r="D300">
        <v>0</v>
      </c>
      <c r="E300">
        <v>0</v>
      </c>
      <c r="F300">
        <v>0</v>
      </c>
    </row>
    <row r="301" spans="1:6" x14ac:dyDescent="0.25">
      <c r="A301" t="s">
        <v>1591</v>
      </c>
      <c r="B301" t="s">
        <v>1687</v>
      </c>
      <c r="C301">
        <v>14412</v>
      </c>
      <c r="D301">
        <v>0</v>
      </c>
      <c r="E301">
        <v>0</v>
      </c>
      <c r="F301">
        <v>0</v>
      </c>
    </row>
    <row r="302" spans="1:6" x14ac:dyDescent="0.25">
      <c r="A302" t="s">
        <v>1593</v>
      </c>
      <c r="B302" t="s">
        <v>1688</v>
      </c>
      <c r="C302">
        <v>14413</v>
      </c>
      <c r="D302">
        <v>0</v>
      </c>
      <c r="E302">
        <v>0</v>
      </c>
      <c r="F302">
        <v>0</v>
      </c>
    </row>
    <row r="303" spans="1:6" x14ac:dyDescent="0.25">
      <c r="A303" t="s">
        <v>1595</v>
      </c>
      <c r="B303" t="s">
        <v>1690</v>
      </c>
      <c r="C303">
        <v>14414</v>
      </c>
      <c r="D303">
        <v>0</v>
      </c>
      <c r="E303">
        <v>0</v>
      </c>
      <c r="F303">
        <v>0</v>
      </c>
    </row>
    <row r="304" spans="1:6" x14ac:dyDescent="0.25">
      <c r="A304" t="s">
        <v>1597</v>
      </c>
      <c r="B304" t="s">
        <v>1637</v>
      </c>
      <c r="C304">
        <v>14415</v>
      </c>
      <c r="D304">
        <v>0</v>
      </c>
      <c r="E304">
        <v>0</v>
      </c>
      <c r="F304">
        <v>0</v>
      </c>
    </row>
    <row r="305" spans="1:6" x14ac:dyDescent="0.25">
      <c r="A305" t="s">
        <v>1599</v>
      </c>
      <c r="B305" t="s">
        <v>1640</v>
      </c>
      <c r="C305">
        <v>14416</v>
      </c>
      <c r="D305">
        <v>0</v>
      </c>
      <c r="E305">
        <v>0</v>
      </c>
      <c r="F305">
        <v>0</v>
      </c>
    </row>
    <row r="306" spans="1:6" x14ac:dyDescent="0.25">
      <c r="A306" t="s">
        <v>1601</v>
      </c>
      <c r="B306" t="s">
        <v>1636</v>
      </c>
      <c r="C306">
        <v>14417</v>
      </c>
      <c r="D306">
        <v>0</v>
      </c>
      <c r="E306">
        <v>0</v>
      </c>
      <c r="F306">
        <v>0</v>
      </c>
    </row>
    <row r="307" spans="1:6" x14ac:dyDescent="0.25">
      <c r="A307" t="s">
        <v>1603</v>
      </c>
      <c r="B307" t="s">
        <v>1689</v>
      </c>
      <c r="C307">
        <v>14418</v>
      </c>
      <c r="D307">
        <v>0</v>
      </c>
      <c r="E307">
        <v>0</v>
      </c>
      <c r="F307">
        <v>0</v>
      </c>
    </row>
    <row r="308" spans="1:6" x14ac:dyDescent="0.25">
      <c r="B308" t="s">
        <v>1700</v>
      </c>
      <c r="D308">
        <v>0</v>
      </c>
      <c r="E308">
        <v>0</v>
      </c>
      <c r="F308">
        <v>0</v>
      </c>
    </row>
    <row r="309" spans="1:6" x14ac:dyDescent="0.25">
      <c r="B309" t="s">
        <v>1701</v>
      </c>
    </row>
    <row r="310" spans="1:6" x14ac:dyDescent="0.25">
      <c r="A310" t="s">
        <v>2</v>
      </c>
      <c r="B310" t="s">
        <v>1702</v>
      </c>
      <c r="C310">
        <v>14501</v>
      </c>
      <c r="D310">
        <v>0</v>
      </c>
      <c r="E310">
        <v>0</v>
      </c>
      <c r="F310">
        <v>0</v>
      </c>
    </row>
    <row r="311" spans="1:6" x14ac:dyDescent="0.25">
      <c r="A311" t="s">
        <v>15</v>
      </c>
      <c r="B311" t="s">
        <v>1703</v>
      </c>
      <c r="C311">
        <v>14502</v>
      </c>
      <c r="D311">
        <v>0</v>
      </c>
      <c r="E311">
        <v>0</v>
      </c>
      <c r="F311">
        <v>0</v>
      </c>
    </row>
    <row r="312" spans="1:6" x14ac:dyDescent="0.25">
      <c r="B312" t="s">
        <v>1704</v>
      </c>
      <c r="D312">
        <v>0</v>
      </c>
      <c r="E312">
        <v>0</v>
      </c>
      <c r="F312">
        <v>0</v>
      </c>
    </row>
    <row r="313" spans="1:6" x14ac:dyDescent="0.25">
      <c r="B313" t="s">
        <v>1705</v>
      </c>
    </row>
    <row r="314" spans="1:6" x14ac:dyDescent="0.25">
      <c r="A314" t="s">
        <v>2</v>
      </c>
      <c r="B314" t="s">
        <v>1702</v>
      </c>
      <c r="C314">
        <v>14601</v>
      </c>
      <c r="D314">
        <v>0</v>
      </c>
      <c r="E314">
        <v>0</v>
      </c>
      <c r="F314">
        <v>0</v>
      </c>
    </row>
    <row r="315" spans="1:6" x14ac:dyDescent="0.25">
      <c r="A315" t="s">
        <v>15</v>
      </c>
      <c r="B315" t="s">
        <v>1703</v>
      </c>
      <c r="C315">
        <v>14602</v>
      </c>
      <c r="D315">
        <v>0</v>
      </c>
      <c r="E315">
        <v>0</v>
      </c>
      <c r="F315">
        <v>0</v>
      </c>
    </row>
    <row r="316" spans="1:6" x14ac:dyDescent="0.25">
      <c r="B316" t="s">
        <v>1706</v>
      </c>
      <c r="D316">
        <v>0</v>
      </c>
      <c r="E316">
        <v>0</v>
      </c>
      <c r="F316">
        <v>0</v>
      </c>
    </row>
    <row r="317" spans="1:6" x14ac:dyDescent="0.25">
      <c r="B317" t="s">
        <v>1707</v>
      </c>
    </row>
    <row r="318" spans="1:6" x14ac:dyDescent="0.25">
      <c r="A318" t="s">
        <v>2</v>
      </c>
      <c r="B318" t="s">
        <v>1702</v>
      </c>
      <c r="C318">
        <v>14701</v>
      </c>
      <c r="D318">
        <v>0</v>
      </c>
      <c r="E318">
        <v>0</v>
      </c>
      <c r="F318">
        <v>0</v>
      </c>
    </row>
    <row r="319" spans="1:6" x14ac:dyDescent="0.25">
      <c r="A319" t="s">
        <v>15</v>
      </c>
      <c r="B319" t="s">
        <v>1703</v>
      </c>
      <c r="C319">
        <v>14702</v>
      </c>
      <c r="D319">
        <v>0</v>
      </c>
      <c r="E319">
        <v>0</v>
      </c>
      <c r="F319">
        <v>0</v>
      </c>
    </row>
    <row r="320" spans="1:6" x14ac:dyDescent="0.25">
      <c r="B320" t="s">
        <v>1708</v>
      </c>
      <c r="D320">
        <v>0</v>
      </c>
      <c r="E320">
        <v>0</v>
      </c>
      <c r="F320">
        <v>0</v>
      </c>
    </row>
    <row r="321" spans="1:6" x14ac:dyDescent="0.25">
      <c r="B321" t="s">
        <v>1709</v>
      </c>
    </row>
    <row r="322" spans="1:6" x14ac:dyDescent="0.25">
      <c r="A322" t="s">
        <v>2</v>
      </c>
      <c r="B322" t="s">
        <v>1710</v>
      </c>
      <c r="C322">
        <v>14801</v>
      </c>
      <c r="D322">
        <v>0</v>
      </c>
      <c r="E322">
        <v>0</v>
      </c>
      <c r="F322">
        <v>0</v>
      </c>
    </row>
    <row r="323" spans="1:6" x14ac:dyDescent="0.25">
      <c r="A323" t="s">
        <v>15</v>
      </c>
      <c r="B323" t="s">
        <v>1711</v>
      </c>
      <c r="C323">
        <v>14802</v>
      </c>
      <c r="D323">
        <v>0</v>
      </c>
      <c r="E323">
        <v>0</v>
      </c>
      <c r="F323">
        <v>0</v>
      </c>
    </row>
    <row r="324" spans="1:6" x14ac:dyDescent="0.25">
      <c r="A324" t="s">
        <v>16</v>
      </c>
      <c r="B324" t="s">
        <v>1712</v>
      </c>
      <c r="C324">
        <v>14803</v>
      </c>
      <c r="D324">
        <v>0</v>
      </c>
      <c r="E324">
        <v>0</v>
      </c>
      <c r="F324">
        <v>0</v>
      </c>
    </row>
    <row r="325" spans="1:6" x14ac:dyDescent="0.25">
      <c r="A325" t="s">
        <v>25</v>
      </c>
      <c r="B325" t="s">
        <v>1713</v>
      </c>
      <c r="C325">
        <v>14804</v>
      </c>
      <c r="D325">
        <v>3039</v>
      </c>
      <c r="E325">
        <v>0</v>
      </c>
      <c r="F325">
        <v>3039</v>
      </c>
    </row>
    <row r="326" spans="1:6" x14ac:dyDescent="0.25">
      <c r="A326" t="s">
        <v>26</v>
      </c>
      <c r="B326" t="s">
        <v>1714</v>
      </c>
      <c r="C326">
        <v>14805</v>
      </c>
      <c r="D326">
        <v>0</v>
      </c>
      <c r="E326">
        <v>0</v>
      </c>
      <c r="F326">
        <v>0</v>
      </c>
    </row>
    <row r="327" spans="1:6" x14ac:dyDescent="0.25">
      <c r="B327" t="s">
        <v>1715</v>
      </c>
      <c r="D327">
        <v>3039</v>
      </c>
      <c r="E327">
        <v>0</v>
      </c>
      <c r="F327">
        <v>3039</v>
      </c>
    </row>
    <row r="328" spans="1:6" x14ac:dyDescent="0.25">
      <c r="B328" t="s">
        <v>1716</v>
      </c>
      <c r="D328">
        <v>23929</v>
      </c>
      <c r="E328">
        <v>0</v>
      </c>
      <c r="F328">
        <v>23929</v>
      </c>
    </row>
    <row r="329" spans="1:6" x14ac:dyDescent="0.25">
      <c r="B329" t="s">
        <v>1717</v>
      </c>
    </row>
    <row r="330" spans="1:6" x14ac:dyDescent="0.25">
      <c r="B330" t="s">
        <v>1575</v>
      </c>
    </row>
    <row r="331" spans="1:6" x14ac:dyDescent="0.25">
      <c r="A331" t="s">
        <v>2</v>
      </c>
      <c r="B331" t="s">
        <v>1576</v>
      </c>
      <c r="C331">
        <v>15101</v>
      </c>
      <c r="D331">
        <v>0</v>
      </c>
      <c r="F331">
        <v>0</v>
      </c>
    </row>
    <row r="332" spans="1:6" x14ac:dyDescent="0.25">
      <c r="A332" t="s">
        <v>15</v>
      </c>
      <c r="B332" t="s">
        <v>1577</v>
      </c>
      <c r="C332">
        <v>15102</v>
      </c>
      <c r="D332">
        <v>0</v>
      </c>
      <c r="F332">
        <v>0</v>
      </c>
    </row>
    <row r="333" spans="1:6" x14ac:dyDescent="0.25">
      <c r="A333" t="s">
        <v>16</v>
      </c>
      <c r="B333" t="s">
        <v>1578</v>
      </c>
      <c r="C333">
        <v>15103</v>
      </c>
      <c r="D333">
        <v>0</v>
      </c>
      <c r="F333">
        <v>0</v>
      </c>
    </row>
    <row r="334" spans="1:6" x14ac:dyDescent="0.25">
      <c r="A334" t="s">
        <v>25</v>
      </c>
      <c r="B334" t="s">
        <v>1579</v>
      </c>
      <c r="C334">
        <v>15104</v>
      </c>
      <c r="D334">
        <v>0</v>
      </c>
      <c r="F334">
        <v>0</v>
      </c>
    </row>
    <row r="335" spans="1:6" x14ac:dyDescent="0.25">
      <c r="A335" t="s">
        <v>26</v>
      </c>
      <c r="B335" t="s">
        <v>1580</v>
      </c>
      <c r="C335">
        <v>15105</v>
      </c>
      <c r="D335">
        <v>0</v>
      </c>
      <c r="F335">
        <v>0</v>
      </c>
    </row>
    <row r="336" spans="1:6" x14ac:dyDescent="0.25">
      <c r="A336" t="s">
        <v>27</v>
      </c>
      <c r="B336" t="s">
        <v>1581</v>
      </c>
      <c r="C336">
        <v>15106</v>
      </c>
      <c r="D336">
        <v>61</v>
      </c>
      <c r="F336">
        <v>61</v>
      </c>
    </row>
    <row r="337" spans="1:6" x14ac:dyDescent="0.25">
      <c r="A337" t="s">
        <v>531</v>
      </c>
      <c r="B337" t="s">
        <v>1582</v>
      </c>
      <c r="C337">
        <v>15107</v>
      </c>
      <c r="D337">
        <v>0</v>
      </c>
      <c r="F337">
        <v>0</v>
      </c>
    </row>
    <row r="338" spans="1:6" x14ac:dyDescent="0.25">
      <c r="A338" t="s">
        <v>1583</v>
      </c>
      <c r="B338" t="s">
        <v>1584</v>
      </c>
      <c r="C338">
        <v>15108</v>
      </c>
      <c r="D338">
        <v>0</v>
      </c>
      <c r="F338">
        <v>0</v>
      </c>
    </row>
    <row r="339" spans="1:6" x14ac:dyDescent="0.25">
      <c r="A339" t="s">
        <v>1585</v>
      </c>
      <c r="B339" t="s">
        <v>1586</v>
      </c>
      <c r="C339">
        <v>15109</v>
      </c>
      <c r="D339">
        <v>33706</v>
      </c>
      <c r="F339">
        <v>33706</v>
      </c>
    </row>
    <row r="340" spans="1:6" x14ac:dyDescent="0.25">
      <c r="A340" t="s">
        <v>1587</v>
      </c>
      <c r="B340" t="s">
        <v>1588</v>
      </c>
      <c r="C340">
        <v>15110</v>
      </c>
      <c r="D340">
        <v>64317</v>
      </c>
      <c r="F340">
        <v>64317</v>
      </c>
    </row>
    <row r="341" spans="1:6" x14ac:dyDescent="0.25">
      <c r="A341" t="s">
        <v>1589</v>
      </c>
      <c r="B341" t="s">
        <v>1590</v>
      </c>
      <c r="C341">
        <v>15111</v>
      </c>
      <c r="D341">
        <v>747466</v>
      </c>
      <c r="F341">
        <v>747466</v>
      </c>
    </row>
    <row r="342" spans="1:6" x14ac:dyDescent="0.25">
      <c r="A342" t="s">
        <v>1591</v>
      </c>
      <c r="B342" t="s">
        <v>1592</v>
      </c>
      <c r="C342">
        <v>15112</v>
      </c>
      <c r="D342">
        <v>15422433</v>
      </c>
      <c r="F342">
        <v>15422433</v>
      </c>
    </row>
    <row r="343" spans="1:6" x14ac:dyDescent="0.25">
      <c r="A343" t="s">
        <v>1593</v>
      </c>
      <c r="B343" t="s">
        <v>1594</v>
      </c>
      <c r="C343">
        <v>15113</v>
      </c>
      <c r="D343">
        <v>11</v>
      </c>
      <c r="F343">
        <v>11</v>
      </c>
    </row>
    <row r="344" spans="1:6" x14ac:dyDescent="0.25">
      <c r="A344" t="s">
        <v>1595</v>
      </c>
      <c r="B344" t="s">
        <v>1596</v>
      </c>
      <c r="C344">
        <v>15114</v>
      </c>
      <c r="D344">
        <v>180066</v>
      </c>
      <c r="F344">
        <v>180066</v>
      </c>
    </row>
    <row r="345" spans="1:6" x14ac:dyDescent="0.25">
      <c r="A345" t="s">
        <v>1597</v>
      </c>
      <c r="B345" t="s">
        <v>1598</v>
      </c>
      <c r="C345">
        <v>15115</v>
      </c>
      <c r="D345">
        <v>3808823</v>
      </c>
      <c r="F345">
        <v>3808823</v>
      </c>
    </row>
    <row r="346" spans="1:6" x14ac:dyDescent="0.25">
      <c r="A346" t="s">
        <v>1599</v>
      </c>
      <c r="B346" t="s">
        <v>1600</v>
      </c>
      <c r="C346">
        <v>15116</v>
      </c>
      <c r="D346">
        <v>732266</v>
      </c>
      <c r="F346">
        <v>732266</v>
      </c>
    </row>
    <row r="347" spans="1:6" x14ac:dyDescent="0.25">
      <c r="A347" t="s">
        <v>1601</v>
      </c>
      <c r="B347" t="s">
        <v>1602</v>
      </c>
      <c r="C347">
        <v>15117</v>
      </c>
      <c r="D347">
        <v>0</v>
      </c>
      <c r="F347">
        <v>0</v>
      </c>
    </row>
    <row r="348" spans="1:6" x14ac:dyDescent="0.25">
      <c r="A348" t="s">
        <v>1603</v>
      </c>
      <c r="B348" t="s">
        <v>1604</v>
      </c>
      <c r="C348">
        <v>15118</v>
      </c>
      <c r="D348">
        <v>12044383</v>
      </c>
      <c r="F348">
        <v>12044383</v>
      </c>
    </row>
    <row r="349" spans="1:6" x14ac:dyDescent="0.25">
      <c r="A349" t="s">
        <v>1605</v>
      </c>
      <c r="B349" t="s">
        <v>1606</v>
      </c>
      <c r="C349">
        <v>15119</v>
      </c>
      <c r="D349">
        <v>28695</v>
      </c>
      <c r="F349">
        <v>28695</v>
      </c>
    </row>
    <row r="350" spans="1:6" x14ac:dyDescent="0.25">
      <c r="A350" t="s">
        <v>1607</v>
      </c>
      <c r="B350" t="s">
        <v>1608</v>
      </c>
      <c r="C350">
        <v>15120</v>
      </c>
      <c r="D350">
        <v>0</v>
      </c>
      <c r="F350">
        <v>0</v>
      </c>
    </row>
    <row r="351" spans="1:6" x14ac:dyDescent="0.25">
      <c r="B351" t="s">
        <v>1718</v>
      </c>
      <c r="D351">
        <v>33062227</v>
      </c>
      <c r="F351">
        <v>33062227</v>
      </c>
    </row>
    <row r="352" spans="1:6" x14ac:dyDescent="0.25">
      <c r="B352" t="s">
        <v>1656</v>
      </c>
    </row>
    <row r="353" spans="1:6" x14ac:dyDescent="0.25">
      <c r="A353" t="s">
        <v>2</v>
      </c>
      <c r="B353" t="s">
        <v>1611</v>
      </c>
      <c r="C353">
        <v>15201</v>
      </c>
      <c r="D353">
        <v>0</v>
      </c>
      <c r="F353">
        <v>0</v>
      </c>
    </row>
    <row r="354" spans="1:6" x14ac:dyDescent="0.25">
      <c r="A354" t="s">
        <v>15</v>
      </c>
      <c r="B354" t="s">
        <v>1612</v>
      </c>
      <c r="C354">
        <v>15202</v>
      </c>
      <c r="D354">
        <v>63515</v>
      </c>
      <c r="F354">
        <v>63515</v>
      </c>
    </row>
    <row r="355" spans="1:6" x14ac:dyDescent="0.25">
      <c r="A355" t="s">
        <v>16</v>
      </c>
      <c r="B355" t="s">
        <v>1613</v>
      </c>
      <c r="C355">
        <v>15203</v>
      </c>
      <c r="D355">
        <v>0</v>
      </c>
      <c r="F355">
        <v>0</v>
      </c>
    </row>
    <row r="356" spans="1:6" x14ac:dyDescent="0.25">
      <c r="A356" t="s">
        <v>25</v>
      </c>
      <c r="B356" t="s">
        <v>1614</v>
      </c>
      <c r="C356">
        <v>15204</v>
      </c>
      <c r="D356">
        <v>25574</v>
      </c>
      <c r="F356">
        <v>25574</v>
      </c>
    </row>
    <row r="357" spans="1:6" x14ac:dyDescent="0.25">
      <c r="A357" t="s">
        <v>26</v>
      </c>
      <c r="B357" t="s">
        <v>1615</v>
      </c>
      <c r="C357">
        <v>15205</v>
      </c>
      <c r="D357">
        <v>0</v>
      </c>
      <c r="F357">
        <v>0</v>
      </c>
    </row>
    <row r="358" spans="1:6" x14ac:dyDescent="0.25">
      <c r="A358" t="s">
        <v>27</v>
      </c>
      <c r="B358" t="s">
        <v>1616</v>
      </c>
      <c r="C358">
        <v>15206</v>
      </c>
      <c r="D358">
        <v>0</v>
      </c>
      <c r="F358">
        <v>0</v>
      </c>
    </row>
    <row r="359" spans="1:6" x14ac:dyDescent="0.25">
      <c r="A359" t="s">
        <v>531</v>
      </c>
      <c r="B359" t="s">
        <v>1617</v>
      </c>
      <c r="C359">
        <v>15207</v>
      </c>
      <c r="D359">
        <v>0</v>
      </c>
      <c r="F359">
        <v>0</v>
      </c>
    </row>
    <row r="360" spans="1:6" x14ac:dyDescent="0.25">
      <c r="A360" t="s">
        <v>1583</v>
      </c>
      <c r="B360" t="s">
        <v>1618</v>
      </c>
      <c r="C360">
        <v>15208</v>
      </c>
      <c r="D360">
        <v>0</v>
      </c>
      <c r="F360">
        <v>0</v>
      </c>
    </row>
    <row r="361" spans="1:6" x14ac:dyDescent="0.25">
      <c r="A361" t="s">
        <v>1585</v>
      </c>
      <c r="B361" t="s">
        <v>1619</v>
      </c>
      <c r="C361">
        <v>15209</v>
      </c>
      <c r="D361">
        <v>0</v>
      </c>
      <c r="F361">
        <v>0</v>
      </c>
    </row>
    <row r="362" spans="1:6" x14ac:dyDescent="0.25">
      <c r="A362" t="s">
        <v>1587</v>
      </c>
      <c r="B362" t="s">
        <v>1620</v>
      </c>
      <c r="C362">
        <v>15210</v>
      </c>
      <c r="D362">
        <v>0</v>
      </c>
      <c r="F362">
        <v>0</v>
      </c>
    </row>
    <row r="363" spans="1:6" x14ac:dyDescent="0.25">
      <c r="A363" t="s">
        <v>1589</v>
      </c>
      <c r="B363" t="s">
        <v>1621</v>
      </c>
      <c r="C363">
        <v>15211</v>
      </c>
      <c r="D363">
        <v>6252</v>
      </c>
      <c r="F363">
        <v>6252</v>
      </c>
    </row>
    <row r="364" spans="1:6" x14ac:dyDescent="0.25">
      <c r="A364" t="s">
        <v>1591</v>
      </c>
      <c r="B364" t="s">
        <v>1622</v>
      </c>
      <c r="C364">
        <v>15212</v>
      </c>
      <c r="D364">
        <v>698421</v>
      </c>
      <c r="F364">
        <v>698421</v>
      </c>
    </row>
    <row r="365" spans="1:6" x14ac:dyDescent="0.25">
      <c r="A365" t="s">
        <v>1593</v>
      </c>
      <c r="B365" t="s">
        <v>1623</v>
      </c>
      <c r="C365">
        <v>15213</v>
      </c>
      <c r="D365">
        <v>0</v>
      </c>
      <c r="F365">
        <v>0</v>
      </c>
    </row>
    <row r="366" spans="1:6" x14ac:dyDescent="0.25">
      <c r="A366" t="s">
        <v>1595</v>
      </c>
      <c r="B366" t="s">
        <v>1624</v>
      </c>
      <c r="C366">
        <v>15214</v>
      </c>
      <c r="D366">
        <v>0</v>
      </c>
      <c r="F366">
        <v>0</v>
      </c>
    </row>
    <row r="367" spans="1:6" x14ac:dyDescent="0.25">
      <c r="A367" t="s">
        <v>1597</v>
      </c>
      <c r="B367" t="s">
        <v>1625</v>
      </c>
      <c r="C367">
        <v>15215</v>
      </c>
      <c r="D367">
        <v>640</v>
      </c>
      <c r="F367">
        <v>640</v>
      </c>
    </row>
    <row r="368" spans="1:6" x14ac:dyDescent="0.25">
      <c r="A368" t="s">
        <v>1599</v>
      </c>
      <c r="B368" t="s">
        <v>1626</v>
      </c>
      <c r="C368">
        <v>15216</v>
      </c>
      <c r="D368">
        <v>0</v>
      </c>
      <c r="F368">
        <v>0</v>
      </c>
    </row>
    <row r="369" spans="1:6" x14ac:dyDescent="0.25">
      <c r="A369" t="s">
        <v>1601</v>
      </c>
      <c r="B369" t="s">
        <v>1627</v>
      </c>
      <c r="C369">
        <v>15217</v>
      </c>
      <c r="D369">
        <v>0</v>
      </c>
      <c r="F369">
        <v>0</v>
      </c>
    </row>
    <row r="370" spans="1:6" x14ac:dyDescent="0.25">
      <c r="A370" t="s">
        <v>1603</v>
      </c>
      <c r="B370" t="s">
        <v>1596</v>
      </c>
      <c r="C370">
        <v>15218</v>
      </c>
      <c r="D370">
        <v>11</v>
      </c>
      <c r="F370">
        <v>11</v>
      </c>
    </row>
    <row r="371" spans="1:6" x14ac:dyDescent="0.25">
      <c r="A371" t="s">
        <v>1605</v>
      </c>
      <c r="B371" t="s">
        <v>1598</v>
      </c>
      <c r="C371">
        <v>15219</v>
      </c>
      <c r="D371">
        <v>1206755</v>
      </c>
      <c r="F371">
        <v>1206755</v>
      </c>
    </row>
    <row r="372" spans="1:6" x14ac:dyDescent="0.25">
      <c r="A372" t="s">
        <v>1607</v>
      </c>
      <c r="B372" t="s">
        <v>1602</v>
      </c>
      <c r="C372">
        <v>15220</v>
      </c>
      <c r="D372">
        <v>0</v>
      </c>
      <c r="F372">
        <v>0</v>
      </c>
    </row>
    <row r="373" spans="1:6" x14ac:dyDescent="0.25">
      <c r="B373" t="s">
        <v>1719</v>
      </c>
      <c r="D373">
        <v>2001168</v>
      </c>
      <c r="F373">
        <v>2001168</v>
      </c>
    </row>
    <row r="374" spans="1:6" x14ac:dyDescent="0.25">
      <c r="B374" t="s">
        <v>1629</v>
      </c>
    </row>
    <row r="375" spans="1:6" x14ac:dyDescent="0.25">
      <c r="A375" t="s">
        <v>2</v>
      </c>
      <c r="B375" t="s">
        <v>1627</v>
      </c>
      <c r="C375">
        <v>15301</v>
      </c>
      <c r="D375">
        <v>0</v>
      </c>
      <c r="F375">
        <v>0</v>
      </c>
    </row>
    <row r="376" spans="1:6" x14ac:dyDescent="0.25">
      <c r="A376" t="s">
        <v>15</v>
      </c>
      <c r="B376" t="s">
        <v>1625</v>
      </c>
      <c r="C376">
        <v>15302</v>
      </c>
      <c r="D376">
        <v>10036</v>
      </c>
      <c r="F376">
        <v>10036</v>
      </c>
    </row>
    <row r="377" spans="1:6" x14ac:dyDescent="0.25">
      <c r="A377" t="s">
        <v>16</v>
      </c>
      <c r="B377" t="s">
        <v>1626</v>
      </c>
      <c r="C377">
        <v>15303</v>
      </c>
      <c r="D377">
        <v>0</v>
      </c>
      <c r="F377">
        <v>0</v>
      </c>
    </row>
    <row r="378" spans="1:6" x14ac:dyDescent="0.25">
      <c r="B378" t="s">
        <v>1720</v>
      </c>
      <c r="D378">
        <v>10036</v>
      </c>
      <c r="F378">
        <v>10036</v>
      </c>
    </row>
    <row r="379" spans="1:6" x14ac:dyDescent="0.25">
      <c r="B379" t="s">
        <v>1631</v>
      </c>
    </row>
    <row r="380" spans="1:6" x14ac:dyDescent="0.25">
      <c r="A380" t="s">
        <v>2</v>
      </c>
      <c r="B380" t="s">
        <v>1627</v>
      </c>
      <c r="C380">
        <v>15401</v>
      </c>
      <c r="D380">
        <v>0</v>
      </c>
      <c r="F380">
        <v>0</v>
      </c>
    </row>
    <row r="381" spans="1:6" x14ac:dyDescent="0.25">
      <c r="A381" t="s">
        <v>15</v>
      </c>
      <c r="B381" t="s">
        <v>1625</v>
      </c>
      <c r="C381">
        <v>15402</v>
      </c>
      <c r="D381">
        <v>0</v>
      </c>
      <c r="F381">
        <v>0</v>
      </c>
    </row>
    <row r="382" spans="1:6" x14ac:dyDescent="0.25">
      <c r="A382" t="s">
        <v>16</v>
      </c>
      <c r="B382" t="s">
        <v>1626</v>
      </c>
      <c r="C382">
        <v>15403</v>
      </c>
      <c r="D382">
        <v>0</v>
      </c>
      <c r="F382">
        <v>0</v>
      </c>
    </row>
    <row r="383" spans="1:6" x14ac:dyDescent="0.25">
      <c r="B383" t="s">
        <v>1721</v>
      </c>
      <c r="D383">
        <v>0</v>
      </c>
      <c r="F383">
        <v>0</v>
      </c>
    </row>
    <row r="384" spans="1:6" x14ac:dyDescent="0.25">
      <c r="B384" t="s">
        <v>2291</v>
      </c>
    </row>
    <row r="385" spans="1:6" x14ac:dyDescent="0.25">
      <c r="A385" t="s">
        <v>2</v>
      </c>
      <c r="B385" t="s">
        <v>1634</v>
      </c>
      <c r="C385">
        <v>15501</v>
      </c>
      <c r="D385">
        <v>0</v>
      </c>
      <c r="F385">
        <v>0</v>
      </c>
    </row>
    <row r="386" spans="1:6" x14ac:dyDescent="0.25">
      <c r="A386" t="s">
        <v>15</v>
      </c>
      <c r="B386" t="s">
        <v>1635</v>
      </c>
      <c r="C386">
        <v>15502</v>
      </c>
      <c r="D386">
        <v>0</v>
      </c>
      <c r="F386">
        <v>0</v>
      </c>
    </row>
    <row r="387" spans="1:6" x14ac:dyDescent="0.25">
      <c r="A387" t="s">
        <v>16</v>
      </c>
      <c r="B387" t="s">
        <v>1636</v>
      </c>
      <c r="C387">
        <v>15503</v>
      </c>
      <c r="D387">
        <v>0</v>
      </c>
      <c r="F387">
        <v>0</v>
      </c>
    </row>
    <row r="388" spans="1:6" x14ac:dyDescent="0.25">
      <c r="A388" t="s">
        <v>25</v>
      </c>
      <c r="B388" t="s">
        <v>1637</v>
      </c>
      <c r="C388">
        <v>15504</v>
      </c>
      <c r="D388">
        <v>0</v>
      </c>
      <c r="F388">
        <v>0</v>
      </c>
    </row>
    <row r="389" spans="1:6" x14ac:dyDescent="0.25">
      <c r="A389" t="s">
        <v>26</v>
      </c>
      <c r="B389" t="s">
        <v>1638</v>
      </c>
      <c r="C389">
        <v>15505</v>
      </c>
      <c r="D389">
        <v>36854</v>
      </c>
      <c r="F389">
        <v>36854</v>
      </c>
    </row>
    <row r="390" spans="1:6" x14ac:dyDescent="0.25">
      <c r="A390" t="s">
        <v>27</v>
      </c>
      <c r="B390" t="s">
        <v>1639</v>
      </c>
      <c r="C390">
        <v>15506</v>
      </c>
      <c r="D390">
        <v>0</v>
      </c>
      <c r="F390">
        <v>0</v>
      </c>
    </row>
    <row r="391" spans="1:6" x14ac:dyDescent="0.25">
      <c r="A391" t="s">
        <v>531</v>
      </c>
      <c r="B391" t="s">
        <v>1640</v>
      </c>
      <c r="C391">
        <v>15507</v>
      </c>
      <c r="D391">
        <v>0</v>
      </c>
      <c r="F391">
        <v>0</v>
      </c>
    </row>
    <row r="392" spans="1:6" x14ac:dyDescent="0.25">
      <c r="A392" t="s">
        <v>1583</v>
      </c>
      <c r="B392" t="s">
        <v>1641</v>
      </c>
      <c r="C392">
        <v>15508</v>
      </c>
      <c r="D392">
        <v>1182</v>
      </c>
      <c r="F392">
        <v>1182</v>
      </c>
    </row>
    <row r="393" spans="1:6" x14ac:dyDescent="0.25">
      <c r="B393" t="s">
        <v>1723</v>
      </c>
      <c r="D393">
        <v>38036</v>
      </c>
      <c r="F393">
        <v>38036</v>
      </c>
    </row>
    <row r="394" spans="1:6" x14ac:dyDescent="0.25">
      <c r="B394" t="s">
        <v>2292</v>
      </c>
    </row>
    <row r="395" spans="1:6" x14ac:dyDescent="0.25">
      <c r="A395" t="s">
        <v>2</v>
      </c>
      <c r="B395" t="s">
        <v>1634</v>
      </c>
      <c r="C395">
        <v>15601</v>
      </c>
      <c r="D395">
        <v>0</v>
      </c>
      <c r="F395">
        <v>0</v>
      </c>
    </row>
    <row r="396" spans="1:6" x14ac:dyDescent="0.25">
      <c r="A396" t="s">
        <v>15</v>
      </c>
      <c r="B396" t="s">
        <v>1635</v>
      </c>
      <c r="C396">
        <v>15602</v>
      </c>
      <c r="D396">
        <v>0</v>
      </c>
      <c r="F396">
        <v>0</v>
      </c>
    </row>
    <row r="397" spans="1:6" x14ac:dyDescent="0.25">
      <c r="A397" t="s">
        <v>16</v>
      </c>
      <c r="B397" t="s">
        <v>1636</v>
      </c>
      <c r="C397">
        <v>15603</v>
      </c>
      <c r="D397">
        <v>0</v>
      </c>
      <c r="F397">
        <v>0</v>
      </c>
    </row>
    <row r="398" spans="1:6" x14ac:dyDescent="0.25">
      <c r="A398" t="s">
        <v>25</v>
      </c>
      <c r="B398" t="s">
        <v>1637</v>
      </c>
      <c r="C398">
        <v>15604</v>
      </c>
      <c r="D398">
        <v>0</v>
      </c>
      <c r="F398">
        <v>0</v>
      </c>
    </row>
    <row r="399" spans="1:6" x14ac:dyDescent="0.25">
      <c r="A399" t="s">
        <v>26</v>
      </c>
      <c r="B399" t="s">
        <v>1638</v>
      </c>
      <c r="C399">
        <v>15605</v>
      </c>
      <c r="D399">
        <v>16882</v>
      </c>
      <c r="F399">
        <v>16882</v>
      </c>
    </row>
    <row r="400" spans="1:6" x14ac:dyDescent="0.25">
      <c r="A400" t="s">
        <v>27</v>
      </c>
      <c r="B400" t="s">
        <v>1639</v>
      </c>
      <c r="C400">
        <v>15606</v>
      </c>
      <c r="D400">
        <v>0</v>
      </c>
      <c r="F400">
        <v>0</v>
      </c>
    </row>
    <row r="401" spans="1:6" x14ac:dyDescent="0.25">
      <c r="A401" t="s">
        <v>531</v>
      </c>
      <c r="B401" t="s">
        <v>1640</v>
      </c>
      <c r="C401">
        <v>15607</v>
      </c>
      <c r="D401">
        <v>0</v>
      </c>
      <c r="F401">
        <v>0</v>
      </c>
    </row>
    <row r="402" spans="1:6" x14ac:dyDescent="0.25">
      <c r="A402" t="s">
        <v>1583</v>
      </c>
      <c r="B402" t="s">
        <v>1641</v>
      </c>
      <c r="C402">
        <v>15608</v>
      </c>
      <c r="D402">
        <v>236156</v>
      </c>
      <c r="F402">
        <v>236156</v>
      </c>
    </row>
    <row r="403" spans="1:6" x14ac:dyDescent="0.25">
      <c r="B403" t="s">
        <v>1725</v>
      </c>
      <c r="D403">
        <v>253038</v>
      </c>
      <c r="F403">
        <v>253038</v>
      </c>
    </row>
    <row r="404" spans="1:6" x14ac:dyDescent="0.25">
      <c r="B404" t="s">
        <v>1726</v>
      </c>
    </row>
    <row r="405" spans="1:6" x14ac:dyDescent="0.25">
      <c r="A405" t="s">
        <v>2</v>
      </c>
      <c r="B405" t="s">
        <v>1648</v>
      </c>
      <c r="C405">
        <v>15701</v>
      </c>
      <c r="D405">
        <v>0</v>
      </c>
      <c r="F405">
        <v>0</v>
      </c>
    </row>
    <row r="406" spans="1:6" x14ac:dyDescent="0.25">
      <c r="A406" t="s">
        <v>15</v>
      </c>
      <c r="B406" t="s">
        <v>1649</v>
      </c>
      <c r="C406">
        <v>15702</v>
      </c>
      <c r="D406">
        <v>0</v>
      </c>
      <c r="F406">
        <v>0</v>
      </c>
    </row>
    <row r="407" spans="1:6" x14ac:dyDescent="0.25">
      <c r="A407" t="s">
        <v>16</v>
      </c>
      <c r="B407" t="s">
        <v>1637</v>
      </c>
      <c r="C407">
        <v>15703</v>
      </c>
      <c r="D407">
        <v>0</v>
      </c>
      <c r="F407">
        <v>0</v>
      </c>
    </row>
    <row r="408" spans="1:6" x14ac:dyDescent="0.25">
      <c r="A408" t="s">
        <v>25</v>
      </c>
      <c r="B408" t="s">
        <v>1638</v>
      </c>
      <c r="C408">
        <v>15704</v>
      </c>
      <c r="D408">
        <v>524</v>
      </c>
      <c r="F408">
        <v>524</v>
      </c>
    </row>
    <row r="409" spans="1:6" x14ac:dyDescent="0.25">
      <c r="A409" t="s">
        <v>26</v>
      </c>
      <c r="B409" t="s">
        <v>1650</v>
      </c>
      <c r="C409">
        <v>15705</v>
      </c>
      <c r="D409">
        <v>0</v>
      </c>
      <c r="F409">
        <v>0</v>
      </c>
    </row>
    <row r="410" spans="1:6" x14ac:dyDescent="0.25">
      <c r="A410" t="s">
        <v>27</v>
      </c>
      <c r="B410" t="s">
        <v>1651</v>
      </c>
      <c r="C410">
        <v>15706</v>
      </c>
      <c r="D410">
        <v>0</v>
      </c>
      <c r="F410">
        <v>0</v>
      </c>
    </row>
    <row r="411" spans="1:6" x14ac:dyDescent="0.25">
      <c r="A411" t="s">
        <v>531</v>
      </c>
      <c r="B411" t="s">
        <v>1640</v>
      </c>
      <c r="C411">
        <v>15707</v>
      </c>
      <c r="D411">
        <v>0</v>
      </c>
      <c r="F411">
        <v>0</v>
      </c>
    </row>
    <row r="412" spans="1:6" x14ac:dyDescent="0.25">
      <c r="A412" t="s">
        <v>1583</v>
      </c>
      <c r="B412" t="s">
        <v>1641</v>
      </c>
      <c r="C412">
        <v>15708</v>
      </c>
      <c r="D412">
        <v>0</v>
      </c>
      <c r="F412">
        <v>0</v>
      </c>
    </row>
    <row r="413" spans="1:6" x14ac:dyDescent="0.25">
      <c r="B413" t="s">
        <v>1727</v>
      </c>
      <c r="D413">
        <v>524</v>
      </c>
      <c r="F413">
        <v>524</v>
      </c>
    </row>
    <row r="414" spans="1:6" x14ac:dyDescent="0.25">
      <c r="B414" t="s">
        <v>1728</v>
      </c>
      <c r="D414">
        <v>35365029</v>
      </c>
      <c r="F414">
        <v>35365029</v>
      </c>
    </row>
    <row r="415" spans="1:6" x14ac:dyDescent="0.25">
      <c r="B415" t="s">
        <v>1729</v>
      </c>
    </row>
    <row r="416" spans="1:6" x14ac:dyDescent="0.25">
      <c r="B416" t="s">
        <v>1730</v>
      </c>
    </row>
    <row r="417" spans="1:6" x14ac:dyDescent="0.25">
      <c r="A417" t="s">
        <v>2</v>
      </c>
      <c r="B417" t="s">
        <v>1710</v>
      </c>
      <c r="C417">
        <v>16101</v>
      </c>
      <c r="D417">
        <v>0</v>
      </c>
      <c r="E417">
        <v>0</v>
      </c>
      <c r="F417">
        <v>0</v>
      </c>
    </row>
    <row r="418" spans="1:6" x14ac:dyDescent="0.25">
      <c r="A418" t="s">
        <v>15</v>
      </c>
      <c r="B418" t="s">
        <v>1711</v>
      </c>
      <c r="C418">
        <v>16102</v>
      </c>
      <c r="D418">
        <v>0</v>
      </c>
      <c r="E418">
        <v>0</v>
      </c>
      <c r="F418">
        <v>0</v>
      </c>
    </row>
    <row r="419" spans="1:6" x14ac:dyDescent="0.25">
      <c r="A419" t="s">
        <v>16</v>
      </c>
      <c r="B419" t="s">
        <v>1712</v>
      </c>
      <c r="C419">
        <v>16103</v>
      </c>
      <c r="D419">
        <v>0</v>
      </c>
      <c r="E419">
        <v>0</v>
      </c>
      <c r="F419">
        <v>0</v>
      </c>
    </row>
    <row r="420" spans="1:6" x14ac:dyDescent="0.25">
      <c r="A420" t="s">
        <v>25</v>
      </c>
      <c r="B420" t="s">
        <v>1713</v>
      </c>
      <c r="C420">
        <v>16104</v>
      </c>
      <c r="D420">
        <v>0</v>
      </c>
      <c r="E420">
        <v>0</v>
      </c>
      <c r="F420">
        <v>0</v>
      </c>
    </row>
    <row r="421" spans="1:6" x14ac:dyDescent="0.25">
      <c r="A421" t="s">
        <v>26</v>
      </c>
      <c r="B421" t="s">
        <v>1714</v>
      </c>
      <c r="C421">
        <v>16105</v>
      </c>
      <c r="D421">
        <v>0</v>
      </c>
      <c r="E421">
        <v>0</v>
      </c>
      <c r="F421">
        <v>0</v>
      </c>
    </row>
    <row r="422" spans="1:6" x14ac:dyDescent="0.25">
      <c r="B422" t="s">
        <v>1731</v>
      </c>
      <c r="D422">
        <v>0</v>
      </c>
      <c r="E422">
        <v>0</v>
      </c>
      <c r="F422">
        <v>0</v>
      </c>
    </row>
    <row r="423" spans="1:6" x14ac:dyDescent="0.25">
      <c r="B423" t="s">
        <v>1732</v>
      </c>
      <c r="D423">
        <v>0</v>
      </c>
      <c r="E423">
        <v>0</v>
      </c>
      <c r="F423">
        <v>0</v>
      </c>
    </row>
    <row r="424" spans="1:6" x14ac:dyDescent="0.25">
      <c r="B424" t="s">
        <v>2293</v>
      </c>
    </row>
    <row r="425" spans="1:6" x14ac:dyDescent="0.25">
      <c r="B425" t="s">
        <v>1575</v>
      </c>
    </row>
    <row r="426" spans="1:6" x14ac:dyDescent="0.25">
      <c r="A426" t="s">
        <v>2</v>
      </c>
      <c r="B426" t="s">
        <v>1576</v>
      </c>
      <c r="C426">
        <v>17101</v>
      </c>
      <c r="D426">
        <v>0</v>
      </c>
      <c r="F426">
        <v>0</v>
      </c>
    </row>
    <row r="427" spans="1:6" x14ac:dyDescent="0.25">
      <c r="A427" t="s">
        <v>15</v>
      </c>
      <c r="B427" t="s">
        <v>1577</v>
      </c>
      <c r="C427">
        <v>17102</v>
      </c>
      <c r="D427">
        <v>12274</v>
      </c>
      <c r="F427">
        <v>12274</v>
      </c>
    </row>
    <row r="428" spans="1:6" x14ac:dyDescent="0.25">
      <c r="A428" t="s">
        <v>16</v>
      </c>
      <c r="B428" t="s">
        <v>1578</v>
      </c>
      <c r="C428">
        <v>17103</v>
      </c>
      <c r="D428">
        <v>0</v>
      </c>
      <c r="F428">
        <v>0</v>
      </c>
    </row>
    <row r="429" spans="1:6" x14ac:dyDescent="0.25">
      <c r="A429" t="s">
        <v>25</v>
      </c>
      <c r="B429" t="s">
        <v>1579</v>
      </c>
      <c r="C429">
        <v>17104</v>
      </c>
      <c r="D429">
        <v>0</v>
      </c>
      <c r="F429">
        <v>0</v>
      </c>
    </row>
    <row r="430" spans="1:6" x14ac:dyDescent="0.25">
      <c r="A430" t="s">
        <v>26</v>
      </c>
      <c r="B430" t="s">
        <v>1580</v>
      </c>
      <c r="C430">
        <v>17105</v>
      </c>
      <c r="D430">
        <v>14760</v>
      </c>
      <c r="F430">
        <v>14760</v>
      </c>
    </row>
    <row r="431" spans="1:6" x14ac:dyDescent="0.25">
      <c r="A431" t="s">
        <v>27</v>
      </c>
      <c r="B431" t="s">
        <v>1581</v>
      </c>
      <c r="C431">
        <v>17106</v>
      </c>
      <c r="D431">
        <v>101107</v>
      </c>
      <c r="F431">
        <v>101107</v>
      </c>
    </row>
    <row r="432" spans="1:6" x14ac:dyDescent="0.25">
      <c r="A432" t="s">
        <v>531</v>
      </c>
      <c r="B432" t="s">
        <v>1582</v>
      </c>
      <c r="C432">
        <v>17107</v>
      </c>
      <c r="D432">
        <v>0</v>
      </c>
      <c r="F432">
        <v>0</v>
      </c>
    </row>
    <row r="433" spans="1:6" x14ac:dyDescent="0.25">
      <c r="A433" t="s">
        <v>1583</v>
      </c>
      <c r="B433" t="s">
        <v>1584</v>
      </c>
      <c r="C433">
        <v>17108</v>
      </c>
      <c r="D433">
        <v>0</v>
      </c>
      <c r="F433">
        <v>0</v>
      </c>
    </row>
    <row r="434" spans="1:6" x14ac:dyDescent="0.25">
      <c r="A434" t="s">
        <v>1585</v>
      </c>
      <c r="B434" t="s">
        <v>1586</v>
      </c>
      <c r="C434">
        <v>17109</v>
      </c>
      <c r="D434">
        <v>188814</v>
      </c>
      <c r="F434">
        <v>188814</v>
      </c>
    </row>
    <row r="435" spans="1:6" x14ac:dyDescent="0.25">
      <c r="A435" t="s">
        <v>1587</v>
      </c>
      <c r="B435" t="s">
        <v>1588</v>
      </c>
      <c r="C435">
        <v>17110</v>
      </c>
      <c r="D435">
        <v>408521</v>
      </c>
      <c r="F435">
        <v>408521</v>
      </c>
    </row>
    <row r="436" spans="1:6" x14ac:dyDescent="0.25">
      <c r="A436" t="s">
        <v>1589</v>
      </c>
      <c r="B436" t="s">
        <v>1590</v>
      </c>
      <c r="C436">
        <v>17111</v>
      </c>
      <c r="D436">
        <v>772544</v>
      </c>
      <c r="F436">
        <v>772544</v>
      </c>
    </row>
    <row r="437" spans="1:6" x14ac:dyDescent="0.25">
      <c r="A437" t="s">
        <v>1591</v>
      </c>
      <c r="B437" t="s">
        <v>1592</v>
      </c>
      <c r="C437">
        <v>17112</v>
      </c>
      <c r="D437">
        <v>27160268</v>
      </c>
      <c r="F437">
        <v>27160268</v>
      </c>
    </row>
    <row r="438" spans="1:6" x14ac:dyDescent="0.25">
      <c r="A438" t="s">
        <v>1593</v>
      </c>
      <c r="B438" t="s">
        <v>1594</v>
      </c>
      <c r="C438">
        <v>17113</v>
      </c>
      <c r="D438">
        <v>2</v>
      </c>
      <c r="F438">
        <v>2</v>
      </c>
    </row>
    <row r="439" spans="1:6" x14ac:dyDescent="0.25">
      <c r="A439" t="s">
        <v>1595</v>
      </c>
      <c r="B439" t="s">
        <v>1596</v>
      </c>
      <c r="C439">
        <v>17114</v>
      </c>
      <c r="D439">
        <v>418683</v>
      </c>
      <c r="F439">
        <v>418683</v>
      </c>
    </row>
    <row r="440" spans="1:6" x14ac:dyDescent="0.25">
      <c r="A440" t="s">
        <v>1597</v>
      </c>
      <c r="B440" t="s">
        <v>1598</v>
      </c>
      <c r="C440">
        <v>17115</v>
      </c>
      <c r="D440">
        <v>9167975</v>
      </c>
      <c r="F440">
        <v>9167975</v>
      </c>
    </row>
    <row r="441" spans="1:6" x14ac:dyDescent="0.25">
      <c r="A441" t="s">
        <v>1599</v>
      </c>
      <c r="B441" t="s">
        <v>1600</v>
      </c>
      <c r="C441">
        <v>17116</v>
      </c>
      <c r="D441">
        <v>0</v>
      </c>
      <c r="F441">
        <v>0</v>
      </c>
    </row>
    <row r="442" spans="1:6" x14ac:dyDescent="0.25">
      <c r="A442" t="s">
        <v>1601</v>
      </c>
      <c r="B442" t="s">
        <v>1602</v>
      </c>
      <c r="C442">
        <v>17117</v>
      </c>
      <c r="D442">
        <v>24</v>
      </c>
      <c r="F442">
        <v>24</v>
      </c>
    </row>
    <row r="443" spans="1:6" x14ac:dyDescent="0.25">
      <c r="A443" t="s">
        <v>1603</v>
      </c>
      <c r="B443" t="s">
        <v>1604</v>
      </c>
      <c r="C443">
        <v>17118</v>
      </c>
      <c r="D443">
        <v>8274361</v>
      </c>
      <c r="F443">
        <v>8274361</v>
      </c>
    </row>
    <row r="444" spans="1:6" x14ac:dyDescent="0.25">
      <c r="A444" t="s">
        <v>1605</v>
      </c>
      <c r="B444" t="s">
        <v>1606</v>
      </c>
      <c r="C444">
        <v>17119</v>
      </c>
      <c r="D444">
        <v>716722</v>
      </c>
      <c r="F444">
        <v>716722</v>
      </c>
    </row>
    <row r="445" spans="1:6" x14ac:dyDescent="0.25">
      <c r="A445" t="s">
        <v>1607</v>
      </c>
      <c r="B445" t="s">
        <v>1608</v>
      </c>
      <c r="C445">
        <v>17120</v>
      </c>
      <c r="D445">
        <v>0</v>
      </c>
      <c r="F445">
        <v>0</v>
      </c>
    </row>
    <row r="446" spans="1:6" x14ac:dyDescent="0.25">
      <c r="B446" t="s">
        <v>2294</v>
      </c>
      <c r="D446">
        <v>47236055</v>
      </c>
      <c r="F446">
        <v>47236055</v>
      </c>
    </row>
    <row r="447" spans="1:6" x14ac:dyDescent="0.25">
      <c r="B447" t="s">
        <v>1656</v>
      </c>
    </row>
    <row r="448" spans="1:6" x14ac:dyDescent="0.25">
      <c r="A448" t="s">
        <v>2</v>
      </c>
      <c r="B448" t="s">
        <v>1611</v>
      </c>
      <c r="C448">
        <v>17201</v>
      </c>
      <c r="D448">
        <v>0</v>
      </c>
      <c r="F448">
        <v>0</v>
      </c>
    </row>
    <row r="449" spans="1:6" x14ac:dyDescent="0.25">
      <c r="A449" t="s">
        <v>15</v>
      </c>
      <c r="B449" t="s">
        <v>1612</v>
      </c>
      <c r="C449">
        <v>17202</v>
      </c>
      <c r="D449">
        <v>0</v>
      </c>
      <c r="F449">
        <v>0</v>
      </c>
    </row>
    <row r="450" spans="1:6" x14ac:dyDescent="0.25">
      <c r="A450" t="s">
        <v>16</v>
      </c>
      <c r="B450" t="s">
        <v>1613</v>
      </c>
      <c r="C450">
        <v>17203</v>
      </c>
      <c r="D450">
        <v>0</v>
      </c>
      <c r="F450">
        <v>0</v>
      </c>
    </row>
    <row r="451" spans="1:6" x14ac:dyDescent="0.25">
      <c r="A451" t="s">
        <v>25</v>
      </c>
      <c r="B451" t="s">
        <v>1614</v>
      </c>
      <c r="C451">
        <v>17204</v>
      </c>
      <c r="D451">
        <v>0</v>
      </c>
      <c r="F451">
        <v>0</v>
      </c>
    </row>
    <row r="452" spans="1:6" x14ac:dyDescent="0.25">
      <c r="A452" t="s">
        <v>26</v>
      </c>
      <c r="B452" t="s">
        <v>1615</v>
      </c>
      <c r="C452">
        <v>17205</v>
      </c>
      <c r="D452">
        <v>0</v>
      </c>
      <c r="F452">
        <v>0</v>
      </c>
    </row>
    <row r="453" spans="1:6" x14ac:dyDescent="0.25">
      <c r="A453" t="s">
        <v>27</v>
      </c>
      <c r="B453" t="s">
        <v>1616</v>
      </c>
      <c r="C453">
        <v>17206</v>
      </c>
      <c r="D453">
        <v>0</v>
      </c>
      <c r="F453">
        <v>0</v>
      </c>
    </row>
    <row r="454" spans="1:6" x14ac:dyDescent="0.25">
      <c r="A454" t="s">
        <v>531</v>
      </c>
      <c r="B454" t="s">
        <v>1617</v>
      </c>
      <c r="C454">
        <v>17207</v>
      </c>
      <c r="D454">
        <v>0</v>
      </c>
      <c r="F454">
        <v>0</v>
      </c>
    </row>
    <row r="455" spans="1:6" x14ac:dyDescent="0.25">
      <c r="A455" t="s">
        <v>1583</v>
      </c>
      <c r="B455" t="s">
        <v>1618</v>
      </c>
      <c r="C455">
        <v>17208</v>
      </c>
      <c r="D455">
        <v>0</v>
      </c>
      <c r="F455">
        <v>0</v>
      </c>
    </row>
    <row r="456" spans="1:6" x14ac:dyDescent="0.25">
      <c r="A456" t="s">
        <v>1585</v>
      </c>
      <c r="B456" t="s">
        <v>1619</v>
      </c>
      <c r="C456">
        <v>17209</v>
      </c>
      <c r="D456">
        <v>0</v>
      </c>
      <c r="F456">
        <v>0</v>
      </c>
    </row>
    <row r="457" spans="1:6" x14ac:dyDescent="0.25">
      <c r="A457" t="s">
        <v>1587</v>
      </c>
      <c r="B457" t="s">
        <v>1620</v>
      </c>
      <c r="C457">
        <v>17210</v>
      </c>
      <c r="D457">
        <v>0</v>
      </c>
      <c r="F457">
        <v>0</v>
      </c>
    </row>
    <row r="458" spans="1:6" x14ac:dyDescent="0.25">
      <c r="A458" t="s">
        <v>1589</v>
      </c>
      <c r="B458" t="s">
        <v>1621</v>
      </c>
      <c r="C458">
        <v>17211</v>
      </c>
      <c r="D458">
        <v>4224</v>
      </c>
      <c r="F458">
        <v>4224</v>
      </c>
    </row>
    <row r="459" spans="1:6" x14ac:dyDescent="0.25">
      <c r="A459" t="s">
        <v>1591</v>
      </c>
      <c r="B459" t="s">
        <v>1622</v>
      </c>
      <c r="C459">
        <v>17212</v>
      </c>
      <c r="D459">
        <v>1889760</v>
      </c>
      <c r="F459">
        <v>1889760</v>
      </c>
    </row>
    <row r="460" spans="1:6" x14ac:dyDescent="0.25">
      <c r="A460" t="s">
        <v>1593</v>
      </c>
      <c r="B460" t="s">
        <v>1623</v>
      </c>
      <c r="C460">
        <v>17213</v>
      </c>
      <c r="D460">
        <v>0</v>
      </c>
      <c r="F460">
        <v>0</v>
      </c>
    </row>
    <row r="461" spans="1:6" x14ac:dyDescent="0.25">
      <c r="A461" t="s">
        <v>1595</v>
      </c>
      <c r="B461" t="s">
        <v>1624</v>
      </c>
      <c r="C461">
        <v>17214</v>
      </c>
      <c r="D461">
        <v>0</v>
      </c>
      <c r="F461">
        <v>0</v>
      </c>
    </row>
    <row r="462" spans="1:6" x14ac:dyDescent="0.25">
      <c r="A462" t="s">
        <v>1597</v>
      </c>
      <c r="B462" t="s">
        <v>1625</v>
      </c>
      <c r="C462">
        <v>17215</v>
      </c>
      <c r="D462">
        <v>63405</v>
      </c>
      <c r="F462">
        <v>63405</v>
      </c>
    </row>
    <row r="463" spans="1:6" x14ac:dyDescent="0.25">
      <c r="A463" t="s">
        <v>1599</v>
      </c>
      <c r="B463" t="s">
        <v>1626</v>
      </c>
      <c r="C463">
        <v>17216</v>
      </c>
      <c r="D463">
        <v>0</v>
      </c>
      <c r="F463">
        <v>0</v>
      </c>
    </row>
    <row r="464" spans="1:6" x14ac:dyDescent="0.25">
      <c r="A464" t="s">
        <v>1601</v>
      </c>
      <c r="B464" t="s">
        <v>1627</v>
      </c>
      <c r="C464">
        <v>17217</v>
      </c>
      <c r="D464">
        <v>0</v>
      </c>
      <c r="F464">
        <v>0</v>
      </c>
    </row>
    <row r="465" spans="1:6" x14ac:dyDescent="0.25">
      <c r="A465" t="s">
        <v>1603</v>
      </c>
      <c r="B465" t="s">
        <v>1596</v>
      </c>
      <c r="C465">
        <v>17218</v>
      </c>
      <c r="D465">
        <v>1597</v>
      </c>
      <c r="F465">
        <v>1597</v>
      </c>
    </row>
    <row r="466" spans="1:6" x14ac:dyDescent="0.25">
      <c r="A466" t="s">
        <v>1605</v>
      </c>
      <c r="B466" t="s">
        <v>1598</v>
      </c>
      <c r="C466">
        <v>17219</v>
      </c>
      <c r="D466">
        <v>0</v>
      </c>
      <c r="F466">
        <v>0</v>
      </c>
    </row>
    <row r="467" spans="1:6" x14ac:dyDescent="0.25">
      <c r="A467" t="s">
        <v>1607</v>
      </c>
      <c r="B467" t="s">
        <v>1602</v>
      </c>
      <c r="C467">
        <v>17220</v>
      </c>
      <c r="D467">
        <v>0</v>
      </c>
      <c r="F467">
        <v>0</v>
      </c>
    </row>
    <row r="468" spans="1:6" x14ac:dyDescent="0.25">
      <c r="B468" t="s">
        <v>2295</v>
      </c>
      <c r="D468">
        <v>1958986</v>
      </c>
      <c r="F468">
        <v>1958986</v>
      </c>
    </row>
    <row r="469" spans="1:6" x14ac:dyDescent="0.25">
      <c r="B469" t="s">
        <v>1629</v>
      </c>
    </row>
    <row r="470" spans="1:6" x14ac:dyDescent="0.25">
      <c r="A470" t="s">
        <v>2</v>
      </c>
      <c r="B470" t="s">
        <v>1627</v>
      </c>
      <c r="C470">
        <v>17301</v>
      </c>
      <c r="D470">
        <v>0</v>
      </c>
      <c r="F470">
        <v>0</v>
      </c>
    </row>
    <row r="471" spans="1:6" x14ac:dyDescent="0.25">
      <c r="A471" t="s">
        <v>15</v>
      </c>
      <c r="B471" t="s">
        <v>1625</v>
      </c>
      <c r="C471">
        <v>17302</v>
      </c>
      <c r="D471">
        <v>0</v>
      </c>
      <c r="F471">
        <v>0</v>
      </c>
    </row>
    <row r="472" spans="1:6" x14ac:dyDescent="0.25">
      <c r="B472" t="s">
        <v>1626</v>
      </c>
      <c r="C472">
        <v>17303</v>
      </c>
      <c r="D472">
        <v>0</v>
      </c>
      <c r="F472">
        <v>0</v>
      </c>
    </row>
    <row r="473" spans="1:6" x14ac:dyDescent="0.25">
      <c r="B473" t="s">
        <v>2296</v>
      </c>
      <c r="D473">
        <v>0</v>
      </c>
      <c r="F473">
        <v>0</v>
      </c>
    </row>
    <row r="474" spans="1:6" x14ac:dyDescent="0.25">
      <c r="B474" t="s">
        <v>1631</v>
      </c>
    </row>
    <row r="475" spans="1:6" x14ac:dyDescent="0.25">
      <c r="A475" t="s">
        <v>2</v>
      </c>
      <c r="B475" t="s">
        <v>1627</v>
      </c>
      <c r="C475">
        <v>17401</v>
      </c>
      <c r="D475">
        <v>0</v>
      </c>
      <c r="F475">
        <v>0</v>
      </c>
    </row>
    <row r="476" spans="1:6" x14ac:dyDescent="0.25">
      <c r="A476" t="s">
        <v>15</v>
      </c>
      <c r="B476" t="s">
        <v>1625</v>
      </c>
      <c r="C476">
        <v>17402</v>
      </c>
      <c r="D476">
        <v>0</v>
      </c>
      <c r="F476">
        <v>0</v>
      </c>
    </row>
    <row r="477" spans="1:6" x14ac:dyDescent="0.25">
      <c r="A477" t="s">
        <v>16</v>
      </c>
      <c r="B477" t="s">
        <v>1626</v>
      </c>
      <c r="C477">
        <v>17403</v>
      </c>
      <c r="D477">
        <v>0</v>
      </c>
      <c r="F477">
        <v>0</v>
      </c>
    </row>
    <row r="478" spans="1:6" x14ac:dyDescent="0.25">
      <c r="B478" t="s">
        <v>2297</v>
      </c>
      <c r="D478">
        <v>0</v>
      </c>
      <c r="F478">
        <v>0</v>
      </c>
    </row>
    <row r="479" spans="1:6" x14ac:dyDescent="0.25">
      <c r="B479" t="s">
        <v>2291</v>
      </c>
    </row>
    <row r="480" spans="1:6" x14ac:dyDescent="0.25">
      <c r="A480" t="s">
        <v>2</v>
      </c>
      <c r="B480" t="s">
        <v>1634</v>
      </c>
      <c r="C480">
        <v>17501</v>
      </c>
      <c r="D480">
        <v>78146</v>
      </c>
      <c r="F480">
        <v>78146</v>
      </c>
    </row>
    <row r="481" spans="1:6" x14ac:dyDescent="0.25">
      <c r="A481" t="s">
        <v>15</v>
      </c>
      <c r="B481" t="s">
        <v>1635</v>
      </c>
      <c r="C481">
        <v>17502</v>
      </c>
      <c r="D481">
        <v>0</v>
      </c>
      <c r="F481">
        <v>0</v>
      </c>
    </row>
    <row r="482" spans="1:6" x14ac:dyDescent="0.25">
      <c r="A482" t="s">
        <v>16</v>
      </c>
      <c r="B482" t="s">
        <v>1636</v>
      </c>
      <c r="C482">
        <v>17503</v>
      </c>
      <c r="D482">
        <v>0</v>
      </c>
      <c r="F482">
        <v>0</v>
      </c>
    </row>
    <row r="483" spans="1:6" x14ac:dyDescent="0.25">
      <c r="A483" t="s">
        <v>25</v>
      </c>
      <c r="B483" t="s">
        <v>1637</v>
      </c>
      <c r="C483">
        <v>17504</v>
      </c>
      <c r="D483">
        <v>4637</v>
      </c>
      <c r="F483">
        <v>4637</v>
      </c>
    </row>
    <row r="484" spans="1:6" x14ac:dyDescent="0.25">
      <c r="A484" t="s">
        <v>26</v>
      </c>
      <c r="B484" t="s">
        <v>1638</v>
      </c>
      <c r="C484">
        <v>17505</v>
      </c>
      <c r="D484">
        <v>255112</v>
      </c>
      <c r="F484">
        <v>255112</v>
      </c>
    </row>
    <row r="485" spans="1:6" x14ac:dyDescent="0.25">
      <c r="A485" t="s">
        <v>27</v>
      </c>
      <c r="B485" t="s">
        <v>1639</v>
      </c>
      <c r="C485">
        <v>17506</v>
      </c>
      <c r="D485">
        <v>7373</v>
      </c>
      <c r="F485">
        <v>7373</v>
      </c>
    </row>
    <row r="486" spans="1:6" x14ac:dyDescent="0.25">
      <c r="A486" t="s">
        <v>531</v>
      </c>
      <c r="B486" t="s">
        <v>1640</v>
      </c>
      <c r="C486">
        <v>17507</v>
      </c>
      <c r="D486">
        <v>0</v>
      </c>
      <c r="F486">
        <v>0</v>
      </c>
    </row>
    <row r="487" spans="1:6" x14ac:dyDescent="0.25">
      <c r="A487" t="s">
        <v>1583</v>
      </c>
      <c r="B487" t="s">
        <v>1641</v>
      </c>
      <c r="C487">
        <v>17508</v>
      </c>
      <c r="D487">
        <v>1367607</v>
      </c>
      <c r="F487">
        <v>1367607</v>
      </c>
    </row>
    <row r="488" spans="1:6" x14ac:dyDescent="0.25">
      <c r="B488" t="s">
        <v>2298</v>
      </c>
      <c r="D488">
        <v>1712875</v>
      </c>
      <c r="F488">
        <v>1712875</v>
      </c>
    </row>
    <row r="489" spans="1:6" x14ac:dyDescent="0.25">
      <c r="B489" t="s">
        <v>2292</v>
      </c>
    </row>
    <row r="490" spans="1:6" x14ac:dyDescent="0.25">
      <c r="A490" t="s">
        <v>2</v>
      </c>
      <c r="B490" t="s">
        <v>1634</v>
      </c>
      <c r="C490">
        <v>17601</v>
      </c>
      <c r="D490">
        <v>12611</v>
      </c>
      <c r="F490">
        <v>12611</v>
      </c>
    </row>
    <row r="491" spans="1:6" x14ac:dyDescent="0.25">
      <c r="A491" t="s">
        <v>15</v>
      </c>
      <c r="B491" t="s">
        <v>1635</v>
      </c>
      <c r="C491">
        <v>17602</v>
      </c>
      <c r="D491">
        <v>17829</v>
      </c>
      <c r="F491">
        <v>17829</v>
      </c>
    </row>
    <row r="492" spans="1:6" x14ac:dyDescent="0.25">
      <c r="A492" t="s">
        <v>16</v>
      </c>
      <c r="B492" t="s">
        <v>1636</v>
      </c>
      <c r="C492">
        <v>17603</v>
      </c>
      <c r="D492">
        <v>0</v>
      </c>
      <c r="F492">
        <v>0</v>
      </c>
    </row>
    <row r="493" spans="1:6" x14ac:dyDescent="0.25">
      <c r="A493" t="s">
        <v>25</v>
      </c>
      <c r="B493" t="s">
        <v>1637</v>
      </c>
      <c r="C493">
        <v>17604</v>
      </c>
      <c r="D493">
        <v>13236</v>
      </c>
      <c r="F493">
        <v>13236</v>
      </c>
    </row>
    <row r="494" spans="1:6" x14ac:dyDescent="0.25">
      <c r="A494" t="s">
        <v>26</v>
      </c>
      <c r="B494" t="s">
        <v>1638</v>
      </c>
      <c r="C494">
        <v>17605</v>
      </c>
      <c r="D494">
        <v>166142</v>
      </c>
      <c r="F494">
        <v>166142</v>
      </c>
    </row>
    <row r="495" spans="1:6" x14ac:dyDescent="0.25">
      <c r="A495" t="s">
        <v>27</v>
      </c>
      <c r="B495" t="s">
        <v>1639</v>
      </c>
      <c r="C495">
        <v>17606</v>
      </c>
      <c r="D495">
        <v>8022</v>
      </c>
      <c r="F495">
        <v>8022</v>
      </c>
    </row>
    <row r="496" spans="1:6" x14ac:dyDescent="0.25">
      <c r="A496" t="s">
        <v>531</v>
      </c>
      <c r="B496" t="s">
        <v>1640</v>
      </c>
      <c r="C496">
        <v>17607</v>
      </c>
      <c r="D496">
        <v>0</v>
      </c>
      <c r="F496">
        <v>0</v>
      </c>
    </row>
    <row r="497" spans="1:6" x14ac:dyDescent="0.25">
      <c r="A497" t="s">
        <v>1583</v>
      </c>
      <c r="B497" t="s">
        <v>1641</v>
      </c>
      <c r="C497">
        <v>17608</v>
      </c>
      <c r="D497">
        <v>261605</v>
      </c>
      <c r="F497">
        <v>261605</v>
      </c>
    </row>
    <row r="498" spans="1:6" x14ac:dyDescent="0.25">
      <c r="B498" t="s">
        <v>2299</v>
      </c>
      <c r="D498">
        <v>479445</v>
      </c>
      <c r="F498">
        <v>479445</v>
      </c>
    </row>
    <row r="499" spans="1:6" x14ac:dyDescent="0.25">
      <c r="B499" t="s">
        <v>1726</v>
      </c>
    </row>
    <row r="500" spans="1:6" x14ac:dyDescent="0.25">
      <c r="A500" t="s">
        <v>2</v>
      </c>
      <c r="B500" t="s">
        <v>1648</v>
      </c>
      <c r="C500">
        <v>17701</v>
      </c>
      <c r="D500">
        <v>0</v>
      </c>
      <c r="F500">
        <v>0</v>
      </c>
    </row>
    <row r="501" spans="1:6" x14ac:dyDescent="0.25">
      <c r="A501" t="s">
        <v>15</v>
      </c>
      <c r="B501" t="s">
        <v>1649</v>
      </c>
      <c r="C501">
        <v>17702</v>
      </c>
      <c r="D501">
        <v>0</v>
      </c>
      <c r="F501">
        <v>0</v>
      </c>
    </row>
    <row r="502" spans="1:6" x14ac:dyDescent="0.25">
      <c r="A502" t="s">
        <v>16</v>
      </c>
      <c r="B502" t="s">
        <v>1637</v>
      </c>
      <c r="C502">
        <v>17703</v>
      </c>
      <c r="D502">
        <v>0</v>
      </c>
      <c r="F502">
        <v>0</v>
      </c>
    </row>
    <row r="503" spans="1:6" x14ac:dyDescent="0.25">
      <c r="A503" t="s">
        <v>25</v>
      </c>
      <c r="B503" t="s">
        <v>1638</v>
      </c>
      <c r="C503">
        <v>17704</v>
      </c>
      <c r="D503">
        <v>41118</v>
      </c>
      <c r="F503">
        <v>41118</v>
      </c>
    </row>
    <row r="504" spans="1:6" x14ac:dyDescent="0.25">
      <c r="A504" t="s">
        <v>26</v>
      </c>
      <c r="B504" t="s">
        <v>1650</v>
      </c>
      <c r="C504">
        <v>17705</v>
      </c>
      <c r="D504">
        <v>0</v>
      </c>
      <c r="F504">
        <v>0</v>
      </c>
    </row>
    <row r="505" spans="1:6" x14ac:dyDescent="0.25">
      <c r="A505" t="s">
        <v>27</v>
      </c>
      <c r="B505" t="s">
        <v>1651</v>
      </c>
      <c r="C505">
        <v>17706</v>
      </c>
      <c r="D505">
        <v>0</v>
      </c>
      <c r="F505">
        <v>0</v>
      </c>
    </row>
    <row r="506" spans="1:6" x14ac:dyDescent="0.25">
      <c r="A506" t="s">
        <v>531</v>
      </c>
      <c r="B506" t="s">
        <v>1640</v>
      </c>
      <c r="C506">
        <v>17707</v>
      </c>
      <c r="D506">
        <v>0</v>
      </c>
      <c r="F506">
        <v>0</v>
      </c>
    </row>
    <row r="507" spans="1:6" x14ac:dyDescent="0.25">
      <c r="A507" t="s">
        <v>1583</v>
      </c>
      <c r="B507" t="s">
        <v>1641</v>
      </c>
      <c r="C507">
        <v>17708</v>
      </c>
      <c r="D507">
        <v>0</v>
      </c>
      <c r="F507">
        <v>0</v>
      </c>
    </row>
    <row r="508" spans="1:6" x14ac:dyDescent="0.25">
      <c r="B508" t="s">
        <v>2300</v>
      </c>
      <c r="D508">
        <v>41118</v>
      </c>
      <c r="F508">
        <v>41118</v>
      </c>
    </row>
    <row r="509" spans="1:6" x14ac:dyDescent="0.25">
      <c r="B509" t="s">
        <v>1866</v>
      </c>
      <c r="D509">
        <v>51428479</v>
      </c>
      <c r="F509">
        <v>51428479</v>
      </c>
    </row>
    <row r="510" spans="1:6" x14ac:dyDescent="0.25">
      <c r="B510" t="s">
        <v>2301</v>
      </c>
      <c r="D510">
        <v>123838187</v>
      </c>
      <c r="E510">
        <v>974163</v>
      </c>
      <c r="F510">
        <v>124812350</v>
      </c>
    </row>
    <row r="511" spans="1:6" x14ac:dyDescent="0.25">
      <c r="B511" t="s">
        <v>1734</v>
      </c>
    </row>
    <row r="512" spans="1:6" x14ac:dyDescent="0.25">
      <c r="B512" t="s">
        <v>1735</v>
      </c>
    </row>
    <row r="513" spans="1:6" x14ac:dyDescent="0.25">
      <c r="B513" t="s">
        <v>1736</v>
      </c>
    </row>
    <row r="514" spans="1:6" x14ac:dyDescent="0.25">
      <c r="A514" t="s">
        <v>2</v>
      </c>
      <c r="B514" t="s">
        <v>1576</v>
      </c>
      <c r="C514">
        <v>21101</v>
      </c>
      <c r="D514">
        <v>0</v>
      </c>
      <c r="E514">
        <v>0</v>
      </c>
      <c r="F514">
        <v>0</v>
      </c>
    </row>
    <row r="515" spans="1:6" x14ac:dyDescent="0.25">
      <c r="A515" t="s">
        <v>15</v>
      </c>
      <c r="B515" t="s">
        <v>1577</v>
      </c>
      <c r="C515">
        <v>21102</v>
      </c>
      <c r="D515">
        <v>0</v>
      </c>
      <c r="E515">
        <v>0</v>
      </c>
      <c r="F515">
        <v>0</v>
      </c>
    </row>
    <row r="516" spans="1:6" x14ac:dyDescent="0.25">
      <c r="A516" t="s">
        <v>16</v>
      </c>
      <c r="B516" t="s">
        <v>1578</v>
      </c>
      <c r="C516">
        <v>21103</v>
      </c>
      <c r="D516">
        <v>0</v>
      </c>
      <c r="E516">
        <v>0</v>
      </c>
      <c r="F516">
        <v>0</v>
      </c>
    </row>
    <row r="517" spans="1:6" x14ac:dyDescent="0.25">
      <c r="A517" t="s">
        <v>25</v>
      </c>
      <c r="B517" t="s">
        <v>1579</v>
      </c>
      <c r="C517">
        <v>21104</v>
      </c>
      <c r="D517">
        <v>0</v>
      </c>
      <c r="E517">
        <v>0</v>
      </c>
      <c r="F517">
        <v>0</v>
      </c>
    </row>
    <row r="518" spans="1:6" x14ac:dyDescent="0.25">
      <c r="A518" t="s">
        <v>26</v>
      </c>
      <c r="B518" t="s">
        <v>1580</v>
      </c>
      <c r="C518">
        <v>21105</v>
      </c>
      <c r="D518">
        <v>23030</v>
      </c>
      <c r="E518">
        <v>0</v>
      </c>
      <c r="F518">
        <v>23030</v>
      </c>
    </row>
    <row r="519" spans="1:6" x14ac:dyDescent="0.25">
      <c r="A519" t="s">
        <v>27</v>
      </c>
      <c r="B519" t="s">
        <v>1581</v>
      </c>
      <c r="C519">
        <v>21106</v>
      </c>
      <c r="D519">
        <v>734</v>
      </c>
      <c r="E519">
        <v>0</v>
      </c>
      <c r="F519">
        <v>734</v>
      </c>
    </row>
    <row r="520" spans="1:6" x14ac:dyDescent="0.25">
      <c r="A520" t="s">
        <v>531</v>
      </c>
      <c r="B520" t="s">
        <v>1582</v>
      </c>
      <c r="C520">
        <v>21107</v>
      </c>
      <c r="D520">
        <v>0</v>
      </c>
      <c r="E520">
        <v>0</v>
      </c>
      <c r="F520">
        <v>0</v>
      </c>
    </row>
    <row r="521" spans="1:6" x14ac:dyDescent="0.25">
      <c r="A521" t="s">
        <v>1583</v>
      </c>
      <c r="B521" t="s">
        <v>1584</v>
      </c>
      <c r="C521">
        <v>21108</v>
      </c>
      <c r="D521">
        <v>0</v>
      </c>
      <c r="E521">
        <v>0</v>
      </c>
      <c r="F521">
        <v>0</v>
      </c>
    </row>
    <row r="522" spans="1:6" x14ac:dyDescent="0.25">
      <c r="A522" t="s">
        <v>1585</v>
      </c>
      <c r="B522" t="s">
        <v>1586</v>
      </c>
      <c r="C522">
        <v>21109</v>
      </c>
      <c r="D522">
        <v>86720</v>
      </c>
      <c r="E522">
        <v>0</v>
      </c>
      <c r="F522">
        <v>86720</v>
      </c>
    </row>
    <row r="523" spans="1:6" x14ac:dyDescent="0.25">
      <c r="A523" t="s">
        <v>1587</v>
      </c>
      <c r="B523" t="s">
        <v>1588</v>
      </c>
      <c r="C523">
        <v>21110</v>
      </c>
      <c r="D523">
        <v>30281</v>
      </c>
      <c r="E523">
        <v>0</v>
      </c>
      <c r="F523">
        <v>30281</v>
      </c>
    </row>
    <row r="524" spans="1:6" x14ac:dyDescent="0.25">
      <c r="A524" t="s">
        <v>1589</v>
      </c>
      <c r="B524" t="s">
        <v>1590</v>
      </c>
      <c r="C524">
        <v>21111</v>
      </c>
      <c r="D524">
        <v>89724</v>
      </c>
      <c r="E524">
        <v>0</v>
      </c>
      <c r="F524">
        <v>89724</v>
      </c>
    </row>
    <row r="525" spans="1:6" x14ac:dyDescent="0.25">
      <c r="A525" t="s">
        <v>1591</v>
      </c>
      <c r="B525" t="s">
        <v>1592</v>
      </c>
      <c r="C525">
        <v>21112</v>
      </c>
      <c r="D525">
        <v>1999141</v>
      </c>
      <c r="E525">
        <v>0</v>
      </c>
      <c r="F525">
        <v>1999141</v>
      </c>
    </row>
    <row r="526" spans="1:6" x14ac:dyDescent="0.25">
      <c r="A526" t="s">
        <v>1593</v>
      </c>
      <c r="B526" t="s">
        <v>1594</v>
      </c>
      <c r="C526">
        <v>21113</v>
      </c>
      <c r="D526">
        <v>557</v>
      </c>
      <c r="E526">
        <v>0</v>
      </c>
      <c r="F526">
        <v>557</v>
      </c>
    </row>
    <row r="527" spans="1:6" x14ac:dyDescent="0.25">
      <c r="A527" t="s">
        <v>1595</v>
      </c>
      <c r="B527" t="s">
        <v>1596</v>
      </c>
      <c r="C527">
        <v>21114</v>
      </c>
      <c r="D527">
        <v>29295</v>
      </c>
      <c r="E527">
        <v>0</v>
      </c>
      <c r="F527">
        <v>29295</v>
      </c>
    </row>
    <row r="528" spans="1:6" x14ac:dyDescent="0.25">
      <c r="A528" t="s">
        <v>1597</v>
      </c>
      <c r="B528" t="s">
        <v>1598</v>
      </c>
      <c r="C528">
        <v>21115</v>
      </c>
      <c r="D528">
        <v>46962</v>
      </c>
      <c r="E528">
        <v>0</v>
      </c>
      <c r="F528">
        <v>46962</v>
      </c>
    </row>
    <row r="529" spans="1:6" x14ac:dyDescent="0.25">
      <c r="A529" t="s">
        <v>1599</v>
      </c>
      <c r="B529" t="s">
        <v>1600</v>
      </c>
      <c r="C529">
        <v>21116</v>
      </c>
      <c r="D529">
        <v>0</v>
      </c>
      <c r="E529">
        <v>0</v>
      </c>
      <c r="F529">
        <v>0</v>
      </c>
    </row>
    <row r="530" spans="1:6" x14ac:dyDescent="0.25">
      <c r="A530" t="s">
        <v>1601</v>
      </c>
      <c r="B530" t="s">
        <v>1602</v>
      </c>
      <c r="C530">
        <v>21117</v>
      </c>
      <c r="D530">
        <v>0</v>
      </c>
      <c r="E530">
        <v>0</v>
      </c>
      <c r="F530">
        <v>0</v>
      </c>
    </row>
    <row r="531" spans="1:6" x14ac:dyDescent="0.25">
      <c r="A531" t="s">
        <v>1603</v>
      </c>
      <c r="B531" t="s">
        <v>1604</v>
      </c>
      <c r="C531">
        <v>21118</v>
      </c>
      <c r="D531">
        <v>0</v>
      </c>
      <c r="E531">
        <v>0</v>
      </c>
      <c r="F531">
        <v>0</v>
      </c>
    </row>
    <row r="532" spans="1:6" x14ac:dyDescent="0.25">
      <c r="A532" t="s">
        <v>1605</v>
      </c>
      <c r="B532" t="s">
        <v>1606</v>
      </c>
      <c r="C532">
        <v>21119</v>
      </c>
      <c r="D532">
        <v>0</v>
      </c>
      <c r="E532">
        <v>0</v>
      </c>
      <c r="F532">
        <v>0</v>
      </c>
    </row>
    <row r="533" spans="1:6" x14ac:dyDescent="0.25">
      <c r="A533" t="s">
        <v>1607</v>
      </c>
      <c r="B533" t="s">
        <v>1608</v>
      </c>
      <c r="C533">
        <v>21120</v>
      </c>
      <c r="D533">
        <v>0</v>
      </c>
      <c r="E533">
        <v>0</v>
      </c>
      <c r="F533">
        <v>0</v>
      </c>
    </row>
    <row r="534" spans="1:6" x14ac:dyDescent="0.25">
      <c r="B534" t="s">
        <v>1737</v>
      </c>
      <c r="D534">
        <v>2306444</v>
      </c>
      <c r="E534">
        <v>0</v>
      </c>
      <c r="F534">
        <v>2306444</v>
      </c>
    </row>
    <row r="535" spans="1:6" x14ac:dyDescent="0.25">
      <c r="B535" t="s">
        <v>1738</v>
      </c>
    </row>
    <row r="536" spans="1:6" x14ac:dyDescent="0.25">
      <c r="A536" t="s">
        <v>2</v>
      </c>
      <c r="B536" t="s">
        <v>1611</v>
      </c>
      <c r="C536">
        <v>21201</v>
      </c>
      <c r="D536">
        <v>0</v>
      </c>
      <c r="E536">
        <v>0</v>
      </c>
      <c r="F536">
        <v>0</v>
      </c>
    </row>
    <row r="537" spans="1:6" x14ac:dyDescent="0.25">
      <c r="A537" t="s">
        <v>15</v>
      </c>
      <c r="B537" t="s">
        <v>1612</v>
      </c>
      <c r="C537">
        <v>21202</v>
      </c>
      <c r="D537">
        <v>0</v>
      </c>
      <c r="E537">
        <v>0</v>
      </c>
      <c r="F537">
        <v>0</v>
      </c>
    </row>
    <row r="538" spans="1:6" x14ac:dyDescent="0.25">
      <c r="A538" t="s">
        <v>16</v>
      </c>
      <c r="B538" t="s">
        <v>1613</v>
      </c>
      <c r="C538">
        <v>21203</v>
      </c>
      <c r="D538">
        <v>0</v>
      </c>
      <c r="E538">
        <v>0</v>
      </c>
      <c r="F538">
        <v>0</v>
      </c>
    </row>
    <row r="539" spans="1:6" x14ac:dyDescent="0.25">
      <c r="A539" t="s">
        <v>25</v>
      </c>
      <c r="B539" t="s">
        <v>1614</v>
      </c>
      <c r="C539">
        <v>21204</v>
      </c>
      <c r="D539">
        <v>11952</v>
      </c>
      <c r="E539">
        <v>0</v>
      </c>
      <c r="F539">
        <v>11952</v>
      </c>
    </row>
    <row r="540" spans="1:6" x14ac:dyDescent="0.25">
      <c r="A540" t="s">
        <v>26</v>
      </c>
      <c r="B540" t="s">
        <v>1615</v>
      </c>
      <c r="C540">
        <v>21205</v>
      </c>
      <c r="D540">
        <v>0</v>
      </c>
      <c r="E540">
        <v>0</v>
      </c>
      <c r="F540">
        <v>0</v>
      </c>
    </row>
    <row r="541" spans="1:6" x14ac:dyDescent="0.25">
      <c r="A541" t="s">
        <v>27</v>
      </c>
      <c r="B541" t="s">
        <v>1616</v>
      </c>
      <c r="C541">
        <v>21206</v>
      </c>
      <c r="D541">
        <v>0</v>
      </c>
      <c r="E541">
        <v>0</v>
      </c>
      <c r="F541">
        <v>0</v>
      </c>
    </row>
    <row r="542" spans="1:6" x14ac:dyDescent="0.25">
      <c r="A542" t="s">
        <v>531</v>
      </c>
      <c r="B542" t="s">
        <v>1617</v>
      </c>
      <c r="C542">
        <v>21207</v>
      </c>
      <c r="D542">
        <v>0</v>
      </c>
      <c r="E542">
        <v>0</v>
      </c>
      <c r="F542">
        <v>0</v>
      </c>
    </row>
    <row r="543" spans="1:6" x14ac:dyDescent="0.25">
      <c r="A543" t="s">
        <v>1583</v>
      </c>
      <c r="B543" t="s">
        <v>1618</v>
      </c>
      <c r="C543">
        <v>21208</v>
      </c>
      <c r="D543">
        <v>0</v>
      </c>
      <c r="E543">
        <v>0</v>
      </c>
      <c r="F543">
        <v>0</v>
      </c>
    </row>
    <row r="544" spans="1:6" x14ac:dyDescent="0.25">
      <c r="A544" t="s">
        <v>1585</v>
      </c>
      <c r="B544" t="s">
        <v>1619</v>
      </c>
      <c r="C544">
        <v>21209</v>
      </c>
      <c r="D544">
        <v>0</v>
      </c>
      <c r="E544">
        <v>0</v>
      </c>
      <c r="F544">
        <v>0</v>
      </c>
    </row>
    <row r="545" spans="1:6" x14ac:dyDescent="0.25">
      <c r="A545" t="s">
        <v>1587</v>
      </c>
      <c r="B545" t="s">
        <v>1620</v>
      </c>
      <c r="C545">
        <v>21210</v>
      </c>
      <c r="D545">
        <v>0</v>
      </c>
      <c r="E545">
        <v>0</v>
      </c>
      <c r="F545">
        <v>0</v>
      </c>
    </row>
    <row r="546" spans="1:6" x14ac:dyDescent="0.25">
      <c r="A546" t="s">
        <v>1589</v>
      </c>
      <c r="B546" t="s">
        <v>1621</v>
      </c>
      <c r="C546">
        <v>21211</v>
      </c>
      <c r="D546">
        <v>0</v>
      </c>
      <c r="E546">
        <v>0</v>
      </c>
      <c r="F546">
        <v>0</v>
      </c>
    </row>
    <row r="547" spans="1:6" x14ac:dyDescent="0.25">
      <c r="A547" t="s">
        <v>1591</v>
      </c>
      <c r="B547" t="s">
        <v>1622</v>
      </c>
      <c r="C547">
        <v>21212</v>
      </c>
      <c r="D547">
        <v>0</v>
      </c>
      <c r="E547">
        <v>0</v>
      </c>
      <c r="F547">
        <v>0</v>
      </c>
    </row>
    <row r="548" spans="1:6" x14ac:dyDescent="0.25">
      <c r="A548" t="s">
        <v>1593</v>
      </c>
      <c r="B548" t="s">
        <v>1623</v>
      </c>
      <c r="C548">
        <v>21213</v>
      </c>
      <c r="D548">
        <v>0</v>
      </c>
      <c r="E548">
        <v>0</v>
      </c>
      <c r="F548">
        <v>0</v>
      </c>
    </row>
    <row r="549" spans="1:6" x14ac:dyDescent="0.25">
      <c r="A549" t="s">
        <v>1595</v>
      </c>
      <c r="B549" t="s">
        <v>1624</v>
      </c>
      <c r="C549">
        <v>21214</v>
      </c>
      <c r="D549">
        <v>0</v>
      </c>
      <c r="E549">
        <v>0</v>
      </c>
      <c r="F549">
        <v>0</v>
      </c>
    </row>
    <row r="550" spans="1:6" x14ac:dyDescent="0.25">
      <c r="A550" t="s">
        <v>1597</v>
      </c>
      <c r="B550" t="s">
        <v>1625</v>
      </c>
      <c r="C550">
        <v>21215</v>
      </c>
      <c r="D550">
        <v>140834</v>
      </c>
      <c r="E550">
        <v>0</v>
      </c>
      <c r="F550">
        <v>140834</v>
      </c>
    </row>
    <row r="551" spans="1:6" x14ac:dyDescent="0.25">
      <c r="A551" t="s">
        <v>1599</v>
      </c>
      <c r="B551" t="s">
        <v>1626</v>
      </c>
      <c r="C551">
        <v>21216</v>
      </c>
      <c r="D551">
        <v>0</v>
      </c>
      <c r="E551">
        <v>0</v>
      </c>
      <c r="F551">
        <v>0</v>
      </c>
    </row>
    <row r="552" spans="1:6" x14ac:dyDescent="0.25">
      <c r="A552" t="s">
        <v>1601</v>
      </c>
      <c r="B552" t="s">
        <v>1627</v>
      </c>
      <c r="C552">
        <v>21217</v>
      </c>
      <c r="D552">
        <v>0</v>
      </c>
      <c r="E552">
        <v>0</v>
      </c>
      <c r="F552">
        <v>0</v>
      </c>
    </row>
    <row r="553" spans="1:6" x14ac:dyDescent="0.25">
      <c r="A553" t="s">
        <v>1603</v>
      </c>
      <c r="B553" t="s">
        <v>1596</v>
      </c>
      <c r="C553">
        <v>21218</v>
      </c>
      <c r="D553">
        <v>0</v>
      </c>
      <c r="E553">
        <v>0</v>
      </c>
      <c r="F553">
        <v>0</v>
      </c>
    </row>
    <row r="554" spans="1:6" x14ac:dyDescent="0.25">
      <c r="A554" t="s">
        <v>1605</v>
      </c>
      <c r="B554" t="s">
        <v>1598</v>
      </c>
      <c r="C554">
        <v>21219</v>
      </c>
      <c r="D554">
        <v>0</v>
      </c>
      <c r="E554">
        <v>0</v>
      </c>
      <c r="F554">
        <v>0</v>
      </c>
    </row>
    <row r="555" spans="1:6" x14ac:dyDescent="0.25">
      <c r="A555" t="s">
        <v>1607</v>
      </c>
      <c r="B555" t="s">
        <v>1602</v>
      </c>
      <c r="C555">
        <v>21220</v>
      </c>
      <c r="D555">
        <v>0</v>
      </c>
      <c r="E555">
        <v>0</v>
      </c>
      <c r="F555">
        <v>0</v>
      </c>
    </row>
    <row r="556" spans="1:6" x14ac:dyDescent="0.25">
      <c r="B556" t="s">
        <v>1739</v>
      </c>
      <c r="D556">
        <v>152786</v>
      </c>
      <c r="E556">
        <v>0</v>
      </c>
      <c r="F556">
        <v>152786</v>
      </c>
    </row>
    <row r="557" spans="1:6" x14ac:dyDescent="0.25">
      <c r="B557" t="s">
        <v>1740</v>
      </c>
    </row>
    <row r="558" spans="1:6" x14ac:dyDescent="0.25">
      <c r="A558" t="s">
        <v>2</v>
      </c>
      <c r="B558" t="s">
        <v>1627</v>
      </c>
      <c r="C558">
        <v>21301</v>
      </c>
      <c r="D558">
        <v>0</v>
      </c>
      <c r="E558">
        <v>0</v>
      </c>
      <c r="F558">
        <v>0</v>
      </c>
    </row>
    <row r="559" spans="1:6" x14ac:dyDescent="0.25">
      <c r="A559" t="s">
        <v>15</v>
      </c>
      <c r="B559" t="s">
        <v>1625</v>
      </c>
      <c r="C559">
        <v>21302</v>
      </c>
      <c r="D559">
        <v>0</v>
      </c>
      <c r="E559">
        <v>0</v>
      </c>
      <c r="F559">
        <v>0</v>
      </c>
    </row>
    <row r="560" spans="1:6" x14ac:dyDescent="0.25">
      <c r="A560" t="s">
        <v>16</v>
      </c>
      <c r="B560" t="s">
        <v>1626</v>
      </c>
      <c r="C560">
        <v>21303</v>
      </c>
      <c r="D560">
        <v>0</v>
      </c>
      <c r="E560">
        <v>0</v>
      </c>
      <c r="F560">
        <v>0</v>
      </c>
    </row>
    <row r="561" spans="1:6" x14ac:dyDescent="0.25">
      <c r="B561" t="s">
        <v>1741</v>
      </c>
      <c r="D561">
        <v>0</v>
      </c>
      <c r="E561">
        <v>0</v>
      </c>
      <c r="F561">
        <v>0</v>
      </c>
    </row>
    <row r="562" spans="1:6" x14ac:dyDescent="0.25">
      <c r="B562" t="s">
        <v>2302</v>
      </c>
    </row>
    <row r="563" spans="1:6" x14ac:dyDescent="0.25">
      <c r="A563" t="s">
        <v>2</v>
      </c>
      <c r="B563" t="s">
        <v>1576</v>
      </c>
      <c r="C563">
        <v>21401</v>
      </c>
      <c r="D563">
        <v>0</v>
      </c>
      <c r="F563">
        <v>0</v>
      </c>
    </row>
    <row r="564" spans="1:6" x14ac:dyDescent="0.25">
      <c r="A564" t="s">
        <v>15</v>
      </c>
      <c r="B564" t="s">
        <v>1577</v>
      </c>
      <c r="C564">
        <v>21402</v>
      </c>
      <c r="D564">
        <v>0</v>
      </c>
      <c r="F564">
        <v>0</v>
      </c>
    </row>
    <row r="565" spans="1:6" x14ac:dyDescent="0.25">
      <c r="A565" t="s">
        <v>16</v>
      </c>
      <c r="B565" t="s">
        <v>1578</v>
      </c>
      <c r="C565">
        <v>21403</v>
      </c>
      <c r="D565">
        <v>0</v>
      </c>
      <c r="F565">
        <v>0</v>
      </c>
    </row>
    <row r="566" spans="1:6" x14ac:dyDescent="0.25">
      <c r="A566" t="s">
        <v>25</v>
      </c>
      <c r="B566" t="s">
        <v>1579</v>
      </c>
      <c r="C566">
        <v>21404</v>
      </c>
      <c r="D566">
        <v>0</v>
      </c>
      <c r="F566">
        <v>0</v>
      </c>
    </row>
    <row r="567" spans="1:6" x14ac:dyDescent="0.25">
      <c r="A567" t="s">
        <v>26</v>
      </c>
      <c r="B567" t="s">
        <v>1580</v>
      </c>
      <c r="C567">
        <v>21405</v>
      </c>
      <c r="D567">
        <v>0</v>
      </c>
      <c r="F567">
        <v>0</v>
      </c>
    </row>
    <row r="568" spans="1:6" x14ac:dyDescent="0.25">
      <c r="A568" t="s">
        <v>27</v>
      </c>
      <c r="B568" t="s">
        <v>1581</v>
      </c>
      <c r="C568">
        <v>21406</v>
      </c>
      <c r="D568">
        <v>0</v>
      </c>
      <c r="F568">
        <v>0</v>
      </c>
    </row>
    <row r="569" spans="1:6" x14ac:dyDescent="0.25">
      <c r="A569" t="s">
        <v>531</v>
      </c>
      <c r="B569" t="s">
        <v>1582</v>
      </c>
      <c r="C569">
        <v>21407</v>
      </c>
      <c r="D569">
        <v>0</v>
      </c>
      <c r="F569">
        <v>0</v>
      </c>
    </row>
    <row r="570" spans="1:6" x14ac:dyDescent="0.25">
      <c r="A570" t="s">
        <v>1583</v>
      </c>
      <c r="B570" t="s">
        <v>1584</v>
      </c>
      <c r="C570">
        <v>21408</v>
      </c>
      <c r="D570">
        <v>0</v>
      </c>
      <c r="F570">
        <v>0</v>
      </c>
    </row>
    <row r="571" spans="1:6" x14ac:dyDescent="0.25">
      <c r="A571" t="s">
        <v>1585</v>
      </c>
      <c r="B571" t="s">
        <v>1586</v>
      </c>
      <c r="C571">
        <v>21409</v>
      </c>
      <c r="D571">
        <v>0</v>
      </c>
      <c r="F571">
        <v>0</v>
      </c>
    </row>
    <row r="572" spans="1:6" x14ac:dyDescent="0.25">
      <c r="A572" t="s">
        <v>1587</v>
      </c>
      <c r="B572" t="s">
        <v>1588</v>
      </c>
      <c r="C572">
        <v>21410</v>
      </c>
      <c r="D572">
        <v>0</v>
      </c>
      <c r="F572">
        <v>0</v>
      </c>
    </row>
    <row r="573" spans="1:6" x14ac:dyDescent="0.25">
      <c r="A573" t="s">
        <v>1589</v>
      </c>
      <c r="B573" t="s">
        <v>1590</v>
      </c>
      <c r="C573">
        <v>21411</v>
      </c>
      <c r="D573">
        <v>0</v>
      </c>
      <c r="F573">
        <v>0</v>
      </c>
    </row>
    <row r="574" spans="1:6" x14ac:dyDescent="0.25">
      <c r="A574" t="s">
        <v>1591</v>
      </c>
      <c r="B574" t="s">
        <v>1592</v>
      </c>
      <c r="C574">
        <v>21412</v>
      </c>
      <c r="D574">
        <v>0</v>
      </c>
      <c r="F574">
        <v>0</v>
      </c>
    </row>
    <row r="575" spans="1:6" x14ac:dyDescent="0.25">
      <c r="A575" t="s">
        <v>1593</v>
      </c>
      <c r="B575" t="s">
        <v>1594</v>
      </c>
      <c r="C575">
        <v>21413</v>
      </c>
      <c r="D575">
        <v>0</v>
      </c>
      <c r="F575">
        <v>0</v>
      </c>
    </row>
    <row r="576" spans="1:6" x14ac:dyDescent="0.25">
      <c r="A576" t="s">
        <v>1595</v>
      </c>
      <c r="B576" t="s">
        <v>1596</v>
      </c>
      <c r="C576">
        <v>21414</v>
      </c>
      <c r="D576">
        <v>0</v>
      </c>
      <c r="F576">
        <v>0</v>
      </c>
    </row>
    <row r="577" spans="1:6" x14ac:dyDescent="0.25">
      <c r="A577" t="s">
        <v>1597</v>
      </c>
      <c r="B577" t="s">
        <v>1598</v>
      </c>
      <c r="C577">
        <v>21415</v>
      </c>
      <c r="D577">
        <v>0</v>
      </c>
      <c r="F577">
        <v>0</v>
      </c>
    </row>
    <row r="578" spans="1:6" x14ac:dyDescent="0.25">
      <c r="A578" t="s">
        <v>1599</v>
      </c>
      <c r="B578" t="s">
        <v>1600</v>
      </c>
      <c r="C578">
        <v>21416</v>
      </c>
      <c r="D578">
        <v>0</v>
      </c>
      <c r="F578">
        <v>0</v>
      </c>
    </row>
    <row r="579" spans="1:6" x14ac:dyDescent="0.25">
      <c r="A579" t="s">
        <v>1601</v>
      </c>
      <c r="B579" t="s">
        <v>1602</v>
      </c>
      <c r="C579">
        <v>21417</v>
      </c>
      <c r="D579">
        <v>0</v>
      </c>
      <c r="F579">
        <v>0</v>
      </c>
    </row>
    <row r="580" spans="1:6" x14ac:dyDescent="0.25">
      <c r="A580" t="s">
        <v>1603</v>
      </c>
      <c r="B580" t="s">
        <v>1604</v>
      </c>
      <c r="C580">
        <v>21418</v>
      </c>
      <c r="D580">
        <v>0</v>
      </c>
      <c r="F580">
        <v>0</v>
      </c>
    </row>
    <row r="581" spans="1:6" x14ac:dyDescent="0.25">
      <c r="A581" t="s">
        <v>1605</v>
      </c>
      <c r="B581" t="s">
        <v>1606</v>
      </c>
      <c r="C581">
        <v>21419</v>
      </c>
      <c r="D581">
        <v>0</v>
      </c>
      <c r="F581">
        <v>0</v>
      </c>
    </row>
    <row r="582" spans="1:6" x14ac:dyDescent="0.25">
      <c r="A582" t="s">
        <v>1607</v>
      </c>
      <c r="B582" t="s">
        <v>1608</v>
      </c>
      <c r="C582">
        <v>21420</v>
      </c>
      <c r="D582">
        <v>0</v>
      </c>
      <c r="F582">
        <v>0</v>
      </c>
    </row>
    <row r="583" spans="1:6" x14ac:dyDescent="0.25">
      <c r="B583" t="s">
        <v>2303</v>
      </c>
      <c r="D583">
        <v>0</v>
      </c>
      <c r="F583">
        <v>0</v>
      </c>
    </row>
    <row r="584" spans="1:6" x14ac:dyDescent="0.25">
      <c r="B584" t="s">
        <v>2304</v>
      </c>
    </row>
    <row r="585" spans="1:6" x14ac:dyDescent="0.25">
      <c r="A585" t="s">
        <v>2</v>
      </c>
      <c r="B585" t="s">
        <v>1611</v>
      </c>
      <c r="C585">
        <v>21501</v>
      </c>
      <c r="D585">
        <v>0</v>
      </c>
      <c r="F585">
        <v>0</v>
      </c>
    </row>
    <row r="586" spans="1:6" x14ac:dyDescent="0.25">
      <c r="A586" t="s">
        <v>15</v>
      </c>
      <c r="B586" t="s">
        <v>1612</v>
      </c>
      <c r="C586">
        <v>21502</v>
      </c>
      <c r="D586">
        <v>0</v>
      </c>
      <c r="F586">
        <v>0</v>
      </c>
    </row>
    <row r="587" spans="1:6" x14ac:dyDescent="0.25">
      <c r="A587" t="s">
        <v>16</v>
      </c>
      <c r="B587" t="s">
        <v>1613</v>
      </c>
      <c r="C587">
        <v>21503</v>
      </c>
      <c r="D587">
        <v>0</v>
      </c>
      <c r="F587">
        <v>0</v>
      </c>
    </row>
    <row r="588" spans="1:6" x14ac:dyDescent="0.25">
      <c r="A588" t="s">
        <v>25</v>
      </c>
      <c r="B588" t="s">
        <v>1614</v>
      </c>
      <c r="C588">
        <v>21504</v>
      </c>
      <c r="D588">
        <v>0</v>
      </c>
      <c r="F588">
        <v>0</v>
      </c>
    </row>
    <row r="589" spans="1:6" x14ac:dyDescent="0.25">
      <c r="A589" t="s">
        <v>26</v>
      </c>
      <c r="B589" t="s">
        <v>1615</v>
      </c>
      <c r="C589">
        <v>21505</v>
      </c>
      <c r="D589">
        <v>0</v>
      </c>
      <c r="F589">
        <v>0</v>
      </c>
    </row>
    <row r="590" spans="1:6" x14ac:dyDescent="0.25">
      <c r="A590" t="s">
        <v>27</v>
      </c>
      <c r="B590" t="s">
        <v>1616</v>
      </c>
      <c r="C590">
        <v>21506</v>
      </c>
      <c r="D590">
        <v>0</v>
      </c>
      <c r="F590">
        <v>0</v>
      </c>
    </row>
    <row r="591" spans="1:6" x14ac:dyDescent="0.25">
      <c r="A591" t="s">
        <v>531</v>
      </c>
      <c r="B591" t="s">
        <v>1617</v>
      </c>
      <c r="C591">
        <v>21507</v>
      </c>
      <c r="D591">
        <v>0</v>
      </c>
      <c r="F591">
        <v>0</v>
      </c>
    </row>
    <row r="592" spans="1:6" x14ac:dyDescent="0.25">
      <c r="A592" t="s">
        <v>1583</v>
      </c>
      <c r="B592" t="s">
        <v>1618</v>
      </c>
      <c r="C592">
        <v>21508</v>
      </c>
      <c r="D592">
        <v>0</v>
      </c>
      <c r="F592">
        <v>0</v>
      </c>
    </row>
    <row r="593" spans="1:6" x14ac:dyDescent="0.25">
      <c r="A593" t="s">
        <v>1585</v>
      </c>
      <c r="B593" t="s">
        <v>1619</v>
      </c>
      <c r="C593">
        <v>21509</v>
      </c>
      <c r="D593">
        <v>0</v>
      </c>
      <c r="F593">
        <v>0</v>
      </c>
    </row>
    <row r="594" spans="1:6" x14ac:dyDescent="0.25">
      <c r="A594" t="s">
        <v>1587</v>
      </c>
      <c r="B594" t="s">
        <v>1620</v>
      </c>
      <c r="C594">
        <v>21510</v>
      </c>
      <c r="D594">
        <v>0</v>
      </c>
      <c r="F594">
        <v>0</v>
      </c>
    </row>
    <row r="595" spans="1:6" x14ac:dyDescent="0.25">
      <c r="A595" t="s">
        <v>1589</v>
      </c>
      <c r="B595" t="s">
        <v>1621</v>
      </c>
      <c r="C595">
        <v>21511</v>
      </c>
      <c r="D595">
        <v>0</v>
      </c>
      <c r="F595">
        <v>0</v>
      </c>
    </row>
    <row r="596" spans="1:6" x14ac:dyDescent="0.25">
      <c r="A596" t="s">
        <v>1591</v>
      </c>
      <c r="B596" t="s">
        <v>1622</v>
      </c>
      <c r="C596">
        <v>21512</v>
      </c>
      <c r="D596">
        <v>0</v>
      </c>
      <c r="F596">
        <v>0</v>
      </c>
    </row>
    <row r="597" spans="1:6" x14ac:dyDescent="0.25">
      <c r="A597" t="s">
        <v>1593</v>
      </c>
      <c r="B597" t="s">
        <v>1623</v>
      </c>
      <c r="C597">
        <v>21513</v>
      </c>
      <c r="D597">
        <v>0</v>
      </c>
      <c r="F597">
        <v>0</v>
      </c>
    </row>
    <row r="598" spans="1:6" x14ac:dyDescent="0.25">
      <c r="A598" t="s">
        <v>1595</v>
      </c>
      <c r="B598" t="s">
        <v>1624</v>
      </c>
      <c r="C598">
        <v>21514</v>
      </c>
      <c r="D598">
        <v>0</v>
      </c>
      <c r="F598">
        <v>0</v>
      </c>
    </row>
    <row r="599" spans="1:6" x14ac:dyDescent="0.25">
      <c r="A599" t="s">
        <v>1597</v>
      </c>
      <c r="B599" t="s">
        <v>1625</v>
      </c>
      <c r="C599">
        <v>21515</v>
      </c>
      <c r="D599">
        <v>0</v>
      </c>
      <c r="F599">
        <v>0</v>
      </c>
    </row>
    <row r="600" spans="1:6" x14ac:dyDescent="0.25">
      <c r="A600" t="s">
        <v>1599</v>
      </c>
      <c r="B600" t="s">
        <v>1626</v>
      </c>
      <c r="C600">
        <v>21516</v>
      </c>
      <c r="D600">
        <v>0</v>
      </c>
      <c r="F600">
        <v>0</v>
      </c>
    </row>
    <row r="601" spans="1:6" x14ac:dyDescent="0.25">
      <c r="A601" t="s">
        <v>1601</v>
      </c>
      <c r="B601" t="s">
        <v>1627</v>
      </c>
      <c r="C601">
        <v>21517</v>
      </c>
      <c r="D601">
        <v>0</v>
      </c>
      <c r="F601">
        <v>0</v>
      </c>
    </row>
    <row r="602" spans="1:6" x14ac:dyDescent="0.25">
      <c r="A602" t="s">
        <v>1603</v>
      </c>
      <c r="B602" t="s">
        <v>1596</v>
      </c>
      <c r="C602">
        <v>21518</v>
      </c>
      <c r="D602">
        <v>0</v>
      </c>
      <c r="F602">
        <v>0</v>
      </c>
    </row>
    <row r="603" spans="1:6" x14ac:dyDescent="0.25">
      <c r="A603" t="s">
        <v>1605</v>
      </c>
      <c r="B603" t="s">
        <v>1598</v>
      </c>
      <c r="C603">
        <v>21519</v>
      </c>
      <c r="D603">
        <v>0</v>
      </c>
      <c r="F603">
        <v>0</v>
      </c>
    </row>
    <row r="604" spans="1:6" x14ac:dyDescent="0.25">
      <c r="A604" t="s">
        <v>1607</v>
      </c>
      <c r="B604" t="s">
        <v>1602</v>
      </c>
      <c r="C604">
        <v>21520</v>
      </c>
      <c r="D604">
        <v>0</v>
      </c>
      <c r="F604">
        <v>0</v>
      </c>
    </row>
    <row r="605" spans="1:6" x14ac:dyDescent="0.25">
      <c r="B605" t="s">
        <v>2305</v>
      </c>
      <c r="D605">
        <v>0</v>
      </c>
      <c r="F605">
        <v>0</v>
      </c>
    </row>
    <row r="606" spans="1:6" x14ac:dyDescent="0.25">
      <c r="B606" t="s">
        <v>2306</v>
      </c>
    </row>
    <row r="607" spans="1:6" x14ac:dyDescent="0.25">
      <c r="A607" t="s">
        <v>2</v>
      </c>
      <c r="B607" t="s">
        <v>1627</v>
      </c>
      <c r="C607">
        <v>21601</v>
      </c>
      <c r="D607">
        <v>0</v>
      </c>
      <c r="F607">
        <v>0</v>
      </c>
    </row>
    <row r="608" spans="1:6" x14ac:dyDescent="0.25">
      <c r="A608" t="s">
        <v>15</v>
      </c>
      <c r="B608" t="s">
        <v>1625</v>
      </c>
      <c r="C608">
        <v>21602</v>
      </c>
      <c r="D608">
        <v>0</v>
      </c>
      <c r="F608">
        <v>0</v>
      </c>
    </row>
    <row r="609" spans="1:6" x14ac:dyDescent="0.25">
      <c r="A609" t="s">
        <v>16</v>
      </c>
      <c r="B609" t="s">
        <v>1626</v>
      </c>
      <c r="C609">
        <v>21603</v>
      </c>
      <c r="D609">
        <v>0</v>
      </c>
      <c r="F609">
        <v>0</v>
      </c>
    </row>
    <row r="610" spans="1:6" x14ac:dyDescent="0.25">
      <c r="B610" t="s">
        <v>2307</v>
      </c>
      <c r="D610">
        <v>0</v>
      </c>
      <c r="F610">
        <v>0</v>
      </c>
    </row>
    <row r="611" spans="1:6" x14ac:dyDescent="0.25">
      <c r="B611" t="s">
        <v>1653</v>
      </c>
      <c r="D611">
        <v>2459230</v>
      </c>
      <c r="E611">
        <v>0</v>
      </c>
      <c r="F611">
        <v>2459230</v>
      </c>
    </row>
    <row r="612" spans="1:6" x14ac:dyDescent="0.25">
      <c r="B612" t="s">
        <v>1742</v>
      </c>
    </row>
    <row r="613" spans="1:6" x14ac:dyDescent="0.25">
      <c r="B613" t="s">
        <v>1743</v>
      </c>
    </row>
    <row r="614" spans="1:6" x14ac:dyDescent="0.25">
      <c r="A614" t="s">
        <v>2</v>
      </c>
      <c r="B614" t="s">
        <v>1634</v>
      </c>
      <c r="C614">
        <v>22101</v>
      </c>
      <c r="D614">
        <v>0</v>
      </c>
      <c r="F614">
        <v>0</v>
      </c>
    </row>
    <row r="615" spans="1:6" x14ac:dyDescent="0.25">
      <c r="A615" t="s">
        <v>15</v>
      </c>
      <c r="B615" t="s">
        <v>1635</v>
      </c>
      <c r="C615">
        <v>22102</v>
      </c>
      <c r="D615">
        <v>0</v>
      </c>
      <c r="F615">
        <v>0</v>
      </c>
    </row>
    <row r="616" spans="1:6" x14ac:dyDescent="0.25">
      <c r="A616" t="s">
        <v>16</v>
      </c>
      <c r="B616" t="s">
        <v>1636</v>
      </c>
      <c r="C616">
        <v>22103</v>
      </c>
      <c r="D616">
        <v>0</v>
      </c>
      <c r="F616">
        <v>0</v>
      </c>
    </row>
    <row r="617" spans="1:6" x14ac:dyDescent="0.25">
      <c r="A617" t="s">
        <v>25</v>
      </c>
      <c r="B617" t="s">
        <v>1637</v>
      </c>
      <c r="C617">
        <v>22104</v>
      </c>
      <c r="D617">
        <v>0</v>
      </c>
      <c r="F617">
        <v>0</v>
      </c>
    </row>
    <row r="618" spans="1:6" x14ac:dyDescent="0.25">
      <c r="A618" t="s">
        <v>26</v>
      </c>
      <c r="B618" t="s">
        <v>1638</v>
      </c>
      <c r="C618">
        <v>22105</v>
      </c>
      <c r="D618">
        <v>0</v>
      </c>
      <c r="F618">
        <v>0</v>
      </c>
    </row>
    <row r="619" spans="1:6" x14ac:dyDescent="0.25">
      <c r="A619" t="s">
        <v>27</v>
      </c>
      <c r="B619" t="s">
        <v>1639</v>
      </c>
      <c r="C619">
        <v>22106</v>
      </c>
      <c r="D619">
        <v>0</v>
      </c>
      <c r="F619">
        <v>0</v>
      </c>
    </row>
    <row r="620" spans="1:6" x14ac:dyDescent="0.25">
      <c r="A620" t="s">
        <v>531</v>
      </c>
      <c r="B620" t="s">
        <v>1640</v>
      </c>
      <c r="C620">
        <v>22107</v>
      </c>
      <c r="D620">
        <v>0</v>
      </c>
      <c r="F620">
        <v>0</v>
      </c>
    </row>
    <row r="621" spans="1:6" x14ac:dyDescent="0.25">
      <c r="A621" t="s">
        <v>1583</v>
      </c>
      <c r="B621" t="s">
        <v>1641</v>
      </c>
      <c r="C621">
        <v>22108</v>
      </c>
      <c r="D621">
        <v>0</v>
      </c>
      <c r="F621">
        <v>0</v>
      </c>
    </row>
    <row r="622" spans="1:6" x14ac:dyDescent="0.25">
      <c r="B622" t="s">
        <v>1744</v>
      </c>
      <c r="D622">
        <v>0</v>
      </c>
      <c r="F622">
        <v>0</v>
      </c>
    </row>
    <row r="623" spans="1:6" x14ac:dyDescent="0.25">
      <c r="B623" t="s">
        <v>2308</v>
      </c>
    </row>
    <row r="624" spans="1:6" x14ac:dyDescent="0.25">
      <c r="A624" t="s">
        <v>2</v>
      </c>
      <c r="B624" t="s">
        <v>1634</v>
      </c>
      <c r="C624">
        <v>22201</v>
      </c>
      <c r="D624">
        <v>0</v>
      </c>
      <c r="F624">
        <v>0</v>
      </c>
    </row>
    <row r="625" spans="1:6" x14ac:dyDescent="0.25">
      <c r="A625" t="s">
        <v>15</v>
      </c>
      <c r="B625" t="s">
        <v>1635</v>
      </c>
      <c r="C625">
        <v>22202</v>
      </c>
      <c r="D625">
        <v>0</v>
      </c>
      <c r="F625">
        <v>0</v>
      </c>
    </row>
    <row r="626" spans="1:6" x14ac:dyDescent="0.25">
      <c r="A626" t="s">
        <v>16</v>
      </c>
      <c r="B626" t="s">
        <v>1636</v>
      </c>
      <c r="C626">
        <v>22203</v>
      </c>
      <c r="D626">
        <v>0</v>
      </c>
      <c r="F626">
        <v>0</v>
      </c>
    </row>
    <row r="627" spans="1:6" x14ac:dyDescent="0.25">
      <c r="A627" t="s">
        <v>25</v>
      </c>
      <c r="B627" t="s">
        <v>1637</v>
      </c>
      <c r="C627">
        <v>22204</v>
      </c>
      <c r="D627">
        <v>0</v>
      </c>
      <c r="F627">
        <v>0</v>
      </c>
    </row>
    <row r="628" spans="1:6" x14ac:dyDescent="0.25">
      <c r="A628" t="s">
        <v>26</v>
      </c>
      <c r="B628" t="s">
        <v>1638</v>
      </c>
      <c r="C628">
        <v>22205</v>
      </c>
      <c r="D628">
        <v>0</v>
      </c>
      <c r="F628">
        <v>0</v>
      </c>
    </row>
    <row r="629" spans="1:6" x14ac:dyDescent="0.25">
      <c r="A629" t="s">
        <v>27</v>
      </c>
      <c r="B629" t="s">
        <v>1639</v>
      </c>
      <c r="C629">
        <v>22206</v>
      </c>
      <c r="D629">
        <v>0</v>
      </c>
      <c r="F629">
        <v>0</v>
      </c>
    </row>
    <row r="630" spans="1:6" x14ac:dyDescent="0.25">
      <c r="A630" t="s">
        <v>531</v>
      </c>
      <c r="B630" t="s">
        <v>1640</v>
      </c>
      <c r="C630">
        <v>22207</v>
      </c>
      <c r="D630">
        <v>0</v>
      </c>
      <c r="F630">
        <v>0</v>
      </c>
    </row>
    <row r="631" spans="1:6" x14ac:dyDescent="0.25">
      <c r="A631" t="s">
        <v>1583</v>
      </c>
      <c r="B631" t="s">
        <v>1641</v>
      </c>
      <c r="C631">
        <v>22208</v>
      </c>
      <c r="D631">
        <v>0</v>
      </c>
      <c r="F631">
        <v>0</v>
      </c>
    </row>
    <row r="632" spans="1:6" x14ac:dyDescent="0.25">
      <c r="B632" t="s">
        <v>1746</v>
      </c>
      <c r="D632">
        <v>0</v>
      </c>
      <c r="F632">
        <v>0</v>
      </c>
    </row>
    <row r="633" spans="1:6" x14ac:dyDescent="0.25">
      <c r="B633" t="s">
        <v>2309</v>
      </c>
    </row>
    <row r="634" spans="1:6" x14ac:dyDescent="0.25">
      <c r="A634" t="s">
        <v>2</v>
      </c>
      <c r="B634" t="s">
        <v>1634</v>
      </c>
      <c r="C634">
        <v>22301</v>
      </c>
      <c r="D634">
        <v>429754</v>
      </c>
      <c r="F634">
        <v>429754</v>
      </c>
    </row>
    <row r="635" spans="1:6" x14ac:dyDescent="0.25">
      <c r="A635" t="s">
        <v>15</v>
      </c>
      <c r="B635" t="s">
        <v>1635</v>
      </c>
      <c r="C635">
        <v>22302</v>
      </c>
      <c r="D635">
        <v>32720</v>
      </c>
      <c r="F635">
        <v>32720</v>
      </c>
    </row>
    <row r="636" spans="1:6" x14ac:dyDescent="0.25">
      <c r="A636" t="s">
        <v>16</v>
      </c>
      <c r="B636" t="s">
        <v>1636</v>
      </c>
      <c r="C636">
        <v>22303</v>
      </c>
      <c r="D636">
        <v>0</v>
      </c>
      <c r="F636">
        <v>0</v>
      </c>
    </row>
    <row r="637" spans="1:6" x14ac:dyDescent="0.25">
      <c r="A637" t="s">
        <v>25</v>
      </c>
      <c r="B637" t="s">
        <v>1637</v>
      </c>
      <c r="C637">
        <v>22304</v>
      </c>
      <c r="D637">
        <v>8176</v>
      </c>
      <c r="F637">
        <v>8176</v>
      </c>
    </row>
    <row r="638" spans="1:6" x14ac:dyDescent="0.25">
      <c r="A638" t="s">
        <v>26</v>
      </c>
      <c r="B638" t="s">
        <v>1638</v>
      </c>
      <c r="C638">
        <v>22305</v>
      </c>
      <c r="D638">
        <v>161534</v>
      </c>
      <c r="F638">
        <v>161534</v>
      </c>
    </row>
    <row r="639" spans="1:6" x14ac:dyDescent="0.25">
      <c r="A639" t="s">
        <v>27</v>
      </c>
      <c r="B639" t="s">
        <v>1639</v>
      </c>
      <c r="C639">
        <v>22306</v>
      </c>
      <c r="D639">
        <v>11816</v>
      </c>
      <c r="F639">
        <v>11816</v>
      </c>
    </row>
    <row r="640" spans="1:6" x14ac:dyDescent="0.25">
      <c r="A640" t="s">
        <v>531</v>
      </c>
      <c r="B640" t="s">
        <v>1640</v>
      </c>
      <c r="C640">
        <v>22307</v>
      </c>
      <c r="D640">
        <v>100</v>
      </c>
      <c r="F640">
        <v>100</v>
      </c>
    </row>
    <row r="641" spans="1:6" x14ac:dyDescent="0.25">
      <c r="A641" t="s">
        <v>1583</v>
      </c>
      <c r="B641" t="s">
        <v>1641</v>
      </c>
      <c r="C641">
        <v>22308</v>
      </c>
      <c r="D641">
        <v>244681</v>
      </c>
      <c r="F641">
        <v>244681</v>
      </c>
    </row>
    <row r="642" spans="1:6" x14ac:dyDescent="0.25">
      <c r="B642" t="s">
        <v>1748</v>
      </c>
      <c r="D642">
        <v>888781</v>
      </c>
      <c r="F642">
        <v>888781</v>
      </c>
    </row>
    <row r="643" spans="1:6" x14ac:dyDescent="0.25">
      <c r="B643" t="s">
        <v>2310</v>
      </c>
    </row>
    <row r="644" spans="1:6" x14ac:dyDescent="0.25">
      <c r="A644" t="s">
        <v>2</v>
      </c>
      <c r="B644" t="s">
        <v>1634</v>
      </c>
      <c r="C644">
        <v>22401</v>
      </c>
      <c r="D644">
        <v>97728</v>
      </c>
      <c r="F644">
        <v>97728</v>
      </c>
    </row>
    <row r="645" spans="1:6" x14ac:dyDescent="0.25">
      <c r="A645" t="s">
        <v>15</v>
      </c>
      <c r="B645" t="s">
        <v>1635</v>
      </c>
      <c r="C645">
        <v>22402</v>
      </c>
      <c r="D645">
        <v>0</v>
      </c>
      <c r="F645">
        <v>0</v>
      </c>
    </row>
    <row r="646" spans="1:6" x14ac:dyDescent="0.25">
      <c r="A646" t="s">
        <v>16</v>
      </c>
      <c r="B646" t="s">
        <v>1636</v>
      </c>
      <c r="C646">
        <v>22403</v>
      </c>
      <c r="D646">
        <v>0</v>
      </c>
      <c r="F646">
        <v>0</v>
      </c>
    </row>
    <row r="647" spans="1:6" x14ac:dyDescent="0.25">
      <c r="A647" t="s">
        <v>25</v>
      </c>
      <c r="B647" t="s">
        <v>1637</v>
      </c>
      <c r="C647">
        <v>22404</v>
      </c>
      <c r="D647">
        <v>744</v>
      </c>
      <c r="F647">
        <v>744</v>
      </c>
    </row>
    <row r="648" spans="1:6" x14ac:dyDescent="0.25">
      <c r="A648" t="s">
        <v>26</v>
      </c>
      <c r="B648" t="s">
        <v>1638</v>
      </c>
      <c r="C648">
        <v>22405</v>
      </c>
      <c r="D648">
        <v>75311</v>
      </c>
      <c r="F648">
        <v>75311</v>
      </c>
    </row>
    <row r="649" spans="1:6" x14ac:dyDescent="0.25">
      <c r="A649" t="s">
        <v>27</v>
      </c>
      <c r="B649" t="s">
        <v>1639</v>
      </c>
      <c r="C649">
        <v>22406</v>
      </c>
      <c r="D649">
        <v>0</v>
      </c>
      <c r="F649">
        <v>0</v>
      </c>
    </row>
    <row r="650" spans="1:6" x14ac:dyDescent="0.25">
      <c r="A650" t="s">
        <v>531</v>
      </c>
      <c r="B650" t="s">
        <v>1640</v>
      </c>
      <c r="C650">
        <v>22407</v>
      </c>
      <c r="D650">
        <v>0</v>
      </c>
      <c r="F650">
        <v>0</v>
      </c>
    </row>
    <row r="651" spans="1:6" x14ac:dyDescent="0.25">
      <c r="A651" t="s">
        <v>1583</v>
      </c>
      <c r="B651" t="s">
        <v>1641</v>
      </c>
      <c r="C651">
        <v>22408</v>
      </c>
      <c r="D651">
        <v>724465</v>
      </c>
      <c r="F651">
        <v>724465</v>
      </c>
    </row>
    <row r="652" spans="1:6" x14ac:dyDescent="0.25">
      <c r="B652" t="s">
        <v>1750</v>
      </c>
      <c r="D652">
        <v>898248</v>
      </c>
      <c r="F652">
        <v>898248</v>
      </c>
    </row>
    <row r="653" spans="1:6" x14ac:dyDescent="0.25">
      <c r="B653" t="s">
        <v>1751</v>
      </c>
    </row>
    <row r="654" spans="1:6" x14ac:dyDescent="0.25">
      <c r="A654" t="s">
        <v>2</v>
      </c>
      <c r="B654" t="s">
        <v>1648</v>
      </c>
      <c r="C654">
        <v>22501</v>
      </c>
      <c r="D654">
        <v>0</v>
      </c>
      <c r="F654">
        <v>0</v>
      </c>
    </row>
    <row r="655" spans="1:6" x14ac:dyDescent="0.25">
      <c r="A655" t="s">
        <v>15</v>
      </c>
      <c r="B655" t="s">
        <v>1649</v>
      </c>
      <c r="C655">
        <v>22502</v>
      </c>
      <c r="D655">
        <v>0</v>
      </c>
      <c r="F655">
        <v>0</v>
      </c>
    </row>
    <row r="656" spans="1:6" x14ac:dyDescent="0.25">
      <c r="A656" t="s">
        <v>16</v>
      </c>
      <c r="B656" t="s">
        <v>1637</v>
      </c>
      <c r="C656">
        <v>22503</v>
      </c>
      <c r="D656">
        <v>7571</v>
      </c>
      <c r="F656">
        <v>7571</v>
      </c>
    </row>
    <row r="657" spans="1:6" x14ac:dyDescent="0.25">
      <c r="A657" t="s">
        <v>25</v>
      </c>
      <c r="B657" t="s">
        <v>1638</v>
      </c>
      <c r="C657">
        <v>22504</v>
      </c>
      <c r="D657">
        <v>12806</v>
      </c>
      <c r="F657">
        <v>12806</v>
      </c>
    </row>
    <row r="658" spans="1:6" x14ac:dyDescent="0.25">
      <c r="A658" t="s">
        <v>26</v>
      </c>
      <c r="B658" t="s">
        <v>1650</v>
      </c>
      <c r="C658">
        <v>22505</v>
      </c>
      <c r="D658">
        <v>0</v>
      </c>
      <c r="F658">
        <v>0</v>
      </c>
    </row>
    <row r="659" spans="1:6" x14ac:dyDescent="0.25">
      <c r="A659" t="s">
        <v>27</v>
      </c>
      <c r="B659" t="s">
        <v>1651</v>
      </c>
      <c r="C659">
        <v>22506</v>
      </c>
      <c r="D659">
        <v>0</v>
      </c>
      <c r="F659">
        <v>0</v>
      </c>
    </row>
    <row r="660" spans="1:6" x14ac:dyDescent="0.25">
      <c r="A660" t="s">
        <v>531</v>
      </c>
      <c r="B660" t="s">
        <v>1640</v>
      </c>
      <c r="C660">
        <v>22507</v>
      </c>
      <c r="D660">
        <v>0</v>
      </c>
      <c r="F660">
        <v>0</v>
      </c>
    </row>
    <row r="661" spans="1:6" x14ac:dyDescent="0.25">
      <c r="A661" t="s">
        <v>1583</v>
      </c>
      <c r="B661" t="s">
        <v>1641</v>
      </c>
      <c r="C661">
        <v>22508</v>
      </c>
      <c r="D661">
        <v>0</v>
      </c>
      <c r="F661">
        <v>0</v>
      </c>
    </row>
    <row r="662" spans="1:6" x14ac:dyDescent="0.25">
      <c r="B662" t="s">
        <v>1752</v>
      </c>
      <c r="D662">
        <v>20377</v>
      </c>
      <c r="F662">
        <v>20377</v>
      </c>
    </row>
    <row r="663" spans="1:6" x14ac:dyDescent="0.25">
      <c r="B663" t="s">
        <v>2311</v>
      </c>
    </row>
    <row r="664" spans="1:6" x14ac:dyDescent="0.25">
      <c r="A664" t="s">
        <v>2</v>
      </c>
      <c r="B664" t="s">
        <v>1648</v>
      </c>
      <c r="C664">
        <v>22601</v>
      </c>
      <c r="D664">
        <v>0</v>
      </c>
      <c r="F664">
        <v>0</v>
      </c>
    </row>
    <row r="665" spans="1:6" x14ac:dyDescent="0.25">
      <c r="A665" t="s">
        <v>15</v>
      </c>
      <c r="B665" t="s">
        <v>1649</v>
      </c>
      <c r="C665">
        <v>22602</v>
      </c>
      <c r="D665">
        <v>0</v>
      </c>
      <c r="F665">
        <v>0</v>
      </c>
    </row>
    <row r="666" spans="1:6" x14ac:dyDescent="0.25">
      <c r="A666" t="s">
        <v>16</v>
      </c>
      <c r="B666" t="s">
        <v>1637</v>
      </c>
      <c r="C666">
        <v>22603</v>
      </c>
      <c r="D666">
        <v>0</v>
      </c>
      <c r="F666">
        <v>0</v>
      </c>
    </row>
    <row r="667" spans="1:6" x14ac:dyDescent="0.25">
      <c r="A667" t="s">
        <v>25</v>
      </c>
      <c r="B667" t="s">
        <v>1638</v>
      </c>
      <c r="C667">
        <v>22604</v>
      </c>
      <c r="D667">
        <v>0</v>
      </c>
      <c r="F667">
        <v>0</v>
      </c>
    </row>
    <row r="668" spans="1:6" x14ac:dyDescent="0.25">
      <c r="A668" t="s">
        <v>26</v>
      </c>
      <c r="B668" t="s">
        <v>1650</v>
      </c>
      <c r="C668">
        <v>22605</v>
      </c>
      <c r="D668">
        <v>0</v>
      </c>
      <c r="F668">
        <v>0</v>
      </c>
    </row>
    <row r="669" spans="1:6" x14ac:dyDescent="0.25">
      <c r="A669" t="s">
        <v>27</v>
      </c>
      <c r="B669" t="s">
        <v>1651</v>
      </c>
      <c r="C669">
        <v>22606</v>
      </c>
      <c r="D669">
        <v>0</v>
      </c>
      <c r="F669">
        <v>0</v>
      </c>
    </row>
    <row r="670" spans="1:6" x14ac:dyDescent="0.25">
      <c r="A670" t="s">
        <v>531</v>
      </c>
      <c r="B670" t="s">
        <v>1640</v>
      </c>
      <c r="C670">
        <v>22607</v>
      </c>
      <c r="D670">
        <v>0</v>
      </c>
      <c r="F670">
        <v>0</v>
      </c>
    </row>
    <row r="671" spans="1:6" x14ac:dyDescent="0.25">
      <c r="A671" t="s">
        <v>1583</v>
      </c>
      <c r="B671" t="s">
        <v>1641</v>
      </c>
      <c r="C671">
        <v>22608</v>
      </c>
      <c r="D671">
        <v>0</v>
      </c>
      <c r="F671">
        <v>0</v>
      </c>
    </row>
    <row r="672" spans="1:6" x14ac:dyDescent="0.25">
      <c r="B672" t="s">
        <v>2312</v>
      </c>
      <c r="D672">
        <v>0</v>
      </c>
      <c r="F672">
        <v>0</v>
      </c>
    </row>
    <row r="673" spans="1:6" x14ac:dyDescent="0.25">
      <c r="B673" t="s">
        <v>1660</v>
      </c>
      <c r="D673">
        <v>1807406</v>
      </c>
      <c r="F673">
        <v>1807406</v>
      </c>
    </row>
    <row r="674" spans="1:6" x14ac:dyDescent="0.25">
      <c r="B674" t="s">
        <v>1753</v>
      </c>
    </row>
    <row r="675" spans="1:6" x14ac:dyDescent="0.25">
      <c r="B675" t="s">
        <v>1754</v>
      </c>
    </row>
    <row r="676" spans="1:6" x14ac:dyDescent="0.25">
      <c r="A676" t="s">
        <v>2</v>
      </c>
      <c r="B676" t="s">
        <v>1637</v>
      </c>
      <c r="C676">
        <v>23101</v>
      </c>
      <c r="D676">
        <v>24204</v>
      </c>
      <c r="F676">
        <v>24204</v>
      </c>
    </row>
    <row r="677" spans="1:6" x14ac:dyDescent="0.25">
      <c r="A677" t="s">
        <v>15</v>
      </c>
      <c r="B677" t="s">
        <v>1638</v>
      </c>
      <c r="C677">
        <v>23102</v>
      </c>
      <c r="D677">
        <v>20985</v>
      </c>
      <c r="F677">
        <v>20985</v>
      </c>
    </row>
    <row r="678" spans="1:6" x14ac:dyDescent="0.25">
      <c r="A678" t="s">
        <v>16</v>
      </c>
      <c r="B678" t="s">
        <v>1640</v>
      </c>
      <c r="C678">
        <v>23103</v>
      </c>
      <c r="D678">
        <v>0</v>
      </c>
      <c r="F678">
        <v>0</v>
      </c>
    </row>
    <row r="679" spans="1:6" x14ac:dyDescent="0.25">
      <c r="A679" t="s">
        <v>25</v>
      </c>
      <c r="B679" t="s">
        <v>1641</v>
      </c>
      <c r="C679">
        <v>23104</v>
      </c>
      <c r="D679">
        <v>0</v>
      </c>
      <c r="F679">
        <v>0</v>
      </c>
    </row>
    <row r="680" spans="1:6" x14ac:dyDescent="0.25">
      <c r="B680" t="s">
        <v>1755</v>
      </c>
      <c r="D680">
        <v>45189</v>
      </c>
      <c r="F680">
        <v>45189</v>
      </c>
    </row>
    <row r="681" spans="1:6" x14ac:dyDescent="0.25">
      <c r="B681" t="s">
        <v>2270</v>
      </c>
    </row>
    <row r="682" spans="1:6" x14ac:dyDescent="0.25">
      <c r="A682" t="s">
        <v>2</v>
      </c>
      <c r="B682" t="s">
        <v>1637</v>
      </c>
      <c r="C682">
        <v>23201</v>
      </c>
      <c r="D682">
        <v>68013</v>
      </c>
      <c r="F682">
        <v>68013</v>
      </c>
    </row>
    <row r="683" spans="1:6" x14ac:dyDescent="0.25">
      <c r="A683" t="s">
        <v>15</v>
      </c>
      <c r="B683" t="s">
        <v>1638</v>
      </c>
      <c r="C683">
        <v>23202</v>
      </c>
      <c r="D683">
        <v>165124</v>
      </c>
      <c r="F683">
        <v>165124</v>
      </c>
    </row>
    <row r="684" spans="1:6" x14ac:dyDescent="0.25">
      <c r="A684" t="s">
        <v>16</v>
      </c>
      <c r="B684" t="s">
        <v>1640</v>
      </c>
      <c r="C684">
        <v>23203</v>
      </c>
      <c r="D684">
        <v>0</v>
      </c>
      <c r="F684">
        <v>0</v>
      </c>
    </row>
    <row r="685" spans="1:6" x14ac:dyDescent="0.25">
      <c r="A685" t="s">
        <v>25</v>
      </c>
      <c r="B685" t="s">
        <v>1641</v>
      </c>
      <c r="C685">
        <v>23204</v>
      </c>
      <c r="D685">
        <v>0</v>
      </c>
      <c r="F685">
        <v>0</v>
      </c>
    </row>
    <row r="686" spans="1:6" x14ac:dyDescent="0.25">
      <c r="B686" t="s">
        <v>1757</v>
      </c>
      <c r="D686">
        <v>233137</v>
      </c>
      <c r="F686">
        <v>233137</v>
      </c>
    </row>
    <row r="687" spans="1:6" x14ac:dyDescent="0.25">
      <c r="B687" t="s">
        <v>2313</v>
      </c>
    </row>
    <row r="688" spans="1:6" x14ac:dyDescent="0.25">
      <c r="A688" t="s">
        <v>2</v>
      </c>
      <c r="B688" t="s">
        <v>1637</v>
      </c>
      <c r="C688">
        <v>23301</v>
      </c>
      <c r="D688">
        <v>0</v>
      </c>
      <c r="F688">
        <v>0</v>
      </c>
    </row>
    <row r="689" spans="1:6" x14ac:dyDescent="0.25">
      <c r="A689" t="s">
        <v>15</v>
      </c>
      <c r="B689" t="s">
        <v>1638</v>
      </c>
      <c r="C689">
        <v>23302</v>
      </c>
      <c r="D689">
        <v>0</v>
      </c>
      <c r="F689">
        <v>0</v>
      </c>
    </row>
    <row r="690" spans="1:6" x14ac:dyDescent="0.25">
      <c r="A690" t="s">
        <v>16</v>
      </c>
      <c r="B690" t="s">
        <v>1640</v>
      </c>
      <c r="C690">
        <v>23303</v>
      </c>
      <c r="D690">
        <v>0</v>
      </c>
      <c r="F690">
        <v>0</v>
      </c>
    </row>
    <row r="691" spans="1:6" x14ac:dyDescent="0.25">
      <c r="A691" t="s">
        <v>25</v>
      </c>
      <c r="B691" t="s">
        <v>1641</v>
      </c>
      <c r="C691">
        <v>23304</v>
      </c>
      <c r="D691">
        <v>0</v>
      </c>
      <c r="F691">
        <v>0</v>
      </c>
    </row>
    <row r="692" spans="1:6" x14ac:dyDescent="0.25">
      <c r="B692" t="s">
        <v>1759</v>
      </c>
      <c r="D692">
        <v>0</v>
      </c>
      <c r="F692">
        <v>0</v>
      </c>
    </row>
    <row r="693" spans="1:6" x14ac:dyDescent="0.25">
      <c r="B693" t="s">
        <v>1762</v>
      </c>
    </row>
    <row r="694" spans="1:6" x14ac:dyDescent="0.25">
      <c r="A694" t="s">
        <v>2</v>
      </c>
      <c r="B694" t="s">
        <v>1637</v>
      </c>
      <c r="C694">
        <v>23501</v>
      </c>
      <c r="D694">
        <v>0</v>
      </c>
      <c r="E694">
        <v>0</v>
      </c>
      <c r="F694">
        <v>0</v>
      </c>
    </row>
    <row r="695" spans="1:6" x14ac:dyDescent="0.25">
      <c r="A695" t="s">
        <v>15</v>
      </c>
      <c r="B695" t="s">
        <v>1763</v>
      </c>
      <c r="C695">
        <v>23502</v>
      </c>
      <c r="D695">
        <v>2590154</v>
      </c>
      <c r="E695">
        <v>0</v>
      </c>
      <c r="F695">
        <v>2590154</v>
      </c>
    </row>
    <row r="696" spans="1:6" x14ac:dyDescent="0.25">
      <c r="A696" t="s">
        <v>16</v>
      </c>
      <c r="B696" t="s">
        <v>1640</v>
      </c>
      <c r="C696">
        <v>23503</v>
      </c>
      <c r="D696">
        <v>0</v>
      </c>
      <c r="E696">
        <v>0</v>
      </c>
      <c r="F696">
        <v>0</v>
      </c>
    </row>
    <row r="697" spans="1:6" x14ac:dyDescent="0.25">
      <c r="A697" t="s">
        <v>25</v>
      </c>
      <c r="B697" t="s">
        <v>1764</v>
      </c>
      <c r="C697">
        <v>23504</v>
      </c>
      <c r="D697">
        <v>0</v>
      </c>
      <c r="E697">
        <v>0</v>
      </c>
      <c r="F697">
        <v>0</v>
      </c>
    </row>
    <row r="698" spans="1:6" x14ac:dyDescent="0.25">
      <c r="B698" t="s">
        <v>1765</v>
      </c>
      <c r="D698">
        <v>2590154</v>
      </c>
      <c r="E698">
        <v>0</v>
      </c>
      <c r="F698">
        <v>2590154</v>
      </c>
    </row>
    <row r="699" spans="1:6" x14ac:dyDescent="0.25">
      <c r="B699" t="s">
        <v>1766</v>
      </c>
    </row>
    <row r="700" spans="1:6" x14ac:dyDescent="0.25">
      <c r="A700" t="s">
        <v>2</v>
      </c>
      <c r="B700" t="s">
        <v>1637</v>
      </c>
      <c r="C700">
        <v>23601</v>
      </c>
      <c r="D700">
        <v>0</v>
      </c>
      <c r="E700">
        <v>0</v>
      </c>
      <c r="F700">
        <v>0</v>
      </c>
    </row>
    <row r="701" spans="1:6" x14ac:dyDescent="0.25">
      <c r="A701" t="s">
        <v>15</v>
      </c>
      <c r="B701" t="s">
        <v>1763</v>
      </c>
      <c r="C701">
        <v>23602</v>
      </c>
      <c r="D701">
        <v>0</v>
      </c>
      <c r="E701">
        <v>0</v>
      </c>
      <c r="F701">
        <v>0</v>
      </c>
    </row>
    <row r="702" spans="1:6" x14ac:dyDescent="0.25">
      <c r="A702" t="s">
        <v>16</v>
      </c>
      <c r="B702" t="s">
        <v>1640</v>
      </c>
      <c r="C702">
        <v>23603</v>
      </c>
      <c r="D702">
        <v>0</v>
      </c>
      <c r="E702">
        <v>0</v>
      </c>
      <c r="F702">
        <v>0</v>
      </c>
    </row>
    <row r="703" spans="1:6" x14ac:dyDescent="0.25">
      <c r="A703" t="s">
        <v>25</v>
      </c>
      <c r="B703" t="s">
        <v>1764</v>
      </c>
      <c r="C703">
        <v>23604</v>
      </c>
      <c r="D703">
        <v>0</v>
      </c>
      <c r="E703">
        <v>0</v>
      </c>
      <c r="F703">
        <v>0</v>
      </c>
    </row>
    <row r="704" spans="1:6" x14ac:dyDescent="0.25">
      <c r="B704" t="s">
        <v>1767</v>
      </c>
      <c r="D704">
        <v>0</v>
      </c>
      <c r="E704">
        <v>0</v>
      </c>
      <c r="F704">
        <v>0</v>
      </c>
    </row>
    <row r="705" spans="1:6" x14ac:dyDescent="0.25">
      <c r="B705" t="s">
        <v>1768</v>
      </c>
    </row>
    <row r="706" spans="1:6" x14ac:dyDescent="0.25">
      <c r="A706" t="s">
        <v>2</v>
      </c>
      <c r="B706" t="s">
        <v>1769</v>
      </c>
      <c r="C706">
        <v>23701</v>
      </c>
      <c r="D706">
        <v>0</v>
      </c>
      <c r="E706">
        <v>0</v>
      </c>
      <c r="F706">
        <v>0</v>
      </c>
    </row>
    <row r="707" spans="1:6" x14ac:dyDescent="0.25">
      <c r="A707" t="s">
        <v>15</v>
      </c>
      <c r="B707" t="s">
        <v>1770</v>
      </c>
      <c r="C707">
        <v>23702</v>
      </c>
      <c r="D707">
        <v>0</v>
      </c>
      <c r="E707">
        <v>0</v>
      </c>
      <c r="F707">
        <v>0</v>
      </c>
    </row>
    <row r="708" spans="1:6" x14ac:dyDescent="0.25">
      <c r="A708" t="s">
        <v>16</v>
      </c>
      <c r="B708" t="s">
        <v>1771</v>
      </c>
      <c r="C708">
        <v>23703</v>
      </c>
      <c r="D708">
        <v>0</v>
      </c>
      <c r="E708">
        <v>0</v>
      </c>
      <c r="F708">
        <v>0</v>
      </c>
    </row>
    <row r="709" spans="1:6" x14ac:dyDescent="0.25">
      <c r="A709" t="s">
        <v>25</v>
      </c>
      <c r="B709" t="s">
        <v>1772</v>
      </c>
      <c r="C709">
        <v>23704</v>
      </c>
      <c r="D709">
        <v>0</v>
      </c>
      <c r="E709">
        <v>0</v>
      </c>
      <c r="F709">
        <v>0</v>
      </c>
    </row>
    <row r="710" spans="1:6" x14ac:dyDescent="0.25">
      <c r="B710" t="s">
        <v>1773</v>
      </c>
      <c r="D710">
        <v>0</v>
      </c>
      <c r="E710">
        <v>0</v>
      </c>
      <c r="F710">
        <v>0</v>
      </c>
    </row>
    <row r="711" spans="1:6" x14ac:dyDescent="0.25">
      <c r="B711" t="s">
        <v>1774</v>
      </c>
    </row>
    <row r="712" spans="1:6" x14ac:dyDescent="0.25">
      <c r="A712" t="s">
        <v>2</v>
      </c>
      <c r="B712" t="s">
        <v>1769</v>
      </c>
      <c r="C712">
        <v>23801</v>
      </c>
      <c r="D712">
        <v>0</v>
      </c>
      <c r="E712">
        <v>0</v>
      </c>
      <c r="F712">
        <v>0</v>
      </c>
    </row>
    <row r="713" spans="1:6" x14ac:dyDescent="0.25">
      <c r="A713" t="s">
        <v>15</v>
      </c>
      <c r="B713" t="s">
        <v>1770</v>
      </c>
      <c r="C713">
        <v>23802</v>
      </c>
      <c r="D713">
        <v>0</v>
      </c>
      <c r="E713">
        <v>0</v>
      </c>
      <c r="F713">
        <v>0</v>
      </c>
    </row>
    <row r="714" spans="1:6" x14ac:dyDescent="0.25">
      <c r="A714" t="s">
        <v>16</v>
      </c>
      <c r="B714" t="s">
        <v>1771</v>
      </c>
      <c r="C714">
        <v>23803</v>
      </c>
      <c r="D714">
        <v>0</v>
      </c>
      <c r="E714">
        <v>0</v>
      </c>
      <c r="F714">
        <v>0</v>
      </c>
    </row>
    <row r="715" spans="1:6" x14ac:dyDescent="0.25">
      <c r="A715" t="s">
        <v>25</v>
      </c>
      <c r="B715" t="s">
        <v>1772</v>
      </c>
      <c r="C715">
        <v>23804</v>
      </c>
      <c r="D715">
        <v>0</v>
      </c>
      <c r="E715">
        <v>0</v>
      </c>
      <c r="F715">
        <v>0</v>
      </c>
    </row>
    <row r="716" spans="1:6" x14ac:dyDescent="0.25">
      <c r="B716" t="s">
        <v>1775</v>
      </c>
      <c r="D716">
        <v>0</v>
      </c>
      <c r="E716">
        <v>0</v>
      </c>
      <c r="F716">
        <v>0</v>
      </c>
    </row>
    <row r="717" spans="1:6" x14ac:dyDescent="0.25">
      <c r="B717" t="s">
        <v>2314</v>
      </c>
    </row>
    <row r="718" spans="1:6" x14ac:dyDescent="0.25">
      <c r="A718" t="s">
        <v>2</v>
      </c>
      <c r="B718" t="s">
        <v>1637</v>
      </c>
      <c r="C718">
        <v>23901</v>
      </c>
      <c r="D718">
        <v>0</v>
      </c>
      <c r="F718">
        <v>0</v>
      </c>
    </row>
    <row r="719" spans="1:6" x14ac:dyDescent="0.25">
      <c r="A719" t="s">
        <v>15</v>
      </c>
      <c r="B719" t="s">
        <v>1763</v>
      </c>
      <c r="C719">
        <v>23902</v>
      </c>
      <c r="D719">
        <v>0</v>
      </c>
      <c r="F719">
        <v>0</v>
      </c>
    </row>
    <row r="720" spans="1:6" x14ac:dyDescent="0.25">
      <c r="A720" t="s">
        <v>16</v>
      </c>
      <c r="B720" t="s">
        <v>1640</v>
      </c>
      <c r="C720">
        <v>23903</v>
      </c>
      <c r="D720">
        <v>0</v>
      </c>
      <c r="F720">
        <v>0</v>
      </c>
    </row>
    <row r="721" spans="1:6" x14ac:dyDescent="0.25">
      <c r="A721" t="s">
        <v>25</v>
      </c>
      <c r="B721" t="s">
        <v>1764</v>
      </c>
      <c r="C721">
        <v>23904</v>
      </c>
      <c r="D721">
        <v>0</v>
      </c>
      <c r="F721">
        <v>0</v>
      </c>
    </row>
    <row r="722" spans="1:6" x14ac:dyDescent="0.25">
      <c r="B722" t="s">
        <v>1778</v>
      </c>
      <c r="D722">
        <v>0</v>
      </c>
      <c r="F722">
        <v>0</v>
      </c>
    </row>
    <row r="723" spans="1:6" x14ac:dyDescent="0.25">
      <c r="B723" t="s">
        <v>1670</v>
      </c>
      <c r="D723">
        <v>2868480</v>
      </c>
      <c r="E723">
        <v>0</v>
      </c>
      <c r="F723">
        <v>2868480</v>
      </c>
    </row>
    <row r="724" spans="1:6" x14ac:dyDescent="0.25">
      <c r="B724" t="s">
        <v>1779</v>
      </c>
    </row>
    <row r="725" spans="1:6" x14ac:dyDescent="0.25">
      <c r="B725" t="s">
        <v>1672</v>
      </c>
    </row>
    <row r="726" spans="1:6" x14ac:dyDescent="0.25">
      <c r="A726" t="s">
        <v>2</v>
      </c>
      <c r="B726" t="s">
        <v>1673</v>
      </c>
      <c r="C726">
        <v>24101</v>
      </c>
      <c r="D726">
        <v>4101</v>
      </c>
      <c r="E726">
        <v>0</v>
      </c>
      <c r="F726">
        <v>4101</v>
      </c>
    </row>
    <row r="727" spans="1:6" x14ac:dyDescent="0.25">
      <c r="A727" t="s">
        <v>15</v>
      </c>
      <c r="B727" t="s">
        <v>1674</v>
      </c>
      <c r="C727">
        <v>24102</v>
      </c>
      <c r="D727">
        <v>0</v>
      </c>
      <c r="E727">
        <v>0</v>
      </c>
      <c r="F727">
        <v>0</v>
      </c>
    </row>
    <row r="728" spans="1:6" x14ac:dyDescent="0.25">
      <c r="A728" t="s">
        <v>16</v>
      </c>
      <c r="B728" t="s">
        <v>1675</v>
      </c>
      <c r="C728">
        <v>24103</v>
      </c>
      <c r="D728">
        <v>0</v>
      </c>
      <c r="E728">
        <v>0</v>
      </c>
      <c r="F728">
        <v>0</v>
      </c>
    </row>
    <row r="729" spans="1:6" x14ac:dyDescent="0.25">
      <c r="A729" t="s">
        <v>25</v>
      </c>
      <c r="B729" t="s">
        <v>1676</v>
      </c>
      <c r="C729">
        <v>24104</v>
      </c>
      <c r="D729">
        <v>0</v>
      </c>
      <c r="E729">
        <v>0</v>
      </c>
      <c r="F729">
        <v>0</v>
      </c>
    </row>
    <row r="730" spans="1:6" x14ac:dyDescent="0.25">
      <c r="A730" t="s">
        <v>26</v>
      </c>
      <c r="B730" t="s">
        <v>1677</v>
      </c>
      <c r="C730">
        <v>24105</v>
      </c>
      <c r="D730">
        <v>0</v>
      </c>
      <c r="E730">
        <v>0</v>
      </c>
      <c r="F730">
        <v>0</v>
      </c>
    </row>
    <row r="731" spans="1:6" x14ac:dyDescent="0.25">
      <c r="B731" t="s">
        <v>1780</v>
      </c>
      <c r="D731">
        <v>4101</v>
      </c>
      <c r="E731">
        <v>0</v>
      </c>
      <c r="F731">
        <v>4101</v>
      </c>
    </row>
    <row r="732" spans="1:6" x14ac:dyDescent="0.25">
      <c r="B732" t="s">
        <v>1781</v>
      </c>
    </row>
    <row r="733" spans="1:6" x14ac:dyDescent="0.25">
      <c r="A733" t="s">
        <v>2</v>
      </c>
      <c r="B733" t="s">
        <v>1693</v>
      </c>
      <c r="C733">
        <v>24201</v>
      </c>
      <c r="D733">
        <v>0</v>
      </c>
      <c r="E733">
        <v>0</v>
      </c>
      <c r="F733">
        <v>0</v>
      </c>
    </row>
    <row r="734" spans="1:6" x14ac:dyDescent="0.25">
      <c r="A734" t="s">
        <v>15</v>
      </c>
      <c r="B734" t="s">
        <v>1694</v>
      </c>
      <c r="C734">
        <v>24202</v>
      </c>
      <c r="D734">
        <v>0</v>
      </c>
      <c r="E734">
        <v>0</v>
      </c>
      <c r="F734">
        <v>0</v>
      </c>
    </row>
    <row r="735" spans="1:6" x14ac:dyDescent="0.25">
      <c r="A735" t="s">
        <v>16</v>
      </c>
      <c r="B735" t="s">
        <v>1695</v>
      </c>
      <c r="C735">
        <v>24203</v>
      </c>
      <c r="D735">
        <v>0</v>
      </c>
      <c r="E735">
        <v>0</v>
      </c>
      <c r="F735">
        <v>0</v>
      </c>
    </row>
    <row r="736" spans="1:6" x14ac:dyDescent="0.25">
      <c r="A736" t="s">
        <v>25</v>
      </c>
      <c r="B736" t="s">
        <v>1696</v>
      </c>
      <c r="C736">
        <v>24204</v>
      </c>
      <c r="D736">
        <v>0</v>
      </c>
      <c r="E736">
        <v>0</v>
      </c>
      <c r="F736">
        <v>0</v>
      </c>
    </row>
    <row r="737" spans="1:6" x14ac:dyDescent="0.25">
      <c r="A737" t="s">
        <v>26</v>
      </c>
      <c r="B737" t="s">
        <v>1680</v>
      </c>
      <c r="C737">
        <v>24205</v>
      </c>
      <c r="D737">
        <v>0</v>
      </c>
      <c r="E737">
        <v>0</v>
      </c>
      <c r="F737">
        <v>0</v>
      </c>
    </row>
    <row r="738" spans="1:6" x14ac:dyDescent="0.25">
      <c r="A738" t="s">
        <v>27</v>
      </c>
      <c r="B738" t="s">
        <v>1681</v>
      </c>
      <c r="C738">
        <v>24206</v>
      </c>
      <c r="D738">
        <v>0</v>
      </c>
      <c r="E738">
        <v>0</v>
      </c>
      <c r="F738">
        <v>0</v>
      </c>
    </row>
    <row r="739" spans="1:6" x14ac:dyDescent="0.25">
      <c r="A739" t="s">
        <v>531</v>
      </c>
      <c r="B739" t="s">
        <v>1682</v>
      </c>
      <c r="C739">
        <v>24207</v>
      </c>
      <c r="D739">
        <v>0</v>
      </c>
      <c r="E739">
        <v>0</v>
      </c>
      <c r="F739">
        <v>0</v>
      </c>
    </row>
    <row r="740" spans="1:6" x14ac:dyDescent="0.25">
      <c r="A740" t="s">
        <v>1583</v>
      </c>
      <c r="B740" t="s">
        <v>1683</v>
      </c>
      <c r="C740">
        <v>24208</v>
      </c>
      <c r="D740">
        <v>0</v>
      </c>
      <c r="E740">
        <v>0</v>
      </c>
      <c r="F740">
        <v>0</v>
      </c>
    </row>
    <row r="741" spans="1:6" x14ac:dyDescent="0.25">
      <c r="A741" t="s">
        <v>1585</v>
      </c>
      <c r="B741" t="s">
        <v>1684</v>
      </c>
      <c r="C741">
        <v>24209</v>
      </c>
      <c r="D741">
        <v>5</v>
      </c>
      <c r="E741">
        <v>0</v>
      </c>
      <c r="F741">
        <v>5</v>
      </c>
    </row>
    <row r="742" spans="1:6" x14ac:dyDescent="0.25">
      <c r="A742" t="s">
        <v>1587</v>
      </c>
      <c r="B742" t="s">
        <v>1685</v>
      </c>
      <c r="C742">
        <v>24210</v>
      </c>
      <c r="D742">
        <v>134</v>
      </c>
      <c r="E742">
        <v>0</v>
      </c>
      <c r="F742">
        <v>134</v>
      </c>
    </row>
    <row r="743" spans="1:6" x14ac:dyDescent="0.25">
      <c r="A743" t="s">
        <v>1589</v>
      </c>
      <c r="B743" t="s">
        <v>1686</v>
      </c>
      <c r="C743">
        <v>24211</v>
      </c>
      <c r="D743">
        <v>12</v>
      </c>
      <c r="E743">
        <v>0</v>
      </c>
      <c r="F743">
        <v>12</v>
      </c>
    </row>
    <row r="744" spans="1:6" x14ac:dyDescent="0.25">
      <c r="A744" t="s">
        <v>1591</v>
      </c>
      <c r="B744" t="s">
        <v>1687</v>
      </c>
      <c r="C744">
        <v>24212</v>
      </c>
      <c r="D744">
        <v>45098</v>
      </c>
      <c r="E744">
        <v>3234</v>
      </c>
      <c r="F744">
        <v>48332</v>
      </c>
    </row>
    <row r="745" spans="1:6" x14ac:dyDescent="0.25">
      <c r="A745" t="s">
        <v>1593</v>
      </c>
      <c r="B745" t="s">
        <v>1688</v>
      </c>
      <c r="C745">
        <v>24213</v>
      </c>
      <c r="D745">
        <v>120</v>
      </c>
      <c r="E745">
        <v>0</v>
      </c>
      <c r="F745">
        <v>120</v>
      </c>
    </row>
    <row r="746" spans="1:6" x14ac:dyDescent="0.25">
      <c r="A746" t="s">
        <v>1595</v>
      </c>
      <c r="B746" t="s">
        <v>1690</v>
      </c>
      <c r="C746">
        <v>24214</v>
      </c>
      <c r="D746">
        <v>0</v>
      </c>
      <c r="E746">
        <v>0</v>
      </c>
      <c r="F746">
        <v>0</v>
      </c>
    </row>
    <row r="747" spans="1:6" x14ac:dyDescent="0.25">
      <c r="A747" t="s">
        <v>1597</v>
      </c>
      <c r="B747" t="s">
        <v>1637</v>
      </c>
      <c r="C747">
        <v>24215</v>
      </c>
      <c r="D747">
        <v>0</v>
      </c>
      <c r="E747">
        <v>0</v>
      </c>
      <c r="F747">
        <v>0</v>
      </c>
    </row>
    <row r="748" spans="1:6" x14ac:dyDescent="0.25">
      <c r="A748" t="s">
        <v>1599</v>
      </c>
      <c r="B748" t="s">
        <v>1640</v>
      </c>
      <c r="C748">
        <v>24216</v>
      </c>
      <c r="D748">
        <v>0</v>
      </c>
      <c r="E748">
        <v>0</v>
      </c>
      <c r="F748">
        <v>0</v>
      </c>
    </row>
    <row r="749" spans="1:6" x14ac:dyDescent="0.25">
      <c r="A749" t="s">
        <v>1601</v>
      </c>
      <c r="B749" t="s">
        <v>1636</v>
      </c>
      <c r="C749">
        <v>24217</v>
      </c>
      <c r="D749">
        <v>0</v>
      </c>
      <c r="E749">
        <v>0</v>
      </c>
      <c r="F749">
        <v>0</v>
      </c>
    </row>
    <row r="750" spans="1:6" x14ac:dyDescent="0.25">
      <c r="A750" t="s">
        <v>1603</v>
      </c>
      <c r="B750" t="s">
        <v>1689</v>
      </c>
      <c r="C750">
        <v>24218</v>
      </c>
      <c r="D750">
        <v>900</v>
      </c>
      <c r="E750">
        <v>0</v>
      </c>
      <c r="F750">
        <v>900</v>
      </c>
    </row>
    <row r="751" spans="1:6" x14ac:dyDescent="0.25">
      <c r="B751" t="s">
        <v>1782</v>
      </c>
      <c r="D751">
        <v>46269</v>
      </c>
      <c r="E751">
        <v>3234</v>
      </c>
      <c r="F751">
        <v>49503</v>
      </c>
    </row>
    <row r="752" spans="1:6" x14ac:dyDescent="0.25">
      <c r="B752" t="s">
        <v>1783</v>
      </c>
    </row>
    <row r="753" spans="1:6" x14ac:dyDescent="0.25">
      <c r="A753" t="s">
        <v>2</v>
      </c>
      <c r="B753" t="s">
        <v>1699</v>
      </c>
      <c r="C753">
        <v>24301</v>
      </c>
      <c r="D753">
        <v>0</v>
      </c>
      <c r="E753">
        <v>0</v>
      </c>
      <c r="F753">
        <v>0</v>
      </c>
    </row>
    <row r="754" spans="1:6" x14ac:dyDescent="0.25">
      <c r="A754" t="s">
        <v>15</v>
      </c>
      <c r="B754" t="s">
        <v>1694</v>
      </c>
      <c r="C754">
        <v>24302</v>
      </c>
      <c r="D754">
        <v>0</v>
      </c>
      <c r="E754">
        <v>0</v>
      </c>
      <c r="F754">
        <v>0</v>
      </c>
    </row>
    <row r="755" spans="1:6" x14ac:dyDescent="0.25">
      <c r="A755" t="s">
        <v>16</v>
      </c>
      <c r="B755" t="s">
        <v>1695</v>
      </c>
      <c r="C755">
        <v>24303</v>
      </c>
      <c r="D755">
        <v>0</v>
      </c>
      <c r="E755">
        <v>0</v>
      </c>
      <c r="F755">
        <v>0</v>
      </c>
    </row>
    <row r="756" spans="1:6" x14ac:dyDescent="0.25">
      <c r="A756" t="s">
        <v>25</v>
      </c>
      <c r="B756" t="s">
        <v>1696</v>
      </c>
      <c r="C756">
        <v>24304</v>
      </c>
      <c r="D756">
        <v>0</v>
      </c>
      <c r="E756">
        <v>0</v>
      </c>
      <c r="F756">
        <v>0</v>
      </c>
    </row>
    <row r="757" spans="1:6" x14ac:dyDescent="0.25">
      <c r="A757" t="s">
        <v>26</v>
      </c>
      <c r="B757" t="s">
        <v>1680</v>
      </c>
      <c r="C757">
        <v>24305</v>
      </c>
      <c r="D757">
        <v>0</v>
      </c>
      <c r="E757">
        <v>0</v>
      </c>
      <c r="F757">
        <v>0</v>
      </c>
    </row>
    <row r="758" spans="1:6" x14ac:dyDescent="0.25">
      <c r="A758" t="s">
        <v>27</v>
      </c>
      <c r="B758" t="s">
        <v>1681</v>
      </c>
      <c r="C758">
        <v>24306</v>
      </c>
      <c r="D758">
        <v>0</v>
      </c>
      <c r="E758">
        <v>0</v>
      </c>
      <c r="F758">
        <v>0</v>
      </c>
    </row>
    <row r="759" spans="1:6" x14ac:dyDescent="0.25">
      <c r="A759" t="s">
        <v>531</v>
      </c>
      <c r="B759" t="s">
        <v>1682</v>
      </c>
      <c r="C759">
        <v>24307</v>
      </c>
      <c r="D759">
        <v>0</v>
      </c>
      <c r="E759">
        <v>0</v>
      </c>
      <c r="F759">
        <v>0</v>
      </c>
    </row>
    <row r="760" spans="1:6" x14ac:dyDescent="0.25">
      <c r="A760" t="s">
        <v>1583</v>
      </c>
      <c r="B760" t="s">
        <v>1683</v>
      </c>
      <c r="C760">
        <v>24308</v>
      </c>
      <c r="D760">
        <v>0</v>
      </c>
      <c r="E760">
        <v>0</v>
      </c>
      <c r="F760">
        <v>0</v>
      </c>
    </row>
    <row r="761" spans="1:6" x14ac:dyDescent="0.25">
      <c r="A761" t="s">
        <v>1585</v>
      </c>
      <c r="B761" t="s">
        <v>1684</v>
      </c>
      <c r="C761">
        <v>24309</v>
      </c>
      <c r="D761">
        <v>0</v>
      </c>
      <c r="E761">
        <v>0</v>
      </c>
      <c r="F761">
        <v>0</v>
      </c>
    </row>
    <row r="762" spans="1:6" x14ac:dyDescent="0.25">
      <c r="A762" t="s">
        <v>1587</v>
      </c>
      <c r="B762" t="s">
        <v>1685</v>
      </c>
      <c r="C762">
        <v>24310</v>
      </c>
      <c r="D762">
        <v>0</v>
      </c>
      <c r="E762">
        <v>0</v>
      </c>
      <c r="F762">
        <v>0</v>
      </c>
    </row>
    <row r="763" spans="1:6" x14ac:dyDescent="0.25">
      <c r="A763" t="s">
        <v>1589</v>
      </c>
      <c r="B763" t="s">
        <v>1686</v>
      </c>
      <c r="C763">
        <v>24311</v>
      </c>
      <c r="D763">
        <v>0</v>
      </c>
      <c r="E763">
        <v>0</v>
      </c>
      <c r="F763">
        <v>0</v>
      </c>
    </row>
    <row r="764" spans="1:6" x14ac:dyDescent="0.25">
      <c r="A764" t="s">
        <v>1591</v>
      </c>
      <c r="B764" t="s">
        <v>1687</v>
      </c>
      <c r="C764">
        <v>24312</v>
      </c>
      <c r="D764">
        <v>0</v>
      </c>
      <c r="E764">
        <v>23</v>
      </c>
      <c r="F764">
        <v>23</v>
      </c>
    </row>
    <row r="765" spans="1:6" x14ac:dyDescent="0.25">
      <c r="A765" t="s">
        <v>1593</v>
      </c>
      <c r="B765" t="s">
        <v>1688</v>
      </c>
      <c r="C765">
        <v>24313</v>
      </c>
      <c r="D765">
        <v>6</v>
      </c>
      <c r="E765">
        <v>0</v>
      </c>
      <c r="F765">
        <v>6</v>
      </c>
    </row>
    <row r="766" spans="1:6" x14ac:dyDescent="0.25">
      <c r="A766" t="s">
        <v>1595</v>
      </c>
      <c r="B766" t="s">
        <v>1690</v>
      </c>
      <c r="C766">
        <v>24314</v>
      </c>
      <c r="D766">
        <v>0</v>
      </c>
      <c r="E766">
        <v>0</v>
      </c>
      <c r="F766">
        <v>0</v>
      </c>
    </row>
    <row r="767" spans="1:6" x14ac:dyDescent="0.25">
      <c r="A767" t="s">
        <v>1597</v>
      </c>
      <c r="B767" t="s">
        <v>1637</v>
      </c>
      <c r="C767">
        <v>24315</v>
      </c>
      <c r="D767">
        <v>0</v>
      </c>
      <c r="E767">
        <v>0</v>
      </c>
      <c r="F767">
        <v>0</v>
      </c>
    </row>
    <row r="768" spans="1:6" x14ac:dyDescent="0.25">
      <c r="A768" t="s">
        <v>1599</v>
      </c>
      <c r="B768" t="s">
        <v>1640</v>
      </c>
      <c r="C768">
        <v>24316</v>
      </c>
      <c r="D768">
        <v>0</v>
      </c>
      <c r="E768">
        <v>0</v>
      </c>
      <c r="F768">
        <v>0</v>
      </c>
    </row>
    <row r="769" spans="1:6" x14ac:dyDescent="0.25">
      <c r="A769" t="s">
        <v>1601</v>
      </c>
      <c r="B769" t="s">
        <v>1636</v>
      </c>
      <c r="C769">
        <v>24317</v>
      </c>
      <c r="D769">
        <v>0</v>
      </c>
      <c r="E769">
        <v>0</v>
      </c>
      <c r="F769">
        <v>0</v>
      </c>
    </row>
    <row r="770" spans="1:6" x14ac:dyDescent="0.25">
      <c r="A770" t="s">
        <v>1603</v>
      </c>
      <c r="B770" t="s">
        <v>1689</v>
      </c>
      <c r="C770">
        <v>24318</v>
      </c>
      <c r="D770">
        <v>7</v>
      </c>
      <c r="E770">
        <v>0</v>
      </c>
      <c r="F770">
        <v>7</v>
      </c>
    </row>
    <row r="771" spans="1:6" x14ac:dyDescent="0.25">
      <c r="B771" t="s">
        <v>1784</v>
      </c>
      <c r="D771">
        <v>13</v>
      </c>
      <c r="E771">
        <v>23</v>
      </c>
      <c r="F771">
        <v>36</v>
      </c>
    </row>
    <row r="772" spans="1:6" x14ac:dyDescent="0.25">
      <c r="B772" t="s">
        <v>1785</v>
      </c>
    </row>
    <row r="773" spans="1:6" x14ac:dyDescent="0.25">
      <c r="A773" t="s">
        <v>2</v>
      </c>
      <c r="B773" t="s">
        <v>1702</v>
      </c>
      <c r="C773">
        <v>24401</v>
      </c>
      <c r="D773">
        <v>118012</v>
      </c>
      <c r="E773">
        <v>1864</v>
      </c>
      <c r="F773">
        <v>119876</v>
      </c>
    </row>
    <row r="774" spans="1:6" x14ac:dyDescent="0.25">
      <c r="A774" t="s">
        <v>15</v>
      </c>
      <c r="B774" t="s">
        <v>1703</v>
      </c>
      <c r="C774">
        <v>24402</v>
      </c>
      <c r="D774">
        <v>213</v>
      </c>
      <c r="E774">
        <v>12</v>
      </c>
      <c r="F774">
        <v>225</v>
      </c>
    </row>
    <row r="775" spans="1:6" x14ac:dyDescent="0.25">
      <c r="B775" t="s">
        <v>1786</v>
      </c>
      <c r="D775">
        <v>118225</v>
      </c>
      <c r="E775">
        <v>1876</v>
      </c>
      <c r="F775">
        <v>120101</v>
      </c>
    </row>
    <row r="776" spans="1:6" x14ac:dyDescent="0.25">
      <c r="B776" t="s">
        <v>1787</v>
      </c>
    </row>
    <row r="777" spans="1:6" x14ac:dyDescent="0.25">
      <c r="A777" t="s">
        <v>2</v>
      </c>
      <c r="B777" t="s">
        <v>1702</v>
      </c>
      <c r="C777">
        <v>24501</v>
      </c>
      <c r="D777">
        <v>0</v>
      </c>
      <c r="E777">
        <v>0</v>
      </c>
      <c r="F777">
        <v>0</v>
      </c>
    </row>
    <row r="778" spans="1:6" x14ac:dyDescent="0.25">
      <c r="A778" t="s">
        <v>15</v>
      </c>
      <c r="B778" t="s">
        <v>1703</v>
      </c>
      <c r="C778">
        <v>24502</v>
      </c>
      <c r="D778">
        <v>0</v>
      </c>
      <c r="E778">
        <v>0</v>
      </c>
      <c r="F778">
        <v>0</v>
      </c>
    </row>
    <row r="779" spans="1:6" x14ac:dyDescent="0.25">
      <c r="B779" t="s">
        <v>1788</v>
      </c>
      <c r="D779">
        <v>0</v>
      </c>
      <c r="E779">
        <v>0</v>
      </c>
      <c r="F779">
        <v>0</v>
      </c>
    </row>
    <row r="780" spans="1:6" x14ac:dyDescent="0.25">
      <c r="B780" t="s">
        <v>1789</v>
      </c>
    </row>
    <row r="781" spans="1:6" x14ac:dyDescent="0.25">
      <c r="A781" t="s">
        <v>2</v>
      </c>
      <c r="B781" t="s">
        <v>1710</v>
      </c>
      <c r="C781">
        <v>24601</v>
      </c>
      <c r="D781">
        <v>0</v>
      </c>
      <c r="E781">
        <v>0</v>
      </c>
      <c r="F781">
        <v>0</v>
      </c>
    </row>
    <row r="782" spans="1:6" x14ac:dyDescent="0.25">
      <c r="A782" t="s">
        <v>15</v>
      </c>
      <c r="B782" t="s">
        <v>1711</v>
      </c>
      <c r="C782">
        <v>24602</v>
      </c>
      <c r="D782">
        <v>0</v>
      </c>
      <c r="E782">
        <v>0</v>
      </c>
      <c r="F782">
        <v>0</v>
      </c>
    </row>
    <row r="783" spans="1:6" x14ac:dyDescent="0.25">
      <c r="A783" t="s">
        <v>16</v>
      </c>
      <c r="B783" t="s">
        <v>1712</v>
      </c>
      <c r="C783">
        <v>24603</v>
      </c>
      <c r="D783">
        <v>0</v>
      </c>
      <c r="E783">
        <v>0</v>
      </c>
      <c r="F783">
        <v>0</v>
      </c>
    </row>
    <row r="784" spans="1:6" x14ac:dyDescent="0.25">
      <c r="A784" t="s">
        <v>25</v>
      </c>
      <c r="B784" t="s">
        <v>1713</v>
      </c>
      <c r="C784">
        <v>24604</v>
      </c>
      <c r="D784">
        <v>0</v>
      </c>
      <c r="E784">
        <v>1213</v>
      </c>
      <c r="F784">
        <v>1213</v>
      </c>
    </row>
    <row r="785" spans="1:6" x14ac:dyDescent="0.25">
      <c r="A785" t="s">
        <v>26</v>
      </c>
      <c r="B785" t="s">
        <v>1714</v>
      </c>
      <c r="C785">
        <v>24605</v>
      </c>
      <c r="D785">
        <v>0</v>
      </c>
      <c r="E785">
        <v>0</v>
      </c>
      <c r="F785">
        <v>0</v>
      </c>
    </row>
    <row r="786" spans="1:6" x14ac:dyDescent="0.25">
      <c r="B786" t="s">
        <v>1790</v>
      </c>
      <c r="D786">
        <v>0</v>
      </c>
      <c r="E786">
        <v>1213</v>
      </c>
      <c r="F786">
        <v>1213</v>
      </c>
    </row>
    <row r="787" spans="1:6" x14ac:dyDescent="0.25">
      <c r="B787" t="s">
        <v>2315</v>
      </c>
    </row>
    <row r="788" spans="1:6" x14ac:dyDescent="0.25">
      <c r="A788" t="s">
        <v>2</v>
      </c>
      <c r="B788" t="s">
        <v>2316</v>
      </c>
      <c r="C788">
        <v>24701</v>
      </c>
      <c r="D788">
        <v>0</v>
      </c>
      <c r="F788">
        <v>0</v>
      </c>
    </row>
    <row r="789" spans="1:6" x14ac:dyDescent="0.25">
      <c r="A789" t="s">
        <v>15</v>
      </c>
      <c r="B789" t="s">
        <v>2317</v>
      </c>
      <c r="C789">
        <v>24702</v>
      </c>
      <c r="D789">
        <v>0</v>
      </c>
      <c r="F789">
        <v>0</v>
      </c>
    </row>
    <row r="790" spans="1:6" x14ac:dyDescent="0.25">
      <c r="A790" t="s">
        <v>16</v>
      </c>
      <c r="B790" t="s">
        <v>2318</v>
      </c>
      <c r="C790">
        <v>24703</v>
      </c>
      <c r="D790">
        <v>0</v>
      </c>
      <c r="F790">
        <v>0</v>
      </c>
    </row>
    <row r="791" spans="1:6" x14ac:dyDescent="0.25">
      <c r="A791" t="s">
        <v>25</v>
      </c>
      <c r="B791" t="s">
        <v>2319</v>
      </c>
      <c r="C791">
        <v>24704</v>
      </c>
      <c r="D791">
        <v>0</v>
      </c>
      <c r="F791">
        <v>0</v>
      </c>
    </row>
    <row r="792" spans="1:6" x14ac:dyDescent="0.25">
      <c r="A792" t="s">
        <v>26</v>
      </c>
      <c r="B792" t="s">
        <v>2320</v>
      </c>
      <c r="C792">
        <v>24705</v>
      </c>
      <c r="D792">
        <v>0</v>
      </c>
      <c r="F792">
        <v>0</v>
      </c>
    </row>
    <row r="793" spans="1:6" x14ac:dyDescent="0.25">
      <c r="A793" t="s">
        <v>27</v>
      </c>
      <c r="B793" t="s">
        <v>2321</v>
      </c>
      <c r="C793">
        <v>24706</v>
      </c>
      <c r="D793">
        <v>0</v>
      </c>
      <c r="F793">
        <v>0</v>
      </c>
    </row>
    <row r="794" spans="1:6" x14ac:dyDescent="0.25">
      <c r="A794" t="s">
        <v>531</v>
      </c>
      <c r="B794" t="s">
        <v>2322</v>
      </c>
      <c r="C794">
        <v>24707</v>
      </c>
      <c r="D794">
        <v>0</v>
      </c>
      <c r="F794">
        <v>0</v>
      </c>
    </row>
    <row r="795" spans="1:6" x14ac:dyDescent="0.25">
      <c r="A795" t="s">
        <v>1583</v>
      </c>
      <c r="B795" t="s">
        <v>2323</v>
      </c>
      <c r="C795">
        <v>24708</v>
      </c>
      <c r="D795">
        <v>0</v>
      </c>
      <c r="F795">
        <v>0</v>
      </c>
    </row>
    <row r="796" spans="1:6" x14ac:dyDescent="0.25">
      <c r="A796" t="s">
        <v>1585</v>
      </c>
      <c r="B796" t="s">
        <v>2324</v>
      </c>
      <c r="C796">
        <v>24709</v>
      </c>
      <c r="D796">
        <v>0</v>
      </c>
      <c r="F796">
        <v>0</v>
      </c>
    </row>
    <row r="797" spans="1:6" x14ac:dyDescent="0.25">
      <c r="A797" t="s">
        <v>1587</v>
      </c>
      <c r="B797" t="s">
        <v>2325</v>
      </c>
      <c r="C797">
        <v>24710</v>
      </c>
      <c r="D797">
        <v>0</v>
      </c>
      <c r="F797">
        <v>0</v>
      </c>
    </row>
    <row r="798" spans="1:6" x14ac:dyDescent="0.25">
      <c r="A798" t="s">
        <v>1589</v>
      </c>
      <c r="B798" t="s">
        <v>2326</v>
      </c>
      <c r="C798">
        <v>24711</v>
      </c>
      <c r="D798">
        <v>0</v>
      </c>
      <c r="F798">
        <v>0</v>
      </c>
    </row>
    <row r="799" spans="1:6" x14ac:dyDescent="0.25">
      <c r="A799" t="s">
        <v>1591</v>
      </c>
      <c r="B799" t="s">
        <v>2327</v>
      </c>
      <c r="C799">
        <v>24712</v>
      </c>
      <c r="D799">
        <v>0</v>
      </c>
      <c r="F799">
        <v>0</v>
      </c>
    </row>
    <row r="800" spans="1:6" x14ac:dyDescent="0.25">
      <c r="A800" t="s">
        <v>1593</v>
      </c>
      <c r="B800" t="s">
        <v>2328</v>
      </c>
      <c r="C800">
        <v>24713</v>
      </c>
      <c r="D800">
        <v>0</v>
      </c>
      <c r="F800">
        <v>0</v>
      </c>
    </row>
    <row r="801" spans="1:6" x14ac:dyDescent="0.25">
      <c r="A801" t="s">
        <v>1595</v>
      </c>
      <c r="B801" t="s">
        <v>2329</v>
      </c>
      <c r="C801">
        <v>24714</v>
      </c>
      <c r="D801">
        <v>0</v>
      </c>
      <c r="F801">
        <v>0</v>
      </c>
    </row>
    <row r="802" spans="1:6" x14ac:dyDescent="0.25">
      <c r="A802" t="s">
        <v>1597</v>
      </c>
      <c r="B802" t="s">
        <v>2330</v>
      </c>
      <c r="C802">
        <v>24715</v>
      </c>
      <c r="D802">
        <v>0</v>
      </c>
      <c r="F802">
        <v>0</v>
      </c>
    </row>
    <row r="803" spans="1:6" x14ac:dyDescent="0.25">
      <c r="A803" t="s">
        <v>1599</v>
      </c>
      <c r="B803" t="s">
        <v>2331</v>
      </c>
      <c r="C803">
        <v>24716</v>
      </c>
      <c r="D803">
        <v>0</v>
      </c>
      <c r="F803">
        <v>0</v>
      </c>
    </row>
    <row r="804" spans="1:6" x14ac:dyDescent="0.25">
      <c r="A804" t="s">
        <v>1601</v>
      </c>
      <c r="B804" t="s">
        <v>2332</v>
      </c>
      <c r="C804">
        <v>24717</v>
      </c>
      <c r="D804">
        <v>0</v>
      </c>
      <c r="F804">
        <v>0</v>
      </c>
    </row>
    <row r="805" spans="1:6" x14ac:dyDescent="0.25">
      <c r="A805" t="s">
        <v>1603</v>
      </c>
      <c r="B805" t="s">
        <v>2333</v>
      </c>
      <c r="C805">
        <v>24718</v>
      </c>
      <c r="D805">
        <v>0</v>
      </c>
      <c r="F805">
        <v>0</v>
      </c>
    </row>
    <row r="806" spans="1:6" x14ac:dyDescent="0.25">
      <c r="A806" t="s">
        <v>1605</v>
      </c>
      <c r="B806" t="s">
        <v>2334</v>
      </c>
      <c r="C806">
        <v>24719</v>
      </c>
      <c r="D806">
        <v>0</v>
      </c>
      <c r="F806">
        <v>0</v>
      </c>
    </row>
    <row r="807" spans="1:6" x14ac:dyDescent="0.25">
      <c r="A807" t="s">
        <v>1607</v>
      </c>
      <c r="B807" t="s">
        <v>2335</v>
      </c>
      <c r="C807">
        <v>24720</v>
      </c>
      <c r="D807">
        <v>0</v>
      </c>
      <c r="F807">
        <v>0</v>
      </c>
    </row>
    <row r="808" spans="1:6" x14ac:dyDescent="0.25">
      <c r="A808" t="s">
        <v>2336</v>
      </c>
      <c r="B808" t="s">
        <v>2337</v>
      </c>
      <c r="C808">
        <v>24721</v>
      </c>
      <c r="D808">
        <v>0</v>
      </c>
      <c r="F808">
        <v>0</v>
      </c>
    </row>
    <row r="809" spans="1:6" x14ac:dyDescent="0.25">
      <c r="A809" t="s">
        <v>2338</v>
      </c>
      <c r="B809" t="s">
        <v>2339</v>
      </c>
      <c r="C809">
        <v>24722</v>
      </c>
      <c r="D809">
        <v>0</v>
      </c>
      <c r="F809">
        <v>0</v>
      </c>
    </row>
    <row r="810" spans="1:6" x14ac:dyDescent="0.25">
      <c r="A810" t="s">
        <v>2340</v>
      </c>
      <c r="B810" t="s">
        <v>2341</v>
      </c>
      <c r="C810">
        <v>24723</v>
      </c>
      <c r="D810">
        <v>0</v>
      </c>
      <c r="F810">
        <v>0</v>
      </c>
    </row>
    <row r="811" spans="1:6" x14ac:dyDescent="0.25">
      <c r="A811" t="s">
        <v>2342</v>
      </c>
      <c r="B811" t="s">
        <v>2343</v>
      </c>
      <c r="C811">
        <v>24724</v>
      </c>
      <c r="D811">
        <v>0</v>
      </c>
      <c r="F811">
        <v>0</v>
      </c>
    </row>
    <row r="812" spans="1:6" x14ac:dyDescent="0.25">
      <c r="A812" t="s">
        <v>2344</v>
      </c>
      <c r="B812" t="s">
        <v>2345</v>
      </c>
      <c r="C812">
        <v>24725</v>
      </c>
      <c r="D812">
        <v>0</v>
      </c>
      <c r="F812">
        <v>0</v>
      </c>
    </row>
    <row r="813" spans="1:6" x14ac:dyDescent="0.25">
      <c r="A813" t="s">
        <v>2346</v>
      </c>
      <c r="B813" t="s">
        <v>2347</v>
      </c>
      <c r="C813">
        <v>24726</v>
      </c>
      <c r="D813">
        <v>0</v>
      </c>
      <c r="F813">
        <v>0</v>
      </c>
    </row>
    <row r="814" spans="1:6" x14ac:dyDescent="0.25">
      <c r="A814" t="s">
        <v>2348</v>
      </c>
      <c r="B814" t="s">
        <v>2349</v>
      </c>
      <c r="C814">
        <v>24727</v>
      </c>
      <c r="D814">
        <v>0</v>
      </c>
      <c r="F814">
        <v>0</v>
      </c>
    </row>
    <row r="815" spans="1:6" x14ac:dyDescent="0.25">
      <c r="A815" t="s">
        <v>2350</v>
      </c>
      <c r="B815" t="s">
        <v>2351</v>
      </c>
      <c r="C815">
        <v>24728</v>
      </c>
      <c r="D815">
        <v>0</v>
      </c>
      <c r="F815">
        <v>0</v>
      </c>
    </row>
    <row r="816" spans="1:6" x14ac:dyDescent="0.25">
      <c r="A816" t="s">
        <v>2352</v>
      </c>
      <c r="B816" t="s">
        <v>2353</v>
      </c>
      <c r="C816">
        <v>24729</v>
      </c>
      <c r="D816">
        <v>0</v>
      </c>
      <c r="F816">
        <v>0</v>
      </c>
    </row>
    <row r="817" spans="1:6" x14ac:dyDescent="0.25">
      <c r="A817" t="s">
        <v>2354</v>
      </c>
      <c r="B817" t="s">
        <v>2355</v>
      </c>
      <c r="C817">
        <v>24730</v>
      </c>
      <c r="D817">
        <v>0</v>
      </c>
      <c r="F817">
        <v>0</v>
      </c>
    </row>
    <row r="818" spans="1:6" x14ac:dyDescent="0.25">
      <c r="A818" t="s">
        <v>2356</v>
      </c>
      <c r="B818" t="s">
        <v>2357</v>
      </c>
      <c r="C818">
        <v>24731</v>
      </c>
      <c r="D818">
        <v>0</v>
      </c>
      <c r="F818">
        <v>0</v>
      </c>
    </row>
    <row r="819" spans="1:6" x14ac:dyDescent="0.25">
      <c r="A819" t="s">
        <v>2358</v>
      </c>
      <c r="B819" t="s">
        <v>2359</v>
      </c>
      <c r="C819">
        <v>24732</v>
      </c>
      <c r="D819">
        <v>0</v>
      </c>
      <c r="F819">
        <v>0</v>
      </c>
    </row>
    <row r="820" spans="1:6" x14ac:dyDescent="0.25">
      <c r="A820" t="s">
        <v>2360</v>
      </c>
      <c r="B820" t="s">
        <v>2361</v>
      </c>
      <c r="C820">
        <v>24733</v>
      </c>
      <c r="D820">
        <v>0</v>
      </c>
      <c r="F820">
        <v>0</v>
      </c>
    </row>
    <row r="821" spans="1:6" x14ac:dyDescent="0.25">
      <c r="A821" t="s">
        <v>2362</v>
      </c>
      <c r="B821" t="s">
        <v>2363</v>
      </c>
      <c r="C821">
        <v>24734</v>
      </c>
      <c r="D821">
        <v>0</v>
      </c>
      <c r="F821">
        <v>0</v>
      </c>
    </row>
    <row r="822" spans="1:6" x14ac:dyDescent="0.25">
      <c r="A822" t="s">
        <v>2364</v>
      </c>
      <c r="B822" t="s">
        <v>2365</v>
      </c>
      <c r="C822">
        <v>24735</v>
      </c>
      <c r="D822">
        <v>0</v>
      </c>
      <c r="F822">
        <v>0</v>
      </c>
    </row>
    <row r="823" spans="1:6" x14ac:dyDescent="0.25">
      <c r="A823" t="s">
        <v>2366</v>
      </c>
      <c r="B823" t="s">
        <v>2367</v>
      </c>
      <c r="C823">
        <v>24736</v>
      </c>
      <c r="D823">
        <v>0</v>
      </c>
      <c r="F823">
        <v>0</v>
      </c>
    </row>
    <row r="824" spans="1:6" x14ac:dyDescent="0.25">
      <c r="A824" t="s">
        <v>2368</v>
      </c>
      <c r="B824" t="s">
        <v>2369</v>
      </c>
      <c r="C824">
        <v>24737</v>
      </c>
      <c r="D824">
        <v>0</v>
      </c>
      <c r="F824">
        <v>0</v>
      </c>
    </row>
    <row r="825" spans="1:6" x14ac:dyDescent="0.25">
      <c r="A825" t="s">
        <v>2370</v>
      </c>
      <c r="B825" t="s">
        <v>2371</v>
      </c>
      <c r="C825">
        <v>24738</v>
      </c>
      <c r="D825">
        <v>0</v>
      </c>
      <c r="F825">
        <v>0</v>
      </c>
    </row>
    <row r="826" spans="1:6" x14ac:dyDescent="0.25">
      <c r="A826" t="s">
        <v>2372</v>
      </c>
      <c r="B826" t="s">
        <v>2373</v>
      </c>
      <c r="C826">
        <v>24739</v>
      </c>
      <c r="D826">
        <v>0</v>
      </c>
      <c r="F826">
        <v>0</v>
      </c>
    </row>
    <row r="827" spans="1:6" x14ac:dyDescent="0.25">
      <c r="A827" t="s">
        <v>2374</v>
      </c>
      <c r="B827" t="s">
        <v>2375</v>
      </c>
      <c r="C827">
        <v>24740</v>
      </c>
      <c r="D827">
        <v>0</v>
      </c>
      <c r="F827">
        <v>0</v>
      </c>
    </row>
    <row r="828" spans="1:6" x14ac:dyDescent="0.25">
      <c r="A828" t="s">
        <v>2376</v>
      </c>
      <c r="B828" t="s">
        <v>2377</v>
      </c>
      <c r="C828">
        <v>24741</v>
      </c>
      <c r="D828">
        <v>0</v>
      </c>
      <c r="F828">
        <v>0</v>
      </c>
    </row>
    <row r="829" spans="1:6" x14ac:dyDescent="0.25">
      <c r="B829" t="s">
        <v>2378</v>
      </c>
      <c r="D829">
        <v>0</v>
      </c>
      <c r="F829">
        <v>0</v>
      </c>
    </row>
    <row r="830" spans="1:6" x14ac:dyDescent="0.25">
      <c r="B830" t="s">
        <v>2379</v>
      </c>
    </row>
    <row r="831" spans="1:6" x14ac:dyDescent="0.25">
      <c r="A831" t="s">
        <v>2</v>
      </c>
      <c r="B831" t="s">
        <v>2380</v>
      </c>
      <c r="C831">
        <v>24801</v>
      </c>
      <c r="D831">
        <v>0</v>
      </c>
      <c r="F831">
        <v>0</v>
      </c>
    </row>
    <row r="832" spans="1:6" x14ac:dyDescent="0.25">
      <c r="A832" t="s">
        <v>15</v>
      </c>
      <c r="B832" t="s">
        <v>2381</v>
      </c>
      <c r="C832">
        <v>24802</v>
      </c>
      <c r="D832">
        <v>0</v>
      </c>
      <c r="F832">
        <v>0</v>
      </c>
    </row>
    <row r="833" spans="1:6" x14ac:dyDescent="0.25">
      <c r="A833" t="s">
        <v>16</v>
      </c>
      <c r="B833" t="s">
        <v>2382</v>
      </c>
      <c r="C833">
        <v>24803</v>
      </c>
      <c r="D833">
        <v>0</v>
      </c>
      <c r="F833">
        <v>0</v>
      </c>
    </row>
    <row r="834" spans="1:6" x14ac:dyDescent="0.25">
      <c r="A834" t="s">
        <v>25</v>
      </c>
      <c r="B834" t="s">
        <v>2383</v>
      </c>
      <c r="C834">
        <v>24804</v>
      </c>
      <c r="D834">
        <v>0</v>
      </c>
      <c r="F834">
        <v>0</v>
      </c>
    </row>
    <row r="835" spans="1:6" x14ac:dyDescent="0.25">
      <c r="B835" t="s">
        <v>2384</v>
      </c>
      <c r="D835">
        <v>0</v>
      </c>
      <c r="F835">
        <v>0</v>
      </c>
    </row>
    <row r="836" spans="1:6" x14ac:dyDescent="0.25">
      <c r="B836" t="s">
        <v>2385</v>
      </c>
    </row>
    <row r="837" spans="1:6" x14ac:dyDescent="0.25">
      <c r="A837" t="s">
        <v>2</v>
      </c>
      <c r="B837" t="s">
        <v>1710</v>
      </c>
      <c r="C837">
        <v>24901</v>
      </c>
      <c r="D837">
        <v>0</v>
      </c>
      <c r="F837">
        <v>0</v>
      </c>
    </row>
    <row r="838" spans="1:6" x14ac:dyDescent="0.25">
      <c r="A838" t="s">
        <v>15</v>
      </c>
      <c r="B838" t="s">
        <v>1711</v>
      </c>
      <c r="C838">
        <v>24902</v>
      </c>
      <c r="D838">
        <v>0</v>
      </c>
      <c r="F838">
        <v>0</v>
      </c>
    </row>
    <row r="839" spans="1:6" x14ac:dyDescent="0.25">
      <c r="A839" t="s">
        <v>16</v>
      </c>
      <c r="B839" t="s">
        <v>1712</v>
      </c>
      <c r="C839">
        <v>24903</v>
      </c>
      <c r="D839">
        <v>0</v>
      </c>
      <c r="F839">
        <v>0</v>
      </c>
    </row>
    <row r="840" spans="1:6" x14ac:dyDescent="0.25">
      <c r="A840" t="s">
        <v>25</v>
      </c>
      <c r="B840" t="s">
        <v>1713</v>
      </c>
      <c r="C840">
        <v>24904</v>
      </c>
      <c r="D840">
        <v>0</v>
      </c>
      <c r="F840">
        <v>0</v>
      </c>
    </row>
    <row r="841" spans="1:6" x14ac:dyDescent="0.25">
      <c r="A841" t="s">
        <v>26</v>
      </c>
      <c r="B841" t="s">
        <v>1714</v>
      </c>
      <c r="C841">
        <v>24905</v>
      </c>
      <c r="D841">
        <v>0</v>
      </c>
      <c r="F841">
        <v>0</v>
      </c>
    </row>
    <row r="842" spans="1:6" x14ac:dyDescent="0.25">
      <c r="B842" t="s">
        <v>2386</v>
      </c>
      <c r="D842">
        <v>0</v>
      </c>
      <c r="F842">
        <v>0</v>
      </c>
    </row>
    <row r="843" spans="1:6" x14ac:dyDescent="0.25">
      <c r="B843" t="s">
        <v>1716</v>
      </c>
      <c r="D843">
        <v>168608</v>
      </c>
      <c r="E843">
        <v>6346</v>
      </c>
      <c r="F843">
        <v>174954</v>
      </c>
    </row>
    <row r="844" spans="1:6" x14ac:dyDescent="0.25">
      <c r="B844" t="s">
        <v>2387</v>
      </c>
    </row>
    <row r="845" spans="1:6" x14ac:dyDescent="0.25">
      <c r="B845" t="s">
        <v>2388</v>
      </c>
    </row>
    <row r="846" spans="1:6" x14ac:dyDescent="0.25">
      <c r="A846" t="s">
        <v>2</v>
      </c>
      <c r="B846" t="s">
        <v>1793</v>
      </c>
      <c r="C846">
        <v>25101</v>
      </c>
      <c r="D846">
        <v>4898600</v>
      </c>
      <c r="F846">
        <v>4898600</v>
      </c>
    </row>
    <row r="847" spans="1:6" x14ac:dyDescent="0.25">
      <c r="A847" t="s">
        <v>15</v>
      </c>
      <c r="B847" t="s">
        <v>1794</v>
      </c>
      <c r="C847">
        <v>25102</v>
      </c>
      <c r="D847">
        <v>60742</v>
      </c>
      <c r="F847">
        <v>60742</v>
      </c>
    </row>
    <row r="848" spans="1:6" x14ac:dyDescent="0.25">
      <c r="A848" t="s">
        <v>16</v>
      </c>
      <c r="B848" t="s">
        <v>1795</v>
      </c>
      <c r="C848">
        <v>25103</v>
      </c>
      <c r="D848">
        <v>161323</v>
      </c>
      <c r="F848">
        <v>161323</v>
      </c>
    </row>
    <row r="849" spans="1:6" x14ac:dyDescent="0.25">
      <c r="A849" t="s">
        <v>25</v>
      </c>
      <c r="B849" t="s">
        <v>1796</v>
      </c>
      <c r="C849">
        <v>25104</v>
      </c>
      <c r="D849">
        <v>21222090</v>
      </c>
      <c r="F849">
        <v>21222090</v>
      </c>
    </row>
    <row r="850" spans="1:6" x14ac:dyDescent="0.25">
      <c r="A850" t="s">
        <v>26</v>
      </c>
      <c r="B850" t="s">
        <v>1797</v>
      </c>
      <c r="C850">
        <v>25105</v>
      </c>
      <c r="D850">
        <v>0</v>
      </c>
      <c r="F850">
        <v>0</v>
      </c>
    </row>
    <row r="851" spans="1:6" x14ac:dyDescent="0.25">
      <c r="B851" t="s">
        <v>1798</v>
      </c>
      <c r="D851">
        <v>26342755</v>
      </c>
      <c r="F851">
        <v>26342755</v>
      </c>
    </row>
    <row r="852" spans="1:6" x14ac:dyDescent="0.25">
      <c r="B852" t="s">
        <v>2389</v>
      </c>
    </row>
    <row r="853" spans="1:6" x14ac:dyDescent="0.25">
      <c r="A853" t="s">
        <v>2</v>
      </c>
      <c r="B853" t="s">
        <v>1793</v>
      </c>
      <c r="C853">
        <v>25201</v>
      </c>
      <c r="D853">
        <v>0</v>
      </c>
      <c r="F853">
        <v>0</v>
      </c>
    </row>
    <row r="854" spans="1:6" x14ac:dyDescent="0.25">
      <c r="A854" t="s">
        <v>15</v>
      </c>
      <c r="B854" t="s">
        <v>1794</v>
      </c>
      <c r="C854">
        <v>25202</v>
      </c>
      <c r="D854">
        <v>0</v>
      </c>
      <c r="F854">
        <v>0</v>
      </c>
    </row>
    <row r="855" spans="1:6" x14ac:dyDescent="0.25">
      <c r="A855" t="s">
        <v>16</v>
      </c>
      <c r="B855" t="s">
        <v>1795</v>
      </c>
      <c r="C855">
        <v>25203</v>
      </c>
      <c r="D855">
        <v>0</v>
      </c>
      <c r="F855">
        <v>0</v>
      </c>
    </row>
    <row r="856" spans="1:6" x14ac:dyDescent="0.25">
      <c r="A856" t="s">
        <v>25</v>
      </c>
      <c r="B856" t="s">
        <v>1796</v>
      </c>
      <c r="C856">
        <v>25204</v>
      </c>
      <c r="D856">
        <v>0</v>
      </c>
      <c r="F856">
        <v>0</v>
      </c>
    </row>
    <row r="857" spans="1:6" x14ac:dyDescent="0.25">
      <c r="A857" t="s">
        <v>26</v>
      </c>
      <c r="B857" t="s">
        <v>1797</v>
      </c>
      <c r="C857">
        <v>25205</v>
      </c>
      <c r="D857">
        <v>0</v>
      </c>
      <c r="F857">
        <v>0</v>
      </c>
    </row>
    <row r="858" spans="1:6" x14ac:dyDescent="0.25">
      <c r="B858" t="s">
        <v>1800</v>
      </c>
      <c r="D858">
        <v>0</v>
      </c>
      <c r="F858">
        <v>0</v>
      </c>
    </row>
    <row r="859" spans="1:6" x14ac:dyDescent="0.25">
      <c r="B859" t="s">
        <v>2390</v>
      </c>
    </row>
    <row r="860" spans="1:6" x14ac:dyDescent="0.25">
      <c r="A860" t="s">
        <v>2</v>
      </c>
      <c r="B860" t="s">
        <v>1793</v>
      </c>
      <c r="C860">
        <v>25301</v>
      </c>
      <c r="D860">
        <v>151266</v>
      </c>
      <c r="F860">
        <v>151266</v>
      </c>
    </row>
    <row r="861" spans="1:6" x14ac:dyDescent="0.25">
      <c r="A861" t="s">
        <v>15</v>
      </c>
      <c r="B861" t="s">
        <v>1794</v>
      </c>
      <c r="C861">
        <v>25302</v>
      </c>
      <c r="D861">
        <v>0</v>
      </c>
      <c r="F861">
        <v>0</v>
      </c>
    </row>
    <row r="862" spans="1:6" x14ac:dyDescent="0.25">
      <c r="A862" t="s">
        <v>16</v>
      </c>
      <c r="B862" t="s">
        <v>1795</v>
      </c>
      <c r="C862">
        <v>25303</v>
      </c>
      <c r="D862">
        <v>0</v>
      </c>
      <c r="F862">
        <v>0</v>
      </c>
    </row>
    <row r="863" spans="1:6" x14ac:dyDescent="0.25">
      <c r="A863" t="s">
        <v>25</v>
      </c>
      <c r="B863" t="s">
        <v>1796</v>
      </c>
      <c r="C863">
        <v>25304</v>
      </c>
      <c r="D863">
        <v>0</v>
      </c>
      <c r="F863">
        <v>0</v>
      </c>
    </row>
    <row r="864" spans="1:6" x14ac:dyDescent="0.25">
      <c r="A864" t="s">
        <v>26</v>
      </c>
      <c r="B864" t="s">
        <v>1797</v>
      </c>
      <c r="C864">
        <v>25305</v>
      </c>
      <c r="D864">
        <v>0</v>
      </c>
      <c r="F864">
        <v>0</v>
      </c>
    </row>
    <row r="865" spans="1:6" x14ac:dyDescent="0.25">
      <c r="B865" t="s">
        <v>1802</v>
      </c>
      <c r="D865">
        <v>151266</v>
      </c>
      <c r="F865">
        <v>151266</v>
      </c>
    </row>
    <row r="866" spans="1:6" x14ac:dyDescent="0.25">
      <c r="B866" t="s">
        <v>2391</v>
      </c>
    </row>
    <row r="867" spans="1:6" x14ac:dyDescent="0.25">
      <c r="A867" t="s">
        <v>2</v>
      </c>
      <c r="B867" t="s">
        <v>1793</v>
      </c>
      <c r="C867">
        <v>25401</v>
      </c>
      <c r="D867">
        <v>0</v>
      </c>
      <c r="F867">
        <v>0</v>
      </c>
    </row>
    <row r="868" spans="1:6" x14ac:dyDescent="0.25">
      <c r="A868" t="s">
        <v>15</v>
      </c>
      <c r="B868" t="s">
        <v>1794</v>
      </c>
      <c r="C868">
        <v>25402</v>
      </c>
      <c r="D868">
        <v>63</v>
      </c>
      <c r="F868">
        <v>63</v>
      </c>
    </row>
    <row r="869" spans="1:6" x14ac:dyDescent="0.25">
      <c r="A869" t="s">
        <v>16</v>
      </c>
      <c r="B869" t="s">
        <v>1795</v>
      </c>
      <c r="C869">
        <v>25403</v>
      </c>
      <c r="D869">
        <v>0</v>
      </c>
      <c r="F869">
        <v>0</v>
      </c>
    </row>
    <row r="870" spans="1:6" x14ac:dyDescent="0.25">
      <c r="A870" t="s">
        <v>25</v>
      </c>
      <c r="B870" t="s">
        <v>1796</v>
      </c>
      <c r="C870">
        <v>25404</v>
      </c>
      <c r="D870">
        <v>0</v>
      </c>
      <c r="F870">
        <v>0</v>
      </c>
    </row>
    <row r="871" spans="1:6" x14ac:dyDescent="0.25">
      <c r="A871" t="s">
        <v>26</v>
      </c>
      <c r="B871" t="s">
        <v>1797</v>
      </c>
      <c r="C871">
        <v>25405</v>
      </c>
      <c r="D871">
        <v>0</v>
      </c>
      <c r="F871">
        <v>0</v>
      </c>
    </row>
    <row r="872" spans="1:6" x14ac:dyDescent="0.25">
      <c r="B872" t="s">
        <v>1804</v>
      </c>
      <c r="D872">
        <v>63</v>
      </c>
      <c r="F872">
        <v>63</v>
      </c>
    </row>
    <row r="873" spans="1:6" x14ac:dyDescent="0.25">
      <c r="B873" t="s">
        <v>2392</v>
      </c>
    </row>
    <row r="874" spans="1:6" x14ac:dyDescent="0.25">
      <c r="A874" t="s">
        <v>2</v>
      </c>
      <c r="B874" t="s">
        <v>1793</v>
      </c>
      <c r="C874">
        <v>25501</v>
      </c>
      <c r="D874">
        <v>122437</v>
      </c>
      <c r="F874">
        <v>122437</v>
      </c>
    </row>
    <row r="875" spans="1:6" x14ac:dyDescent="0.25">
      <c r="A875" t="s">
        <v>15</v>
      </c>
      <c r="B875" t="s">
        <v>1794</v>
      </c>
      <c r="C875">
        <v>25502</v>
      </c>
      <c r="D875">
        <v>0</v>
      </c>
      <c r="F875">
        <v>0</v>
      </c>
    </row>
    <row r="876" spans="1:6" x14ac:dyDescent="0.25">
      <c r="A876" t="s">
        <v>16</v>
      </c>
      <c r="B876" t="s">
        <v>1795</v>
      </c>
      <c r="C876">
        <v>25503</v>
      </c>
      <c r="D876">
        <v>0</v>
      </c>
      <c r="F876">
        <v>0</v>
      </c>
    </row>
    <row r="877" spans="1:6" x14ac:dyDescent="0.25">
      <c r="A877" t="s">
        <v>25</v>
      </c>
      <c r="B877" t="s">
        <v>1796</v>
      </c>
      <c r="C877">
        <v>25504</v>
      </c>
      <c r="D877">
        <v>0</v>
      </c>
      <c r="F877">
        <v>0</v>
      </c>
    </row>
    <row r="878" spans="1:6" x14ac:dyDescent="0.25">
      <c r="A878" t="s">
        <v>26</v>
      </c>
      <c r="B878" t="s">
        <v>1797</v>
      </c>
      <c r="C878">
        <v>25505</v>
      </c>
      <c r="D878">
        <v>0</v>
      </c>
      <c r="F878">
        <v>0</v>
      </c>
    </row>
    <row r="879" spans="1:6" x14ac:dyDescent="0.25">
      <c r="B879" t="s">
        <v>1806</v>
      </c>
      <c r="D879">
        <v>122437</v>
      </c>
      <c r="F879">
        <v>122437</v>
      </c>
    </row>
    <row r="880" spans="1:6" x14ac:dyDescent="0.25">
      <c r="B880" t="s">
        <v>2393</v>
      </c>
    </row>
    <row r="881" spans="1:6" x14ac:dyDescent="0.25">
      <c r="A881" t="s">
        <v>2</v>
      </c>
      <c r="B881" t="s">
        <v>2394</v>
      </c>
      <c r="C881">
        <v>25601</v>
      </c>
      <c r="D881">
        <v>0</v>
      </c>
      <c r="F881">
        <v>0</v>
      </c>
    </row>
    <row r="882" spans="1:6" x14ac:dyDescent="0.25">
      <c r="A882" t="s">
        <v>15</v>
      </c>
      <c r="B882" t="s">
        <v>2395</v>
      </c>
      <c r="C882">
        <v>25602</v>
      </c>
      <c r="D882">
        <v>0</v>
      </c>
      <c r="F882">
        <v>0</v>
      </c>
    </row>
    <row r="883" spans="1:6" x14ac:dyDescent="0.25">
      <c r="A883" t="s">
        <v>16</v>
      </c>
      <c r="B883" t="s">
        <v>2396</v>
      </c>
      <c r="C883">
        <v>25603</v>
      </c>
      <c r="D883">
        <v>0</v>
      </c>
      <c r="F883">
        <v>0</v>
      </c>
    </row>
    <row r="884" spans="1:6" x14ac:dyDescent="0.25">
      <c r="A884" t="s">
        <v>25</v>
      </c>
      <c r="B884" t="s">
        <v>2397</v>
      </c>
      <c r="C884">
        <v>25604</v>
      </c>
      <c r="D884">
        <v>0</v>
      </c>
      <c r="F884">
        <v>0</v>
      </c>
    </row>
    <row r="885" spans="1:6" x14ac:dyDescent="0.25">
      <c r="A885" t="s">
        <v>26</v>
      </c>
      <c r="B885" t="s">
        <v>2398</v>
      </c>
      <c r="C885">
        <v>25605</v>
      </c>
      <c r="D885">
        <v>0</v>
      </c>
      <c r="F885">
        <v>0</v>
      </c>
    </row>
    <row r="886" spans="1:6" x14ac:dyDescent="0.25">
      <c r="A886" t="s">
        <v>27</v>
      </c>
      <c r="B886" t="s">
        <v>2399</v>
      </c>
      <c r="C886">
        <v>25606</v>
      </c>
      <c r="D886">
        <v>0</v>
      </c>
      <c r="F886">
        <v>0</v>
      </c>
    </row>
    <row r="887" spans="1:6" x14ac:dyDescent="0.25">
      <c r="A887" t="s">
        <v>531</v>
      </c>
      <c r="B887" t="s">
        <v>2400</v>
      </c>
      <c r="C887">
        <v>25607</v>
      </c>
      <c r="D887">
        <v>0</v>
      </c>
      <c r="F887">
        <v>0</v>
      </c>
    </row>
    <row r="888" spans="1:6" x14ac:dyDescent="0.25">
      <c r="A888" t="s">
        <v>1583</v>
      </c>
      <c r="B888" t="s">
        <v>2401</v>
      </c>
      <c r="C888">
        <v>25608</v>
      </c>
      <c r="D888">
        <v>0</v>
      </c>
      <c r="F888">
        <v>0</v>
      </c>
    </row>
    <row r="889" spans="1:6" x14ac:dyDescent="0.25">
      <c r="A889" t="s">
        <v>1585</v>
      </c>
      <c r="B889" t="s">
        <v>2402</v>
      </c>
      <c r="C889">
        <v>25609</v>
      </c>
      <c r="D889">
        <v>0</v>
      </c>
      <c r="F889">
        <v>0</v>
      </c>
    </row>
    <row r="890" spans="1:6" x14ac:dyDescent="0.25">
      <c r="A890" t="s">
        <v>1587</v>
      </c>
      <c r="B890" t="s">
        <v>2403</v>
      </c>
      <c r="C890">
        <v>25610</v>
      </c>
      <c r="D890">
        <v>0</v>
      </c>
      <c r="F890">
        <v>0</v>
      </c>
    </row>
    <row r="891" spans="1:6" x14ac:dyDescent="0.25">
      <c r="A891" t="s">
        <v>1589</v>
      </c>
      <c r="B891" t="s">
        <v>2404</v>
      </c>
      <c r="C891">
        <v>25611</v>
      </c>
      <c r="D891">
        <v>0</v>
      </c>
      <c r="F891">
        <v>0</v>
      </c>
    </row>
    <row r="892" spans="1:6" x14ac:dyDescent="0.25">
      <c r="A892" t="s">
        <v>1591</v>
      </c>
      <c r="B892" t="s">
        <v>2405</v>
      </c>
      <c r="C892">
        <v>25612</v>
      </c>
      <c r="D892">
        <v>0</v>
      </c>
      <c r="F892">
        <v>0</v>
      </c>
    </row>
    <row r="893" spans="1:6" x14ac:dyDescent="0.25">
      <c r="A893" t="s">
        <v>1593</v>
      </c>
      <c r="B893" t="s">
        <v>2406</v>
      </c>
      <c r="C893">
        <v>25613</v>
      </c>
      <c r="D893">
        <v>0</v>
      </c>
      <c r="F893">
        <v>0</v>
      </c>
    </row>
    <row r="894" spans="1:6" x14ac:dyDescent="0.25">
      <c r="A894" t="s">
        <v>1595</v>
      </c>
      <c r="B894" t="s">
        <v>2407</v>
      </c>
      <c r="C894">
        <v>25614</v>
      </c>
      <c r="D894">
        <v>0</v>
      </c>
      <c r="F894">
        <v>0</v>
      </c>
    </row>
    <row r="895" spans="1:6" x14ac:dyDescent="0.25">
      <c r="A895" t="s">
        <v>1597</v>
      </c>
      <c r="B895" t="s">
        <v>2408</v>
      </c>
      <c r="C895">
        <v>25615</v>
      </c>
      <c r="D895">
        <v>0</v>
      </c>
      <c r="F895">
        <v>0</v>
      </c>
    </row>
    <row r="896" spans="1:6" x14ac:dyDescent="0.25">
      <c r="A896" t="s">
        <v>1599</v>
      </c>
      <c r="B896" t="s">
        <v>2409</v>
      </c>
      <c r="C896">
        <v>25616</v>
      </c>
      <c r="D896">
        <v>0</v>
      </c>
      <c r="F896">
        <v>0</v>
      </c>
    </row>
    <row r="897" spans="1:6" x14ac:dyDescent="0.25">
      <c r="A897" t="s">
        <v>1601</v>
      </c>
      <c r="B897" t="s">
        <v>2410</v>
      </c>
      <c r="C897">
        <v>25617</v>
      </c>
      <c r="D897">
        <v>0</v>
      </c>
      <c r="F897">
        <v>0</v>
      </c>
    </row>
    <row r="898" spans="1:6" x14ac:dyDescent="0.25">
      <c r="A898" t="s">
        <v>1603</v>
      </c>
      <c r="B898" t="s">
        <v>2411</v>
      </c>
      <c r="C898">
        <v>25618</v>
      </c>
      <c r="D898">
        <v>0</v>
      </c>
      <c r="F898">
        <v>0</v>
      </c>
    </row>
    <row r="899" spans="1:6" x14ac:dyDescent="0.25">
      <c r="A899" t="s">
        <v>1605</v>
      </c>
      <c r="B899" t="s">
        <v>2412</v>
      </c>
      <c r="C899">
        <v>25619</v>
      </c>
      <c r="D899">
        <v>0</v>
      </c>
      <c r="F899">
        <v>0</v>
      </c>
    </row>
    <row r="900" spans="1:6" x14ac:dyDescent="0.25">
      <c r="A900" t="s">
        <v>1607</v>
      </c>
      <c r="B900" t="s">
        <v>2413</v>
      </c>
      <c r="C900">
        <v>25620</v>
      </c>
      <c r="D900">
        <v>0</v>
      </c>
      <c r="F900">
        <v>0</v>
      </c>
    </row>
    <row r="901" spans="1:6" x14ac:dyDescent="0.25">
      <c r="A901" t="s">
        <v>2336</v>
      </c>
      <c r="B901" t="s">
        <v>2414</v>
      </c>
      <c r="C901">
        <v>25621</v>
      </c>
      <c r="D901">
        <v>0</v>
      </c>
      <c r="F901">
        <v>0</v>
      </c>
    </row>
    <row r="902" spans="1:6" x14ac:dyDescent="0.25">
      <c r="A902" t="s">
        <v>2338</v>
      </c>
      <c r="B902" t="s">
        <v>2415</v>
      </c>
      <c r="C902">
        <v>25622</v>
      </c>
      <c r="D902">
        <v>0</v>
      </c>
      <c r="F902">
        <v>0</v>
      </c>
    </row>
    <row r="903" spans="1:6" x14ac:dyDescent="0.25">
      <c r="A903" t="s">
        <v>2340</v>
      </c>
      <c r="B903" t="s">
        <v>2416</v>
      </c>
      <c r="C903">
        <v>25623</v>
      </c>
      <c r="D903">
        <v>0</v>
      </c>
      <c r="F903">
        <v>0</v>
      </c>
    </row>
    <row r="904" spans="1:6" x14ac:dyDescent="0.25">
      <c r="A904" t="s">
        <v>2342</v>
      </c>
      <c r="B904" t="s">
        <v>2417</v>
      </c>
      <c r="C904">
        <v>25624</v>
      </c>
      <c r="D904">
        <v>0</v>
      </c>
      <c r="F904">
        <v>0</v>
      </c>
    </row>
    <row r="905" spans="1:6" x14ac:dyDescent="0.25">
      <c r="A905" t="s">
        <v>2344</v>
      </c>
      <c r="B905" t="s">
        <v>2418</v>
      </c>
      <c r="C905">
        <v>25625</v>
      </c>
      <c r="D905">
        <v>0</v>
      </c>
      <c r="F905">
        <v>0</v>
      </c>
    </row>
    <row r="906" spans="1:6" x14ac:dyDescent="0.25">
      <c r="A906" t="s">
        <v>2346</v>
      </c>
      <c r="B906" t="s">
        <v>2419</v>
      </c>
      <c r="C906">
        <v>25626</v>
      </c>
      <c r="D906">
        <v>0</v>
      </c>
      <c r="F906">
        <v>0</v>
      </c>
    </row>
    <row r="907" spans="1:6" x14ac:dyDescent="0.25">
      <c r="A907" t="s">
        <v>2348</v>
      </c>
      <c r="B907" t="s">
        <v>2420</v>
      </c>
      <c r="C907">
        <v>25627</v>
      </c>
      <c r="D907">
        <v>0</v>
      </c>
      <c r="F907">
        <v>0</v>
      </c>
    </row>
    <row r="908" spans="1:6" x14ac:dyDescent="0.25">
      <c r="B908" t="s">
        <v>2421</v>
      </c>
      <c r="D908">
        <v>0</v>
      </c>
      <c r="F908">
        <v>0</v>
      </c>
    </row>
    <row r="909" spans="1:6" x14ac:dyDescent="0.25">
      <c r="B909" t="s">
        <v>1728</v>
      </c>
      <c r="D909">
        <v>26616521</v>
      </c>
      <c r="F909">
        <v>26616521</v>
      </c>
    </row>
    <row r="910" spans="1:6" x14ac:dyDescent="0.25">
      <c r="B910" t="s">
        <v>1809</v>
      </c>
    </row>
    <row r="911" spans="1:6" x14ac:dyDescent="0.25">
      <c r="B911" t="s">
        <v>1810</v>
      </c>
    </row>
    <row r="912" spans="1:6" x14ac:dyDescent="0.25">
      <c r="A912" t="s">
        <v>2</v>
      </c>
      <c r="B912" t="s">
        <v>2422</v>
      </c>
      <c r="C912">
        <v>26101</v>
      </c>
      <c r="D912">
        <v>145601</v>
      </c>
      <c r="F912">
        <v>145601</v>
      </c>
    </row>
    <row r="913" spans="1:6" x14ac:dyDescent="0.25">
      <c r="B913" t="s">
        <v>1817</v>
      </c>
    </row>
    <row r="914" spans="1:6" x14ac:dyDescent="0.25">
      <c r="A914" t="s">
        <v>2</v>
      </c>
      <c r="B914" t="s">
        <v>2423</v>
      </c>
      <c r="C914">
        <v>26201</v>
      </c>
      <c r="D914">
        <v>25315306</v>
      </c>
      <c r="F914">
        <v>25315306</v>
      </c>
    </row>
    <row r="915" spans="1:6" x14ac:dyDescent="0.25">
      <c r="B915" t="s">
        <v>2424</v>
      </c>
    </row>
    <row r="916" spans="1:6" x14ac:dyDescent="0.25">
      <c r="A916" t="s">
        <v>2</v>
      </c>
      <c r="B916" t="s">
        <v>2425</v>
      </c>
      <c r="C916">
        <v>26301</v>
      </c>
      <c r="D916">
        <v>73725473</v>
      </c>
      <c r="F916">
        <v>73725473</v>
      </c>
    </row>
    <row r="917" spans="1:6" x14ac:dyDescent="0.25">
      <c r="B917" t="s">
        <v>1827</v>
      </c>
    </row>
    <row r="918" spans="1:6" x14ac:dyDescent="0.25">
      <c r="A918" t="s">
        <v>2</v>
      </c>
      <c r="B918" t="s">
        <v>2426</v>
      </c>
      <c r="C918">
        <v>26401</v>
      </c>
      <c r="D918">
        <v>29697</v>
      </c>
      <c r="F918">
        <v>29697</v>
      </c>
    </row>
    <row r="919" spans="1:6" x14ac:dyDescent="0.25">
      <c r="B919" t="s">
        <v>2273</v>
      </c>
    </row>
    <row r="920" spans="1:6" x14ac:dyDescent="0.25">
      <c r="A920" t="s">
        <v>2</v>
      </c>
      <c r="B920" t="s">
        <v>2427</v>
      </c>
      <c r="C920">
        <v>26501</v>
      </c>
      <c r="D920">
        <v>2579465</v>
      </c>
      <c r="F920">
        <v>2579465</v>
      </c>
    </row>
    <row r="921" spans="1:6" x14ac:dyDescent="0.25">
      <c r="B921" t="s">
        <v>1732</v>
      </c>
      <c r="D921">
        <v>101795542</v>
      </c>
      <c r="F921">
        <v>101795542</v>
      </c>
    </row>
    <row r="922" spans="1:6" x14ac:dyDescent="0.25">
      <c r="B922" t="s">
        <v>1836</v>
      </c>
    </row>
    <row r="923" spans="1:6" x14ac:dyDescent="0.25">
      <c r="B923" t="s">
        <v>1385</v>
      </c>
    </row>
    <row r="924" spans="1:6" x14ac:dyDescent="0.25">
      <c r="A924" t="s">
        <v>2</v>
      </c>
      <c r="B924" t="s">
        <v>1837</v>
      </c>
      <c r="C924">
        <v>27101</v>
      </c>
      <c r="D924">
        <v>0</v>
      </c>
      <c r="E924">
        <v>0</v>
      </c>
      <c r="F924">
        <v>0</v>
      </c>
    </row>
    <row r="925" spans="1:6" x14ac:dyDescent="0.25">
      <c r="A925" t="s">
        <v>15</v>
      </c>
      <c r="B925" t="s">
        <v>1838</v>
      </c>
      <c r="C925">
        <v>27102</v>
      </c>
      <c r="D925">
        <v>101131</v>
      </c>
      <c r="E925">
        <v>902</v>
      </c>
      <c r="F925">
        <v>102033</v>
      </c>
    </row>
    <row r="926" spans="1:6" x14ac:dyDescent="0.25">
      <c r="A926" t="s">
        <v>16</v>
      </c>
      <c r="B926" t="s">
        <v>1689</v>
      </c>
      <c r="C926">
        <v>27103</v>
      </c>
      <c r="D926">
        <v>54089</v>
      </c>
      <c r="E926">
        <v>26</v>
      </c>
      <c r="F926">
        <v>54115</v>
      </c>
    </row>
    <row r="927" spans="1:6" x14ac:dyDescent="0.25">
      <c r="A927" t="s">
        <v>25</v>
      </c>
      <c r="B927" t="s">
        <v>1839</v>
      </c>
      <c r="C927">
        <v>27104</v>
      </c>
      <c r="D927">
        <v>65494</v>
      </c>
      <c r="E927">
        <v>1076</v>
      </c>
      <c r="F927">
        <v>66570</v>
      </c>
    </row>
    <row r="928" spans="1:6" x14ac:dyDescent="0.25">
      <c r="B928" t="s">
        <v>1840</v>
      </c>
      <c r="D928">
        <v>220714</v>
      </c>
      <c r="E928">
        <v>2004</v>
      </c>
      <c r="F928">
        <v>222718</v>
      </c>
    </row>
    <row r="929" spans="1:6" x14ac:dyDescent="0.25">
      <c r="B929" t="s">
        <v>1386</v>
      </c>
    </row>
    <row r="930" spans="1:6" x14ac:dyDescent="0.25">
      <c r="A930" t="s">
        <v>2</v>
      </c>
      <c r="B930" t="s">
        <v>1837</v>
      </c>
      <c r="C930">
        <v>27201</v>
      </c>
      <c r="D930">
        <v>0</v>
      </c>
      <c r="E930">
        <v>0</v>
      </c>
      <c r="F930">
        <v>0</v>
      </c>
    </row>
    <row r="931" spans="1:6" x14ac:dyDescent="0.25">
      <c r="A931" t="s">
        <v>15</v>
      </c>
      <c r="B931" t="s">
        <v>1838</v>
      </c>
      <c r="C931">
        <v>27202</v>
      </c>
      <c r="D931">
        <v>450507</v>
      </c>
      <c r="E931">
        <v>18203</v>
      </c>
      <c r="F931">
        <v>468710</v>
      </c>
    </row>
    <row r="932" spans="1:6" x14ac:dyDescent="0.25">
      <c r="A932" t="s">
        <v>16</v>
      </c>
      <c r="B932" t="s">
        <v>1689</v>
      </c>
      <c r="C932">
        <v>27203</v>
      </c>
      <c r="D932">
        <v>174048</v>
      </c>
      <c r="E932">
        <v>376</v>
      </c>
      <c r="F932">
        <v>174424</v>
      </c>
    </row>
    <row r="933" spans="1:6" x14ac:dyDescent="0.25">
      <c r="A933" t="s">
        <v>25</v>
      </c>
      <c r="B933" t="s">
        <v>1839</v>
      </c>
      <c r="C933">
        <v>27204</v>
      </c>
      <c r="D933">
        <v>3388347</v>
      </c>
      <c r="E933">
        <v>76597</v>
      </c>
      <c r="F933">
        <v>3464944</v>
      </c>
    </row>
    <row r="934" spans="1:6" x14ac:dyDescent="0.25">
      <c r="B934" t="s">
        <v>1841</v>
      </c>
      <c r="D934">
        <v>4012902</v>
      </c>
      <c r="E934">
        <v>95176</v>
      </c>
      <c r="F934">
        <v>4108078</v>
      </c>
    </row>
    <row r="935" spans="1:6" x14ac:dyDescent="0.25">
      <c r="B935" t="s">
        <v>1387</v>
      </c>
    </row>
    <row r="936" spans="1:6" x14ac:dyDescent="0.25">
      <c r="A936" t="s">
        <v>2</v>
      </c>
      <c r="B936" t="s">
        <v>1842</v>
      </c>
      <c r="C936">
        <v>27301</v>
      </c>
      <c r="D936">
        <v>0</v>
      </c>
      <c r="E936">
        <v>2383</v>
      </c>
      <c r="F936">
        <v>2383</v>
      </c>
    </row>
    <row r="937" spans="1:6" x14ac:dyDescent="0.25">
      <c r="A937" t="s">
        <v>15</v>
      </c>
      <c r="B937" t="s">
        <v>1843</v>
      </c>
      <c r="C937">
        <v>27302</v>
      </c>
      <c r="D937">
        <v>0</v>
      </c>
      <c r="E937">
        <v>0</v>
      </c>
      <c r="F937">
        <v>0</v>
      </c>
    </row>
    <row r="938" spans="1:6" x14ac:dyDescent="0.25">
      <c r="A938" t="s">
        <v>16</v>
      </c>
      <c r="B938" t="s">
        <v>1844</v>
      </c>
      <c r="C938">
        <v>27303</v>
      </c>
      <c r="D938">
        <v>0</v>
      </c>
      <c r="E938">
        <v>0</v>
      </c>
      <c r="F938">
        <v>0</v>
      </c>
    </row>
    <row r="939" spans="1:6" x14ac:dyDescent="0.25">
      <c r="A939" t="s">
        <v>25</v>
      </c>
      <c r="B939" t="s">
        <v>1845</v>
      </c>
      <c r="C939">
        <v>27304</v>
      </c>
      <c r="D939">
        <v>35898</v>
      </c>
      <c r="E939">
        <v>14893</v>
      </c>
      <c r="F939">
        <v>50791</v>
      </c>
    </row>
    <row r="940" spans="1:6" x14ac:dyDescent="0.25">
      <c r="B940" t="s">
        <v>1846</v>
      </c>
      <c r="D940">
        <v>35898</v>
      </c>
      <c r="E940">
        <v>17276</v>
      </c>
      <c r="F940">
        <v>53174</v>
      </c>
    </row>
    <row r="941" spans="1:6" x14ac:dyDescent="0.25">
      <c r="B941" t="s">
        <v>1388</v>
      </c>
    </row>
    <row r="942" spans="1:6" x14ac:dyDescent="0.25">
      <c r="A942" t="s">
        <v>2</v>
      </c>
      <c r="B942" t="s">
        <v>1847</v>
      </c>
      <c r="C942">
        <v>27401</v>
      </c>
      <c r="D942">
        <v>5</v>
      </c>
      <c r="E942">
        <v>0</v>
      </c>
      <c r="F942">
        <v>5</v>
      </c>
    </row>
    <row r="943" spans="1:6" x14ac:dyDescent="0.25">
      <c r="A943" t="s">
        <v>15</v>
      </c>
      <c r="B943" t="s">
        <v>1848</v>
      </c>
      <c r="C943">
        <v>27402</v>
      </c>
      <c r="D943">
        <v>318380</v>
      </c>
      <c r="E943">
        <v>15144</v>
      </c>
      <c r="F943">
        <v>333524</v>
      </c>
    </row>
    <row r="944" spans="1:6" x14ac:dyDescent="0.25">
      <c r="A944" t="s">
        <v>16</v>
      </c>
      <c r="B944" t="s">
        <v>1849</v>
      </c>
      <c r="C944">
        <v>27403</v>
      </c>
      <c r="D944">
        <v>152787</v>
      </c>
      <c r="E944">
        <v>160</v>
      </c>
      <c r="F944">
        <v>152947</v>
      </c>
    </row>
    <row r="945" spans="1:6" x14ac:dyDescent="0.25">
      <c r="A945" t="s">
        <v>25</v>
      </c>
      <c r="B945" t="s">
        <v>1850</v>
      </c>
      <c r="C945">
        <v>27404</v>
      </c>
      <c r="D945">
        <v>174533</v>
      </c>
      <c r="E945">
        <v>10232</v>
      </c>
      <c r="F945">
        <v>184765</v>
      </c>
    </row>
    <row r="946" spans="1:6" x14ac:dyDescent="0.25">
      <c r="A946" t="s">
        <v>26</v>
      </c>
      <c r="B946" t="s">
        <v>1851</v>
      </c>
      <c r="C946">
        <v>27405</v>
      </c>
      <c r="D946">
        <v>0</v>
      </c>
      <c r="E946">
        <v>0</v>
      </c>
      <c r="F946">
        <v>0</v>
      </c>
    </row>
    <row r="947" spans="1:6" x14ac:dyDescent="0.25">
      <c r="A947" t="s">
        <v>27</v>
      </c>
      <c r="B947" t="s">
        <v>1852</v>
      </c>
      <c r="C947">
        <v>27406</v>
      </c>
      <c r="D947">
        <v>0</v>
      </c>
      <c r="E947">
        <v>0</v>
      </c>
      <c r="F947">
        <v>0</v>
      </c>
    </row>
    <row r="948" spans="1:6" x14ac:dyDescent="0.25">
      <c r="A948" t="s">
        <v>531</v>
      </c>
      <c r="B948" t="s">
        <v>1853</v>
      </c>
      <c r="C948">
        <v>27407</v>
      </c>
      <c r="D948">
        <v>0</v>
      </c>
      <c r="E948">
        <v>0</v>
      </c>
      <c r="F948">
        <v>0</v>
      </c>
    </row>
    <row r="949" spans="1:6" x14ac:dyDescent="0.25">
      <c r="A949" t="s">
        <v>1583</v>
      </c>
      <c r="B949" t="s">
        <v>1854</v>
      </c>
      <c r="C949">
        <v>27408</v>
      </c>
      <c r="D949">
        <v>115825</v>
      </c>
      <c r="E949">
        <v>16906</v>
      </c>
      <c r="F949">
        <v>132731</v>
      </c>
    </row>
    <row r="950" spans="1:6" x14ac:dyDescent="0.25">
      <c r="A950" t="s">
        <v>1585</v>
      </c>
      <c r="B950" t="s">
        <v>1855</v>
      </c>
      <c r="C950">
        <v>27409</v>
      </c>
      <c r="D950">
        <v>150934</v>
      </c>
      <c r="E950">
        <v>2728</v>
      </c>
      <c r="F950">
        <v>153662</v>
      </c>
    </row>
    <row r="951" spans="1:6" x14ac:dyDescent="0.25">
      <c r="B951" t="s">
        <v>1856</v>
      </c>
      <c r="D951">
        <v>912464</v>
      </c>
      <c r="E951">
        <v>45170</v>
      </c>
      <c r="F951">
        <v>957634</v>
      </c>
    </row>
    <row r="952" spans="1:6" x14ac:dyDescent="0.25">
      <c r="B952" t="s">
        <v>1857</v>
      </c>
    </row>
    <row r="953" spans="1:6" x14ac:dyDescent="0.25">
      <c r="A953" t="s">
        <v>2</v>
      </c>
      <c r="B953" t="s">
        <v>1842</v>
      </c>
      <c r="C953">
        <v>27501</v>
      </c>
      <c r="D953">
        <v>0</v>
      </c>
      <c r="E953">
        <v>0</v>
      </c>
      <c r="F953">
        <v>0</v>
      </c>
    </row>
    <row r="954" spans="1:6" x14ac:dyDescent="0.25">
      <c r="A954" t="s">
        <v>15</v>
      </c>
      <c r="B954" t="s">
        <v>1843</v>
      </c>
      <c r="C954">
        <v>27502</v>
      </c>
      <c r="D954">
        <v>1335514</v>
      </c>
      <c r="E954">
        <v>10490</v>
      </c>
      <c r="F954">
        <v>1346004</v>
      </c>
    </row>
    <row r="955" spans="1:6" x14ac:dyDescent="0.25">
      <c r="A955" t="s">
        <v>16</v>
      </c>
      <c r="B955" t="s">
        <v>1844</v>
      </c>
      <c r="C955">
        <v>27503</v>
      </c>
      <c r="D955">
        <v>922</v>
      </c>
      <c r="E955">
        <v>0</v>
      </c>
      <c r="F955">
        <v>922</v>
      </c>
    </row>
    <row r="956" spans="1:6" x14ac:dyDescent="0.25">
      <c r="A956" t="s">
        <v>25</v>
      </c>
      <c r="B956" t="s">
        <v>1845</v>
      </c>
      <c r="C956">
        <v>27504</v>
      </c>
      <c r="D956">
        <v>0</v>
      </c>
      <c r="E956">
        <v>0</v>
      </c>
      <c r="F956">
        <v>0</v>
      </c>
    </row>
    <row r="957" spans="1:6" x14ac:dyDescent="0.25">
      <c r="B957" t="s">
        <v>1858</v>
      </c>
      <c r="D957">
        <v>1336436</v>
      </c>
      <c r="E957">
        <v>10490</v>
      </c>
      <c r="F957">
        <v>1346926</v>
      </c>
    </row>
    <row r="958" spans="1:6" x14ac:dyDescent="0.25">
      <c r="B958" t="s">
        <v>1390</v>
      </c>
    </row>
    <row r="959" spans="1:6" x14ac:dyDescent="0.25">
      <c r="A959" t="s">
        <v>2</v>
      </c>
      <c r="B959" t="s">
        <v>1859</v>
      </c>
      <c r="C959">
        <v>27601</v>
      </c>
      <c r="D959">
        <v>6406</v>
      </c>
      <c r="E959">
        <v>0</v>
      </c>
      <c r="F959">
        <v>6406</v>
      </c>
    </row>
    <row r="960" spans="1:6" x14ac:dyDescent="0.25">
      <c r="A960" t="s">
        <v>15</v>
      </c>
      <c r="B960" t="s">
        <v>1860</v>
      </c>
      <c r="C960">
        <v>27602</v>
      </c>
      <c r="D960">
        <v>188255</v>
      </c>
      <c r="E960">
        <v>0</v>
      </c>
      <c r="F960">
        <v>188255</v>
      </c>
    </row>
    <row r="961" spans="1:6" x14ac:dyDescent="0.25">
      <c r="A961" t="s">
        <v>16</v>
      </c>
      <c r="B961" t="s">
        <v>1596</v>
      </c>
      <c r="C961">
        <v>27603</v>
      </c>
      <c r="D961">
        <v>1</v>
      </c>
      <c r="E961">
        <v>0</v>
      </c>
      <c r="F961">
        <v>1</v>
      </c>
    </row>
    <row r="962" spans="1:6" x14ac:dyDescent="0.25">
      <c r="A962" t="s">
        <v>25</v>
      </c>
      <c r="B962" t="s">
        <v>1861</v>
      </c>
      <c r="C962">
        <v>27604</v>
      </c>
      <c r="D962">
        <v>1251</v>
      </c>
      <c r="E962">
        <v>0</v>
      </c>
      <c r="F962">
        <v>1251</v>
      </c>
    </row>
    <row r="963" spans="1:6" x14ac:dyDescent="0.25">
      <c r="B963" t="s">
        <v>1862</v>
      </c>
      <c r="D963">
        <v>195913</v>
      </c>
      <c r="E963">
        <v>0</v>
      </c>
      <c r="F963">
        <v>195913</v>
      </c>
    </row>
    <row r="964" spans="1:6" x14ac:dyDescent="0.25">
      <c r="B964" t="s">
        <v>1391</v>
      </c>
    </row>
    <row r="965" spans="1:6" x14ac:dyDescent="0.25">
      <c r="A965" t="s">
        <v>2</v>
      </c>
      <c r="B965" t="s">
        <v>1837</v>
      </c>
      <c r="C965">
        <v>27701</v>
      </c>
      <c r="D965">
        <v>0</v>
      </c>
      <c r="E965">
        <v>0</v>
      </c>
      <c r="F965">
        <v>0</v>
      </c>
    </row>
    <row r="966" spans="1:6" x14ac:dyDescent="0.25">
      <c r="A966" t="s">
        <v>15</v>
      </c>
      <c r="B966" t="s">
        <v>1838</v>
      </c>
      <c r="C966">
        <v>27702</v>
      </c>
      <c r="D966">
        <v>0</v>
      </c>
      <c r="E966">
        <v>0</v>
      </c>
      <c r="F966">
        <v>0</v>
      </c>
    </row>
    <row r="967" spans="1:6" x14ac:dyDescent="0.25">
      <c r="A967" t="s">
        <v>16</v>
      </c>
      <c r="B967" t="s">
        <v>1689</v>
      </c>
      <c r="C967">
        <v>27703</v>
      </c>
      <c r="D967">
        <v>0</v>
      </c>
      <c r="E967">
        <v>0</v>
      </c>
      <c r="F967">
        <v>0</v>
      </c>
    </row>
    <row r="968" spans="1:6" x14ac:dyDescent="0.25">
      <c r="A968" t="s">
        <v>25</v>
      </c>
      <c r="B968" t="s">
        <v>1839</v>
      </c>
      <c r="C968">
        <v>27704</v>
      </c>
      <c r="D968">
        <v>86</v>
      </c>
      <c r="E968">
        <v>0</v>
      </c>
      <c r="F968">
        <v>86</v>
      </c>
    </row>
    <row r="969" spans="1:6" x14ac:dyDescent="0.25">
      <c r="B969" t="s">
        <v>1863</v>
      </c>
      <c r="D969">
        <v>86</v>
      </c>
      <c r="E969">
        <v>0</v>
      </c>
      <c r="F969">
        <v>86</v>
      </c>
    </row>
    <row r="970" spans="1:6" x14ac:dyDescent="0.25">
      <c r="B970" t="s">
        <v>1392</v>
      </c>
    </row>
    <row r="971" spans="1:6" x14ac:dyDescent="0.25">
      <c r="A971" t="s">
        <v>2</v>
      </c>
      <c r="B971" t="s">
        <v>1859</v>
      </c>
      <c r="C971">
        <v>27801</v>
      </c>
      <c r="D971">
        <v>0</v>
      </c>
      <c r="E971">
        <v>0</v>
      </c>
      <c r="F971">
        <v>0</v>
      </c>
    </row>
    <row r="972" spans="1:6" x14ac:dyDescent="0.25">
      <c r="A972" t="s">
        <v>15</v>
      </c>
      <c r="B972" t="s">
        <v>1860</v>
      </c>
      <c r="C972">
        <v>27802</v>
      </c>
      <c r="D972">
        <v>227079</v>
      </c>
      <c r="E972">
        <v>2893</v>
      </c>
      <c r="F972">
        <v>229972</v>
      </c>
    </row>
    <row r="973" spans="1:6" x14ac:dyDescent="0.25">
      <c r="A973" t="s">
        <v>16</v>
      </c>
      <c r="B973" t="s">
        <v>1596</v>
      </c>
      <c r="C973">
        <v>27803</v>
      </c>
      <c r="D973">
        <v>4683</v>
      </c>
      <c r="E973">
        <v>0</v>
      </c>
      <c r="F973">
        <v>4683</v>
      </c>
    </row>
    <row r="974" spans="1:6" x14ac:dyDescent="0.25">
      <c r="A974" t="s">
        <v>25</v>
      </c>
      <c r="B974" t="s">
        <v>1861</v>
      </c>
      <c r="C974">
        <v>27804</v>
      </c>
      <c r="D974">
        <v>0</v>
      </c>
      <c r="E974">
        <v>0</v>
      </c>
      <c r="F974">
        <v>0</v>
      </c>
    </row>
    <row r="975" spans="1:6" x14ac:dyDescent="0.25">
      <c r="B975" t="s">
        <v>1864</v>
      </c>
      <c r="D975">
        <v>231762</v>
      </c>
      <c r="E975">
        <v>2893</v>
      </c>
      <c r="F975">
        <v>234655</v>
      </c>
    </row>
    <row r="976" spans="1:6" x14ac:dyDescent="0.25">
      <c r="B976" t="s">
        <v>1393</v>
      </c>
    </row>
    <row r="977" spans="1:6" x14ac:dyDescent="0.25">
      <c r="A977" t="s">
        <v>2</v>
      </c>
      <c r="B977" t="s">
        <v>1842</v>
      </c>
      <c r="C977">
        <v>27901</v>
      </c>
      <c r="D977">
        <v>7</v>
      </c>
      <c r="E977">
        <v>44288</v>
      </c>
      <c r="F977">
        <v>44295</v>
      </c>
    </row>
    <row r="978" spans="1:6" x14ac:dyDescent="0.25">
      <c r="A978" t="s">
        <v>15</v>
      </c>
      <c r="B978" t="s">
        <v>1843</v>
      </c>
      <c r="C978">
        <v>27902</v>
      </c>
      <c r="D978">
        <v>40342</v>
      </c>
      <c r="E978">
        <v>12</v>
      </c>
      <c r="F978">
        <v>40354</v>
      </c>
    </row>
    <row r="979" spans="1:6" x14ac:dyDescent="0.25">
      <c r="A979" t="s">
        <v>16</v>
      </c>
      <c r="B979" t="s">
        <v>1844</v>
      </c>
      <c r="C979">
        <v>27903</v>
      </c>
      <c r="D979">
        <v>16287</v>
      </c>
      <c r="E979">
        <v>0</v>
      </c>
      <c r="F979">
        <v>16287</v>
      </c>
    </row>
    <row r="980" spans="1:6" x14ac:dyDescent="0.25">
      <c r="A980" t="s">
        <v>25</v>
      </c>
      <c r="B980" t="s">
        <v>1845</v>
      </c>
      <c r="C980">
        <v>27904</v>
      </c>
      <c r="D980">
        <v>3821</v>
      </c>
      <c r="E980">
        <v>50</v>
      </c>
      <c r="F980">
        <v>3871</v>
      </c>
    </row>
    <row r="981" spans="1:6" x14ac:dyDescent="0.25">
      <c r="B981" t="s">
        <v>1865</v>
      </c>
      <c r="D981">
        <v>60457</v>
      </c>
      <c r="E981">
        <v>44350</v>
      </c>
      <c r="F981">
        <v>104807</v>
      </c>
    </row>
    <row r="982" spans="1:6" x14ac:dyDescent="0.25">
      <c r="B982" t="s">
        <v>1866</v>
      </c>
      <c r="D982">
        <v>7006632</v>
      </c>
      <c r="E982">
        <v>217359</v>
      </c>
      <c r="F982">
        <v>7223991</v>
      </c>
    </row>
    <row r="983" spans="1:6" x14ac:dyDescent="0.25">
      <c r="B983" t="s">
        <v>1867</v>
      </c>
    </row>
    <row r="984" spans="1:6" x14ac:dyDescent="0.25">
      <c r="B984" t="s">
        <v>1868</v>
      </c>
    </row>
    <row r="985" spans="1:6" x14ac:dyDescent="0.25">
      <c r="A985" t="s">
        <v>2</v>
      </c>
      <c r="B985" t="s">
        <v>1869</v>
      </c>
      <c r="C985">
        <v>28101</v>
      </c>
      <c r="D985">
        <v>856166</v>
      </c>
      <c r="F985">
        <v>856166</v>
      </c>
    </row>
    <row r="986" spans="1:6" x14ac:dyDescent="0.25">
      <c r="A986" t="s">
        <v>15</v>
      </c>
      <c r="B986" t="s">
        <v>1870</v>
      </c>
      <c r="C986">
        <v>28102</v>
      </c>
      <c r="D986">
        <v>0</v>
      </c>
      <c r="F986">
        <v>0</v>
      </c>
    </row>
    <row r="987" spans="1:6" x14ac:dyDescent="0.25">
      <c r="A987" t="s">
        <v>16</v>
      </c>
      <c r="B987" t="s">
        <v>1871</v>
      </c>
      <c r="C987">
        <v>28103</v>
      </c>
      <c r="D987">
        <v>0</v>
      </c>
      <c r="F987">
        <v>0</v>
      </c>
    </row>
    <row r="988" spans="1:6" x14ac:dyDescent="0.25">
      <c r="A988" t="s">
        <v>25</v>
      </c>
      <c r="B988" t="s">
        <v>1872</v>
      </c>
      <c r="C988">
        <v>28104</v>
      </c>
      <c r="D988">
        <v>0</v>
      </c>
      <c r="F988">
        <v>0</v>
      </c>
    </row>
    <row r="989" spans="1:6" x14ac:dyDescent="0.25">
      <c r="B989" t="s">
        <v>1873</v>
      </c>
      <c r="D989">
        <v>856166</v>
      </c>
      <c r="F989">
        <v>856166</v>
      </c>
    </row>
    <row r="990" spans="1:6" x14ac:dyDescent="0.25">
      <c r="B990" t="s">
        <v>2428</v>
      </c>
    </row>
    <row r="991" spans="1:6" x14ac:dyDescent="0.25">
      <c r="A991" t="s">
        <v>2</v>
      </c>
      <c r="B991" t="s">
        <v>1875</v>
      </c>
      <c r="C991">
        <v>28201</v>
      </c>
      <c r="D991">
        <v>449833</v>
      </c>
      <c r="F991">
        <v>449833</v>
      </c>
    </row>
    <row r="992" spans="1:6" x14ac:dyDescent="0.25">
      <c r="A992" t="s">
        <v>15</v>
      </c>
      <c r="B992" t="s">
        <v>1876</v>
      </c>
      <c r="C992">
        <v>28202</v>
      </c>
      <c r="D992">
        <v>8799830</v>
      </c>
      <c r="F992">
        <v>8799830</v>
      </c>
    </row>
    <row r="993" spans="1:6" x14ac:dyDescent="0.25">
      <c r="A993" t="s">
        <v>16</v>
      </c>
      <c r="B993" t="s">
        <v>1877</v>
      </c>
      <c r="C993">
        <v>28203</v>
      </c>
      <c r="D993">
        <v>0</v>
      </c>
      <c r="F993">
        <v>0</v>
      </c>
    </row>
    <row r="994" spans="1:6" x14ac:dyDescent="0.25">
      <c r="A994" t="s">
        <v>25</v>
      </c>
      <c r="B994" t="s">
        <v>1878</v>
      </c>
      <c r="C994">
        <v>28204</v>
      </c>
      <c r="D994">
        <v>3267409</v>
      </c>
      <c r="F994">
        <v>3267409</v>
      </c>
    </row>
    <row r="995" spans="1:6" x14ac:dyDescent="0.25">
      <c r="A995" t="s">
        <v>26</v>
      </c>
      <c r="B995" t="s">
        <v>2429</v>
      </c>
      <c r="C995">
        <v>28205</v>
      </c>
      <c r="D995">
        <v>8041539</v>
      </c>
      <c r="F995">
        <v>8041539</v>
      </c>
    </row>
    <row r="996" spans="1:6" x14ac:dyDescent="0.25">
      <c r="B996" t="s">
        <v>2430</v>
      </c>
      <c r="D996">
        <v>20558611</v>
      </c>
      <c r="F996">
        <v>20558611</v>
      </c>
    </row>
    <row r="997" spans="1:6" x14ac:dyDescent="0.25">
      <c r="B997" t="s">
        <v>1880</v>
      </c>
    </row>
    <row r="998" spans="1:6" x14ac:dyDescent="0.25">
      <c r="A998" t="s">
        <v>2</v>
      </c>
      <c r="B998" t="s">
        <v>1881</v>
      </c>
      <c r="C998">
        <v>28301</v>
      </c>
      <c r="D998">
        <v>5369</v>
      </c>
      <c r="E998">
        <v>0</v>
      </c>
      <c r="F998">
        <v>5369</v>
      </c>
    </row>
    <row r="999" spans="1:6" x14ac:dyDescent="0.25">
      <c r="A999" t="s">
        <v>15</v>
      </c>
      <c r="B999" t="s">
        <v>1882</v>
      </c>
      <c r="C999">
        <v>28302</v>
      </c>
      <c r="D999">
        <v>32630</v>
      </c>
      <c r="E999">
        <v>0</v>
      </c>
      <c r="F999">
        <v>32630</v>
      </c>
    </row>
    <row r="1000" spans="1:6" x14ac:dyDescent="0.25">
      <c r="A1000" t="s">
        <v>16</v>
      </c>
      <c r="B1000" t="s">
        <v>1883</v>
      </c>
      <c r="C1000">
        <v>28303</v>
      </c>
      <c r="D1000">
        <v>0</v>
      </c>
      <c r="E1000">
        <v>0</v>
      </c>
      <c r="F1000">
        <v>0</v>
      </c>
    </row>
    <row r="1001" spans="1:6" x14ac:dyDescent="0.25">
      <c r="B1001" t="s">
        <v>1884</v>
      </c>
      <c r="D1001">
        <v>37999</v>
      </c>
      <c r="E1001">
        <v>0</v>
      </c>
      <c r="F1001">
        <v>37999</v>
      </c>
    </row>
    <row r="1002" spans="1:6" x14ac:dyDescent="0.25">
      <c r="B1002" t="s">
        <v>1885</v>
      </c>
    </row>
    <row r="1003" spans="1:6" x14ac:dyDescent="0.25">
      <c r="A1003" t="s">
        <v>2</v>
      </c>
      <c r="B1003" t="s">
        <v>1886</v>
      </c>
      <c r="C1003">
        <v>28401</v>
      </c>
      <c r="D1003">
        <v>249929</v>
      </c>
      <c r="E1003">
        <v>818</v>
      </c>
      <c r="F1003">
        <v>250747</v>
      </c>
    </row>
    <row r="1004" spans="1:6" x14ac:dyDescent="0.25">
      <c r="A1004" t="s">
        <v>15</v>
      </c>
      <c r="B1004" t="s">
        <v>1887</v>
      </c>
      <c r="C1004">
        <v>28402</v>
      </c>
      <c r="D1004">
        <v>5913</v>
      </c>
      <c r="E1004">
        <v>2732</v>
      </c>
      <c r="F1004">
        <v>8645</v>
      </c>
    </row>
    <row r="1005" spans="1:6" x14ac:dyDescent="0.25">
      <c r="B1005" t="s">
        <v>1888</v>
      </c>
      <c r="D1005">
        <v>255842</v>
      </c>
      <c r="E1005">
        <v>3550</v>
      </c>
      <c r="F1005">
        <v>259392</v>
      </c>
    </row>
    <row r="1006" spans="1:6" x14ac:dyDescent="0.25">
      <c r="B1006" t="s">
        <v>1889</v>
      </c>
    </row>
    <row r="1007" spans="1:6" x14ac:dyDescent="0.25">
      <c r="A1007" t="s">
        <v>2</v>
      </c>
      <c r="B1007" t="s">
        <v>1890</v>
      </c>
      <c r="C1007">
        <v>28501</v>
      </c>
      <c r="D1007">
        <v>0</v>
      </c>
      <c r="F1007">
        <v>0</v>
      </c>
    </row>
    <row r="1008" spans="1:6" x14ac:dyDescent="0.25">
      <c r="A1008" t="s">
        <v>15</v>
      </c>
      <c r="B1008" t="s">
        <v>1891</v>
      </c>
      <c r="C1008">
        <v>28502</v>
      </c>
      <c r="D1008">
        <v>0</v>
      </c>
      <c r="E1008">
        <v>0</v>
      </c>
      <c r="F1008">
        <v>0</v>
      </c>
    </row>
    <row r="1009" spans="1:6" x14ac:dyDescent="0.25">
      <c r="A1009" t="s">
        <v>16</v>
      </c>
      <c r="B1009" t="s">
        <v>1892</v>
      </c>
      <c r="C1009">
        <v>28503</v>
      </c>
      <c r="D1009">
        <v>0</v>
      </c>
      <c r="F1009">
        <v>0</v>
      </c>
    </row>
    <row r="1010" spans="1:6" x14ac:dyDescent="0.25">
      <c r="A1010" t="s">
        <v>25</v>
      </c>
      <c r="B1010" t="s">
        <v>1893</v>
      </c>
      <c r="C1010">
        <v>28504</v>
      </c>
      <c r="D1010">
        <v>8832</v>
      </c>
      <c r="F1010">
        <v>8832</v>
      </c>
    </row>
    <row r="1011" spans="1:6" x14ac:dyDescent="0.25">
      <c r="B1011" t="s">
        <v>1894</v>
      </c>
      <c r="D1011">
        <v>8832</v>
      </c>
      <c r="E1011">
        <v>0</v>
      </c>
      <c r="F1011">
        <v>8832</v>
      </c>
    </row>
    <row r="1012" spans="1:6" x14ac:dyDescent="0.25">
      <c r="B1012" t="s">
        <v>1895</v>
      </c>
    </row>
    <row r="1013" spans="1:6" x14ac:dyDescent="0.25">
      <c r="A1013" t="s">
        <v>2</v>
      </c>
      <c r="B1013" t="s">
        <v>1896</v>
      </c>
      <c r="C1013">
        <v>28601</v>
      </c>
      <c r="D1013">
        <v>24105</v>
      </c>
      <c r="F1013">
        <v>24105</v>
      </c>
    </row>
    <row r="1014" spans="1:6" x14ac:dyDescent="0.25">
      <c r="A1014" t="s">
        <v>15</v>
      </c>
      <c r="B1014" t="s">
        <v>1897</v>
      </c>
      <c r="C1014">
        <v>28602</v>
      </c>
      <c r="D1014">
        <v>11649</v>
      </c>
      <c r="F1014">
        <v>11649</v>
      </c>
    </row>
    <row r="1015" spans="1:6" x14ac:dyDescent="0.25">
      <c r="B1015" t="s">
        <v>1898</v>
      </c>
      <c r="D1015">
        <v>35754</v>
      </c>
      <c r="F1015">
        <v>35754</v>
      </c>
    </row>
    <row r="1016" spans="1:6" x14ac:dyDescent="0.25">
      <c r="B1016" t="s">
        <v>1899</v>
      </c>
    </row>
    <row r="1017" spans="1:6" x14ac:dyDescent="0.25">
      <c r="A1017" t="s">
        <v>2</v>
      </c>
      <c r="B1017" t="s">
        <v>1900</v>
      </c>
      <c r="C1017">
        <v>28701</v>
      </c>
      <c r="D1017">
        <v>83</v>
      </c>
      <c r="F1017">
        <v>83</v>
      </c>
    </row>
    <row r="1018" spans="1:6" x14ac:dyDescent="0.25">
      <c r="A1018" t="s">
        <v>15</v>
      </c>
      <c r="B1018" t="s">
        <v>1901</v>
      </c>
      <c r="C1018">
        <v>28702</v>
      </c>
      <c r="D1018">
        <v>0</v>
      </c>
      <c r="F1018">
        <v>0</v>
      </c>
    </row>
    <row r="1019" spans="1:6" x14ac:dyDescent="0.25">
      <c r="A1019" t="s">
        <v>16</v>
      </c>
      <c r="B1019" t="s">
        <v>1902</v>
      </c>
      <c r="C1019">
        <v>28703</v>
      </c>
      <c r="D1019">
        <v>97</v>
      </c>
      <c r="F1019">
        <v>97</v>
      </c>
    </row>
    <row r="1020" spans="1:6" x14ac:dyDescent="0.25">
      <c r="A1020" t="s">
        <v>25</v>
      </c>
      <c r="B1020" t="s">
        <v>1903</v>
      </c>
      <c r="C1020">
        <v>28704</v>
      </c>
      <c r="D1020">
        <v>0</v>
      </c>
      <c r="F1020">
        <v>0</v>
      </c>
    </row>
    <row r="1021" spans="1:6" x14ac:dyDescent="0.25">
      <c r="B1021" t="s">
        <v>1904</v>
      </c>
      <c r="D1021">
        <v>180</v>
      </c>
      <c r="F1021">
        <v>180</v>
      </c>
    </row>
    <row r="1022" spans="1:6" x14ac:dyDescent="0.25">
      <c r="B1022" t="s">
        <v>1905</v>
      </c>
    </row>
    <row r="1023" spans="1:6" x14ac:dyDescent="0.25">
      <c r="A1023" t="s">
        <v>2</v>
      </c>
      <c r="B1023" t="s">
        <v>1906</v>
      </c>
      <c r="C1023">
        <v>28801</v>
      </c>
      <c r="D1023">
        <v>395370</v>
      </c>
      <c r="E1023">
        <v>0</v>
      </c>
      <c r="F1023">
        <v>395370</v>
      </c>
    </row>
    <row r="1024" spans="1:6" x14ac:dyDescent="0.25">
      <c r="A1024" t="s">
        <v>15</v>
      </c>
      <c r="B1024" t="s">
        <v>1908</v>
      </c>
      <c r="C1024">
        <v>28803</v>
      </c>
      <c r="D1024">
        <v>26903</v>
      </c>
      <c r="E1024">
        <v>22276</v>
      </c>
      <c r="F1024">
        <v>49179</v>
      </c>
    </row>
    <row r="1025" spans="1:6" x14ac:dyDescent="0.25">
      <c r="B1025" t="s">
        <v>1909</v>
      </c>
      <c r="D1025">
        <v>422273</v>
      </c>
      <c r="E1025">
        <v>22276</v>
      </c>
      <c r="F1025">
        <v>444549</v>
      </c>
    </row>
    <row r="1026" spans="1:6" x14ac:dyDescent="0.25">
      <c r="B1026" t="s">
        <v>1910</v>
      </c>
      <c r="D1026">
        <v>22175657</v>
      </c>
      <c r="E1026">
        <v>25826</v>
      </c>
      <c r="F1026">
        <v>22201483</v>
      </c>
    </row>
    <row r="1027" spans="1:6" x14ac:dyDescent="0.25">
      <c r="B1027" t="s">
        <v>2431</v>
      </c>
    </row>
    <row r="1028" spans="1:6" x14ac:dyDescent="0.25">
      <c r="B1028" t="s">
        <v>1912</v>
      </c>
    </row>
    <row r="1029" spans="1:6" x14ac:dyDescent="0.25">
      <c r="A1029" t="s">
        <v>2</v>
      </c>
      <c r="B1029" t="s">
        <v>1913</v>
      </c>
      <c r="C1029">
        <v>29101</v>
      </c>
      <c r="D1029">
        <v>13760</v>
      </c>
      <c r="F1029">
        <v>13760</v>
      </c>
    </row>
    <row r="1030" spans="1:6" x14ac:dyDescent="0.25">
      <c r="A1030" t="s">
        <v>15</v>
      </c>
      <c r="B1030" t="s">
        <v>1914</v>
      </c>
      <c r="C1030">
        <v>29102</v>
      </c>
      <c r="D1030">
        <v>0</v>
      </c>
      <c r="F1030">
        <v>0</v>
      </c>
    </row>
    <row r="1031" spans="1:6" x14ac:dyDescent="0.25">
      <c r="A1031" t="s">
        <v>16</v>
      </c>
      <c r="B1031" t="s">
        <v>1915</v>
      </c>
      <c r="C1031">
        <v>29103</v>
      </c>
      <c r="D1031">
        <v>18510</v>
      </c>
      <c r="F1031">
        <v>18510</v>
      </c>
    </row>
    <row r="1032" spans="1:6" x14ac:dyDescent="0.25">
      <c r="A1032" t="s">
        <v>25</v>
      </c>
      <c r="B1032" t="s">
        <v>1916</v>
      </c>
      <c r="C1032">
        <v>29104</v>
      </c>
      <c r="D1032">
        <v>0</v>
      </c>
      <c r="F1032">
        <v>0</v>
      </c>
    </row>
    <row r="1033" spans="1:6" x14ac:dyDescent="0.25">
      <c r="A1033" t="s">
        <v>26</v>
      </c>
      <c r="B1033" t="s">
        <v>1917</v>
      </c>
      <c r="C1033">
        <v>29105</v>
      </c>
      <c r="D1033">
        <v>0</v>
      </c>
      <c r="F1033">
        <v>0</v>
      </c>
    </row>
    <row r="1034" spans="1:6" x14ac:dyDescent="0.25">
      <c r="A1034" t="s">
        <v>27</v>
      </c>
      <c r="B1034" t="s">
        <v>1918</v>
      </c>
      <c r="C1034">
        <v>29106</v>
      </c>
      <c r="D1034">
        <v>0</v>
      </c>
      <c r="F1034">
        <v>0</v>
      </c>
    </row>
    <row r="1035" spans="1:6" x14ac:dyDescent="0.25">
      <c r="A1035" t="s">
        <v>531</v>
      </c>
      <c r="B1035" t="s">
        <v>1919</v>
      </c>
      <c r="C1035">
        <v>29107</v>
      </c>
      <c r="D1035">
        <v>0</v>
      </c>
      <c r="F1035">
        <v>0</v>
      </c>
    </row>
    <row r="1036" spans="1:6" x14ac:dyDescent="0.25">
      <c r="B1036" t="s">
        <v>1920</v>
      </c>
      <c r="D1036">
        <v>32270</v>
      </c>
      <c r="F1036">
        <v>32270</v>
      </c>
    </row>
    <row r="1037" spans="1:6" x14ac:dyDescent="0.25">
      <c r="B1037" t="s">
        <v>1921</v>
      </c>
    </row>
    <row r="1038" spans="1:6" x14ac:dyDescent="0.25">
      <c r="A1038" t="s">
        <v>2</v>
      </c>
      <c r="B1038" t="s">
        <v>1922</v>
      </c>
      <c r="C1038">
        <v>29201</v>
      </c>
      <c r="D1038">
        <v>0</v>
      </c>
      <c r="E1038">
        <v>0</v>
      </c>
      <c r="F1038">
        <v>0</v>
      </c>
    </row>
    <row r="1039" spans="1:6" x14ac:dyDescent="0.25">
      <c r="A1039" t="s">
        <v>15</v>
      </c>
      <c r="B1039" t="s">
        <v>1923</v>
      </c>
      <c r="C1039">
        <v>29202</v>
      </c>
      <c r="D1039">
        <v>0</v>
      </c>
      <c r="E1039">
        <v>0</v>
      </c>
      <c r="F1039">
        <v>0</v>
      </c>
    </row>
    <row r="1040" spans="1:6" x14ac:dyDescent="0.25">
      <c r="A1040" t="s">
        <v>16</v>
      </c>
      <c r="B1040" t="s">
        <v>1924</v>
      </c>
      <c r="C1040">
        <v>29203</v>
      </c>
      <c r="D1040">
        <v>0</v>
      </c>
      <c r="E1040">
        <v>0</v>
      </c>
      <c r="F1040">
        <v>0</v>
      </c>
    </row>
    <row r="1041" spans="1:6" x14ac:dyDescent="0.25">
      <c r="A1041" t="s">
        <v>25</v>
      </c>
      <c r="B1041" t="s">
        <v>1925</v>
      </c>
      <c r="C1041">
        <v>29204</v>
      </c>
      <c r="D1041">
        <v>0</v>
      </c>
      <c r="E1041">
        <v>0</v>
      </c>
      <c r="F1041">
        <v>0</v>
      </c>
    </row>
    <row r="1042" spans="1:6" x14ac:dyDescent="0.25">
      <c r="A1042" t="s">
        <v>26</v>
      </c>
      <c r="B1042" t="s">
        <v>1926</v>
      </c>
      <c r="C1042">
        <v>29205</v>
      </c>
      <c r="D1042">
        <v>13150</v>
      </c>
      <c r="E1042">
        <v>0</v>
      </c>
      <c r="F1042">
        <v>13150</v>
      </c>
    </row>
    <row r="1043" spans="1:6" x14ac:dyDescent="0.25">
      <c r="A1043" t="s">
        <v>27</v>
      </c>
      <c r="B1043" t="s">
        <v>1927</v>
      </c>
      <c r="C1043">
        <v>29206</v>
      </c>
      <c r="D1043">
        <v>0</v>
      </c>
      <c r="E1043">
        <v>0</v>
      </c>
      <c r="F1043">
        <v>0</v>
      </c>
    </row>
    <row r="1044" spans="1:6" x14ac:dyDescent="0.25">
      <c r="A1044" t="s">
        <v>531</v>
      </c>
      <c r="B1044" t="s">
        <v>1928</v>
      </c>
      <c r="C1044">
        <v>29207</v>
      </c>
      <c r="D1044">
        <v>0</v>
      </c>
      <c r="E1044">
        <v>0</v>
      </c>
      <c r="F1044">
        <v>0</v>
      </c>
    </row>
    <row r="1045" spans="1:6" x14ac:dyDescent="0.25">
      <c r="A1045" t="s">
        <v>1583</v>
      </c>
      <c r="B1045" t="s">
        <v>1929</v>
      </c>
      <c r="C1045">
        <v>29208</v>
      </c>
      <c r="D1045">
        <v>0</v>
      </c>
      <c r="E1045">
        <v>0</v>
      </c>
      <c r="F1045">
        <v>0</v>
      </c>
    </row>
    <row r="1046" spans="1:6" x14ac:dyDescent="0.25">
      <c r="B1046" t="s">
        <v>1930</v>
      </c>
      <c r="D1046">
        <v>13150</v>
      </c>
      <c r="E1046">
        <v>0</v>
      </c>
      <c r="F1046">
        <v>13150</v>
      </c>
    </row>
    <row r="1047" spans="1:6" x14ac:dyDescent="0.25">
      <c r="B1047" t="s">
        <v>1931</v>
      </c>
    </row>
    <row r="1048" spans="1:6" x14ac:dyDescent="0.25">
      <c r="A1048" t="s">
        <v>2</v>
      </c>
      <c r="B1048" t="s">
        <v>1932</v>
      </c>
      <c r="C1048">
        <v>29301</v>
      </c>
      <c r="D1048">
        <v>0</v>
      </c>
      <c r="F1048">
        <v>0</v>
      </c>
    </row>
    <row r="1049" spans="1:6" x14ac:dyDescent="0.25">
      <c r="A1049" t="s">
        <v>15</v>
      </c>
      <c r="B1049" t="s">
        <v>1933</v>
      </c>
      <c r="C1049">
        <v>29302</v>
      </c>
      <c r="D1049">
        <v>0</v>
      </c>
      <c r="F1049">
        <v>0</v>
      </c>
    </row>
    <row r="1050" spans="1:6" x14ac:dyDescent="0.25">
      <c r="A1050" t="s">
        <v>16</v>
      </c>
      <c r="B1050" t="s">
        <v>1934</v>
      </c>
      <c r="C1050">
        <v>29303</v>
      </c>
      <c r="D1050">
        <v>0</v>
      </c>
      <c r="F1050">
        <v>0</v>
      </c>
    </row>
    <row r="1051" spans="1:6" x14ac:dyDescent="0.25">
      <c r="A1051" t="s">
        <v>25</v>
      </c>
      <c r="B1051" t="s">
        <v>1935</v>
      </c>
      <c r="C1051">
        <v>29304</v>
      </c>
      <c r="D1051">
        <v>0</v>
      </c>
      <c r="F1051">
        <v>0</v>
      </c>
    </row>
    <row r="1052" spans="1:6" x14ac:dyDescent="0.25">
      <c r="B1052" t="s">
        <v>1936</v>
      </c>
      <c r="D1052">
        <v>0</v>
      </c>
      <c r="F1052">
        <v>0</v>
      </c>
    </row>
    <row r="1053" spans="1:6" x14ac:dyDescent="0.25">
      <c r="B1053" t="s">
        <v>1937</v>
      </c>
    </row>
    <row r="1054" spans="1:6" x14ac:dyDescent="0.25">
      <c r="A1054" t="s">
        <v>2</v>
      </c>
      <c r="B1054" t="s">
        <v>1938</v>
      </c>
      <c r="C1054">
        <v>29401</v>
      </c>
      <c r="D1054">
        <v>147</v>
      </c>
      <c r="E1054">
        <v>0</v>
      </c>
      <c r="F1054">
        <v>147</v>
      </c>
    </row>
    <row r="1055" spans="1:6" x14ac:dyDescent="0.25">
      <c r="A1055" t="s">
        <v>15</v>
      </c>
      <c r="B1055" t="s">
        <v>1939</v>
      </c>
      <c r="C1055">
        <v>29402</v>
      </c>
      <c r="D1055">
        <v>1407</v>
      </c>
      <c r="E1055">
        <v>0</v>
      </c>
      <c r="F1055">
        <v>1407</v>
      </c>
    </row>
    <row r="1056" spans="1:6" x14ac:dyDescent="0.25">
      <c r="A1056" t="s">
        <v>16</v>
      </c>
      <c r="B1056" t="s">
        <v>1940</v>
      </c>
      <c r="C1056">
        <v>29403</v>
      </c>
      <c r="D1056">
        <v>8439</v>
      </c>
      <c r="E1056">
        <v>0</v>
      </c>
      <c r="F1056">
        <v>8439</v>
      </c>
    </row>
    <row r="1057" spans="1:6" x14ac:dyDescent="0.25">
      <c r="A1057" t="s">
        <v>25</v>
      </c>
      <c r="B1057" t="s">
        <v>1941</v>
      </c>
      <c r="C1057">
        <v>29404</v>
      </c>
      <c r="D1057">
        <v>0</v>
      </c>
      <c r="E1057">
        <v>0</v>
      </c>
      <c r="F1057">
        <v>0</v>
      </c>
    </row>
    <row r="1058" spans="1:6" x14ac:dyDescent="0.25">
      <c r="A1058" t="s">
        <v>26</v>
      </c>
      <c r="B1058" t="s">
        <v>1942</v>
      </c>
      <c r="C1058">
        <v>29405</v>
      </c>
      <c r="D1058">
        <v>4640</v>
      </c>
      <c r="E1058">
        <v>8</v>
      </c>
      <c r="F1058">
        <v>4648</v>
      </c>
    </row>
    <row r="1059" spans="1:6" x14ac:dyDescent="0.25">
      <c r="A1059" t="s">
        <v>27</v>
      </c>
      <c r="B1059" t="s">
        <v>1943</v>
      </c>
      <c r="C1059">
        <v>29406</v>
      </c>
      <c r="D1059">
        <v>14546</v>
      </c>
      <c r="E1059">
        <v>3146</v>
      </c>
      <c r="F1059">
        <v>17692</v>
      </c>
    </row>
    <row r="1060" spans="1:6" x14ac:dyDescent="0.25">
      <c r="A1060" t="s">
        <v>531</v>
      </c>
      <c r="B1060" t="s">
        <v>1944</v>
      </c>
      <c r="C1060">
        <v>29407</v>
      </c>
      <c r="D1060">
        <v>8784</v>
      </c>
      <c r="E1060">
        <v>0</v>
      </c>
      <c r="F1060">
        <v>8784</v>
      </c>
    </row>
    <row r="1061" spans="1:6" x14ac:dyDescent="0.25">
      <c r="B1061" t="s">
        <v>1945</v>
      </c>
      <c r="D1061">
        <v>37963</v>
      </c>
      <c r="E1061">
        <v>3154</v>
      </c>
      <c r="F1061">
        <v>41117</v>
      </c>
    </row>
    <row r="1062" spans="1:6" x14ac:dyDescent="0.25">
      <c r="B1062" t="s">
        <v>1946</v>
      </c>
      <c r="D1062">
        <v>83383</v>
      </c>
      <c r="E1062">
        <v>3154</v>
      </c>
      <c r="F1062">
        <v>86537</v>
      </c>
    </row>
    <row r="1063" spans="1:6" x14ac:dyDescent="0.25">
      <c r="B1063" t="s">
        <v>2274</v>
      </c>
      <c r="D1063">
        <v>164981459</v>
      </c>
      <c r="E1063">
        <v>252685</v>
      </c>
      <c r="F1063">
        <v>165234144</v>
      </c>
    </row>
    <row r="1064" spans="1:6" x14ac:dyDescent="0.25">
      <c r="B1064" t="s">
        <v>1948</v>
      </c>
      <c r="D1064">
        <v>288819646</v>
      </c>
      <c r="E1064">
        <v>1226848</v>
      </c>
      <c r="F1064">
        <v>290046494</v>
      </c>
    </row>
    <row r="1065" spans="1:6" x14ac:dyDescent="0.25">
      <c r="B1065" t="s">
        <v>1949</v>
      </c>
    </row>
    <row r="1066" spans="1:6" x14ac:dyDescent="0.25">
      <c r="B1066" t="s">
        <v>1950</v>
      </c>
    </row>
    <row r="1067" spans="1:6" x14ac:dyDescent="0.25">
      <c r="B1067" t="s">
        <v>1672</v>
      </c>
    </row>
    <row r="1068" spans="1:6" x14ac:dyDescent="0.25">
      <c r="A1068" t="s">
        <v>2</v>
      </c>
      <c r="B1068" t="s">
        <v>1673</v>
      </c>
      <c r="C1068">
        <v>31101</v>
      </c>
      <c r="D1068">
        <v>81132</v>
      </c>
      <c r="E1068">
        <v>0</v>
      </c>
      <c r="F1068">
        <v>81132</v>
      </c>
    </row>
    <row r="1069" spans="1:6" x14ac:dyDescent="0.25">
      <c r="A1069" t="s">
        <v>15</v>
      </c>
      <c r="B1069" t="s">
        <v>1674</v>
      </c>
      <c r="C1069">
        <v>31102</v>
      </c>
      <c r="D1069">
        <v>67251</v>
      </c>
      <c r="E1069">
        <v>5119</v>
      </c>
      <c r="F1069">
        <v>72370</v>
      </c>
    </row>
    <row r="1070" spans="1:6" x14ac:dyDescent="0.25">
      <c r="A1070" t="s">
        <v>16</v>
      </c>
      <c r="B1070" t="s">
        <v>1675</v>
      </c>
      <c r="C1070">
        <v>31103</v>
      </c>
      <c r="D1070">
        <v>27486</v>
      </c>
      <c r="E1070">
        <v>15240</v>
      </c>
      <c r="F1070">
        <v>42726</v>
      </c>
    </row>
    <row r="1071" spans="1:6" x14ac:dyDescent="0.25">
      <c r="A1071" t="s">
        <v>25</v>
      </c>
      <c r="B1071" t="s">
        <v>1676</v>
      </c>
      <c r="C1071">
        <v>31104</v>
      </c>
      <c r="D1071">
        <v>0</v>
      </c>
      <c r="E1071">
        <v>0</v>
      </c>
      <c r="F1071">
        <v>0</v>
      </c>
    </row>
    <row r="1072" spans="1:6" x14ac:dyDescent="0.25">
      <c r="A1072" t="s">
        <v>26</v>
      </c>
      <c r="B1072" t="s">
        <v>1677</v>
      </c>
      <c r="C1072">
        <v>31105</v>
      </c>
      <c r="D1072">
        <v>0</v>
      </c>
      <c r="E1072">
        <v>0</v>
      </c>
      <c r="F1072">
        <v>0</v>
      </c>
    </row>
    <row r="1073" spans="1:6" x14ac:dyDescent="0.25">
      <c r="B1073" t="s">
        <v>1951</v>
      </c>
      <c r="D1073">
        <v>175869</v>
      </c>
      <c r="E1073">
        <v>20359</v>
      </c>
      <c r="F1073">
        <v>196228</v>
      </c>
    </row>
    <row r="1074" spans="1:6" x14ac:dyDescent="0.25">
      <c r="B1074" t="s">
        <v>1679</v>
      </c>
    </row>
    <row r="1075" spans="1:6" x14ac:dyDescent="0.25">
      <c r="A1075" t="s">
        <v>2</v>
      </c>
      <c r="B1075" t="s">
        <v>1680</v>
      </c>
      <c r="C1075">
        <v>31201</v>
      </c>
      <c r="D1075">
        <v>0</v>
      </c>
      <c r="E1075">
        <v>0</v>
      </c>
      <c r="F1075">
        <v>0</v>
      </c>
    </row>
    <row r="1076" spans="1:6" x14ac:dyDescent="0.25">
      <c r="A1076" t="s">
        <v>15</v>
      </c>
      <c r="B1076" t="s">
        <v>1681</v>
      </c>
      <c r="C1076">
        <v>31202</v>
      </c>
      <c r="D1076">
        <v>0</v>
      </c>
      <c r="E1076">
        <v>0</v>
      </c>
      <c r="F1076">
        <v>0</v>
      </c>
    </row>
    <row r="1077" spans="1:6" x14ac:dyDescent="0.25">
      <c r="A1077" t="s">
        <v>16</v>
      </c>
      <c r="B1077" t="s">
        <v>1682</v>
      </c>
      <c r="C1077">
        <v>31203</v>
      </c>
      <c r="D1077">
        <v>1056</v>
      </c>
      <c r="E1077">
        <v>0</v>
      </c>
      <c r="F1077">
        <v>1056</v>
      </c>
    </row>
    <row r="1078" spans="1:6" x14ac:dyDescent="0.25">
      <c r="A1078" t="s">
        <v>25</v>
      </c>
      <c r="B1078" t="s">
        <v>1683</v>
      </c>
      <c r="C1078">
        <v>31204</v>
      </c>
      <c r="D1078">
        <v>0</v>
      </c>
      <c r="E1078">
        <v>0</v>
      </c>
      <c r="F1078">
        <v>0</v>
      </c>
    </row>
    <row r="1079" spans="1:6" x14ac:dyDescent="0.25">
      <c r="A1079" t="s">
        <v>26</v>
      </c>
      <c r="B1079" t="s">
        <v>1684</v>
      </c>
      <c r="C1079">
        <v>31205</v>
      </c>
      <c r="D1079">
        <v>33393</v>
      </c>
      <c r="E1079">
        <v>0</v>
      </c>
      <c r="F1079">
        <v>33393</v>
      </c>
    </row>
    <row r="1080" spans="1:6" x14ac:dyDescent="0.25">
      <c r="A1080" t="s">
        <v>27</v>
      </c>
      <c r="B1080" t="s">
        <v>1685</v>
      </c>
      <c r="C1080">
        <v>31206</v>
      </c>
      <c r="D1080">
        <v>166</v>
      </c>
      <c r="E1080">
        <v>0</v>
      </c>
      <c r="F1080">
        <v>166</v>
      </c>
    </row>
    <row r="1081" spans="1:6" x14ac:dyDescent="0.25">
      <c r="A1081" t="s">
        <v>531</v>
      </c>
      <c r="B1081" t="s">
        <v>1686</v>
      </c>
      <c r="C1081">
        <v>31207</v>
      </c>
      <c r="D1081">
        <v>22052</v>
      </c>
      <c r="E1081">
        <v>0</v>
      </c>
      <c r="F1081">
        <v>22052</v>
      </c>
    </row>
    <row r="1082" spans="1:6" x14ac:dyDescent="0.25">
      <c r="A1082" t="s">
        <v>1583</v>
      </c>
      <c r="B1082" t="s">
        <v>1687</v>
      </c>
      <c r="C1082">
        <v>31208</v>
      </c>
      <c r="D1082">
        <v>98193</v>
      </c>
      <c r="E1082">
        <v>417</v>
      </c>
      <c r="F1082">
        <v>98610</v>
      </c>
    </row>
    <row r="1083" spans="1:6" x14ac:dyDescent="0.25">
      <c r="A1083" t="s">
        <v>1585</v>
      </c>
      <c r="B1083" t="s">
        <v>1688</v>
      </c>
      <c r="C1083">
        <v>31209</v>
      </c>
      <c r="D1083">
        <v>14017</v>
      </c>
      <c r="E1083">
        <v>0</v>
      </c>
      <c r="F1083">
        <v>14017</v>
      </c>
    </row>
    <row r="1084" spans="1:6" x14ac:dyDescent="0.25">
      <c r="A1084" t="s">
        <v>1587</v>
      </c>
      <c r="B1084" t="s">
        <v>1637</v>
      </c>
      <c r="C1084">
        <v>31210</v>
      </c>
      <c r="D1084">
        <v>0</v>
      </c>
      <c r="E1084">
        <v>0</v>
      </c>
      <c r="F1084">
        <v>0</v>
      </c>
    </row>
    <row r="1085" spans="1:6" x14ac:dyDescent="0.25">
      <c r="A1085" t="s">
        <v>1589</v>
      </c>
      <c r="B1085" t="s">
        <v>1640</v>
      </c>
      <c r="C1085">
        <v>31211</v>
      </c>
      <c r="D1085">
        <v>0</v>
      </c>
      <c r="E1085">
        <v>0</v>
      </c>
      <c r="F1085">
        <v>0</v>
      </c>
    </row>
    <row r="1086" spans="1:6" x14ac:dyDescent="0.25">
      <c r="A1086" t="s">
        <v>1591</v>
      </c>
      <c r="B1086" t="s">
        <v>1689</v>
      </c>
      <c r="C1086">
        <v>31212</v>
      </c>
      <c r="D1086">
        <v>3737</v>
      </c>
      <c r="E1086">
        <v>0</v>
      </c>
      <c r="F1086">
        <v>3737</v>
      </c>
    </row>
    <row r="1087" spans="1:6" x14ac:dyDescent="0.25">
      <c r="A1087" t="s">
        <v>1593</v>
      </c>
      <c r="B1087" t="s">
        <v>1690</v>
      </c>
      <c r="C1087">
        <v>31213</v>
      </c>
      <c r="D1087">
        <v>0</v>
      </c>
      <c r="E1087">
        <v>0</v>
      </c>
      <c r="F1087">
        <v>0</v>
      </c>
    </row>
    <row r="1088" spans="1:6" x14ac:dyDescent="0.25">
      <c r="B1088" t="s">
        <v>1952</v>
      </c>
      <c r="D1088">
        <v>172614</v>
      </c>
      <c r="E1088">
        <v>417</v>
      </c>
      <c r="F1088">
        <v>173031</v>
      </c>
    </row>
    <row r="1089" spans="1:6" x14ac:dyDescent="0.25">
      <c r="B1089" t="s">
        <v>1692</v>
      </c>
    </row>
    <row r="1090" spans="1:6" x14ac:dyDescent="0.25">
      <c r="A1090" t="s">
        <v>2</v>
      </c>
      <c r="B1090" t="s">
        <v>1693</v>
      </c>
      <c r="C1090">
        <v>31301</v>
      </c>
      <c r="D1090">
        <v>0</v>
      </c>
      <c r="E1090">
        <v>0</v>
      </c>
      <c r="F1090">
        <v>0</v>
      </c>
    </row>
    <row r="1091" spans="1:6" x14ac:dyDescent="0.25">
      <c r="A1091" t="s">
        <v>15</v>
      </c>
      <c r="B1091" t="s">
        <v>1694</v>
      </c>
      <c r="C1091">
        <v>31302</v>
      </c>
      <c r="D1091">
        <v>3031585</v>
      </c>
      <c r="E1091">
        <v>0</v>
      </c>
      <c r="F1091">
        <v>3031585</v>
      </c>
    </row>
    <row r="1092" spans="1:6" x14ac:dyDescent="0.25">
      <c r="A1092" t="s">
        <v>16</v>
      </c>
      <c r="B1092" t="s">
        <v>1695</v>
      </c>
      <c r="C1092">
        <v>31303</v>
      </c>
      <c r="D1092">
        <v>0</v>
      </c>
      <c r="E1092">
        <v>0</v>
      </c>
      <c r="F1092">
        <v>0</v>
      </c>
    </row>
    <row r="1093" spans="1:6" x14ac:dyDescent="0.25">
      <c r="A1093" t="s">
        <v>25</v>
      </c>
      <c r="B1093" t="s">
        <v>1696</v>
      </c>
      <c r="C1093">
        <v>31304</v>
      </c>
      <c r="D1093">
        <v>0</v>
      </c>
      <c r="E1093">
        <v>0</v>
      </c>
      <c r="F1093">
        <v>0</v>
      </c>
    </row>
    <row r="1094" spans="1:6" x14ac:dyDescent="0.25">
      <c r="A1094" t="s">
        <v>26</v>
      </c>
      <c r="B1094" t="s">
        <v>1680</v>
      </c>
      <c r="C1094">
        <v>31305</v>
      </c>
      <c r="D1094">
        <v>0</v>
      </c>
      <c r="E1094">
        <v>0</v>
      </c>
      <c r="F1094">
        <v>0</v>
      </c>
    </row>
    <row r="1095" spans="1:6" x14ac:dyDescent="0.25">
      <c r="A1095" t="s">
        <v>27</v>
      </c>
      <c r="B1095" t="s">
        <v>1681</v>
      </c>
      <c r="C1095">
        <v>31306</v>
      </c>
      <c r="D1095">
        <v>0</v>
      </c>
      <c r="E1095">
        <v>0</v>
      </c>
      <c r="F1095">
        <v>0</v>
      </c>
    </row>
    <row r="1096" spans="1:6" x14ac:dyDescent="0.25">
      <c r="A1096" t="s">
        <v>531</v>
      </c>
      <c r="B1096" t="s">
        <v>1682</v>
      </c>
      <c r="C1096">
        <v>31307</v>
      </c>
      <c r="D1096">
        <v>538889</v>
      </c>
      <c r="E1096">
        <v>0</v>
      </c>
      <c r="F1096">
        <v>538889</v>
      </c>
    </row>
    <row r="1097" spans="1:6" x14ac:dyDescent="0.25">
      <c r="A1097" t="s">
        <v>1583</v>
      </c>
      <c r="B1097" t="s">
        <v>1683</v>
      </c>
      <c r="C1097">
        <v>31308</v>
      </c>
      <c r="D1097">
        <v>0</v>
      </c>
      <c r="E1097">
        <v>0</v>
      </c>
      <c r="F1097">
        <v>0</v>
      </c>
    </row>
    <row r="1098" spans="1:6" x14ac:dyDescent="0.25">
      <c r="A1098" t="s">
        <v>1585</v>
      </c>
      <c r="B1098" t="s">
        <v>1684</v>
      </c>
      <c r="C1098">
        <v>31309</v>
      </c>
      <c r="D1098">
        <v>110758</v>
      </c>
      <c r="E1098">
        <v>0</v>
      </c>
      <c r="F1098">
        <v>110758</v>
      </c>
    </row>
    <row r="1099" spans="1:6" x14ac:dyDescent="0.25">
      <c r="A1099" t="s">
        <v>1587</v>
      </c>
      <c r="B1099" t="s">
        <v>1685</v>
      </c>
      <c r="C1099">
        <v>31310</v>
      </c>
      <c r="D1099">
        <v>275915</v>
      </c>
      <c r="E1099">
        <v>0</v>
      </c>
      <c r="F1099">
        <v>275915</v>
      </c>
    </row>
    <row r="1100" spans="1:6" x14ac:dyDescent="0.25">
      <c r="A1100" t="s">
        <v>1589</v>
      </c>
      <c r="B1100" t="s">
        <v>1686</v>
      </c>
      <c r="C1100">
        <v>31311</v>
      </c>
      <c r="D1100">
        <v>293462</v>
      </c>
      <c r="E1100">
        <v>241</v>
      </c>
      <c r="F1100">
        <v>293703</v>
      </c>
    </row>
    <row r="1101" spans="1:6" x14ac:dyDescent="0.25">
      <c r="A1101" t="s">
        <v>1591</v>
      </c>
      <c r="B1101" t="s">
        <v>1687</v>
      </c>
      <c r="C1101">
        <v>31312</v>
      </c>
      <c r="D1101">
        <v>2944355</v>
      </c>
      <c r="E1101">
        <v>59986</v>
      </c>
      <c r="F1101">
        <v>3004341</v>
      </c>
    </row>
    <row r="1102" spans="1:6" x14ac:dyDescent="0.25">
      <c r="A1102" t="s">
        <v>1593</v>
      </c>
      <c r="B1102" t="s">
        <v>1688</v>
      </c>
      <c r="C1102">
        <v>31313</v>
      </c>
      <c r="D1102">
        <v>5916755</v>
      </c>
      <c r="E1102">
        <v>4</v>
      </c>
      <c r="F1102">
        <v>5916759</v>
      </c>
    </row>
    <row r="1103" spans="1:6" x14ac:dyDescent="0.25">
      <c r="A1103" t="s">
        <v>1595</v>
      </c>
      <c r="B1103" t="s">
        <v>1690</v>
      </c>
      <c r="C1103">
        <v>31314</v>
      </c>
      <c r="D1103">
        <v>7118</v>
      </c>
      <c r="E1103">
        <v>3095540</v>
      </c>
      <c r="F1103">
        <v>3102658</v>
      </c>
    </row>
    <row r="1104" spans="1:6" x14ac:dyDescent="0.25">
      <c r="A1104" t="s">
        <v>1597</v>
      </c>
      <c r="B1104" t="s">
        <v>1637</v>
      </c>
      <c r="C1104">
        <v>31315</v>
      </c>
      <c r="D1104">
        <v>0</v>
      </c>
      <c r="E1104">
        <v>0</v>
      </c>
      <c r="F1104">
        <v>0</v>
      </c>
    </row>
    <row r="1105" spans="1:6" x14ac:dyDescent="0.25">
      <c r="A1105" t="s">
        <v>1599</v>
      </c>
      <c r="B1105" t="s">
        <v>1640</v>
      </c>
      <c r="C1105">
        <v>31316</v>
      </c>
      <c r="D1105">
        <v>0</v>
      </c>
      <c r="E1105">
        <v>0</v>
      </c>
      <c r="F1105">
        <v>0</v>
      </c>
    </row>
    <row r="1106" spans="1:6" x14ac:dyDescent="0.25">
      <c r="A1106" t="s">
        <v>1601</v>
      </c>
      <c r="B1106" t="s">
        <v>1636</v>
      </c>
      <c r="C1106">
        <v>31317</v>
      </c>
      <c r="D1106">
        <v>0</v>
      </c>
      <c r="E1106">
        <v>0</v>
      </c>
      <c r="F1106">
        <v>0</v>
      </c>
    </row>
    <row r="1107" spans="1:6" x14ac:dyDescent="0.25">
      <c r="A1107" t="s">
        <v>1603</v>
      </c>
      <c r="B1107" t="s">
        <v>1689</v>
      </c>
      <c r="C1107">
        <v>31318</v>
      </c>
      <c r="D1107">
        <v>0</v>
      </c>
      <c r="E1107">
        <v>0</v>
      </c>
      <c r="F1107">
        <v>0</v>
      </c>
    </row>
    <row r="1108" spans="1:6" x14ac:dyDescent="0.25">
      <c r="B1108" t="s">
        <v>1953</v>
      </c>
      <c r="D1108">
        <v>13118837</v>
      </c>
      <c r="E1108">
        <v>3155771</v>
      </c>
      <c r="F1108">
        <v>16274608</v>
      </c>
    </row>
    <row r="1109" spans="1:6" x14ac:dyDescent="0.25">
      <c r="B1109" t="s">
        <v>1698</v>
      </c>
    </row>
    <row r="1110" spans="1:6" x14ac:dyDescent="0.25">
      <c r="A1110" t="s">
        <v>2</v>
      </c>
      <c r="B1110" t="s">
        <v>1699</v>
      </c>
      <c r="C1110">
        <v>31401</v>
      </c>
      <c r="D1110">
        <v>0</v>
      </c>
      <c r="E1110">
        <v>0</v>
      </c>
      <c r="F1110">
        <v>0</v>
      </c>
    </row>
    <row r="1111" spans="1:6" x14ac:dyDescent="0.25">
      <c r="A1111" t="s">
        <v>15</v>
      </c>
      <c r="B1111" t="s">
        <v>1694</v>
      </c>
      <c r="C1111">
        <v>31402</v>
      </c>
      <c r="D1111">
        <v>0</v>
      </c>
      <c r="E1111">
        <v>0</v>
      </c>
      <c r="F1111">
        <v>0</v>
      </c>
    </row>
    <row r="1112" spans="1:6" x14ac:dyDescent="0.25">
      <c r="A1112" t="s">
        <v>16</v>
      </c>
      <c r="B1112" t="s">
        <v>1695</v>
      </c>
      <c r="C1112">
        <v>31403</v>
      </c>
      <c r="D1112">
        <v>0</v>
      </c>
      <c r="E1112">
        <v>0</v>
      </c>
      <c r="F1112">
        <v>0</v>
      </c>
    </row>
    <row r="1113" spans="1:6" x14ac:dyDescent="0.25">
      <c r="A1113" t="s">
        <v>25</v>
      </c>
      <c r="B1113" t="s">
        <v>1696</v>
      </c>
      <c r="C1113">
        <v>31404</v>
      </c>
      <c r="D1113">
        <v>0</v>
      </c>
      <c r="E1113">
        <v>0</v>
      </c>
      <c r="F1113">
        <v>0</v>
      </c>
    </row>
    <row r="1114" spans="1:6" x14ac:dyDescent="0.25">
      <c r="A1114" t="s">
        <v>26</v>
      </c>
      <c r="B1114" t="s">
        <v>1680</v>
      </c>
      <c r="C1114">
        <v>31405</v>
      </c>
      <c r="D1114">
        <v>0</v>
      </c>
      <c r="E1114">
        <v>0</v>
      </c>
      <c r="F1114">
        <v>0</v>
      </c>
    </row>
    <row r="1115" spans="1:6" x14ac:dyDescent="0.25">
      <c r="A1115" t="s">
        <v>27</v>
      </c>
      <c r="B1115" t="s">
        <v>1681</v>
      </c>
      <c r="C1115">
        <v>31406</v>
      </c>
      <c r="D1115">
        <v>0</v>
      </c>
      <c r="E1115">
        <v>0</v>
      </c>
      <c r="F1115">
        <v>0</v>
      </c>
    </row>
    <row r="1116" spans="1:6" x14ac:dyDescent="0.25">
      <c r="A1116" t="s">
        <v>531</v>
      </c>
      <c r="B1116" t="s">
        <v>1682</v>
      </c>
      <c r="C1116">
        <v>31407</v>
      </c>
      <c r="D1116">
        <v>121075</v>
      </c>
      <c r="E1116">
        <v>0</v>
      </c>
      <c r="F1116">
        <v>121075</v>
      </c>
    </row>
    <row r="1117" spans="1:6" x14ac:dyDescent="0.25">
      <c r="A1117" t="s">
        <v>1583</v>
      </c>
      <c r="B1117" t="s">
        <v>1683</v>
      </c>
      <c r="C1117">
        <v>31408</v>
      </c>
      <c r="D1117">
        <v>0</v>
      </c>
      <c r="E1117">
        <v>0</v>
      </c>
      <c r="F1117">
        <v>0</v>
      </c>
    </row>
    <row r="1118" spans="1:6" x14ac:dyDescent="0.25">
      <c r="A1118" t="s">
        <v>1585</v>
      </c>
      <c r="B1118" t="s">
        <v>1684</v>
      </c>
      <c r="C1118">
        <v>31409</v>
      </c>
      <c r="D1118">
        <v>0</v>
      </c>
      <c r="E1118">
        <v>0</v>
      </c>
      <c r="F1118">
        <v>0</v>
      </c>
    </row>
    <row r="1119" spans="1:6" x14ac:dyDescent="0.25">
      <c r="A1119" t="s">
        <v>1587</v>
      </c>
      <c r="B1119" t="s">
        <v>1685</v>
      </c>
      <c r="C1119">
        <v>31410</v>
      </c>
      <c r="D1119">
        <v>0</v>
      </c>
      <c r="E1119">
        <v>0</v>
      </c>
      <c r="F1119">
        <v>0</v>
      </c>
    </row>
    <row r="1120" spans="1:6" x14ac:dyDescent="0.25">
      <c r="A1120" t="s">
        <v>1589</v>
      </c>
      <c r="B1120" t="s">
        <v>1686</v>
      </c>
      <c r="C1120">
        <v>31411</v>
      </c>
      <c r="D1120">
        <v>0</v>
      </c>
      <c r="E1120">
        <v>0</v>
      </c>
      <c r="F1120">
        <v>0</v>
      </c>
    </row>
    <row r="1121" spans="1:6" x14ac:dyDescent="0.25">
      <c r="A1121" t="s">
        <v>1591</v>
      </c>
      <c r="B1121" t="s">
        <v>1687</v>
      </c>
      <c r="C1121">
        <v>31412</v>
      </c>
      <c r="D1121">
        <v>0</v>
      </c>
      <c r="E1121">
        <v>0</v>
      </c>
      <c r="F1121">
        <v>0</v>
      </c>
    </row>
    <row r="1122" spans="1:6" x14ac:dyDescent="0.25">
      <c r="A1122" t="s">
        <v>1593</v>
      </c>
      <c r="B1122" t="s">
        <v>1688</v>
      </c>
      <c r="C1122">
        <v>31413</v>
      </c>
      <c r="D1122">
        <v>0</v>
      </c>
      <c r="E1122">
        <v>0</v>
      </c>
      <c r="F1122">
        <v>0</v>
      </c>
    </row>
    <row r="1123" spans="1:6" x14ac:dyDescent="0.25">
      <c r="A1123" t="s">
        <v>1595</v>
      </c>
      <c r="B1123" t="s">
        <v>1690</v>
      </c>
      <c r="C1123">
        <v>31414</v>
      </c>
      <c r="D1123">
        <v>0</v>
      </c>
      <c r="E1123">
        <v>0</v>
      </c>
      <c r="F1123">
        <v>0</v>
      </c>
    </row>
    <row r="1124" spans="1:6" x14ac:dyDescent="0.25">
      <c r="A1124" t="s">
        <v>1597</v>
      </c>
      <c r="B1124" t="s">
        <v>1637</v>
      </c>
      <c r="C1124">
        <v>31415</v>
      </c>
      <c r="D1124">
        <v>318411</v>
      </c>
      <c r="E1124">
        <v>79</v>
      </c>
      <c r="F1124">
        <v>318490</v>
      </c>
    </row>
    <row r="1125" spans="1:6" x14ac:dyDescent="0.25">
      <c r="A1125" t="s">
        <v>1599</v>
      </c>
      <c r="B1125" t="s">
        <v>1640</v>
      </c>
      <c r="C1125">
        <v>31416</v>
      </c>
      <c r="D1125">
        <v>0</v>
      </c>
      <c r="E1125">
        <v>679</v>
      </c>
      <c r="F1125">
        <v>679</v>
      </c>
    </row>
    <row r="1126" spans="1:6" x14ac:dyDescent="0.25">
      <c r="A1126" t="s">
        <v>1601</v>
      </c>
      <c r="B1126" t="s">
        <v>1636</v>
      </c>
      <c r="C1126">
        <v>31417</v>
      </c>
      <c r="D1126">
        <v>614274</v>
      </c>
      <c r="E1126">
        <v>0</v>
      </c>
      <c r="F1126">
        <v>614274</v>
      </c>
    </row>
    <row r="1127" spans="1:6" x14ac:dyDescent="0.25">
      <c r="A1127" t="s">
        <v>1603</v>
      </c>
      <c r="B1127" t="s">
        <v>1689</v>
      </c>
      <c r="C1127">
        <v>31418</v>
      </c>
      <c r="D1127">
        <v>18443</v>
      </c>
      <c r="E1127">
        <v>0</v>
      </c>
      <c r="F1127">
        <v>18443</v>
      </c>
    </row>
    <row r="1128" spans="1:6" x14ac:dyDescent="0.25">
      <c r="B1128" t="s">
        <v>1954</v>
      </c>
      <c r="D1128">
        <v>1072203</v>
      </c>
      <c r="E1128">
        <v>758</v>
      </c>
      <c r="F1128">
        <v>1072961</v>
      </c>
    </row>
    <row r="1129" spans="1:6" x14ac:dyDescent="0.25">
      <c r="B1129" t="s">
        <v>1701</v>
      </c>
    </row>
    <row r="1130" spans="1:6" x14ac:dyDescent="0.25">
      <c r="A1130" t="s">
        <v>2</v>
      </c>
      <c r="B1130" t="s">
        <v>1702</v>
      </c>
      <c r="C1130">
        <v>31501</v>
      </c>
      <c r="D1130">
        <v>13936</v>
      </c>
      <c r="E1130">
        <v>0</v>
      </c>
      <c r="F1130">
        <v>13936</v>
      </c>
    </row>
    <row r="1131" spans="1:6" x14ac:dyDescent="0.25">
      <c r="A1131" t="s">
        <v>15</v>
      </c>
      <c r="B1131" t="s">
        <v>1703</v>
      </c>
      <c r="C1131">
        <v>31502</v>
      </c>
      <c r="D1131">
        <v>5</v>
      </c>
      <c r="E1131">
        <v>0</v>
      </c>
      <c r="F1131">
        <v>5</v>
      </c>
    </row>
    <row r="1132" spans="1:6" x14ac:dyDescent="0.25">
      <c r="B1132" t="s">
        <v>1955</v>
      </c>
      <c r="D1132">
        <v>13941</v>
      </c>
      <c r="E1132">
        <v>0</v>
      </c>
      <c r="F1132">
        <v>13941</v>
      </c>
    </row>
    <row r="1133" spans="1:6" x14ac:dyDescent="0.25">
      <c r="B1133" t="s">
        <v>1705</v>
      </c>
    </row>
    <row r="1134" spans="1:6" x14ac:dyDescent="0.25">
      <c r="A1134" t="s">
        <v>2</v>
      </c>
      <c r="B1134" t="s">
        <v>1702</v>
      </c>
      <c r="C1134">
        <v>31601</v>
      </c>
      <c r="D1134">
        <v>6237158</v>
      </c>
      <c r="E1134">
        <v>95009</v>
      </c>
      <c r="F1134">
        <v>6332167</v>
      </c>
    </row>
    <row r="1135" spans="1:6" x14ac:dyDescent="0.25">
      <c r="A1135" t="s">
        <v>15</v>
      </c>
      <c r="B1135" t="s">
        <v>1703</v>
      </c>
      <c r="C1135">
        <v>31602</v>
      </c>
      <c r="D1135">
        <v>9519</v>
      </c>
      <c r="E1135">
        <v>246</v>
      </c>
      <c r="F1135">
        <v>9765</v>
      </c>
    </row>
    <row r="1136" spans="1:6" x14ac:dyDescent="0.25">
      <c r="B1136" t="s">
        <v>1956</v>
      </c>
      <c r="D1136">
        <v>6246677</v>
      </c>
      <c r="E1136">
        <v>95255</v>
      </c>
      <c r="F1136">
        <v>6341932</v>
      </c>
    </row>
    <row r="1137" spans="1:6" x14ac:dyDescent="0.25">
      <c r="B1137" t="s">
        <v>1707</v>
      </c>
    </row>
    <row r="1138" spans="1:6" x14ac:dyDescent="0.25">
      <c r="A1138" t="s">
        <v>2</v>
      </c>
      <c r="B1138" t="s">
        <v>1702</v>
      </c>
      <c r="C1138">
        <v>31701</v>
      </c>
      <c r="D1138">
        <v>0</v>
      </c>
      <c r="E1138">
        <v>0</v>
      </c>
      <c r="F1138">
        <v>0</v>
      </c>
    </row>
    <row r="1139" spans="1:6" x14ac:dyDescent="0.25">
      <c r="A1139" t="s">
        <v>15</v>
      </c>
      <c r="B1139" t="s">
        <v>1703</v>
      </c>
      <c r="C1139">
        <v>31702</v>
      </c>
      <c r="D1139">
        <v>0</v>
      </c>
      <c r="E1139">
        <v>0</v>
      </c>
      <c r="F1139">
        <v>0</v>
      </c>
    </row>
    <row r="1140" spans="1:6" x14ac:dyDescent="0.25">
      <c r="B1140" t="s">
        <v>1957</v>
      </c>
      <c r="D1140">
        <v>0</v>
      </c>
      <c r="E1140">
        <v>0</v>
      </c>
      <c r="F1140">
        <v>0</v>
      </c>
    </row>
    <row r="1141" spans="1:6" x14ac:dyDescent="0.25">
      <c r="B1141" t="s">
        <v>1709</v>
      </c>
    </row>
    <row r="1142" spans="1:6" x14ac:dyDescent="0.25">
      <c r="A1142" t="s">
        <v>2</v>
      </c>
      <c r="B1142" t="s">
        <v>1710</v>
      </c>
      <c r="C1142">
        <v>31801</v>
      </c>
      <c r="D1142">
        <v>0</v>
      </c>
      <c r="E1142">
        <v>0</v>
      </c>
      <c r="F1142">
        <v>0</v>
      </c>
    </row>
    <row r="1143" spans="1:6" x14ac:dyDescent="0.25">
      <c r="A1143" t="s">
        <v>15</v>
      </c>
      <c r="B1143" t="s">
        <v>1711</v>
      </c>
      <c r="C1143">
        <v>31802</v>
      </c>
      <c r="D1143">
        <v>0</v>
      </c>
      <c r="E1143">
        <v>0</v>
      </c>
      <c r="F1143">
        <v>0</v>
      </c>
    </row>
    <row r="1144" spans="1:6" x14ac:dyDescent="0.25">
      <c r="A1144" t="s">
        <v>16</v>
      </c>
      <c r="B1144" t="s">
        <v>1712</v>
      </c>
      <c r="C1144">
        <v>31803</v>
      </c>
      <c r="D1144">
        <v>44353</v>
      </c>
      <c r="E1144">
        <v>0</v>
      </c>
      <c r="F1144">
        <v>44353</v>
      </c>
    </row>
    <row r="1145" spans="1:6" x14ac:dyDescent="0.25">
      <c r="A1145" t="s">
        <v>25</v>
      </c>
      <c r="B1145" t="s">
        <v>1713</v>
      </c>
      <c r="C1145">
        <v>31804</v>
      </c>
      <c r="D1145">
        <v>9205</v>
      </c>
      <c r="E1145">
        <v>1211</v>
      </c>
      <c r="F1145">
        <v>10416</v>
      </c>
    </row>
    <row r="1146" spans="1:6" x14ac:dyDescent="0.25">
      <c r="A1146" t="s">
        <v>26</v>
      </c>
      <c r="B1146" t="s">
        <v>1714</v>
      </c>
      <c r="C1146">
        <v>31805</v>
      </c>
      <c r="D1146">
        <v>0</v>
      </c>
      <c r="E1146">
        <v>0</v>
      </c>
      <c r="F1146">
        <v>0</v>
      </c>
    </row>
    <row r="1147" spans="1:6" x14ac:dyDescent="0.25">
      <c r="B1147" t="s">
        <v>1958</v>
      </c>
      <c r="D1147">
        <v>53558</v>
      </c>
      <c r="E1147">
        <v>1211</v>
      </c>
      <c r="F1147">
        <v>54769</v>
      </c>
    </row>
    <row r="1148" spans="1:6" x14ac:dyDescent="0.25">
      <c r="B1148" t="s">
        <v>1959</v>
      </c>
    </row>
    <row r="1149" spans="1:6" x14ac:dyDescent="0.25">
      <c r="A1149" t="s">
        <v>2</v>
      </c>
      <c r="B1149" t="s">
        <v>1960</v>
      </c>
      <c r="C1149">
        <v>31901</v>
      </c>
      <c r="D1149">
        <v>0</v>
      </c>
      <c r="E1149">
        <v>1629</v>
      </c>
      <c r="F1149">
        <v>1629</v>
      </c>
    </row>
    <row r="1150" spans="1:6" x14ac:dyDescent="0.25">
      <c r="A1150" t="s">
        <v>15</v>
      </c>
      <c r="B1150" t="s">
        <v>1961</v>
      </c>
      <c r="C1150">
        <v>31902</v>
      </c>
      <c r="D1150">
        <v>0</v>
      </c>
      <c r="E1150">
        <v>0</v>
      </c>
      <c r="F1150">
        <v>0</v>
      </c>
    </row>
    <row r="1151" spans="1:6" x14ac:dyDescent="0.25">
      <c r="A1151" t="s">
        <v>16</v>
      </c>
      <c r="B1151" t="s">
        <v>1962</v>
      </c>
      <c r="C1151">
        <v>31903</v>
      </c>
      <c r="D1151">
        <v>0</v>
      </c>
      <c r="E1151">
        <v>0</v>
      </c>
      <c r="F1151">
        <v>0</v>
      </c>
    </row>
    <row r="1152" spans="1:6" x14ac:dyDescent="0.25">
      <c r="B1152" t="s">
        <v>1963</v>
      </c>
      <c r="D1152">
        <v>0</v>
      </c>
      <c r="E1152">
        <v>1629</v>
      </c>
      <c r="F1152">
        <v>1629</v>
      </c>
    </row>
    <row r="1153" spans="1:6" x14ac:dyDescent="0.25">
      <c r="B1153" t="s">
        <v>1653</v>
      </c>
      <c r="D1153">
        <v>20853699</v>
      </c>
      <c r="E1153">
        <v>3275400</v>
      </c>
      <c r="F1153">
        <v>24129099</v>
      </c>
    </row>
    <row r="1154" spans="1:6" x14ac:dyDescent="0.25">
      <c r="B1154" t="s">
        <v>1964</v>
      </c>
    </row>
    <row r="1155" spans="1:6" x14ac:dyDescent="0.25">
      <c r="B1155" t="s">
        <v>1672</v>
      </c>
    </row>
    <row r="1156" spans="1:6" x14ac:dyDescent="0.25">
      <c r="A1156" t="s">
        <v>2</v>
      </c>
      <c r="B1156" t="s">
        <v>1673</v>
      </c>
      <c r="C1156">
        <v>32101</v>
      </c>
      <c r="D1156">
        <v>0</v>
      </c>
      <c r="E1156">
        <v>0</v>
      </c>
      <c r="F1156">
        <v>0</v>
      </c>
    </row>
    <row r="1157" spans="1:6" x14ac:dyDescent="0.25">
      <c r="A1157" t="s">
        <v>15</v>
      </c>
      <c r="B1157" t="s">
        <v>1674</v>
      </c>
      <c r="C1157">
        <v>32102</v>
      </c>
      <c r="D1157">
        <v>0</v>
      </c>
      <c r="E1157">
        <v>0</v>
      </c>
      <c r="F1157">
        <v>0</v>
      </c>
    </row>
    <row r="1158" spans="1:6" x14ac:dyDescent="0.25">
      <c r="A1158" t="s">
        <v>16</v>
      </c>
      <c r="B1158" t="s">
        <v>1675</v>
      </c>
      <c r="C1158">
        <v>32103</v>
      </c>
      <c r="D1158">
        <v>0</v>
      </c>
      <c r="E1158">
        <v>0</v>
      </c>
      <c r="F1158">
        <v>0</v>
      </c>
    </row>
    <row r="1159" spans="1:6" x14ac:dyDescent="0.25">
      <c r="A1159" t="s">
        <v>25</v>
      </c>
      <c r="B1159" t="s">
        <v>1676</v>
      </c>
      <c r="C1159">
        <v>32104</v>
      </c>
      <c r="D1159">
        <v>0</v>
      </c>
      <c r="E1159">
        <v>0</v>
      </c>
      <c r="F1159">
        <v>0</v>
      </c>
    </row>
    <row r="1160" spans="1:6" x14ac:dyDescent="0.25">
      <c r="A1160" t="s">
        <v>26</v>
      </c>
      <c r="B1160" t="s">
        <v>1677</v>
      </c>
      <c r="C1160">
        <v>32105</v>
      </c>
      <c r="D1160">
        <v>0</v>
      </c>
      <c r="E1160">
        <v>0</v>
      </c>
      <c r="F1160">
        <v>0</v>
      </c>
    </row>
    <row r="1161" spans="1:6" x14ac:dyDescent="0.25">
      <c r="B1161" t="s">
        <v>1965</v>
      </c>
      <c r="D1161">
        <v>0</v>
      </c>
      <c r="E1161">
        <v>0</v>
      </c>
      <c r="F1161">
        <v>0</v>
      </c>
    </row>
    <row r="1162" spans="1:6" x14ac:dyDescent="0.25">
      <c r="B1162" t="s">
        <v>1781</v>
      </c>
    </row>
    <row r="1163" spans="1:6" x14ac:dyDescent="0.25">
      <c r="A1163" t="s">
        <v>2</v>
      </c>
      <c r="B1163" t="s">
        <v>1693</v>
      </c>
      <c r="C1163">
        <v>32201</v>
      </c>
      <c r="D1163">
        <v>0</v>
      </c>
      <c r="E1163">
        <v>0</v>
      </c>
      <c r="F1163">
        <v>0</v>
      </c>
    </row>
    <row r="1164" spans="1:6" x14ac:dyDescent="0.25">
      <c r="A1164" t="s">
        <v>15</v>
      </c>
      <c r="B1164" t="s">
        <v>1694</v>
      </c>
      <c r="C1164">
        <v>32202</v>
      </c>
      <c r="D1164">
        <v>0</v>
      </c>
      <c r="E1164">
        <v>0</v>
      </c>
      <c r="F1164">
        <v>0</v>
      </c>
    </row>
    <row r="1165" spans="1:6" x14ac:dyDescent="0.25">
      <c r="A1165" t="s">
        <v>16</v>
      </c>
      <c r="B1165" t="s">
        <v>1695</v>
      </c>
      <c r="C1165">
        <v>32203</v>
      </c>
      <c r="D1165">
        <v>0</v>
      </c>
      <c r="E1165">
        <v>0</v>
      </c>
      <c r="F1165">
        <v>0</v>
      </c>
    </row>
    <row r="1166" spans="1:6" x14ac:dyDescent="0.25">
      <c r="A1166" t="s">
        <v>25</v>
      </c>
      <c r="B1166" t="s">
        <v>1696</v>
      </c>
      <c r="C1166">
        <v>32204</v>
      </c>
      <c r="D1166">
        <v>0</v>
      </c>
      <c r="E1166">
        <v>0</v>
      </c>
      <c r="F1166">
        <v>0</v>
      </c>
    </row>
    <row r="1167" spans="1:6" x14ac:dyDescent="0.25">
      <c r="A1167" t="s">
        <v>26</v>
      </c>
      <c r="B1167" t="s">
        <v>1680</v>
      </c>
      <c r="C1167">
        <v>32205</v>
      </c>
      <c r="D1167">
        <v>0</v>
      </c>
      <c r="E1167">
        <v>0</v>
      </c>
      <c r="F1167">
        <v>0</v>
      </c>
    </row>
    <row r="1168" spans="1:6" x14ac:dyDescent="0.25">
      <c r="A1168" t="s">
        <v>27</v>
      </c>
      <c r="B1168" t="s">
        <v>1681</v>
      </c>
      <c r="C1168">
        <v>32206</v>
      </c>
      <c r="D1168">
        <v>0</v>
      </c>
      <c r="E1168">
        <v>0</v>
      </c>
      <c r="F1168">
        <v>0</v>
      </c>
    </row>
    <row r="1169" spans="1:6" x14ac:dyDescent="0.25">
      <c r="A1169" t="s">
        <v>531</v>
      </c>
      <c r="B1169" t="s">
        <v>1682</v>
      </c>
      <c r="C1169">
        <v>32207</v>
      </c>
      <c r="D1169">
        <v>0</v>
      </c>
      <c r="E1169">
        <v>0</v>
      </c>
      <c r="F1169">
        <v>0</v>
      </c>
    </row>
    <row r="1170" spans="1:6" x14ac:dyDescent="0.25">
      <c r="A1170" t="s">
        <v>1583</v>
      </c>
      <c r="B1170" t="s">
        <v>1683</v>
      </c>
      <c r="C1170">
        <v>32208</v>
      </c>
      <c r="D1170">
        <v>0</v>
      </c>
      <c r="E1170">
        <v>0</v>
      </c>
      <c r="F1170">
        <v>0</v>
      </c>
    </row>
    <row r="1171" spans="1:6" x14ac:dyDescent="0.25">
      <c r="A1171" t="s">
        <v>1585</v>
      </c>
      <c r="B1171" t="s">
        <v>1684</v>
      </c>
      <c r="C1171">
        <v>32209</v>
      </c>
      <c r="D1171">
        <v>0</v>
      </c>
      <c r="E1171">
        <v>0</v>
      </c>
      <c r="F1171">
        <v>0</v>
      </c>
    </row>
    <row r="1172" spans="1:6" x14ac:dyDescent="0.25">
      <c r="A1172" t="s">
        <v>1587</v>
      </c>
      <c r="B1172" t="s">
        <v>1685</v>
      </c>
      <c r="C1172">
        <v>32210</v>
      </c>
      <c r="D1172">
        <v>0</v>
      </c>
      <c r="E1172">
        <v>0</v>
      </c>
      <c r="F1172">
        <v>0</v>
      </c>
    </row>
    <row r="1173" spans="1:6" x14ac:dyDescent="0.25">
      <c r="A1173" t="s">
        <v>1589</v>
      </c>
      <c r="B1173" t="s">
        <v>1686</v>
      </c>
      <c r="C1173">
        <v>32211</v>
      </c>
      <c r="D1173">
        <v>0</v>
      </c>
      <c r="E1173">
        <v>0</v>
      </c>
      <c r="F1173">
        <v>0</v>
      </c>
    </row>
    <row r="1174" spans="1:6" x14ac:dyDescent="0.25">
      <c r="A1174" t="s">
        <v>1591</v>
      </c>
      <c r="B1174" t="s">
        <v>1687</v>
      </c>
      <c r="C1174">
        <v>32212</v>
      </c>
      <c r="D1174">
        <v>0</v>
      </c>
      <c r="E1174">
        <v>0</v>
      </c>
      <c r="F1174">
        <v>0</v>
      </c>
    </row>
    <row r="1175" spans="1:6" x14ac:dyDescent="0.25">
      <c r="A1175" t="s">
        <v>1593</v>
      </c>
      <c r="B1175" t="s">
        <v>1688</v>
      </c>
      <c r="C1175">
        <v>32213</v>
      </c>
      <c r="D1175">
        <v>0</v>
      </c>
      <c r="E1175">
        <v>0</v>
      </c>
      <c r="F1175">
        <v>0</v>
      </c>
    </row>
    <row r="1176" spans="1:6" x14ac:dyDescent="0.25">
      <c r="A1176" t="s">
        <v>1595</v>
      </c>
      <c r="B1176" t="s">
        <v>1690</v>
      </c>
      <c r="C1176">
        <v>32214</v>
      </c>
      <c r="D1176">
        <v>0</v>
      </c>
      <c r="E1176">
        <v>0</v>
      </c>
      <c r="F1176">
        <v>0</v>
      </c>
    </row>
    <row r="1177" spans="1:6" x14ac:dyDescent="0.25">
      <c r="A1177" t="s">
        <v>1597</v>
      </c>
      <c r="B1177" t="s">
        <v>1637</v>
      </c>
      <c r="C1177">
        <v>32215</v>
      </c>
      <c r="D1177">
        <v>0</v>
      </c>
      <c r="E1177">
        <v>0</v>
      </c>
      <c r="F1177">
        <v>0</v>
      </c>
    </row>
    <row r="1178" spans="1:6" x14ac:dyDescent="0.25">
      <c r="A1178" t="s">
        <v>1599</v>
      </c>
      <c r="B1178" t="s">
        <v>1640</v>
      </c>
      <c r="C1178">
        <v>32216</v>
      </c>
      <c r="D1178">
        <v>0</v>
      </c>
      <c r="E1178">
        <v>0</v>
      </c>
      <c r="F1178">
        <v>0</v>
      </c>
    </row>
    <row r="1179" spans="1:6" x14ac:dyDescent="0.25">
      <c r="A1179" t="s">
        <v>1601</v>
      </c>
      <c r="B1179" t="s">
        <v>1636</v>
      </c>
      <c r="C1179">
        <v>32217</v>
      </c>
      <c r="D1179">
        <v>0</v>
      </c>
      <c r="E1179">
        <v>0</v>
      </c>
      <c r="F1179">
        <v>0</v>
      </c>
    </row>
    <row r="1180" spans="1:6" x14ac:dyDescent="0.25">
      <c r="A1180" t="s">
        <v>1603</v>
      </c>
      <c r="B1180" t="s">
        <v>1689</v>
      </c>
      <c r="C1180">
        <v>32218</v>
      </c>
      <c r="D1180">
        <v>0</v>
      </c>
      <c r="E1180">
        <v>0</v>
      </c>
      <c r="F1180">
        <v>0</v>
      </c>
    </row>
    <row r="1181" spans="1:6" x14ac:dyDescent="0.25">
      <c r="B1181" t="s">
        <v>1966</v>
      </c>
      <c r="D1181">
        <v>0</v>
      </c>
      <c r="E1181">
        <v>0</v>
      </c>
      <c r="F1181">
        <v>0</v>
      </c>
    </row>
    <row r="1182" spans="1:6" x14ac:dyDescent="0.25">
      <c r="B1182" t="s">
        <v>1783</v>
      </c>
    </row>
    <row r="1183" spans="1:6" x14ac:dyDescent="0.25">
      <c r="A1183" t="s">
        <v>2</v>
      </c>
      <c r="B1183" t="s">
        <v>1699</v>
      </c>
      <c r="C1183">
        <v>32301</v>
      </c>
      <c r="D1183">
        <v>0</v>
      </c>
      <c r="E1183">
        <v>0</v>
      </c>
      <c r="F1183">
        <v>0</v>
      </c>
    </row>
    <row r="1184" spans="1:6" x14ac:dyDescent="0.25">
      <c r="A1184" t="s">
        <v>15</v>
      </c>
      <c r="B1184" t="s">
        <v>1694</v>
      </c>
      <c r="C1184">
        <v>32302</v>
      </c>
      <c r="D1184">
        <v>0</v>
      </c>
      <c r="E1184">
        <v>0</v>
      </c>
      <c r="F1184">
        <v>0</v>
      </c>
    </row>
    <row r="1185" spans="1:6" x14ac:dyDescent="0.25">
      <c r="A1185" t="s">
        <v>16</v>
      </c>
      <c r="B1185" t="s">
        <v>1695</v>
      </c>
      <c r="C1185">
        <v>32303</v>
      </c>
      <c r="D1185">
        <v>0</v>
      </c>
      <c r="E1185">
        <v>0</v>
      </c>
      <c r="F1185">
        <v>0</v>
      </c>
    </row>
    <row r="1186" spans="1:6" x14ac:dyDescent="0.25">
      <c r="A1186" t="s">
        <v>25</v>
      </c>
      <c r="B1186" t="s">
        <v>1696</v>
      </c>
      <c r="C1186">
        <v>32304</v>
      </c>
      <c r="D1186">
        <v>0</v>
      </c>
      <c r="E1186">
        <v>0</v>
      </c>
      <c r="F1186">
        <v>0</v>
      </c>
    </row>
    <row r="1187" spans="1:6" x14ac:dyDescent="0.25">
      <c r="A1187" t="s">
        <v>26</v>
      </c>
      <c r="B1187" t="s">
        <v>1680</v>
      </c>
      <c r="C1187">
        <v>32305</v>
      </c>
      <c r="D1187">
        <v>0</v>
      </c>
      <c r="E1187">
        <v>0</v>
      </c>
      <c r="F1187">
        <v>0</v>
      </c>
    </row>
    <row r="1188" spans="1:6" x14ac:dyDescent="0.25">
      <c r="A1188" t="s">
        <v>27</v>
      </c>
      <c r="B1188" t="s">
        <v>1681</v>
      </c>
      <c r="C1188">
        <v>32306</v>
      </c>
      <c r="D1188">
        <v>0</v>
      </c>
      <c r="E1188">
        <v>0</v>
      </c>
      <c r="F1188">
        <v>0</v>
      </c>
    </row>
    <row r="1189" spans="1:6" x14ac:dyDescent="0.25">
      <c r="A1189" t="s">
        <v>531</v>
      </c>
      <c r="B1189" t="s">
        <v>1682</v>
      </c>
      <c r="C1189">
        <v>32307</v>
      </c>
      <c r="D1189">
        <v>0</v>
      </c>
      <c r="E1189">
        <v>0</v>
      </c>
      <c r="F1189">
        <v>0</v>
      </c>
    </row>
    <row r="1190" spans="1:6" x14ac:dyDescent="0.25">
      <c r="A1190" t="s">
        <v>1583</v>
      </c>
      <c r="B1190" t="s">
        <v>1683</v>
      </c>
      <c r="C1190">
        <v>32308</v>
      </c>
      <c r="D1190">
        <v>0</v>
      </c>
      <c r="E1190">
        <v>0</v>
      </c>
      <c r="F1190">
        <v>0</v>
      </c>
    </row>
    <row r="1191" spans="1:6" x14ac:dyDescent="0.25">
      <c r="A1191" t="s">
        <v>1585</v>
      </c>
      <c r="B1191" t="s">
        <v>1684</v>
      </c>
      <c r="C1191">
        <v>32309</v>
      </c>
      <c r="D1191">
        <v>0</v>
      </c>
      <c r="E1191">
        <v>0</v>
      </c>
      <c r="F1191">
        <v>0</v>
      </c>
    </row>
    <row r="1192" spans="1:6" x14ac:dyDescent="0.25">
      <c r="A1192" t="s">
        <v>1587</v>
      </c>
      <c r="B1192" t="s">
        <v>1685</v>
      </c>
      <c r="C1192">
        <v>32310</v>
      </c>
      <c r="D1192">
        <v>0</v>
      </c>
      <c r="E1192">
        <v>0</v>
      </c>
      <c r="F1192">
        <v>0</v>
      </c>
    </row>
    <row r="1193" spans="1:6" x14ac:dyDescent="0.25">
      <c r="A1193" t="s">
        <v>1589</v>
      </c>
      <c r="B1193" t="s">
        <v>1686</v>
      </c>
      <c r="C1193">
        <v>32311</v>
      </c>
      <c r="D1193">
        <v>0</v>
      </c>
      <c r="E1193">
        <v>0</v>
      </c>
      <c r="F1193">
        <v>0</v>
      </c>
    </row>
    <row r="1194" spans="1:6" x14ac:dyDescent="0.25">
      <c r="A1194" t="s">
        <v>1591</v>
      </c>
      <c r="B1194" t="s">
        <v>1687</v>
      </c>
      <c r="C1194">
        <v>32312</v>
      </c>
      <c r="D1194">
        <v>0</v>
      </c>
      <c r="E1194">
        <v>0</v>
      </c>
      <c r="F1194">
        <v>0</v>
      </c>
    </row>
    <row r="1195" spans="1:6" x14ac:dyDescent="0.25">
      <c r="A1195" t="s">
        <v>1593</v>
      </c>
      <c r="B1195" t="s">
        <v>1688</v>
      </c>
      <c r="C1195">
        <v>32313</v>
      </c>
      <c r="D1195">
        <v>0</v>
      </c>
      <c r="E1195">
        <v>0</v>
      </c>
      <c r="F1195">
        <v>0</v>
      </c>
    </row>
    <row r="1196" spans="1:6" x14ac:dyDescent="0.25">
      <c r="A1196" t="s">
        <v>1595</v>
      </c>
      <c r="B1196" t="s">
        <v>1690</v>
      </c>
      <c r="C1196">
        <v>32314</v>
      </c>
      <c r="D1196">
        <v>0</v>
      </c>
      <c r="E1196">
        <v>0</v>
      </c>
      <c r="F1196">
        <v>0</v>
      </c>
    </row>
    <row r="1197" spans="1:6" x14ac:dyDescent="0.25">
      <c r="A1197" t="s">
        <v>1597</v>
      </c>
      <c r="B1197" t="s">
        <v>1637</v>
      </c>
      <c r="C1197">
        <v>32315</v>
      </c>
      <c r="D1197">
        <v>3701</v>
      </c>
      <c r="E1197">
        <v>0</v>
      </c>
      <c r="F1197">
        <v>3701</v>
      </c>
    </row>
    <row r="1198" spans="1:6" x14ac:dyDescent="0.25">
      <c r="A1198" t="s">
        <v>1599</v>
      </c>
      <c r="B1198" t="s">
        <v>1640</v>
      </c>
      <c r="C1198">
        <v>32316</v>
      </c>
      <c r="D1198">
        <v>0</v>
      </c>
      <c r="E1198">
        <v>0</v>
      </c>
      <c r="F1198">
        <v>0</v>
      </c>
    </row>
    <row r="1199" spans="1:6" x14ac:dyDescent="0.25">
      <c r="A1199" t="s">
        <v>1601</v>
      </c>
      <c r="B1199" t="s">
        <v>1636</v>
      </c>
      <c r="C1199">
        <v>32317</v>
      </c>
      <c r="D1199">
        <v>0</v>
      </c>
      <c r="E1199">
        <v>0</v>
      </c>
      <c r="F1199">
        <v>0</v>
      </c>
    </row>
    <row r="1200" spans="1:6" x14ac:dyDescent="0.25">
      <c r="A1200" t="s">
        <v>1603</v>
      </c>
      <c r="B1200" t="s">
        <v>1689</v>
      </c>
      <c r="C1200">
        <v>32318</v>
      </c>
      <c r="D1200">
        <v>0</v>
      </c>
      <c r="E1200">
        <v>0</v>
      </c>
      <c r="F1200">
        <v>0</v>
      </c>
    </row>
    <row r="1201" spans="1:6" x14ac:dyDescent="0.25">
      <c r="B1201" t="s">
        <v>1967</v>
      </c>
      <c r="D1201">
        <v>3701</v>
      </c>
      <c r="E1201">
        <v>0</v>
      </c>
      <c r="F1201">
        <v>3701</v>
      </c>
    </row>
    <row r="1202" spans="1:6" x14ac:dyDescent="0.25">
      <c r="B1202" t="s">
        <v>1785</v>
      </c>
    </row>
    <row r="1203" spans="1:6" x14ac:dyDescent="0.25">
      <c r="A1203" t="s">
        <v>2</v>
      </c>
      <c r="B1203" t="s">
        <v>1702</v>
      </c>
      <c r="C1203">
        <v>32401</v>
      </c>
      <c r="D1203">
        <v>0</v>
      </c>
      <c r="E1203">
        <v>0</v>
      </c>
      <c r="F1203">
        <v>0</v>
      </c>
    </row>
    <row r="1204" spans="1:6" x14ac:dyDescent="0.25">
      <c r="A1204" t="s">
        <v>15</v>
      </c>
      <c r="B1204" t="s">
        <v>1703</v>
      </c>
      <c r="C1204">
        <v>32402</v>
      </c>
      <c r="D1204">
        <v>0</v>
      </c>
      <c r="E1204">
        <v>0</v>
      </c>
      <c r="F1204">
        <v>0</v>
      </c>
    </row>
    <row r="1205" spans="1:6" x14ac:dyDescent="0.25">
      <c r="B1205" t="s">
        <v>1968</v>
      </c>
      <c r="D1205">
        <v>0</v>
      </c>
      <c r="E1205">
        <v>0</v>
      </c>
      <c r="F1205">
        <v>0</v>
      </c>
    </row>
    <row r="1206" spans="1:6" x14ac:dyDescent="0.25">
      <c r="B1206" t="s">
        <v>1787</v>
      </c>
    </row>
    <row r="1207" spans="1:6" x14ac:dyDescent="0.25">
      <c r="A1207" t="s">
        <v>2</v>
      </c>
      <c r="B1207" t="s">
        <v>1702</v>
      </c>
      <c r="C1207">
        <v>32501</v>
      </c>
      <c r="D1207">
        <v>0</v>
      </c>
      <c r="E1207">
        <v>0</v>
      </c>
      <c r="F1207">
        <v>0</v>
      </c>
    </row>
    <row r="1208" spans="1:6" x14ac:dyDescent="0.25">
      <c r="A1208" t="s">
        <v>15</v>
      </c>
      <c r="B1208" t="s">
        <v>1703</v>
      </c>
      <c r="C1208">
        <v>32502</v>
      </c>
      <c r="D1208">
        <v>0</v>
      </c>
      <c r="E1208">
        <v>0</v>
      </c>
      <c r="F1208">
        <v>0</v>
      </c>
    </row>
    <row r="1209" spans="1:6" x14ac:dyDescent="0.25">
      <c r="B1209" t="s">
        <v>1969</v>
      </c>
      <c r="D1209">
        <v>0</v>
      </c>
      <c r="E1209">
        <v>0</v>
      </c>
      <c r="F1209">
        <v>0</v>
      </c>
    </row>
    <row r="1210" spans="1:6" x14ac:dyDescent="0.25">
      <c r="B1210" t="s">
        <v>1789</v>
      </c>
    </row>
    <row r="1211" spans="1:6" x14ac:dyDescent="0.25">
      <c r="A1211" t="s">
        <v>2</v>
      </c>
      <c r="B1211" t="s">
        <v>1710</v>
      </c>
      <c r="C1211">
        <v>32601</v>
      </c>
      <c r="D1211">
        <v>0</v>
      </c>
      <c r="E1211">
        <v>0</v>
      </c>
      <c r="F1211">
        <v>0</v>
      </c>
    </row>
    <row r="1212" spans="1:6" x14ac:dyDescent="0.25">
      <c r="A1212" t="s">
        <v>15</v>
      </c>
      <c r="B1212" t="s">
        <v>1711</v>
      </c>
      <c r="C1212">
        <v>32602</v>
      </c>
      <c r="D1212">
        <v>0</v>
      </c>
      <c r="E1212">
        <v>0</v>
      </c>
      <c r="F1212">
        <v>0</v>
      </c>
    </row>
    <row r="1213" spans="1:6" x14ac:dyDescent="0.25">
      <c r="A1213" t="s">
        <v>16</v>
      </c>
      <c r="B1213" t="s">
        <v>1712</v>
      </c>
      <c r="C1213">
        <v>32603</v>
      </c>
      <c r="D1213">
        <v>0</v>
      </c>
      <c r="E1213">
        <v>0</v>
      </c>
      <c r="F1213">
        <v>0</v>
      </c>
    </row>
    <row r="1214" spans="1:6" x14ac:dyDescent="0.25">
      <c r="A1214" t="s">
        <v>25</v>
      </c>
      <c r="B1214" t="s">
        <v>1713</v>
      </c>
      <c r="C1214">
        <v>32604</v>
      </c>
      <c r="D1214">
        <v>0</v>
      </c>
      <c r="E1214">
        <v>0</v>
      </c>
      <c r="F1214">
        <v>0</v>
      </c>
    </row>
    <row r="1215" spans="1:6" x14ac:dyDescent="0.25">
      <c r="A1215" t="s">
        <v>26</v>
      </c>
      <c r="B1215" t="s">
        <v>1714</v>
      </c>
      <c r="C1215">
        <v>32605</v>
      </c>
      <c r="D1215">
        <v>0</v>
      </c>
      <c r="E1215">
        <v>0</v>
      </c>
      <c r="F1215">
        <v>0</v>
      </c>
    </row>
    <row r="1216" spans="1:6" x14ac:dyDescent="0.25">
      <c r="B1216" t="s">
        <v>1970</v>
      </c>
      <c r="D1216">
        <v>0</v>
      </c>
      <c r="E1216">
        <v>0</v>
      </c>
      <c r="F1216">
        <v>0</v>
      </c>
    </row>
    <row r="1217" spans="1:6" x14ac:dyDescent="0.25">
      <c r="B1217" t="s">
        <v>1660</v>
      </c>
      <c r="D1217">
        <v>3701</v>
      </c>
      <c r="E1217">
        <v>0</v>
      </c>
      <c r="F1217">
        <v>3701</v>
      </c>
    </row>
    <row r="1218" spans="1:6" x14ac:dyDescent="0.25">
      <c r="B1218" t="s">
        <v>1971</v>
      </c>
    </row>
    <row r="1219" spans="1:6" x14ac:dyDescent="0.25">
      <c r="B1219" t="s">
        <v>1575</v>
      </c>
    </row>
    <row r="1220" spans="1:6" x14ac:dyDescent="0.25">
      <c r="A1220" t="s">
        <v>2</v>
      </c>
      <c r="B1220" t="s">
        <v>1576</v>
      </c>
      <c r="C1220">
        <v>33101</v>
      </c>
      <c r="D1220">
        <v>0</v>
      </c>
      <c r="E1220">
        <v>0</v>
      </c>
      <c r="F1220">
        <v>0</v>
      </c>
    </row>
    <row r="1221" spans="1:6" x14ac:dyDescent="0.25">
      <c r="A1221" t="s">
        <v>15</v>
      </c>
      <c r="B1221" t="s">
        <v>1577</v>
      </c>
      <c r="C1221">
        <v>33102</v>
      </c>
      <c r="D1221">
        <v>0</v>
      </c>
      <c r="E1221">
        <v>0</v>
      </c>
      <c r="F1221">
        <v>0</v>
      </c>
    </row>
    <row r="1222" spans="1:6" x14ac:dyDescent="0.25">
      <c r="A1222" t="s">
        <v>16</v>
      </c>
      <c r="B1222" t="s">
        <v>1578</v>
      </c>
      <c r="C1222">
        <v>33103</v>
      </c>
      <c r="D1222">
        <v>0</v>
      </c>
      <c r="E1222">
        <v>0</v>
      </c>
      <c r="F1222">
        <v>0</v>
      </c>
    </row>
    <row r="1223" spans="1:6" x14ac:dyDescent="0.25">
      <c r="A1223" t="s">
        <v>25</v>
      </c>
      <c r="B1223" t="s">
        <v>1579</v>
      </c>
      <c r="C1223">
        <v>33104</v>
      </c>
      <c r="D1223">
        <v>0</v>
      </c>
      <c r="E1223">
        <v>0</v>
      </c>
      <c r="F1223">
        <v>0</v>
      </c>
    </row>
    <row r="1224" spans="1:6" x14ac:dyDescent="0.25">
      <c r="A1224" t="s">
        <v>26</v>
      </c>
      <c r="B1224" t="s">
        <v>1580</v>
      </c>
      <c r="C1224">
        <v>33105</v>
      </c>
      <c r="D1224">
        <v>0</v>
      </c>
      <c r="E1224">
        <v>0</v>
      </c>
      <c r="F1224">
        <v>0</v>
      </c>
    </row>
    <row r="1225" spans="1:6" x14ac:dyDescent="0.25">
      <c r="A1225" t="s">
        <v>27</v>
      </c>
      <c r="B1225" t="s">
        <v>1581</v>
      </c>
      <c r="C1225">
        <v>33106</v>
      </c>
      <c r="D1225">
        <v>0</v>
      </c>
      <c r="E1225">
        <v>0</v>
      </c>
      <c r="F1225">
        <v>0</v>
      </c>
    </row>
    <row r="1226" spans="1:6" x14ac:dyDescent="0.25">
      <c r="A1226" t="s">
        <v>531</v>
      </c>
      <c r="B1226" t="s">
        <v>1582</v>
      </c>
      <c r="C1226">
        <v>33107</v>
      </c>
      <c r="D1226">
        <v>0</v>
      </c>
      <c r="E1226">
        <v>0</v>
      </c>
      <c r="F1226">
        <v>0</v>
      </c>
    </row>
    <row r="1227" spans="1:6" x14ac:dyDescent="0.25">
      <c r="A1227" t="s">
        <v>1583</v>
      </c>
      <c r="B1227" t="s">
        <v>1584</v>
      </c>
      <c r="C1227">
        <v>33108</v>
      </c>
      <c r="D1227">
        <v>0</v>
      </c>
      <c r="E1227">
        <v>0</v>
      </c>
      <c r="F1227">
        <v>0</v>
      </c>
    </row>
    <row r="1228" spans="1:6" x14ac:dyDescent="0.25">
      <c r="A1228" t="s">
        <v>1585</v>
      </c>
      <c r="B1228" t="s">
        <v>1586</v>
      </c>
      <c r="C1228">
        <v>33109</v>
      </c>
      <c r="D1228">
        <v>0</v>
      </c>
      <c r="E1228">
        <v>0</v>
      </c>
      <c r="F1228">
        <v>0</v>
      </c>
    </row>
    <row r="1229" spans="1:6" x14ac:dyDescent="0.25">
      <c r="A1229" t="s">
        <v>1587</v>
      </c>
      <c r="B1229" t="s">
        <v>1588</v>
      </c>
      <c r="C1229">
        <v>33110</v>
      </c>
      <c r="D1229">
        <v>0</v>
      </c>
      <c r="E1229">
        <v>0</v>
      </c>
      <c r="F1229">
        <v>0</v>
      </c>
    </row>
    <row r="1230" spans="1:6" x14ac:dyDescent="0.25">
      <c r="A1230" t="s">
        <v>1589</v>
      </c>
      <c r="B1230" t="s">
        <v>1590</v>
      </c>
      <c r="C1230">
        <v>33111</v>
      </c>
      <c r="D1230">
        <v>0</v>
      </c>
      <c r="E1230">
        <v>0</v>
      </c>
      <c r="F1230">
        <v>0</v>
      </c>
    </row>
    <row r="1231" spans="1:6" x14ac:dyDescent="0.25">
      <c r="A1231" t="s">
        <v>1591</v>
      </c>
      <c r="B1231" t="s">
        <v>1592</v>
      </c>
      <c r="C1231">
        <v>33112</v>
      </c>
      <c r="D1231">
        <v>0</v>
      </c>
      <c r="E1231">
        <v>0</v>
      </c>
      <c r="F1231">
        <v>0</v>
      </c>
    </row>
    <row r="1232" spans="1:6" x14ac:dyDescent="0.25">
      <c r="A1232" t="s">
        <v>1593</v>
      </c>
      <c r="B1232" t="s">
        <v>1594</v>
      </c>
      <c r="C1232">
        <v>33113</v>
      </c>
      <c r="D1232">
        <v>0</v>
      </c>
      <c r="E1232">
        <v>0</v>
      </c>
      <c r="F1232">
        <v>0</v>
      </c>
    </row>
    <row r="1233" spans="1:6" x14ac:dyDescent="0.25">
      <c r="A1233" t="s">
        <v>1595</v>
      </c>
      <c r="B1233" t="s">
        <v>1596</v>
      </c>
      <c r="C1233">
        <v>33114</v>
      </c>
      <c r="D1233">
        <v>0</v>
      </c>
      <c r="E1233">
        <v>0</v>
      </c>
      <c r="F1233">
        <v>0</v>
      </c>
    </row>
    <row r="1234" spans="1:6" x14ac:dyDescent="0.25">
      <c r="A1234" t="s">
        <v>1597</v>
      </c>
      <c r="B1234" t="s">
        <v>1598</v>
      </c>
      <c r="C1234">
        <v>33115</v>
      </c>
      <c r="D1234">
        <v>915</v>
      </c>
      <c r="E1234">
        <v>0</v>
      </c>
      <c r="F1234">
        <v>915</v>
      </c>
    </row>
    <row r="1235" spans="1:6" x14ac:dyDescent="0.25">
      <c r="A1235" t="s">
        <v>1599</v>
      </c>
      <c r="B1235" t="s">
        <v>1600</v>
      </c>
      <c r="C1235">
        <v>33116</v>
      </c>
      <c r="D1235">
        <v>0</v>
      </c>
      <c r="E1235">
        <v>0</v>
      </c>
      <c r="F1235">
        <v>0</v>
      </c>
    </row>
    <row r="1236" spans="1:6" x14ac:dyDescent="0.25">
      <c r="A1236" t="s">
        <v>1601</v>
      </c>
      <c r="B1236" t="s">
        <v>1602</v>
      </c>
      <c r="C1236">
        <v>33117</v>
      </c>
      <c r="D1236">
        <v>0</v>
      </c>
      <c r="E1236">
        <v>0</v>
      </c>
      <c r="F1236">
        <v>0</v>
      </c>
    </row>
    <row r="1237" spans="1:6" x14ac:dyDescent="0.25">
      <c r="A1237" t="s">
        <v>1603</v>
      </c>
      <c r="B1237" t="s">
        <v>1604</v>
      </c>
      <c r="C1237">
        <v>33118</v>
      </c>
      <c r="D1237">
        <v>0</v>
      </c>
      <c r="E1237">
        <v>0</v>
      </c>
      <c r="F1237">
        <v>0</v>
      </c>
    </row>
    <row r="1238" spans="1:6" x14ac:dyDescent="0.25">
      <c r="A1238" t="s">
        <v>1605</v>
      </c>
      <c r="B1238" t="s">
        <v>1606</v>
      </c>
      <c r="C1238">
        <v>33119</v>
      </c>
      <c r="D1238">
        <v>0</v>
      </c>
      <c r="E1238">
        <v>0</v>
      </c>
      <c r="F1238">
        <v>0</v>
      </c>
    </row>
    <row r="1239" spans="1:6" x14ac:dyDescent="0.25">
      <c r="A1239" t="s">
        <v>1607</v>
      </c>
      <c r="B1239" t="s">
        <v>1608</v>
      </c>
      <c r="C1239">
        <v>33120</v>
      </c>
      <c r="D1239">
        <v>0</v>
      </c>
      <c r="E1239">
        <v>0</v>
      </c>
      <c r="F1239">
        <v>0</v>
      </c>
    </row>
    <row r="1240" spans="1:6" x14ac:dyDescent="0.25">
      <c r="B1240" t="s">
        <v>1972</v>
      </c>
      <c r="D1240">
        <v>915</v>
      </c>
      <c r="E1240">
        <v>0</v>
      </c>
      <c r="F1240">
        <v>915</v>
      </c>
    </row>
    <row r="1241" spans="1:6" x14ac:dyDescent="0.25">
      <c r="B1241" t="s">
        <v>1656</v>
      </c>
    </row>
    <row r="1242" spans="1:6" x14ac:dyDescent="0.25">
      <c r="A1242" t="s">
        <v>2</v>
      </c>
      <c r="B1242" t="s">
        <v>1611</v>
      </c>
      <c r="C1242">
        <v>33201</v>
      </c>
      <c r="D1242">
        <v>0</v>
      </c>
      <c r="E1242">
        <v>0</v>
      </c>
      <c r="F1242">
        <v>0</v>
      </c>
    </row>
    <row r="1243" spans="1:6" x14ac:dyDescent="0.25">
      <c r="A1243" t="s">
        <v>15</v>
      </c>
      <c r="B1243" t="s">
        <v>1973</v>
      </c>
      <c r="C1243">
        <v>33202</v>
      </c>
      <c r="D1243">
        <v>0</v>
      </c>
      <c r="E1243">
        <v>0</v>
      </c>
      <c r="F1243">
        <v>0</v>
      </c>
    </row>
    <row r="1244" spans="1:6" x14ac:dyDescent="0.25">
      <c r="A1244" t="s">
        <v>16</v>
      </c>
      <c r="B1244" t="s">
        <v>1613</v>
      </c>
      <c r="C1244">
        <v>33203</v>
      </c>
      <c r="D1244">
        <v>0</v>
      </c>
      <c r="E1244">
        <v>0</v>
      </c>
      <c r="F1244">
        <v>0</v>
      </c>
    </row>
    <row r="1245" spans="1:6" x14ac:dyDescent="0.25">
      <c r="A1245" t="s">
        <v>25</v>
      </c>
      <c r="B1245" t="s">
        <v>1614</v>
      </c>
      <c r="C1245">
        <v>33204</v>
      </c>
      <c r="D1245">
        <v>0</v>
      </c>
      <c r="E1245">
        <v>0</v>
      </c>
      <c r="F1245">
        <v>0</v>
      </c>
    </row>
    <row r="1246" spans="1:6" x14ac:dyDescent="0.25">
      <c r="A1246" t="s">
        <v>26</v>
      </c>
      <c r="B1246" t="s">
        <v>1615</v>
      </c>
      <c r="C1246">
        <v>33205</v>
      </c>
      <c r="D1246">
        <v>0</v>
      </c>
      <c r="E1246">
        <v>0</v>
      </c>
      <c r="F1246">
        <v>0</v>
      </c>
    </row>
    <row r="1247" spans="1:6" x14ac:dyDescent="0.25">
      <c r="A1247" t="s">
        <v>27</v>
      </c>
      <c r="B1247" t="s">
        <v>1616</v>
      </c>
      <c r="C1247">
        <v>33206</v>
      </c>
      <c r="D1247">
        <v>0</v>
      </c>
      <c r="E1247">
        <v>0</v>
      </c>
      <c r="F1247">
        <v>0</v>
      </c>
    </row>
    <row r="1248" spans="1:6" x14ac:dyDescent="0.25">
      <c r="A1248" t="s">
        <v>531</v>
      </c>
      <c r="B1248" t="s">
        <v>1617</v>
      </c>
      <c r="C1248">
        <v>33207</v>
      </c>
      <c r="D1248">
        <v>0</v>
      </c>
      <c r="E1248">
        <v>0</v>
      </c>
      <c r="F1248">
        <v>0</v>
      </c>
    </row>
    <row r="1249" spans="1:6" x14ac:dyDescent="0.25">
      <c r="A1249" t="s">
        <v>1583</v>
      </c>
      <c r="B1249" t="s">
        <v>1618</v>
      </c>
      <c r="C1249">
        <v>33208</v>
      </c>
      <c r="D1249">
        <v>0</v>
      </c>
      <c r="E1249">
        <v>0</v>
      </c>
      <c r="F1249">
        <v>0</v>
      </c>
    </row>
    <row r="1250" spans="1:6" x14ac:dyDescent="0.25">
      <c r="A1250" t="s">
        <v>1585</v>
      </c>
      <c r="B1250" t="s">
        <v>1619</v>
      </c>
      <c r="C1250">
        <v>33209</v>
      </c>
      <c r="D1250">
        <v>0</v>
      </c>
      <c r="E1250">
        <v>0</v>
      </c>
      <c r="F1250">
        <v>0</v>
      </c>
    </row>
    <row r="1251" spans="1:6" x14ac:dyDescent="0.25">
      <c r="A1251" t="s">
        <v>1587</v>
      </c>
      <c r="B1251" t="s">
        <v>1620</v>
      </c>
      <c r="C1251">
        <v>33210</v>
      </c>
      <c r="D1251">
        <v>0</v>
      </c>
      <c r="E1251">
        <v>0</v>
      </c>
      <c r="F1251">
        <v>0</v>
      </c>
    </row>
    <row r="1252" spans="1:6" x14ac:dyDescent="0.25">
      <c r="A1252" t="s">
        <v>1589</v>
      </c>
      <c r="B1252" t="s">
        <v>1621</v>
      </c>
      <c r="C1252">
        <v>33211</v>
      </c>
      <c r="D1252">
        <v>538</v>
      </c>
      <c r="E1252">
        <v>0</v>
      </c>
      <c r="F1252">
        <v>538</v>
      </c>
    </row>
    <row r="1253" spans="1:6" x14ac:dyDescent="0.25">
      <c r="A1253" t="s">
        <v>1591</v>
      </c>
      <c r="B1253" t="s">
        <v>1622</v>
      </c>
      <c r="C1253">
        <v>33212</v>
      </c>
      <c r="D1253">
        <v>181163</v>
      </c>
      <c r="E1253">
        <v>0</v>
      </c>
      <c r="F1253">
        <v>181163</v>
      </c>
    </row>
    <row r="1254" spans="1:6" x14ac:dyDescent="0.25">
      <c r="A1254" t="s">
        <v>1593</v>
      </c>
      <c r="B1254" t="s">
        <v>1623</v>
      </c>
      <c r="C1254">
        <v>33213</v>
      </c>
      <c r="D1254">
        <v>0</v>
      </c>
      <c r="E1254">
        <v>0</v>
      </c>
      <c r="F1254">
        <v>0</v>
      </c>
    </row>
    <row r="1255" spans="1:6" x14ac:dyDescent="0.25">
      <c r="A1255" t="s">
        <v>1595</v>
      </c>
      <c r="B1255" t="s">
        <v>1624</v>
      </c>
      <c r="C1255">
        <v>33214</v>
      </c>
      <c r="D1255">
        <v>0</v>
      </c>
      <c r="E1255">
        <v>0</v>
      </c>
      <c r="F1255">
        <v>0</v>
      </c>
    </row>
    <row r="1256" spans="1:6" x14ac:dyDescent="0.25">
      <c r="A1256" t="s">
        <v>1597</v>
      </c>
      <c r="B1256" t="s">
        <v>1625</v>
      </c>
      <c r="C1256">
        <v>33215</v>
      </c>
      <c r="D1256">
        <v>23055</v>
      </c>
      <c r="E1256">
        <v>0</v>
      </c>
      <c r="F1256">
        <v>23055</v>
      </c>
    </row>
    <row r="1257" spans="1:6" x14ac:dyDescent="0.25">
      <c r="A1257" t="s">
        <v>1599</v>
      </c>
      <c r="B1257" t="s">
        <v>1626</v>
      </c>
      <c r="C1257">
        <v>33216</v>
      </c>
      <c r="D1257">
        <v>535</v>
      </c>
      <c r="E1257">
        <v>0</v>
      </c>
      <c r="F1257">
        <v>535</v>
      </c>
    </row>
    <row r="1258" spans="1:6" x14ac:dyDescent="0.25">
      <c r="A1258" t="s">
        <v>1601</v>
      </c>
      <c r="B1258" t="s">
        <v>1627</v>
      </c>
      <c r="C1258">
        <v>33217</v>
      </c>
      <c r="D1258">
        <v>0</v>
      </c>
      <c r="E1258">
        <v>0</v>
      </c>
      <c r="F1258">
        <v>0</v>
      </c>
    </row>
    <row r="1259" spans="1:6" x14ac:dyDescent="0.25">
      <c r="A1259" t="s">
        <v>1603</v>
      </c>
      <c r="B1259" t="s">
        <v>1596</v>
      </c>
      <c r="C1259">
        <v>33218</v>
      </c>
      <c r="D1259">
        <v>0</v>
      </c>
      <c r="E1259">
        <v>0</v>
      </c>
      <c r="F1259">
        <v>0</v>
      </c>
    </row>
    <row r="1260" spans="1:6" x14ac:dyDescent="0.25">
      <c r="A1260" t="s">
        <v>1605</v>
      </c>
      <c r="B1260" t="s">
        <v>1598</v>
      </c>
      <c r="C1260">
        <v>33219</v>
      </c>
      <c r="D1260">
        <v>0</v>
      </c>
      <c r="E1260">
        <v>0</v>
      </c>
      <c r="F1260">
        <v>0</v>
      </c>
    </row>
    <row r="1261" spans="1:6" x14ac:dyDescent="0.25">
      <c r="A1261" t="s">
        <v>1607</v>
      </c>
      <c r="B1261" t="s">
        <v>1602</v>
      </c>
      <c r="C1261">
        <v>33220</v>
      </c>
      <c r="D1261">
        <v>0</v>
      </c>
      <c r="E1261">
        <v>0</v>
      </c>
      <c r="F1261">
        <v>0</v>
      </c>
    </row>
    <row r="1262" spans="1:6" x14ac:dyDescent="0.25">
      <c r="B1262" t="s">
        <v>1974</v>
      </c>
      <c r="D1262">
        <v>205291</v>
      </c>
      <c r="E1262">
        <v>0</v>
      </c>
      <c r="F1262">
        <v>205291</v>
      </c>
    </row>
    <row r="1263" spans="1:6" x14ac:dyDescent="0.25">
      <c r="B1263" t="s">
        <v>1629</v>
      </c>
    </row>
    <row r="1264" spans="1:6" x14ac:dyDescent="0.25">
      <c r="A1264" t="s">
        <v>2</v>
      </c>
      <c r="B1264" t="s">
        <v>1627</v>
      </c>
      <c r="C1264">
        <v>33301</v>
      </c>
      <c r="D1264">
        <v>0</v>
      </c>
      <c r="E1264">
        <v>0</v>
      </c>
      <c r="F1264">
        <v>0</v>
      </c>
    </row>
    <row r="1265" spans="1:6" x14ac:dyDescent="0.25">
      <c r="A1265" t="s">
        <v>15</v>
      </c>
      <c r="B1265" t="s">
        <v>1625</v>
      </c>
      <c r="C1265">
        <v>33302</v>
      </c>
      <c r="D1265">
        <v>0</v>
      </c>
      <c r="E1265">
        <v>0</v>
      </c>
      <c r="F1265">
        <v>0</v>
      </c>
    </row>
    <row r="1266" spans="1:6" x14ac:dyDescent="0.25">
      <c r="A1266" t="s">
        <v>16</v>
      </c>
      <c r="B1266" t="s">
        <v>1626</v>
      </c>
      <c r="C1266">
        <v>33303</v>
      </c>
      <c r="D1266">
        <v>0</v>
      </c>
      <c r="E1266">
        <v>0</v>
      </c>
      <c r="F1266">
        <v>0</v>
      </c>
    </row>
    <row r="1267" spans="1:6" x14ac:dyDescent="0.25">
      <c r="B1267" t="s">
        <v>1975</v>
      </c>
      <c r="D1267">
        <v>0</v>
      </c>
      <c r="E1267">
        <v>0</v>
      </c>
      <c r="F1267">
        <v>0</v>
      </c>
    </row>
    <row r="1268" spans="1:6" x14ac:dyDescent="0.25">
      <c r="B1268" t="s">
        <v>1631</v>
      </c>
    </row>
    <row r="1269" spans="1:6" x14ac:dyDescent="0.25">
      <c r="A1269" t="s">
        <v>2</v>
      </c>
      <c r="B1269" t="s">
        <v>1627</v>
      </c>
      <c r="C1269">
        <v>33401</v>
      </c>
      <c r="D1269">
        <v>0</v>
      </c>
      <c r="E1269">
        <v>0</v>
      </c>
      <c r="F1269">
        <v>0</v>
      </c>
    </row>
    <row r="1270" spans="1:6" x14ac:dyDescent="0.25">
      <c r="A1270" t="s">
        <v>15</v>
      </c>
      <c r="B1270" t="s">
        <v>1625</v>
      </c>
      <c r="C1270">
        <v>33402</v>
      </c>
      <c r="D1270">
        <v>0</v>
      </c>
      <c r="E1270">
        <v>0</v>
      </c>
      <c r="F1270">
        <v>0</v>
      </c>
    </row>
    <row r="1271" spans="1:6" x14ac:dyDescent="0.25">
      <c r="A1271" t="s">
        <v>16</v>
      </c>
      <c r="B1271" t="s">
        <v>1626</v>
      </c>
      <c r="C1271">
        <v>33403</v>
      </c>
      <c r="D1271">
        <v>0</v>
      </c>
      <c r="E1271">
        <v>0</v>
      </c>
      <c r="F1271">
        <v>0</v>
      </c>
    </row>
    <row r="1272" spans="1:6" x14ac:dyDescent="0.25">
      <c r="B1272" t="s">
        <v>1976</v>
      </c>
      <c r="D1272">
        <v>0</v>
      </c>
      <c r="E1272">
        <v>0</v>
      </c>
      <c r="F1272">
        <v>0</v>
      </c>
    </row>
    <row r="1273" spans="1:6" x14ac:dyDescent="0.25">
      <c r="B1273" t="s">
        <v>1633</v>
      </c>
    </row>
    <row r="1274" spans="1:6" x14ac:dyDescent="0.25">
      <c r="A1274" t="s">
        <v>2</v>
      </c>
      <c r="B1274" t="s">
        <v>1634</v>
      </c>
      <c r="C1274">
        <v>33501</v>
      </c>
      <c r="D1274">
        <v>0</v>
      </c>
      <c r="E1274">
        <v>0</v>
      </c>
      <c r="F1274">
        <v>0</v>
      </c>
    </row>
    <row r="1275" spans="1:6" x14ac:dyDescent="0.25">
      <c r="A1275" t="s">
        <v>15</v>
      </c>
      <c r="B1275" t="s">
        <v>1635</v>
      </c>
      <c r="C1275">
        <v>33502</v>
      </c>
      <c r="D1275">
        <v>0</v>
      </c>
      <c r="E1275">
        <v>0</v>
      </c>
      <c r="F1275">
        <v>0</v>
      </c>
    </row>
    <row r="1276" spans="1:6" x14ac:dyDescent="0.25">
      <c r="A1276" t="s">
        <v>16</v>
      </c>
      <c r="B1276" t="s">
        <v>1636</v>
      </c>
      <c r="C1276">
        <v>33503</v>
      </c>
      <c r="D1276">
        <v>0</v>
      </c>
      <c r="E1276">
        <v>0</v>
      </c>
      <c r="F1276">
        <v>0</v>
      </c>
    </row>
    <row r="1277" spans="1:6" x14ac:dyDescent="0.25">
      <c r="A1277" t="s">
        <v>25</v>
      </c>
      <c r="B1277" t="s">
        <v>1637</v>
      </c>
      <c r="C1277">
        <v>33504</v>
      </c>
      <c r="D1277">
        <v>0</v>
      </c>
      <c r="E1277">
        <v>0</v>
      </c>
      <c r="F1277">
        <v>0</v>
      </c>
    </row>
    <row r="1278" spans="1:6" x14ac:dyDescent="0.25">
      <c r="A1278" t="s">
        <v>26</v>
      </c>
      <c r="B1278" t="s">
        <v>1638</v>
      </c>
      <c r="C1278">
        <v>33505</v>
      </c>
      <c r="D1278">
        <v>0</v>
      </c>
      <c r="E1278">
        <v>0</v>
      </c>
      <c r="F1278">
        <v>0</v>
      </c>
    </row>
    <row r="1279" spans="1:6" x14ac:dyDescent="0.25">
      <c r="A1279" t="s">
        <v>27</v>
      </c>
      <c r="B1279" t="s">
        <v>1639</v>
      </c>
      <c r="C1279">
        <v>33506</v>
      </c>
      <c r="D1279">
        <v>0</v>
      </c>
      <c r="E1279">
        <v>0</v>
      </c>
      <c r="F1279">
        <v>0</v>
      </c>
    </row>
    <row r="1280" spans="1:6" x14ac:dyDescent="0.25">
      <c r="A1280" t="s">
        <v>531</v>
      </c>
      <c r="B1280" t="s">
        <v>1640</v>
      </c>
      <c r="C1280">
        <v>33507</v>
      </c>
      <c r="D1280">
        <v>0</v>
      </c>
      <c r="E1280">
        <v>0</v>
      </c>
      <c r="F1280">
        <v>0</v>
      </c>
    </row>
    <row r="1281" spans="1:6" x14ac:dyDescent="0.25">
      <c r="A1281" t="s">
        <v>1583</v>
      </c>
      <c r="B1281" t="s">
        <v>1641</v>
      </c>
      <c r="C1281">
        <v>33508</v>
      </c>
      <c r="D1281">
        <v>0</v>
      </c>
      <c r="E1281">
        <v>0</v>
      </c>
      <c r="F1281">
        <v>0</v>
      </c>
    </row>
    <row r="1282" spans="1:6" x14ac:dyDescent="0.25">
      <c r="B1282" t="s">
        <v>1977</v>
      </c>
      <c r="D1282">
        <v>0</v>
      </c>
      <c r="E1282">
        <v>0</v>
      </c>
      <c r="F1282">
        <v>0</v>
      </c>
    </row>
    <row r="1283" spans="1:6" x14ac:dyDescent="0.25">
      <c r="B1283" t="s">
        <v>2287</v>
      </c>
    </row>
    <row r="1284" spans="1:6" x14ac:dyDescent="0.25">
      <c r="A1284" t="s">
        <v>2</v>
      </c>
      <c r="B1284" t="s">
        <v>1634</v>
      </c>
      <c r="C1284">
        <v>33601</v>
      </c>
      <c r="D1284">
        <v>730</v>
      </c>
      <c r="E1284">
        <v>0</v>
      </c>
      <c r="F1284">
        <v>730</v>
      </c>
    </row>
    <row r="1285" spans="1:6" x14ac:dyDescent="0.25">
      <c r="A1285" t="s">
        <v>15</v>
      </c>
      <c r="B1285" t="s">
        <v>1635</v>
      </c>
      <c r="C1285">
        <v>33602</v>
      </c>
      <c r="D1285">
        <v>0</v>
      </c>
      <c r="E1285">
        <v>0</v>
      </c>
      <c r="F1285">
        <v>0</v>
      </c>
    </row>
    <row r="1286" spans="1:6" x14ac:dyDescent="0.25">
      <c r="A1286" t="s">
        <v>16</v>
      </c>
      <c r="B1286" t="s">
        <v>1636</v>
      </c>
      <c r="C1286">
        <v>33603</v>
      </c>
      <c r="D1286">
        <v>0</v>
      </c>
      <c r="E1286">
        <v>0</v>
      </c>
      <c r="F1286">
        <v>0</v>
      </c>
    </row>
    <row r="1287" spans="1:6" x14ac:dyDescent="0.25">
      <c r="A1287" t="s">
        <v>25</v>
      </c>
      <c r="B1287" t="s">
        <v>1637</v>
      </c>
      <c r="C1287">
        <v>33604</v>
      </c>
      <c r="D1287">
        <v>0</v>
      </c>
      <c r="E1287">
        <v>0</v>
      </c>
      <c r="F1287">
        <v>0</v>
      </c>
    </row>
    <row r="1288" spans="1:6" x14ac:dyDescent="0.25">
      <c r="A1288" t="s">
        <v>26</v>
      </c>
      <c r="B1288" t="s">
        <v>1638</v>
      </c>
      <c r="C1288">
        <v>33605</v>
      </c>
      <c r="D1288">
        <v>0</v>
      </c>
      <c r="E1288">
        <v>0</v>
      </c>
      <c r="F1288">
        <v>0</v>
      </c>
    </row>
    <row r="1289" spans="1:6" x14ac:dyDescent="0.25">
      <c r="A1289" t="s">
        <v>27</v>
      </c>
      <c r="B1289" t="s">
        <v>1639</v>
      </c>
      <c r="C1289">
        <v>33606</v>
      </c>
      <c r="D1289">
        <v>0</v>
      </c>
      <c r="E1289">
        <v>0</v>
      </c>
      <c r="F1289">
        <v>0</v>
      </c>
    </row>
    <row r="1290" spans="1:6" x14ac:dyDescent="0.25">
      <c r="A1290" t="s">
        <v>531</v>
      </c>
      <c r="B1290" t="s">
        <v>1640</v>
      </c>
      <c r="C1290">
        <v>33607</v>
      </c>
      <c r="D1290">
        <v>0</v>
      </c>
      <c r="E1290">
        <v>0</v>
      </c>
      <c r="F1290">
        <v>0</v>
      </c>
    </row>
    <row r="1291" spans="1:6" x14ac:dyDescent="0.25">
      <c r="A1291" t="s">
        <v>1583</v>
      </c>
      <c r="B1291" t="s">
        <v>1641</v>
      </c>
      <c r="C1291">
        <v>33608</v>
      </c>
      <c r="D1291">
        <v>0</v>
      </c>
      <c r="E1291">
        <v>0</v>
      </c>
      <c r="F1291">
        <v>0</v>
      </c>
    </row>
    <row r="1292" spans="1:6" x14ac:dyDescent="0.25">
      <c r="B1292" t="s">
        <v>1978</v>
      </c>
      <c r="D1292">
        <v>730</v>
      </c>
      <c r="E1292">
        <v>0</v>
      </c>
      <c r="F1292">
        <v>730</v>
      </c>
    </row>
    <row r="1293" spans="1:6" x14ac:dyDescent="0.25">
      <c r="B1293" t="s">
        <v>2288</v>
      </c>
    </row>
    <row r="1294" spans="1:6" x14ac:dyDescent="0.25">
      <c r="A1294" t="s">
        <v>2</v>
      </c>
      <c r="B1294" t="s">
        <v>1634</v>
      </c>
      <c r="C1294">
        <v>33701</v>
      </c>
      <c r="D1294">
        <v>0</v>
      </c>
      <c r="E1294">
        <v>0</v>
      </c>
      <c r="F1294">
        <v>0</v>
      </c>
    </row>
    <row r="1295" spans="1:6" x14ac:dyDescent="0.25">
      <c r="A1295" t="s">
        <v>15</v>
      </c>
      <c r="B1295" t="s">
        <v>1635</v>
      </c>
      <c r="C1295">
        <v>33702</v>
      </c>
      <c r="D1295">
        <v>0</v>
      </c>
      <c r="E1295">
        <v>0</v>
      </c>
      <c r="F1295">
        <v>0</v>
      </c>
    </row>
    <row r="1296" spans="1:6" x14ac:dyDescent="0.25">
      <c r="A1296" t="s">
        <v>16</v>
      </c>
      <c r="B1296" t="s">
        <v>1636</v>
      </c>
      <c r="C1296">
        <v>33703</v>
      </c>
      <c r="D1296">
        <v>0</v>
      </c>
      <c r="E1296">
        <v>0</v>
      </c>
      <c r="F1296">
        <v>0</v>
      </c>
    </row>
    <row r="1297" spans="1:6" x14ac:dyDescent="0.25">
      <c r="A1297" t="s">
        <v>25</v>
      </c>
      <c r="B1297" t="s">
        <v>1637</v>
      </c>
      <c r="C1297">
        <v>33704</v>
      </c>
      <c r="D1297">
        <v>0</v>
      </c>
      <c r="E1297">
        <v>0</v>
      </c>
      <c r="F1297">
        <v>0</v>
      </c>
    </row>
    <row r="1298" spans="1:6" x14ac:dyDescent="0.25">
      <c r="A1298" t="s">
        <v>26</v>
      </c>
      <c r="B1298" t="s">
        <v>1638</v>
      </c>
      <c r="C1298">
        <v>33705</v>
      </c>
      <c r="D1298">
        <v>0</v>
      </c>
      <c r="E1298">
        <v>0</v>
      </c>
      <c r="F1298">
        <v>0</v>
      </c>
    </row>
    <row r="1299" spans="1:6" x14ac:dyDescent="0.25">
      <c r="A1299" t="s">
        <v>27</v>
      </c>
      <c r="B1299" t="s">
        <v>1639</v>
      </c>
      <c r="C1299">
        <v>33706</v>
      </c>
      <c r="D1299">
        <v>0</v>
      </c>
      <c r="E1299">
        <v>0</v>
      </c>
      <c r="F1299">
        <v>0</v>
      </c>
    </row>
    <row r="1300" spans="1:6" x14ac:dyDescent="0.25">
      <c r="A1300" t="s">
        <v>531</v>
      </c>
      <c r="B1300" t="s">
        <v>1640</v>
      </c>
      <c r="C1300">
        <v>33707</v>
      </c>
      <c r="D1300">
        <v>0</v>
      </c>
      <c r="E1300">
        <v>0</v>
      </c>
      <c r="F1300">
        <v>0</v>
      </c>
    </row>
    <row r="1301" spans="1:6" x14ac:dyDescent="0.25">
      <c r="A1301" t="s">
        <v>1583</v>
      </c>
      <c r="B1301" t="s">
        <v>1641</v>
      </c>
      <c r="C1301">
        <v>33708</v>
      </c>
      <c r="D1301">
        <v>0</v>
      </c>
      <c r="E1301">
        <v>0</v>
      </c>
      <c r="F1301">
        <v>0</v>
      </c>
    </row>
    <row r="1302" spans="1:6" x14ac:dyDescent="0.25">
      <c r="B1302" t="s">
        <v>1979</v>
      </c>
      <c r="D1302">
        <v>0</v>
      </c>
      <c r="E1302">
        <v>0</v>
      </c>
      <c r="F1302">
        <v>0</v>
      </c>
    </row>
    <row r="1303" spans="1:6" x14ac:dyDescent="0.25">
      <c r="B1303" t="s">
        <v>1647</v>
      </c>
    </row>
    <row r="1304" spans="1:6" x14ac:dyDescent="0.25">
      <c r="A1304" t="s">
        <v>2</v>
      </c>
      <c r="B1304" t="s">
        <v>1648</v>
      </c>
      <c r="C1304">
        <v>33801</v>
      </c>
      <c r="D1304">
        <v>0</v>
      </c>
      <c r="E1304">
        <v>0</v>
      </c>
      <c r="F1304">
        <v>0</v>
      </c>
    </row>
    <row r="1305" spans="1:6" x14ac:dyDescent="0.25">
      <c r="A1305" t="s">
        <v>15</v>
      </c>
      <c r="B1305" t="s">
        <v>1649</v>
      </c>
      <c r="C1305">
        <v>33802</v>
      </c>
      <c r="D1305">
        <v>0</v>
      </c>
      <c r="E1305">
        <v>0</v>
      </c>
      <c r="F1305">
        <v>0</v>
      </c>
    </row>
    <row r="1306" spans="1:6" x14ac:dyDescent="0.25">
      <c r="A1306" t="s">
        <v>16</v>
      </c>
      <c r="B1306" t="s">
        <v>1637</v>
      </c>
      <c r="C1306">
        <v>33803</v>
      </c>
      <c r="D1306">
        <v>0</v>
      </c>
      <c r="E1306">
        <v>0</v>
      </c>
      <c r="F1306">
        <v>0</v>
      </c>
    </row>
    <row r="1307" spans="1:6" x14ac:dyDescent="0.25">
      <c r="A1307" t="s">
        <v>25</v>
      </c>
      <c r="B1307" t="s">
        <v>1638</v>
      </c>
      <c r="C1307">
        <v>33804</v>
      </c>
      <c r="D1307">
        <v>0</v>
      </c>
      <c r="E1307">
        <v>0</v>
      </c>
      <c r="F1307">
        <v>0</v>
      </c>
    </row>
    <row r="1308" spans="1:6" x14ac:dyDescent="0.25">
      <c r="A1308" t="s">
        <v>26</v>
      </c>
      <c r="B1308" t="s">
        <v>1650</v>
      </c>
      <c r="C1308">
        <v>33805</v>
      </c>
      <c r="D1308">
        <v>0</v>
      </c>
      <c r="E1308">
        <v>0</v>
      </c>
      <c r="F1308">
        <v>0</v>
      </c>
    </row>
    <row r="1309" spans="1:6" x14ac:dyDescent="0.25">
      <c r="A1309" t="s">
        <v>27</v>
      </c>
      <c r="B1309" t="s">
        <v>1651</v>
      </c>
      <c r="C1309">
        <v>33806</v>
      </c>
      <c r="D1309">
        <v>0</v>
      </c>
      <c r="E1309">
        <v>0</v>
      </c>
      <c r="F1309">
        <v>0</v>
      </c>
    </row>
    <row r="1310" spans="1:6" x14ac:dyDescent="0.25">
      <c r="A1310" t="s">
        <v>531</v>
      </c>
      <c r="B1310" t="s">
        <v>1640</v>
      </c>
      <c r="C1310">
        <v>33807</v>
      </c>
      <c r="D1310">
        <v>0</v>
      </c>
      <c r="E1310">
        <v>0</v>
      </c>
      <c r="F1310">
        <v>0</v>
      </c>
    </row>
    <row r="1311" spans="1:6" x14ac:dyDescent="0.25">
      <c r="A1311" t="s">
        <v>1583</v>
      </c>
      <c r="B1311" t="s">
        <v>1641</v>
      </c>
      <c r="C1311">
        <v>33808</v>
      </c>
      <c r="D1311">
        <v>0</v>
      </c>
      <c r="E1311">
        <v>0</v>
      </c>
      <c r="F1311">
        <v>0</v>
      </c>
    </row>
    <row r="1312" spans="1:6" x14ac:dyDescent="0.25">
      <c r="B1312" t="s">
        <v>1980</v>
      </c>
      <c r="D1312">
        <v>0</v>
      </c>
      <c r="E1312">
        <v>0</v>
      </c>
      <c r="F1312">
        <v>0</v>
      </c>
    </row>
    <row r="1313" spans="1:6" x14ac:dyDescent="0.25">
      <c r="B1313" t="s">
        <v>1670</v>
      </c>
      <c r="D1313">
        <v>206936</v>
      </c>
      <c r="E1313">
        <v>0</v>
      </c>
      <c r="F1313">
        <v>206936</v>
      </c>
    </row>
    <row r="1314" spans="1:6" x14ac:dyDescent="0.25">
      <c r="B1314" t="s">
        <v>1981</v>
      </c>
    </row>
    <row r="1315" spans="1:6" x14ac:dyDescent="0.25">
      <c r="B1315" t="s">
        <v>1575</v>
      </c>
    </row>
    <row r="1316" spans="1:6" x14ac:dyDescent="0.25">
      <c r="A1316" t="s">
        <v>2</v>
      </c>
      <c r="B1316" t="s">
        <v>1576</v>
      </c>
      <c r="C1316">
        <v>34101</v>
      </c>
      <c r="D1316">
        <v>0</v>
      </c>
      <c r="E1316">
        <v>0</v>
      </c>
      <c r="F1316">
        <v>0</v>
      </c>
    </row>
    <row r="1317" spans="1:6" x14ac:dyDescent="0.25">
      <c r="A1317" t="s">
        <v>15</v>
      </c>
      <c r="B1317" t="s">
        <v>1577</v>
      </c>
      <c r="C1317">
        <v>34102</v>
      </c>
      <c r="D1317">
        <v>0</v>
      </c>
      <c r="E1317">
        <v>0</v>
      </c>
      <c r="F1317">
        <v>0</v>
      </c>
    </row>
    <row r="1318" spans="1:6" x14ac:dyDescent="0.25">
      <c r="A1318" t="s">
        <v>16</v>
      </c>
      <c r="B1318" t="s">
        <v>1578</v>
      </c>
      <c r="C1318">
        <v>34103</v>
      </c>
      <c r="D1318">
        <v>0</v>
      </c>
      <c r="E1318">
        <v>0</v>
      </c>
      <c r="F1318">
        <v>0</v>
      </c>
    </row>
    <row r="1319" spans="1:6" x14ac:dyDescent="0.25">
      <c r="A1319" t="s">
        <v>25</v>
      </c>
      <c r="B1319" t="s">
        <v>1579</v>
      </c>
      <c r="C1319">
        <v>34104</v>
      </c>
      <c r="D1319">
        <v>0</v>
      </c>
      <c r="E1319">
        <v>0</v>
      </c>
      <c r="F1319">
        <v>0</v>
      </c>
    </row>
    <row r="1320" spans="1:6" x14ac:dyDescent="0.25">
      <c r="A1320" t="s">
        <v>26</v>
      </c>
      <c r="B1320" t="s">
        <v>1580</v>
      </c>
      <c r="C1320">
        <v>34105</v>
      </c>
      <c r="D1320">
        <v>0</v>
      </c>
      <c r="E1320">
        <v>0</v>
      </c>
      <c r="F1320">
        <v>0</v>
      </c>
    </row>
    <row r="1321" spans="1:6" x14ac:dyDescent="0.25">
      <c r="A1321" t="s">
        <v>27</v>
      </c>
      <c r="B1321" t="s">
        <v>1581</v>
      </c>
      <c r="C1321">
        <v>34106</v>
      </c>
      <c r="D1321">
        <v>0</v>
      </c>
      <c r="E1321">
        <v>0</v>
      </c>
      <c r="F1321">
        <v>0</v>
      </c>
    </row>
    <row r="1322" spans="1:6" x14ac:dyDescent="0.25">
      <c r="A1322" t="s">
        <v>531</v>
      </c>
      <c r="B1322" t="s">
        <v>1582</v>
      </c>
      <c r="C1322">
        <v>34107</v>
      </c>
      <c r="D1322">
        <v>0</v>
      </c>
      <c r="E1322">
        <v>0</v>
      </c>
      <c r="F1322">
        <v>0</v>
      </c>
    </row>
    <row r="1323" spans="1:6" x14ac:dyDescent="0.25">
      <c r="A1323" t="s">
        <v>1583</v>
      </c>
      <c r="B1323" t="s">
        <v>1584</v>
      </c>
      <c r="C1323">
        <v>34108</v>
      </c>
      <c r="D1323">
        <v>0</v>
      </c>
      <c r="E1323">
        <v>0</v>
      </c>
      <c r="F1323">
        <v>0</v>
      </c>
    </row>
    <row r="1324" spans="1:6" x14ac:dyDescent="0.25">
      <c r="A1324" t="s">
        <v>1585</v>
      </c>
      <c r="B1324" t="s">
        <v>1586</v>
      </c>
      <c r="C1324">
        <v>34109</v>
      </c>
      <c r="D1324">
        <v>0</v>
      </c>
      <c r="E1324">
        <v>0</v>
      </c>
      <c r="F1324">
        <v>0</v>
      </c>
    </row>
    <row r="1325" spans="1:6" x14ac:dyDescent="0.25">
      <c r="A1325" t="s">
        <v>1587</v>
      </c>
      <c r="B1325" t="s">
        <v>1588</v>
      </c>
      <c r="C1325">
        <v>34110</v>
      </c>
      <c r="D1325">
        <v>0</v>
      </c>
      <c r="E1325">
        <v>0</v>
      </c>
      <c r="F1325">
        <v>0</v>
      </c>
    </row>
    <row r="1326" spans="1:6" x14ac:dyDescent="0.25">
      <c r="A1326" t="s">
        <v>1589</v>
      </c>
      <c r="B1326" t="s">
        <v>1590</v>
      </c>
      <c r="C1326">
        <v>34111</v>
      </c>
      <c r="D1326">
        <v>0</v>
      </c>
      <c r="E1326">
        <v>0</v>
      </c>
      <c r="F1326">
        <v>0</v>
      </c>
    </row>
    <row r="1327" spans="1:6" x14ac:dyDescent="0.25">
      <c r="A1327" t="s">
        <v>1591</v>
      </c>
      <c r="B1327" t="s">
        <v>1592</v>
      </c>
      <c r="C1327">
        <v>34112</v>
      </c>
      <c r="D1327">
        <v>10</v>
      </c>
      <c r="E1327">
        <v>0</v>
      </c>
      <c r="F1327">
        <v>10</v>
      </c>
    </row>
    <row r="1328" spans="1:6" x14ac:dyDescent="0.25">
      <c r="A1328" t="s">
        <v>1593</v>
      </c>
      <c r="B1328" t="s">
        <v>1594</v>
      </c>
      <c r="C1328">
        <v>34113</v>
      </c>
      <c r="D1328">
        <v>0</v>
      </c>
      <c r="E1328">
        <v>0</v>
      </c>
      <c r="F1328">
        <v>0</v>
      </c>
    </row>
    <row r="1329" spans="1:6" x14ac:dyDescent="0.25">
      <c r="A1329" t="s">
        <v>1595</v>
      </c>
      <c r="B1329" t="s">
        <v>1596</v>
      </c>
      <c r="C1329">
        <v>34114</v>
      </c>
      <c r="D1329">
        <v>0</v>
      </c>
      <c r="E1329">
        <v>0</v>
      </c>
      <c r="F1329">
        <v>0</v>
      </c>
    </row>
    <row r="1330" spans="1:6" x14ac:dyDescent="0.25">
      <c r="A1330" t="s">
        <v>1597</v>
      </c>
      <c r="B1330" t="s">
        <v>1598</v>
      </c>
      <c r="C1330">
        <v>34115</v>
      </c>
      <c r="D1330">
        <v>68689</v>
      </c>
      <c r="E1330">
        <v>0</v>
      </c>
      <c r="F1330">
        <v>68689</v>
      </c>
    </row>
    <row r="1331" spans="1:6" x14ac:dyDescent="0.25">
      <c r="A1331" t="s">
        <v>1599</v>
      </c>
      <c r="B1331" t="s">
        <v>1600</v>
      </c>
      <c r="C1331">
        <v>34116</v>
      </c>
      <c r="D1331">
        <v>0</v>
      </c>
      <c r="E1331">
        <v>0</v>
      </c>
      <c r="F1331">
        <v>0</v>
      </c>
    </row>
    <row r="1332" spans="1:6" x14ac:dyDescent="0.25">
      <c r="A1332" t="s">
        <v>1601</v>
      </c>
      <c r="B1332" t="s">
        <v>1602</v>
      </c>
      <c r="C1332">
        <v>34117</v>
      </c>
      <c r="D1332">
        <v>0</v>
      </c>
      <c r="E1332">
        <v>0</v>
      </c>
      <c r="F1332">
        <v>0</v>
      </c>
    </row>
    <row r="1333" spans="1:6" x14ac:dyDescent="0.25">
      <c r="A1333" t="s">
        <v>1603</v>
      </c>
      <c r="B1333" t="s">
        <v>1604</v>
      </c>
      <c r="C1333">
        <v>34118</v>
      </c>
      <c r="D1333">
        <v>0</v>
      </c>
      <c r="E1333">
        <v>0</v>
      </c>
      <c r="F1333">
        <v>0</v>
      </c>
    </row>
    <row r="1334" spans="1:6" x14ac:dyDescent="0.25">
      <c r="A1334" t="s">
        <v>1605</v>
      </c>
      <c r="B1334" t="s">
        <v>1606</v>
      </c>
      <c r="C1334">
        <v>34119</v>
      </c>
      <c r="D1334">
        <v>0</v>
      </c>
      <c r="E1334">
        <v>0</v>
      </c>
      <c r="F1334">
        <v>0</v>
      </c>
    </row>
    <row r="1335" spans="1:6" x14ac:dyDescent="0.25">
      <c r="A1335" t="s">
        <v>1607</v>
      </c>
      <c r="B1335" t="s">
        <v>1608</v>
      </c>
      <c r="C1335">
        <v>34120</v>
      </c>
      <c r="D1335">
        <v>0</v>
      </c>
      <c r="E1335">
        <v>0</v>
      </c>
      <c r="F1335">
        <v>0</v>
      </c>
    </row>
    <row r="1336" spans="1:6" x14ac:dyDescent="0.25">
      <c r="B1336" t="s">
        <v>1982</v>
      </c>
      <c r="D1336">
        <v>68699</v>
      </c>
      <c r="E1336">
        <v>0</v>
      </c>
      <c r="F1336">
        <v>68699</v>
      </c>
    </row>
    <row r="1337" spans="1:6" x14ac:dyDescent="0.25">
      <c r="B1337" t="s">
        <v>1656</v>
      </c>
    </row>
    <row r="1338" spans="1:6" x14ac:dyDescent="0.25">
      <c r="A1338" t="s">
        <v>2</v>
      </c>
      <c r="B1338" t="s">
        <v>1611</v>
      </c>
      <c r="C1338">
        <v>34201</v>
      </c>
      <c r="D1338">
        <v>0</v>
      </c>
      <c r="E1338">
        <v>0</v>
      </c>
      <c r="F1338">
        <v>0</v>
      </c>
    </row>
    <row r="1339" spans="1:6" x14ac:dyDescent="0.25">
      <c r="A1339" t="s">
        <v>15</v>
      </c>
      <c r="B1339" t="s">
        <v>1973</v>
      </c>
      <c r="C1339">
        <v>34202</v>
      </c>
      <c r="D1339">
        <v>0</v>
      </c>
      <c r="E1339">
        <v>0</v>
      </c>
      <c r="F1339">
        <v>0</v>
      </c>
    </row>
    <row r="1340" spans="1:6" x14ac:dyDescent="0.25">
      <c r="A1340" t="s">
        <v>16</v>
      </c>
      <c r="B1340" t="s">
        <v>1613</v>
      </c>
      <c r="C1340">
        <v>34203</v>
      </c>
      <c r="D1340">
        <v>0</v>
      </c>
      <c r="E1340">
        <v>0</v>
      </c>
      <c r="F1340">
        <v>0</v>
      </c>
    </row>
    <row r="1341" spans="1:6" x14ac:dyDescent="0.25">
      <c r="A1341" t="s">
        <v>25</v>
      </c>
      <c r="B1341" t="s">
        <v>1614</v>
      </c>
      <c r="C1341">
        <v>34204</v>
      </c>
      <c r="D1341">
        <v>208297</v>
      </c>
      <c r="E1341">
        <v>0</v>
      </c>
      <c r="F1341">
        <v>208297</v>
      </c>
    </row>
    <row r="1342" spans="1:6" x14ac:dyDescent="0.25">
      <c r="A1342" t="s">
        <v>26</v>
      </c>
      <c r="B1342" t="s">
        <v>1615</v>
      </c>
      <c r="C1342">
        <v>34205</v>
      </c>
      <c r="D1342">
        <v>0</v>
      </c>
      <c r="E1342">
        <v>0</v>
      </c>
      <c r="F1342">
        <v>0</v>
      </c>
    </row>
    <row r="1343" spans="1:6" x14ac:dyDescent="0.25">
      <c r="A1343" t="s">
        <v>27</v>
      </c>
      <c r="B1343" t="s">
        <v>1616</v>
      </c>
      <c r="C1343">
        <v>34206</v>
      </c>
      <c r="D1343">
        <v>0</v>
      </c>
      <c r="E1343">
        <v>0</v>
      </c>
      <c r="F1343">
        <v>0</v>
      </c>
    </row>
    <row r="1344" spans="1:6" x14ac:dyDescent="0.25">
      <c r="A1344" t="s">
        <v>531</v>
      </c>
      <c r="B1344" t="s">
        <v>1617</v>
      </c>
      <c r="C1344">
        <v>34207</v>
      </c>
      <c r="D1344">
        <v>0</v>
      </c>
      <c r="E1344">
        <v>0</v>
      </c>
      <c r="F1344">
        <v>0</v>
      </c>
    </row>
    <row r="1345" spans="1:6" x14ac:dyDescent="0.25">
      <c r="A1345" t="s">
        <v>1583</v>
      </c>
      <c r="B1345" t="s">
        <v>1618</v>
      </c>
      <c r="C1345">
        <v>34208</v>
      </c>
      <c r="D1345">
        <v>0</v>
      </c>
      <c r="E1345">
        <v>0</v>
      </c>
      <c r="F1345">
        <v>0</v>
      </c>
    </row>
    <row r="1346" spans="1:6" x14ac:dyDescent="0.25">
      <c r="A1346" t="s">
        <v>1585</v>
      </c>
      <c r="B1346" t="s">
        <v>1619</v>
      </c>
      <c r="C1346">
        <v>34209</v>
      </c>
      <c r="D1346">
        <v>0</v>
      </c>
      <c r="E1346">
        <v>0</v>
      </c>
      <c r="F1346">
        <v>0</v>
      </c>
    </row>
    <row r="1347" spans="1:6" x14ac:dyDescent="0.25">
      <c r="A1347" t="s">
        <v>1587</v>
      </c>
      <c r="B1347" t="s">
        <v>1620</v>
      </c>
      <c r="C1347">
        <v>34210</v>
      </c>
      <c r="D1347">
        <v>0</v>
      </c>
      <c r="E1347">
        <v>0</v>
      </c>
      <c r="F1347">
        <v>0</v>
      </c>
    </row>
    <row r="1348" spans="1:6" x14ac:dyDescent="0.25">
      <c r="A1348" t="s">
        <v>1589</v>
      </c>
      <c r="B1348" t="s">
        <v>1621</v>
      </c>
      <c r="C1348">
        <v>34211</v>
      </c>
      <c r="D1348">
        <v>0</v>
      </c>
      <c r="E1348">
        <v>0</v>
      </c>
      <c r="F1348">
        <v>0</v>
      </c>
    </row>
    <row r="1349" spans="1:6" x14ac:dyDescent="0.25">
      <c r="A1349" t="s">
        <v>1591</v>
      </c>
      <c r="B1349" t="s">
        <v>1622</v>
      </c>
      <c r="C1349">
        <v>34212</v>
      </c>
      <c r="D1349">
        <v>0</v>
      </c>
      <c r="E1349">
        <v>0</v>
      </c>
      <c r="F1349">
        <v>0</v>
      </c>
    </row>
    <row r="1350" spans="1:6" x14ac:dyDescent="0.25">
      <c r="A1350" t="s">
        <v>1593</v>
      </c>
      <c r="B1350" t="s">
        <v>1623</v>
      </c>
      <c r="C1350">
        <v>34213</v>
      </c>
      <c r="D1350">
        <v>0</v>
      </c>
      <c r="E1350">
        <v>0</v>
      </c>
      <c r="F1350">
        <v>0</v>
      </c>
    </row>
    <row r="1351" spans="1:6" x14ac:dyDescent="0.25">
      <c r="A1351" t="s">
        <v>1595</v>
      </c>
      <c r="B1351" t="s">
        <v>1624</v>
      </c>
      <c r="C1351">
        <v>34214</v>
      </c>
      <c r="D1351">
        <v>0</v>
      </c>
      <c r="E1351">
        <v>0</v>
      </c>
      <c r="F1351">
        <v>0</v>
      </c>
    </row>
    <row r="1352" spans="1:6" x14ac:dyDescent="0.25">
      <c r="A1352" t="s">
        <v>1597</v>
      </c>
      <c r="B1352" t="s">
        <v>1625</v>
      </c>
      <c r="C1352">
        <v>34215</v>
      </c>
      <c r="D1352">
        <v>0</v>
      </c>
      <c r="E1352">
        <v>0</v>
      </c>
      <c r="F1352">
        <v>0</v>
      </c>
    </row>
    <row r="1353" spans="1:6" x14ac:dyDescent="0.25">
      <c r="A1353" t="s">
        <v>1599</v>
      </c>
      <c r="B1353" t="s">
        <v>1626</v>
      </c>
      <c r="C1353">
        <v>34216</v>
      </c>
      <c r="D1353">
        <v>0</v>
      </c>
      <c r="E1353">
        <v>0</v>
      </c>
      <c r="F1353">
        <v>0</v>
      </c>
    </row>
    <row r="1354" spans="1:6" x14ac:dyDescent="0.25">
      <c r="A1354" t="s">
        <v>1601</v>
      </c>
      <c r="B1354" t="s">
        <v>1627</v>
      </c>
      <c r="C1354">
        <v>34217</v>
      </c>
      <c r="D1354">
        <v>0</v>
      </c>
      <c r="E1354">
        <v>0</v>
      </c>
      <c r="F1354">
        <v>0</v>
      </c>
    </row>
    <row r="1355" spans="1:6" x14ac:dyDescent="0.25">
      <c r="A1355" t="s">
        <v>1603</v>
      </c>
      <c r="B1355" t="s">
        <v>1596</v>
      </c>
      <c r="C1355">
        <v>34218</v>
      </c>
      <c r="D1355">
        <v>0</v>
      </c>
      <c r="E1355">
        <v>0</v>
      </c>
      <c r="F1355">
        <v>0</v>
      </c>
    </row>
    <row r="1356" spans="1:6" x14ac:dyDescent="0.25">
      <c r="A1356" t="s">
        <v>1605</v>
      </c>
      <c r="B1356" t="s">
        <v>1598</v>
      </c>
      <c r="C1356">
        <v>34219</v>
      </c>
      <c r="D1356">
        <v>0</v>
      </c>
      <c r="E1356">
        <v>0</v>
      </c>
      <c r="F1356">
        <v>0</v>
      </c>
    </row>
    <row r="1357" spans="1:6" x14ac:dyDescent="0.25">
      <c r="A1357" t="s">
        <v>1607</v>
      </c>
      <c r="B1357" t="s">
        <v>1602</v>
      </c>
      <c r="C1357">
        <v>34220</v>
      </c>
      <c r="D1357">
        <v>0</v>
      </c>
      <c r="E1357">
        <v>0</v>
      </c>
      <c r="F1357">
        <v>0</v>
      </c>
    </row>
    <row r="1358" spans="1:6" x14ac:dyDescent="0.25">
      <c r="B1358" t="s">
        <v>1983</v>
      </c>
      <c r="D1358">
        <v>208297</v>
      </c>
      <c r="E1358">
        <v>0</v>
      </c>
      <c r="F1358">
        <v>208297</v>
      </c>
    </row>
    <row r="1359" spans="1:6" x14ac:dyDescent="0.25">
      <c r="B1359" t="s">
        <v>1984</v>
      </c>
    </row>
    <row r="1360" spans="1:6" x14ac:dyDescent="0.25">
      <c r="A1360" t="s">
        <v>2</v>
      </c>
      <c r="B1360" t="s">
        <v>1634</v>
      </c>
      <c r="C1360">
        <v>34301</v>
      </c>
      <c r="D1360">
        <v>0</v>
      </c>
      <c r="E1360">
        <v>0</v>
      </c>
      <c r="F1360">
        <v>0</v>
      </c>
    </row>
    <row r="1361" spans="1:6" x14ac:dyDescent="0.25">
      <c r="A1361" t="s">
        <v>15</v>
      </c>
      <c r="B1361" t="s">
        <v>1635</v>
      </c>
      <c r="C1361">
        <v>34302</v>
      </c>
      <c r="D1361">
        <v>0</v>
      </c>
      <c r="E1361">
        <v>0</v>
      </c>
      <c r="F1361">
        <v>0</v>
      </c>
    </row>
    <row r="1362" spans="1:6" x14ac:dyDescent="0.25">
      <c r="A1362" t="s">
        <v>16</v>
      </c>
      <c r="B1362" t="s">
        <v>1636</v>
      </c>
      <c r="C1362">
        <v>34303</v>
      </c>
      <c r="D1362">
        <v>0</v>
      </c>
      <c r="E1362">
        <v>0</v>
      </c>
      <c r="F1362">
        <v>0</v>
      </c>
    </row>
    <row r="1363" spans="1:6" x14ac:dyDescent="0.25">
      <c r="A1363" t="s">
        <v>25</v>
      </c>
      <c r="B1363" t="s">
        <v>1637</v>
      </c>
      <c r="C1363">
        <v>34304</v>
      </c>
      <c r="D1363">
        <v>0</v>
      </c>
      <c r="E1363">
        <v>0</v>
      </c>
      <c r="F1363">
        <v>0</v>
      </c>
    </row>
    <row r="1364" spans="1:6" x14ac:dyDescent="0.25">
      <c r="A1364" t="s">
        <v>26</v>
      </c>
      <c r="B1364" t="s">
        <v>1638</v>
      </c>
      <c r="C1364">
        <v>34305</v>
      </c>
      <c r="D1364">
        <v>0</v>
      </c>
      <c r="E1364">
        <v>0</v>
      </c>
      <c r="F1364">
        <v>0</v>
      </c>
    </row>
    <row r="1365" spans="1:6" x14ac:dyDescent="0.25">
      <c r="A1365" t="s">
        <v>27</v>
      </c>
      <c r="B1365" t="s">
        <v>1639</v>
      </c>
      <c r="C1365">
        <v>34306</v>
      </c>
      <c r="D1365">
        <v>0</v>
      </c>
      <c r="E1365">
        <v>0</v>
      </c>
      <c r="F1365">
        <v>0</v>
      </c>
    </row>
    <row r="1366" spans="1:6" x14ac:dyDescent="0.25">
      <c r="A1366" t="s">
        <v>531</v>
      </c>
      <c r="B1366" t="s">
        <v>1640</v>
      </c>
      <c r="C1366">
        <v>34307</v>
      </c>
      <c r="D1366">
        <v>0</v>
      </c>
      <c r="E1366">
        <v>0</v>
      </c>
      <c r="F1366">
        <v>0</v>
      </c>
    </row>
    <row r="1367" spans="1:6" x14ac:dyDescent="0.25">
      <c r="A1367" t="s">
        <v>1583</v>
      </c>
      <c r="B1367" t="s">
        <v>1641</v>
      </c>
      <c r="C1367">
        <v>34308</v>
      </c>
      <c r="D1367">
        <v>0</v>
      </c>
      <c r="E1367">
        <v>0</v>
      </c>
      <c r="F1367">
        <v>0</v>
      </c>
    </row>
    <row r="1368" spans="1:6" x14ac:dyDescent="0.25">
      <c r="B1368" t="s">
        <v>1985</v>
      </c>
      <c r="D1368">
        <v>0</v>
      </c>
      <c r="E1368">
        <v>0</v>
      </c>
      <c r="F1368">
        <v>0</v>
      </c>
    </row>
    <row r="1369" spans="1:6" x14ac:dyDescent="0.25">
      <c r="B1369" t="s">
        <v>2432</v>
      </c>
    </row>
    <row r="1370" spans="1:6" x14ac:dyDescent="0.25">
      <c r="A1370" t="s">
        <v>2</v>
      </c>
      <c r="B1370" t="s">
        <v>1634</v>
      </c>
      <c r="C1370">
        <v>34401</v>
      </c>
      <c r="D1370">
        <v>23695</v>
      </c>
      <c r="E1370">
        <v>0</v>
      </c>
      <c r="F1370">
        <v>23695</v>
      </c>
    </row>
    <row r="1371" spans="1:6" x14ac:dyDescent="0.25">
      <c r="A1371" t="s">
        <v>15</v>
      </c>
      <c r="B1371" t="s">
        <v>1635</v>
      </c>
      <c r="C1371">
        <v>34402</v>
      </c>
      <c r="D1371">
        <v>2</v>
      </c>
      <c r="E1371">
        <v>0</v>
      </c>
      <c r="F1371">
        <v>2</v>
      </c>
    </row>
    <row r="1372" spans="1:6" x14ac:dyDescent="0.25">
      <c r="A1372" t="s">
        <v>16</v>
      </c>
      <c r="B1372" t="s">
        <v>1636</v>
      </c>
      <c r="C1372">
        <v>34403</v>
      </c>
      <c r="D1372">
        <v>0</v>
      </c>
      <c r="E1372">
        <v>0</v>
      </c>
      <c r="F1372">
        <v>0</v>
      </c>
    </row>
    <row r="1373" spans="1:6" x14ac:dyDescent="0.25">
      <c r="A1373" t="s">
        <v>25</v>
      </c>
      <c r="B1373" t="s">
        <v>1637</v>
      </c>
      <c r="C1373">
        <v>34404</v>
      </c>
      <c r="D1373">
        <v>2021</v>
      </c>
      <c r="E1373">
        <v>0</v>
      </c>
      <c r="F1373">
        <v>2021</v>
      </c>
    </row>
    <row r="1374" spans="1:6" x14ac:dyDescent="0.25">
      <c r="A1374" t="s">
        <v>26</v>
      </c>
      <c r="B1374" t="s">
        <v>1638</v>
      </c>
      <c r="C1374">
        <v>34405</v>
      </c>
      <c r="D1374">
        <v>2459</v>
      </c>
      <c r="E1374">
        <v>0</v>
      </c>
      <c r="F1374">
        <v>2459</v>
      </c>
    </row>
    <row r="1375" spans="1:6" x14ac:dyDescent="0.25">
      <c r="A1375" t="s">
        <v>27</v>
      </c>
      <c r="B1375" t="s">
        <v>1639</v>
      </c>
      <c r="C1375">
        <v>34406</v>
      </c>
      <c r="D1375">
        <v>8979</v>
      </c>
      <c r="E1375">
        <v>0</v>
      </c>
      <c r="F1375">
        <v>8979</v>
      </c>
    </row>
    <row r="1376" spans="1:6" x14ac:dyDescent="0.25">
      <c r="A1376" t="s">
        <v>531</v>
      </c>
      <c r="B1376" t="s">
        <v>1640</v>
      </c>
      <c r="C1376">
        <v>34407</v>
      </c>
      <c r="D1376">
        <v>15</v>
      </c>
      <c r="E1376">
        <v>0</v>
      </c>
      <c r="F1376">
        <v>15</v>
      </c>
    </row>
    <row r="1377" spans="1:6" x14ac:dyDescent="0.25">
      <c r="A1377" t="s">
        <v>1583</v>
      </c>
      <c r="B1377" t="s">
        <v>1641</v>
      </c>
      <c r="C1377">
        <v>34408</v>
      </c>
      <c r="D1377">
        <v>16457</v>
      </c>
      <c r="E1377">
        <v>0</v>
      </c>
      <c r="F1377">
        <v>16457</v>
      </c>
    </row>
    <row r="1378" spans="1:6" x14ac:dyDescent="0.25">
      <c r="B1378" t="s">
        <v>1987</v>
      </c>
      <c r="D1378">
        <v>53628</v>
      </c>
      <c r="E1378">
        <v>0</v>
      </c>
      <c r="F1378">
        <v>53628</v>
      </c>
    </row>
    <row r="1379" spans="1:6" x14ac:dyDescent="0.25">
      <c r="B1379" t="s">
        <v>2433</v>
      </c>
    </row>
    <row r="1380" spans="1:6" x14ac:dyDescent="0.25">
      <c r="A1380" t="s">
        <v>2</v>
      </c>
      <c r="B1380" t="s">
        <v>1634</v>
      </c>
      <c r="C1380">
        <v>34501</v>
      </c>
      <c r="D1380">
        <v>21757</v>
      </c>
      <c r="E1380">
        <v>0</v>
      </c>
      <c r="F1380">
        <v>21757</v>
      </c>
    </row>
    <row r="1381" spans="1:6" x14ac:dyDescent="0.25">
      <c r="A1381" t="s">
        <v>15</v>
      </c>
      <c r="B1381" t="s">
        <v>1635</v>
      </c>
      <c r="C1381">
        <v>34502</v>
      </c>
      <c r="D1381">
        <v>1862</v>
      </c>
      <c r="E1381">
        <v>0</v>
      </c>
      <c r="F1381">
        <v>1862</v>
      </c>
    </row>
    <row r="1382" spans="1:6" x14ac:dyDescent="0.25">
      <c r="A1382" t="s">
        <v>16</v>
      </c>
      <c r="B1382" t="s">
        <v>1636</v>
      </c>
      <c r="C1382">
        <v>34503</v>
      </c>
      <c r="D1382">
        <v>0</v>
      </c>
      <c r="E1382">
        <v>0</v>
      </c>
      <c r="F1382">
        <v>0</v>
      </c>
    </row>
    <row r="1383" spans="1:6" x14ac:dyDescent="0.25">
      <c r="A1383" t="s">
        <v>25</v>
      </c>
      <c r="B1383" t="s">
        <v>1637</v>
      </c>
      <c r="C1383">
        <v>34504</v>
      </c>
      <c r="D1383">
        <v>1953</v>
      </c>
      <c r="E1383">
        <v>0</v>
      </c>
      <c r="F1383">
        <v>1953</v>
      </c>
    </row>
    <row r="1384" spans="1:6" x14ac:dyDescent="0.25">
      <c r="A1384" t="s">
        <v>26</v>
      </c>
      <c r="B1384" t="s">
        <v>1638</v>
      </c>
      <c r="C1384">
        <v>34505</v>
      </c>
      <c r="D1384">
        <v>95264</v>
      </c>
      <c r="E1384">
        <v>0</v>
      </c>
      <c r="F1384">
        <v>95264</v>
      </c>
    </row>
    <row r="1385" spans="1:6" x14ac:dyDescent="0.25">
      <c r="A1385" t="s">
        <v>27</v>
      </c>
      <c r="B1385" t="s">
        <v>1639</v>
      </c>
      <c r="C1385">
        <v>34506</v>
      </c>
      <c r="D1385">
        <v>0</v>
      </c>
      <c r="E1385">
        <v>8280</v>
      </c>
      <c r="F1385">
        <v>8280</v>
      </c>
    </row>
    <row r="1386" spans="1:6" x14ac:dyDescent="0.25">
      <c r="A1386" t="s">
        <v>531</v>
      </c>
      <c r="B1386" t="s">
        <v>1640</v>
      </c>
      <c r="C1386">
        <v>34507</v>
      </c>
      <c r="D1386">
        <v>0</v>
      </c>
      <c r="E1386">
        <v>0</v>
      </c>
      <c r="F1386">
        <v>0</v>
      </c>
    </row>
    <row r="1387" spans="1:6" x14ac:dyDescent="0.25">
      <c r="A1387" t="s">
        <v>1583</v>
      </c>
      <c r="B1387" t="s">
        <v>1641</v>
      </c>
      <c r="C1387">
        <v>34508</v>
      </c>
      <c r="D1387">
        <v>78627</v>
      </c>
      <c r="E1387">
        <v>0</v>
      </c>
      <c r="F1387">
        <v>78627</v>
      </c>
    </row>
    <row r="1388" spans="1:6" x14ac:dyDescent="0.25">
      <c r="B1388" t="s">
        <v>1989</v>
      </c>
      <c r="D1388">
        <v>199463</v>
      </c>
      <c r="E1388">
        <v>8280</v>
      </c>
      <c r="F1388">
        <v>207743</v>
      </c>
    </row>
    <row r="1389" spans="1:6" x14ac:dyDescent="0.25">
      <c r="B1389" t="s">
        <v>1990</v>
      </c>
    </row>
    <row r="1390" spans="1:6" x14ac:dyDescent="0.25">
      <c r="A1390" t="s">
        <v>2</v>
      </c>
      <c r="B1390" t="s">
        <v>1648</v>
      </c>
      <c r="C1390">
        <v>34601</v>
      </c>
      <c r="D1390">
        <v>0</v>
      </c>
      <c r="E1390">
        <v>0</v>
      </c>
      <c r="F1390">
        <v>0</v>
      </c>
    </row>
    <row r="1391" spans="1:6" x14ac:dyDescent="0.25">
      <c r="A1391" t="s">
        <v>15</v>
      </c>
      <c r="B1391" t="s">
        <v>1649</v>
      </c>
      <c r="C1391">
        <v>34602</v>
      </c>
      <c r="D1391">
        <v>0</v>
      </c>
      <c r="E1391">
        <v>0</v>
      </c>
      <c r="F1391">
        <v>0</v>
      </c>
    </row>
    <row r="1392" spans="1:6" x14ac:dyDescent="0.25">
      <c r="A1392" t="s">
        <v>16</v>
      </c>
      <c r="B1392" t="s">
        <v>1637</v>
      </c>
      <c r="C1392">
        <v>34603</v>
      </c>
      <c r="D1392">
        <v>0</v>
      </c>
      <c r="E1392">
        <v>0</v>
      </c>
      <c r="F1392">
        <v>0</v>
      </c>
    </row>
    <row r="1393" spans="1:6" x14ac:dyDescent="0.25">
      <c r="A1393" t="s">
        <v>25</v>
      </c>
      <c r="B1393" t="s">
        <v>1638</v>
      </c>
      <c r="C1393">
        <v>34604</v>
      </c>
      <c r="D1393">
        <v>0</v>
      </c>
      <c r="E1393">
        <v>0</v>
      </c>
      <c r="F1393">
        <v>0</v>
      </c>
    </row>
    <row r="1394" spans="1:6" x14ac:dyDescent="0.25">
      <c r="A1394" t="s">
        <v>26</v>
      </c>
      <c r="B1394" t="s">
        <v>1650</v>
      </c>
      <c r="C1394">
        <v>34605</v>
      </c>
      <c r="D1394">
        <v>0</v>
      </c>
      <c r="E1394">
        <v>0</v>
      </c>
      <c r="F1394">
        <v>0</v>
      </c>
    </row>
    <row r="1395" spans="1:6" x14ac:dyDescent="0.25">
      <c r="A1395" t="s">
        <v>27</v>
      </c>
      <c r="B1395" t="s">
        <v>1651</v>
      </c>
      <c r="C1395">
        <v>34606</v>
      </c>
      <c r="D1395">
        <v>0</v>
      </c>
      <c r="E1395">
        <v>0</v>
      </c>
      <c r="F1395">
        <v>0</v>
      </c>
    </row>
    <row r="1396" spans="1:6" x14ac:dyDescent="0.25">
      <c r="A1396" t="s">
        <v>531</v>
      </c>
      <c r="B1396" t="s">
        <v>1640</v>
      </c>
      <c r="C1396">
        <v>34607</v>
      </c>
      <c r="D1396">
        <v>0</v>
      </c>
      <c r="E1396">
        <v>0</v>
      </c>
      <c r="F1396">
        <v>0</v>
      </c>
    </row>
    <row r="1397" spans="1:6" x14ac:dyDescent="0.25">
      <c r="A1397" t="s">
        <v>1583</v>
      </c>
      <c r="B1397" t="s">
        <v>1641</v>
      </c>
      <c r="C1397">
        <v>34608</v>
      </c>
      <c r="D1397">
        <v>0</v>
      </c>
      <c r="E1397">
        <v>0</v>
      </c>
      <c r="F1397">
        <v>0</v>
      </c>
    </row>
    <row r="1398" spans="1:6" x14ac:dyDescent="0.25">
      <c r="B1398" t="s">
        <v>1991</v>
      </c>
      <c r="D1398">
        <v>0</v>
      </c>
      <c r="E1398">
        <v>0</v>
      </c>
      <c r="F1398">
        <v>0</v>
      </c>
    </row>
    <row r="1399" spans="1:6" x14ac:dyDescent="0.25">
      <c r="B1399" t="s">
        <v>1716</v>
      </c>
      <c r="D1399">
        <v>530087</v>
      </c>
      <c r="E1399">
        <v>8280</v>
      </c>
      <c r="F1399">
        <v>538367</v>
      </c>
    </row>
    <row r="1400" spans="1:6" x14ac:dyDescent="0.25">
      <c r="B1400" t="s">
        <v>2434</v>
      </c>
    </row>
    <row r="1401" spans="1:6" x14ac:dyDescent="0.25">
      <c r="B1401" t="s">
        <v>1575</v>
      </c>
    </row>
    <row r="1402" spans="1:6" x14ac:dyDescent="0.25">
      <c r="A1402" t="s">
        <v>2</v>
      </c>
      <c r="B1402" t="s">
        <v>1576</v>
      </c>
      <c r="C1402">
        <v>35101</v>
      </c>
      <c r="D1402">
        <v>0</v>
      </c>
      <c r="E1402">
        <v>0</v>
      </c>
      <c r="F1402">
        <v>0</v>
      </c>
    </row>
    <row r="1403" spans="1:6" x14ac:dyDescent="0.25">
      <c r="A1403" t="s">
        <v>15</v>
      </c>
      <c r="B1403" t="s">
        <v>1577</v>
      </c>
      <c r="C1403">
        <v>35102</v>
      </c>
      <c r="D1403">
        <v>0</v>
      </c>
      <c r="E1403">
        <v>0</v>
      </c>
      <c r="F1403">
        <v>0</v>
      </c>
    </row>
    <row r="1404" spans="1:6" x14ac:dyDescent="0.25">
      <c r="A1404" t="s">
        <v>16</v>
      </c>
      <c r="B1404" t="s">
        <v>1578</v>
      </c>
      <c r="C1404">
        <v>35103</v>
      </c>
      <c r="D1404">
        <v>0</v>
      </c>
      <c r="E1404">
        <v>0</v>
      </c>
      <c r="F1404">
        <v>0</v>
      </c>
    </row>
    <row r="1405" spans="1:6" x14ac:dyDescent="0.25">
      <c r="A1405" t="s">
        <v>25</v>
      </c>
      <c r="B1405" t="s">
        <v>1579</v>
      </c>
      <c r="C1405">
        <v>35104</v>
      </c>
      <c r="D1405">
        <v>0</v>
      </c>
      <c r="E1405">
        <v>0</v>
      </c>
      <c r="F1405">
        <v>0</v>
      </c>
    </row>
    <row r="1406" spans="1:6" x14ac:dyDescent="0.25">
      <c r="A1406" t="s">
        <v>26</v>
      </c>
      <c r="B1406" t="s">
        <v>1580</v>
      </c>
      <c r="C1406">
        <v>35105</v>
      </c>
      <c r="D1406">
        <v>129325</v>
      </c>
      <c r="E1406">
        <v>0</v>
      </c>
      <c r="F1406">
        <v>129325</v>
      </c>
    </row>
    <row r="1407" spans="1:6" x14ac:dyDescent="0.25">
      <c r="A1407" t="s">
        <v>27</v>
      </c>
      <c r="B1407" t="s">
        <v>1581</v>
      </c>
      <c r="C1407">
        <v>35106</v>
      </c>
      <c r="D1407">
        <v>764</v>
      </c>
      <c r="E1407">
        <v>0</v>
      </c>
      <c r="F1407">
        <v>764</v>
      </c>
    </row>
    <row r="1408" spans="1:6" x14ac:dyDescent="0.25">
      <c r="A1408" t="s">
        <v>531</v>
      </c>
      <c r="B1408" t="s">
        <v>1582</v>
      </c>
      <c r="C1408">
        <v>35107</v>
      </c>
      <c r="D1408">
        <v>0</v>
      </c>
      <c r="E1408">
        <v>0</v>
      </c>
      <c r="F1408">
        <v>0</v>
      </c>
    </row>
    <row r="1409" spans="1:6" x14ac:dyDescent="0.25">
      <c r="A1409" t="s">
        <v>1583</v>
      </c>
      <c r="B1409" t="s">
        <v>1584</v>
      </c>
      <c r="C1409">
        <v>35108</v>
      </c>
      <c r="D1409">
        <v>0</v>
      </c>
      <c r="E1409">
        <v>0</v>
      </c>
      <c r="F1409">
        <v>0</v>
      </c>
    </row>
    <row r="1410" spans="1:6" x14ac:dyDescent="0.25">
      <c r="A1410" t="s">
        <v>1585</v>
      </c>
      <c r="B1410" t="s">
        <v>1586</v>
      </c>
      <c r="C1410">
        <v>35109</v>
      </c>
      <c r="D1410">
        <v>142593</v>
      </c>
      <c r="E1410">
        <v>0</v>
      </c>
      <c r="F1410">
        <v>142593</v>
      </c>
    </row>
    <row r="1411" spans="1:6" x14ac:dyDescent="0.25">
      <c r="A1411" t="s">
        <v>1587</v>
      </c>
      <c r="B1411" t="s">
        <v>1588</v>
      </c>
      <c r="C1411">
        <v>35110</v>
      </c>
      <c r="D1411">
        <v>39484</v>
      </c>
      <c r="E1411">
        <v>0</v>
      </c>
      <c r="F1411">
        <v>39484</v>
      </c>
    </row>
    <row r="1412" spans="1:6" x14ac:dyDescent="0.25">
      <c r="A1412" t="s">
        <v>1589</v>
      </c>
      <c r="B1412" t="s">
        <v>1590</v>
      </c>
      <c r="C1412">
        <v>35111</v>
      </c>
      <c r="D1412">
        <v>106386</v>
      </c>
      <c r="E1412">
        <v>0</v>
      </c>
      <c r="F1412">
        <v>106386</v>
      </c>
    </row>
    <row r="1413" spans="1:6" x14ac:dyDescent="0.25">
      <c r="A1413" t="s">
        <v>1591</v>
      </c>
      <c r="B1413" t="s">
        <v>1592</v>
      </c>
      <c r="C1413">
        <v>35112</v>
      </c>
      <c r="D1413">
        <v>1890614</v>
      </c>
      <c r="E1413">
        <v>0</v>
      </c>
      <c r="F1413">
        <v>1890614</v>
      </c>
    </row>
    <row r="1414" spans="1:6" x14ac:dyDescent="0.25">
      <c r="A1414" t="s">
        <v>1593</v>
      </c>
      <c r="B1414" t="s">
        <v>1594</v>
      </c>
      <c r="C1414">
        <v>35113</v>
      </c>
      <c r="D1414">
        <v>799</v>
      </c>
      <c r="E1414">
        <v>0</v>
      </c>
      <c r="F1414">
        <v>799</v>
      </c>
    </row>
    <row r="1415" spans="1:6" x14ac:dyDescent="0.25">
      <c r="A1415" t="s">
        <v>1595</v>
      </c>
      <c r="B1415" t="s">
        <v>1596</v>
      </c>
      <c r="C1415">
        <v>35114</v>
      </c>
      <c r="D1415">
        <v>15663</v>
      </c>
      <c r="E1415">
        <v>0</v>
      </c>
      <c r="F1415">
        <v>15663</v>
      </c>
    </row>
    <row r="1416" spans="1:6" x14ac:dyDescent="0.25">
      <c r="A1416" t="s">
        <v>1597</v>
      </c>
      <c r="B1416" t="s">
        <v>1598</v>
      </c>
      <c r="C1416">
        <v>35115</v>
      </c>
      <c r="D1416">
        <v>296129</v>
      </c>
      <c r="E1416">
        <v>0</v>
      </c>
      <c r="F1416">
        <v>296129</v>
      </c>
    </row>
    <row r="1417" spans="1:6" x14ac:dyDescent="0.25">
      <c r="A1417" t="s">
        <v>1599</v>
      </c>
      <c r="B1417" t="s">
        <v>1600</v>
      </c>
      <c r="C1417">
        <v>35116</v>
      </c>
      <c r="D1417">
        <v>0</v>
      </c>
      <c r="E1417">
        <v>0</v>
      </c>
      <c r="F1417">
        <v>0</v>
      </c>
    </row>
    <row r="1418" spans="1:6" x14ac:dyDescent="0.25">
      <c r="A1418" t="s">
        <v>1601</v>
      </c>
      <c r="B1418" t="s">
        <v>1602</v>
      </c>
      <c r="C1418">
        <v>35117</v>
      </c>
      <c r="D1418">
        <v>19</v>
      </c>
      <c r="E1418">
        <v>0</v>
      </c>
      <c r="F1418">
        <v>19</v>
      </c>
    </row>
    <row r="1419" spans="1:6" x14ac:dyDescent="0.25">
      <c r="A1419" t="s">
        <v>1603</v>
      </c>
      <c r="B1419" t="s">
        <v>1604</v>
      </c>
      <c r="C1419">
        <v>35118</v>
      </c>
      <c r="D1419">
        <v>0</v>
      </c>
      <c r="E1419">
        <v>0</v>
      </c>
      <c r="F1419">
        <v>0</v>
      </c>
    </row>
    <row r="1420" spans="1:6" x14ac:dyDescent="0.25">
      <c r="A1420" t="s">
        <v>1605</v>
      </c>
      <c r="B1420" t="s">
        <v>1606</v>
      </c>
      <c r="C1420">
        <v>35119</v>
      </c>
      <c r="D1420">
        <v>23871</v>
      </c>
      <c r="E1420">
        <v>0</v>
      </c>
      <c r="F1420">
        <v>23871</v>
      </c>
    </row>
    <row r="1421" spans="1:6" x14ac:dyDescent="0.25">
      <c r="A1421" t="s">
        <v>1607</v>
      </c>
      <c r="B1421" t="s">
        <v>1608</v>
      </c>
      <c r="C1421">
        <v>35120</v>
      </c>
      <c r="D1421">
        <v>0</v>
      </c>
      <c r="E1421">
        <v>0</v>
      </c>
      <c r="F1421">
        <v>0</v>
      </c>
    </row>
    <row r="1422" spans="1:6" x14ac:dyDescent="0.25">
      <c r="B1422" t="s">
        <v>1993</v>
      </c>
      <c r="D1422">
        <v>2645647</v>
      </c>
      <c r="E1422">
        <v>0</v>
      </c>
      <c r="F1422">
        <v>2645647</v>
      </c>
    </row>
    <row r="1423" spans="1:6" x14ac:dyDescent="0.25">
      <c r="B1423" t="s">
        <v>1656</v>
      </c>
    </row>
    <row r="1424" spans="1:6" x14ac:dyDescent="0.25">
      <c r="A1424" t="s">
        <v>2</v>
      </c>
      <c r="B1424" t="s">
        <v>1611</v>
      </c>
      <c r="C1424">
        <v>35201</v>
      </c>
      <c r="D1424">
        <v>0</v>
      </c>
      <c r="E1424">
        <v>0</v>
      </c>
      <c r="F1424">
        <v>0</v>
      </c>
    </row>
    <row r="1425" spans="1:6" x14ac:dyDescent="0.25">
      <c r="A1425" t="s">
        <v>15</v>
      </c>
      <c r="B1425" t="s">
        <v>1612</v>
      </c>
      <c r="C1425">
        <v>35202</v>
      </c>
      <c r="D1425">
        <v>0</v>
      </c>
      <c r="E1425">
        <v>0</v>
      </c>
      <c r="F1425">
        <v>0</v>
      </c>
    </row>
    <row r="1426" spans="1:6" x14ac:dyDescent="0.25">
      <c r="A1426" t="s">
        <v>16</v>
      </c>
      <c r="B1426" t="s">
        <v>1613</v>
      </c>
      <c r="C1426">
        <v>35203</v>
      </c>
      <c r="D1426">
        <v>0</v>
      </c>
      <c r="E1426">
        <v>0</v>
      </c>
      <c r="F1426">
        <v>0</v>
      </c>
    </row>
    <row r="1427" spans="1:6" x14ac:dyDescent="0.25">
      <c r="A1427" t="s">
        <v>25</v>
      </c>
      <c r="B1427" t="s">
        <v>1614</v>
      </c>
      <c r="C1427">
        <v>35204</v>
      </c>
      <c r="D1427">
        <v>0</v>
      </c>
      <c r="E1427">
        <v>0</v>
      </c>
      <c r="F1427">
        <v>0</v>
      </c>
    </row>
    <row r="1428" spans="1:6" x14ac:dyDescent="0.25">
      <c r="A1428" t="s">
        <v>26</v>
      </c>
      <c r="B1428" t="s">
        <v>1615</v>
      </c>
      <c r="C1428">
        <v>35205</v>
      </c>
      <c r="D1428">
        <v>0</v>
      </c>
      <c r="E1428">
        <v>0</v>
      </c>
      <c r="F1428">
        <v>0</v>
      </c>
    </row>
    <row r="1429" spans="1:6" x14ac:dyDescent="0.25">
      <c r="A1429" t="s">
        <v>27</v>
      </c>
      <c r="B1429" t="s">
        <v>1616</v>
      </c>
      <c r="C1429">
        <v>35206</v>
      </c>
      <c r="D1429">
        <v>0</v>
      </c>
      <c r="E1429">
        <v>0</v>
      </c>
      <c r="F1429">
        <v>0</v>
      </c>
    </row>
    <row r="1430" spans="1:6" x14ac:dyDescent="0.25">
      <c r="A1430" t="s">
        <v>531</v>
      </c>
      <c r="B1430" t="s">
        <v>1617</v>
      </c>
      <c r="C1430">
        <v>35207</v>
      </c>
      <c r="D1430">
        <v>0</v>
      </c>
      <c r="E1430">
        <v>0</v>
      </c>
      <c r="F1430">
        <v>0</v>
      </c>
    </row>
    <row r="1431" spans="1:6" x14ac:dyDescent="0.25">
      <c r="A1431" t="s">
        <v>1583</v>
      </c>
      <c r="B1431" t="s">
        <v>1618</v>
      </c>
      <c r="C1431">
        <v>35208</v>
      </c>
      <c r="D1431">
        <v>0</v>
      </c>
      <c r="E1431">
        <v>0</v>
      </c>
      <c r="F1431">
        <v>0</v>
      </c>
    </row>
    <row r="1432" spans="1:6" x14ac:dyDescent="0.25">
      <c r="A1432" t="s">
        <v>1585</v>
      </c>
      <c r="B1432" t="s">
        <v>1619</v>
      </c>
      <c r="C1432">
        <v>35209</v>
      </c>
      <c r="D1432">
        <v>0</v>
      </c>
      <c r="E1432">
        <v>0</v>
      </c>
      <c r="F1432">
        <v>0</v>
      </c>
    </row>
    <row r="1433" spans="1:6" x14ac:dyDescent="0.25">
      <c r="A1433" t="s">
        <v>1587</v>
      </c>
      <c r="B1433" t="s">
        <v>1620</v>
      </c>
      <c r="C1433">
        <v>35210</v>
      </c>
      <c r="D1433">
        <v>0</v>
      </c>
      <c r="E1433">
        <v>0</v>
      </c>
      <c r="F1433">
        <v>0</v>
      </c>
    </row>
    <row r="1434" spans="1:6" x14ac:dyDescent="0.25">
      <c r="A1434" t="s">
        <v>1589</v>
      </c>
      <c r="B1434" t="s">
        <v>1621</v>
      </c>
      <c r="C1434">
        <v>35211</v>
      </c>
      <c r="D1434">
        <v>0</v>
      </c>
      <c r="E1434">
        <v>0</v>
      </c>
      <c r="F1434">
        <v>0</v>
      </c>
    </row>
    <row r="1435" spans="1:6" x14ac:dyDescent="0.25">
      <c r="A1435" t="s">
        <v>1591</v>
      </c>
      <c r="B1435" t="s">
        <v>1622</v>
      </c>
      <c r="C1435">
        <v>35212</v>
      </c>
      <c r="D1435">
        <v>0</v>
      </c>
      <c r="E1435">
        <v>0</v>
      </c>
      <c r="F1435">
        <v>0</v>
      </c>
    </row>
    <row r="1436" spans="1:6" x14ac:dyDescent="0.25">
      <c r="A1436" t="s">
        <v>1593</v>
      </c>
      <c r="B1436" t="s">
        <v>1623</v>
      </c>
      <c r="C1436">
        <v>35213</v>
      </c>
      <c r="D1436">
        <v>0</v>
      </c>
      <c r="E1436">
        <v>0</v>
      </c>
      <c r="F1436">
        <v>0</v>
      </c>
    </row>
    <row r="1437" spans="1:6" x14ac:dyDescent="0.25">
      <c r="A1437" t="s">
        <v>1595</v>
      </c>
      <c r="B1437" t="s">
        <v>1624</v>
      </c>
      <c r="C1437">
        <v>35214</v>
      </c>
      <c r="D1437">
        <v>0</v>
      </c>
      <c r="E1437">
        <v>0</v>
      </c>
      <c r="F1437">
        <v>0</v>
      </c>
    </row>
    <row r="1438" spans="1:6" x14ac:dyDescent="0.25">
      <c r="A1438" t="s">
        <v>1597</v>
      </c>
      <c r="B1438" t="s">
        <v>1625</v>
      </c>
      <c r="C1438">
        <v>35215</v>
      </c>
      <c r="D1438">
        <v>0</v>
      </c>
      <c r="E1438">
        <v>0</v>
      </c>
      <c r="F1438">
        <v>0</v>
      </c>
    </row>
    <row r="1439" spans="1:6" x14ac:dyDescent="0.25">
      <c r="A1439" t="s">
        <v>1599</v>
      </c>
      <c r="B1439" t="s">
        <v>1626</v>
      </c>
      <c r="C1439">
        <v>35216</v>
      </c>
      <c r="D1439">
        <v>0</v>
      </c>
      <c r="E1439">
        <v>0</v>
      </c>
      <c r="F1439">
        <v>0</v>
      </c>
    </row>
    <row r="1440" spans="1:6" x14ac:dyDescent="0.25">
      <c r="A1440" t="s">
        <v>1601</v>
      </c>
      <c r="B1440" t="s">
        <v>1627</v>
      </c>
      <c r="C1440">
        <v>35217</v>
      </c>
      <c r="D1440">
        <v>0</v>
      </c>
      <c r="E1440">
        <v>0</v>
      </c>
      <c r="F1440">
        <v>0</v>
      </c>
    </row>
    <row r="1441" spans="1:6" x14ac:dyDescent="0.25">
      <c r="A1441" t="s">
        <v>1603</v>
      </c>
      <c r="B1441" t="s">
        <v>1596</v>
      </c>
      <c r="C1441">
        <v>35218</v>
      </c>
      <c r="D1441">
        <v>0</v>
      </c>
      <c r="E1441">
        <v>0</v>
      </c>
      <c r="F1441">
        <v>0</v>
      </c>
    </row>
    <row r="1442" spans="1:6" x14ac:dyDescent="0.25">
      <c r="A1442" t="s">
        <v>1605</v>
      </c>
      <c r="B1442" t="s">
        <v>1598</v>
      </c>
      <c r="C1442">
        <v>35219</v>
      </c>
      <c r="D1442">
        <v>0</v>
      </c>
      <c r="E1442">
        <v>0</v>
      </c>
      <c r="F1442">
        <v>0</v>
      </c>
    </row>
    <row r="1443" spans="1:6" x14ac:dyDescent="0.25">
      <c r="A1443" t="s">
        <v>1607</v>
      </c>
      <c r="B1443" t="s">
        <v>1602</v>
      </c>
      <c r="C1443">
        <v>35220</v>
      </c>
      <c r="D1443">
        <v>0</v>
      </c>
      <c r="E1443">
        <v>0</v>
      </c>
      <c r="F1443">
        <v>0</v>
      </c>
    </row>
    <row r="1444" spans="1:6" x14ac:dyDescent="0.25">
      <c r="B1444" t="s">
        <v>1994</v>
      </c>
      <c r="D1444">
        <v>0</v>
      </c>
      <c r="E1444">
        <v>0</v>
      </c>
      <c r="F1444">
        <v>0</v>
      </c>
    </row>
    <row r="1445" spans="1:6" x14ac:dyDescent="0.25">
      <c r="B1445" t="s">
        <v>1629</v>
      </c>
    </row>
    <row r="1446" spans="1:6" x14ac:dyDescent="0.25">
      <c r="A1446" t="s">
        <v>2</v>
      </c>
      <c r="B1446" t="s">
        <v>1627</v>
      </c>
      <c r="C1446">
        <v>35301</v>
      </c>
      <c r="D1446">
        <v>0</v>
      </c>
      <c r="E1446">
        <v>0</v>
      </c>
      <c r="F1446">
        <v>0</v>
      </c>
    </row>
    <row r="1447" spans="1:6" x14ac:dyDescent="0.25">
      <c r="A1447" t="s">
        <v>15</v>
      </c>
      <c r="B1447" t="s">
        <v>1625</v>
      </c>
      <c r="C1447">
        <v>35302</v>
      </c>
      <c r="D1447">
        <v>0</v>
      </c>
      <c r="E1447">
        <v>0</v>
      </c>
      <c r="F1447">
        <v>0</v>
      </c>
    </row>
    <row r="1448" spans="1:6" x14ac:dyDescent="0.25">
      <c r="A1448" t="s">
        <v>16</v>
      </c>
      <c r="B1448" t="s">
        <v>1626</v>
      </c>
      <c r="C1448">
        <v>35303</v>
      </c>
      <c r="D1448">
        <v>0</v>
      </c>
      <c r="E1448">
        <v>0</v>
      </c>
      <c r="F1448">
        <v>0</v>
      </c>
    </row>
    <row r="1449" spans="1:6" x14ac:dyDescent="0.25">
      <c r="B1449" t="s">
        <v>1995</v>
      </c>
      <c r="D1449">
        <v>0</v>
      </c>
      <c r="E1449">
        <v>0</v>
      </c>
      <c r="F1449">
        <v>0</v>
      </c>
    </row>
    <row r="1450" spans="1:6" x14ac:dyDescent="0.25">
      <c r="B1450" t="s">
        <v>1631</v>
      </c>
    </row>
    <row r="1451" spans="1:6" x14ac:dyDescent="0.25">
      <c r="A1451" t="s">
        <v>2</v>
      </c>
      <c r="B1451" t="s">
        <v>1627</v>
      </c>
      <c r="C1451">
        <v>35401</v>
      </c>
      <c r="D1451">
        <v>0</v>
      </c>
      <c r="E1451">
        <v>0</v>
      </c>
      <c r="F1451">
        <v>0</v>
      </c>
    </row>
    <row r="1452" spans="1:6" x14ac:dyDescent="0.25">
      <c r="A1452" t="s">
        <v>15</v>
      </c>
      <c r="B1452" t="s">
        <v>1625</v>
      </c>
      <c r="C1452">
        <v>35402</v>
      </c>
      <c r="D1452">
        <v>0</v>
      </c>
      <c r="E1452">
        <v>0</v>
      </c>
      <c r="F1452">
        <v>0</v>
      </c>
    </row>
    <row r="1453" spans="1:6" x14ac:dyDescent="0.25">
      <c r="A1453" t="s">
        <v>16</v>
      </c>
      <c r="B1453" t="s">
        <v>1626</v>
      </c>
      <c r="C1453">
        <v>35403</v>
      </c>
      <c r="D1453">
        <v>0</v>
      </c>
      <c r="E1453">
        <v>0</v>
      </c>
      <c r="F1453">
        <v>0</v>
      </c>
    </row>
    <row r="1454" spans="1:6" x14ac:dyDescent="0.25">
      <c r="B1454" t="s">
        <v>1996</v>
      </c>
      <c r="D1454">
        <v>0</v>
      </c>
      <c r="E1454">
        <v>0</v>
      </c>
      <c r="F1454">
        <v>0</v>
      </c>
    </row>
    <row r="1455" spans="1:6" x14ac:dyDescent="0.25">
      <c r="B1455" t="s">
        <v>1633</v>
      </c>
    </row>
    <row r="1456" spans="1:6" x14ac:dyDescent="0.25">
      <c r="A1456" t="s">
        <v>2</v>
      </c>
      <c r="B1456" t="s">
        <v>1634</v>
      </c>
      <c r="C1456">
        <v>35501</v>
      </c>
      <c r="D1456">
        <v>0</v>
      </c>
      <c r="E1456">
        <v>0</v>
      </c>
      <c r="F1456">
        <v>0</v>
      </c>
    </row>
    <row r="1457" spans="1:6" x14ac:dyDescent="0.25">
      <c r="A1457" t="s">
        <v>15</v>
      </c>
      <c r="B1457" t="s">
        <v>1635</v>
      </c>
      <c r="C1457">
        <v>35502</v>
      </c>
      <c r="D1457">
        <v>0</v>
      </c>
      <c r="E1457">
        <v>0</v>
      </c>
      <c r="F1457">
        <v>0</v>
      </c>
    </row>
    <row r="1458" spans="1:6" x14ac:dyDescent="0.25">
      <c r="A1458" t="s">
        <v>16</v>
      </c>
      <c r="B1458" t="s">
        <v>1636</v>
      </c>
      <c r="C1458">
        <v>35503</v>
      </c>
      <c r="D1458">
        <v>0</v>
      </c>
      <c r="E1458">
        <v>0</v>
      </c>
      <c r="F1458">
        <v>0</v>
      </c>
    </row>
    <row r="1459" spans="1:6" x14ac:dyDescent="0.25">
      <c r="A1459" t="s">
        <v>25</v>
      </c>
      <c r="B1459" t="s">
        <v>1637</v>
      </c>
      <c r="C1459">
        <v>35504</v>
      </c>
      <c r="D1459">
        <v>0</v>
      </c>
      <c r="E1459">
        <v>0</v>
      </c>
      <c r="F1459">
        <v>0</v>
      </c>
    </row>
    <row r="1460" spans="1:6" x14ac:dyDescent="0.25">
      <c r="A1460" t="s">
        <v>26</v>
      </c>
      <c r="B1460" t="s">
        <v>1638</v>
      </c>
      <c r="C1460">
        <v>35505</v>
      </c>
      <c r="D1460">
        <v>0</v>
      </c>
      <c r="E1460">
        <v>0</v>
      </c>
      <c r="F1460">
        <v>0</v>
      </c>
    </row>
    <row r="1461" spans="1:6" x14ac:dyDescent="0.25">
      <c r="A1461" t="s">
        <v>27</v>
      </c>
      <c r="B1461" t="s">
        <v>1639</v>
      </c>
      <c r="C1461">
        <v>35506</v>
      </c>
      <c r="D1461">
        <v>0</v>
      </c>
      <c r="E1461">
        <v>0</v>
      </c>
      <c r="F1461">
        <v>0</v>
      </c>
    </row>
    <row r="1462" spans="1:6" x14ac:dyDescent="0.25">
      <c r="A1462" t="s">
        <v>531</v>
      </c>
      <c r="B1462" t="s">
        <v>1640</v>
      </c>
      <c r="C1462">
        <v>35507</v>
      </c>
      <c r="D1462">
        <v>0</v>
      </c>
      <c r="E1462">
        <v>0</v>
      </c>
      <c r="F1462">
        <v>0</v>
      </c>
    </row>
    <row r="1463" spans="1:6" x14ac:dyDescent="0.25">
      <c r="A1463" t="s">
        <v>1583</v>
      </c>
      <c r="B1463" t="s">
        <v>1641</v>
      </c>
      <c r="C1463">
        <v>35508</v>
      </c>
      <c r="D1463">
        <v>0</v>
      </c>
      <c r="E1463">
        <v>0</v>
      </c>
      <c r="F1463">
        <v>0</v>
      </c>
    </row>
    <row r="1464" spans="1:6" x14ac:dyDescent="0.25">
      <c r="B1464" t="s">
        <v>1997</v>
      </c>
      <c r="D1464">
        <v>0</v>
      </c>
      <c r="E1464">
        <v>0</v>
      </c>
      <c r="F1464">
        <v>0</v>
      </c>
    </row>
    <row r="1465" spans="1:6" x14ac:dyDescent="0.25">
      <c r="B1465" t="s">
        <v>2287</v>
      </c>
    </row>
    <row r="1466" spans="1:6" x14ac:dyDescent="0.25">
      <c r="A1466" t="s">
        <v>2</v>
      </c>
      <c r="B1466" t="s">
        <v>1634</v>
      </c>
      <c r="C1466">
        <v>35601</v>
      </c>
      <c r="D1466">
        <v>0</v>
      </c>
      <c r="E1466">
        <v>0</v>
      </c>
      <c r="F1466">
        <v>0</v>
      </c>
    </row>
    <row r="1467" spans="1:6" x14ac:dyDescent="0.25">
      <c r="A1467" t="s">
        <v>15</v>
      </c>
      <c r="B1467" t="s">
        <v>1635</v>
      </c>
      <c r="C1467">
        <v>35602</v>
      </c>
      <c r="D1467">
        <v>0</v>
      </c>
      <c r="E1467">
        <v>0</v>
      </c>
      <c r="F1467">
        <v>0</v>
      </c>
    </row>
    <row r="1468" spans="1:6" x14ac:dyDescent="0.25">
      <c r="A1468" t="s">
        <v>16</v>
      </c>
      <c r="B1468" t="s">
        <v>1636</v>
      </c>
      <c r="C1468">
        <v>35603</v>
      </c>
      <c r="D1468">
        <v>0</v>
      </c>
      <c r="E1468">
        <v>0</v>
      </c>
      <c r="F1468">
        <v>0</v>
      </c>
    </row>
    <row r="1469" spans="1:6" x14ac:dyDescent="0.25">
      <c r="A1469" t="s">
        <v>25</v>
      </c>
      <c r="B1469" t="s">
        <v>1637</v>
      </c>
      <c r="C1469">
        <v>35604</v>
      </c>
      <c r="D1469">
        <v>0</v>
      </c>
      <c r="E1469">
        <v>0</v>
      </c>
      <c r="F1469">
        <v>0</v>
      </c>
    </row>
    <row r="1470" spans="1:6" x14ac:dyDescent="0.25">
      <c r="A1470" t="s">
        <v>26</v>
      </c>
      <c r="B1470" t="s">
        <v>1638</v>
      </c>
      <c r="C1470">
        <v>35605</v>
      </c>
      <c r="D1470">
        <v>0</v>
      </c>
      <c r="E1470">
        <v>0</v>
      </c>
      <c r="F1470">
        <v>0</v>
      </c>
    </row>
    <row r="1471" spans="1:6" x14ac:dyDescent="0.25">
      <c r="A1471" t="s">
        <v>27</v>
      </c>
      <c r="B1471" t="s">
        <v>1639</v>
      </c>
      <c r="C1471">
        <v>35606</v>
      </c>
      <c r="D1471">
        <v>0</v>
      </c>
      <c r="E1471">
        <v>0</v>
      </c>
      <c r="F1471">
        <v>0</v>
      </c>
    </row>
    <row r="1472" spans="1:6" x14ac:dyDescent="0.25">
      <c r="A1472" t="s">
        <v>531</v>
      </c>
      <c r="B1472" t="s">
        <v>1640</v>
      </c>
      <c r="C1472">
        <v>35607</v>
      </c>
      <c r="D1472">
        <v>0</v>
      </c>
      <c r="E1472">
        <v>0</v>
      </c>
      <c r="F1472">
        <v>0</v>
      </c>
    </row>
    <row r="1473" spans="1:6" x14ac:dyDescent="0.25">
      <c r="A1473" t="s">
        <v>1583</v>
      </c>
      <c r="B1473" t="s">
        <v>1641</v>
      </c>
      <c r="C1473">
        <v>35608</v>
      </c>
      <c r="D1473">
        <v>0</v>
      </c>
      <c r="E1473">
        <v>0</v>
      </c>
      <c r="F1473">
        <v>0</v>
      </c>
    </row>
    <row r="1474" spans="1:6" x14ac:dyDescent="0.25">
      <c r="B1474" t="s">
        <v>1998</v>
      </c>
      <c r="D1474">
        <v>0</v>
      </c>
      <c r="E1474">
        <v>0</v>
      </c>
      <c r="F1474">
        <v>0</v>
      </c>
    </row>
    <row r="1475" spans="1:6" x14ac:dyDescent="0.25">
      <c r="B1475" t="s">
        <v>2288</v>
      </c>
    </row>
    <row r="1476" spans="1:6" x14ac:dyDescent="0.25">
      <c r="A1476" t="s">
        <v>2</v>
      </c>
      <c r="B1476" t="s">
        <v>1634</v>
      </c>
      <c r="C1476">
        <v>35701</v>
      </c>
      <c r="D1476">
        <v>0</v>
      </c>
      <c r="E1476">
        <v>0</v>
      </c>
      <c r="F1476">
        <v>0</v>
      </c>
    </row>
    <row r="1477" spans="1:6" x14ac:dyDescent="0.25">
      <c r="A1477" t="s">
        <v>15</v>
      </c>
      <c r="B1477" t="s">
        <v>1635</v>
      </c>
      <c r="C1477">
        <v>35702</v>
      </c>
      <c r="D1477">
        <v>0</v>
      </c>
      <c r="E1477">
        <v>0</v>
      </c>
      <c r="F1477">
        <v>0</v>
      </c>
    </row>
    <row r="1478" spans="1:6" x14ac:dyDescent="0.25">
      <c r="A1478" t="s">
        <v>16</v>
      </c>
      <c r="B1478" t="s">
        <v>1636</v>
      </c>
      <c r="C1478">
        <v>35703</v>
      </c>
      <c r="D1478">
        <v>0</v>
      </c>
      <c r="E1478">
        <v>0</v>
      </c>
      <c r="F1478">
        <v>0</v>
      </c>
    </row>
    <row r="1479" spans="1:6" x14ac:dyDescent="0.25">
      <c r="A1479" t="s">
        <v>25</v>
      </c>
      <c r="B1479" t="s">
        <v>1637</v>
      </c>
      <c r="C1479">
        <v>35704</v>
      </c>
      <c r="D1479">
        <v>0</v>
      </c>
      <c r="E1479">
        <v>0</v>
      </c>
      <c r="F1479">
        <v>0</v>
      </c>
    </row>
    <row r="1480" spans="1:6" x14ac:dyDescent="0.25">
      <c r="A1480" t="s">
        <v>26</v>
      </c>
      <c r="B1480" t="s">
        <v>1638</v>
      </c>
      <c r="C1480">
        <v>35705</v>
      </c>
      <c r="D1480">
        <v>0</v>
      </c>
      <c r="E1480">
        <v>0</v>
      </c>
      <c r="F1480">
        <v>0</v>
      </c>
    </row>
    <row r="1481" spans="1:6" x14ac:dyDescent="0.25">
      <c r="A1481" t="s">
        <v>27</v>
      </c>
      <c r="B1481" t="s">
        <v>1639</v>
      </c>
      <c r="C1481">
        <v>35706</v>
      </c>
      <c r="D1481">
        <v>0</v>
      </c>
      <c r="E1481">
        <v>0</v>
      </c>
      <c r="F1481">
        <v>0</v>
      </c>
    </row>
    <row r="1482" spans="1:6" x14ac:dyDescent="0.25">
      <c r="A1482" t="s">
        <v>531</v>
      </c>
      <c r="B1482" t="s">
        <v>1640</v>
      </c>
      <c r="C1482">
        <v>35707</v>
      </c>
      <c r="D1482">
        <v>0</v>
      </c>
      <c r="E1482">
        <v>0</v>
      </c>
      <c r="F1482">
        <v>0</v>
      </c>
    </row>
    <row r="1483" spans="1:6" x14ac:dyDescent="0.25">
      <c r="A1483" t="s">
        <v>1583</v>
      </c>
      <c r="B1483" t="s">
        <v>1641</v>
      </c>
      <c r="C1483">
        <v>35708</v>
      </c>
      <c r="D1483">
        <v>43925</v>
      </c>
      <c r="E1483">
        <v>0</v>
      </c>
      <c r="F1483">
        <v>43925</v>
      </c>
    </row>
    <row r="1484" spans="1:6" x14ac:dyDescent="0.25">
      <c r="B1484" t="s">
        <v>1999</v>
      </c>
      <c r="D1484">
        <v>43925</v>
      </c>
      <c r="E1484">
        <v>0</v>
      </c>
      <c r="F1484">
        <v>43925</v>
      </c>
    </row>
    <row r="1485" spans="1:6" x14ac:dyDescent="0.25">
      <c r="B1485" t="s">
        <v>1647</v>
      </c>
    </row>
    <row r="1486" spans="1:6" x14ac:dyDescent="0.25">
      <c r="A1486" t="s">
        <v>2</v>
      </c>
      <c r="B1486" t="s">
        <v>1648</v>
      </c>
      <c r="C1486">
        <v>35801</v>
      </c>
      <c r="D1486">
        <v>0</v>
      </c>
      <c r="E1486">
        <v>0</v>
      </c>
      <c r="F1486">
        <v>0</v>
      </c>
    </row>
    <row r="1487" spans="1:6" x14ac:dyDescent="0.25">
      <c r="A1487" t="s">
        <v>15</v>
      </c>
      <c r="B1487" t="s">
        <v>1649</v>
      </c>
      <c r="C1487">
        <v>35802</v>
      </c>
      <c r="D1487">
        <v>0</v>
      </c>
      <c r="E1487">
        <v>0</v>
      </c>
      <c r="F1487">
        <v>0</v>
      </c>
    </row>
    <row r="1488" spans="1:6" x14ac:dyDescent="0.25">
      <c r="A1488" t="s">
        <v>16</v>
      </c>
      <c r="B1488" t="s">
        <v>1637</v>
      </c>
      <c r="C1488">
        <v>35803</v>
      </c>
      <c r="D1488">
        <v>1</v>
      </c>
      <c r="E1488">
        <v>0</v>
      </c>
      <c r="F1488">
        <v>1</v>
      </c>
    </row>
    <row r="1489" spans="1:6" x14ac:dyDescent="0.25">
      <c r="A1489" t="s">
        <v>25</v>
      </c>
      <c r="B1489" t="s">
        <v>1638</v>
      </c>
      <c r="C1489">
        <v>35804</v>
      </c>
      <c r="D1489">
        <v>638</v>
      </c>
      <c r="E1489">
        <v>0</v>
      </c>
      <c r="F1489">
        <v>638</v>
      </c>
    </row>
    <row r="1490" spans="1:6" x14ac:dyDescent="0.25">
      <c r="A1490" t="s">
        <v>26</v>
      </c>
      <c r="B1490" t="s">
        <v>1650</v>
      </c>
      <c r="C1490">
        <v>35805</v>
      </c>
      <c r="D1490">
        <v>0</v>
      </c>
      <c r="E1490">
        <v>0</v>
      </c>
      <c r="F1490">
        <v>0</v>
      </c>
    </row>
    <row r="1491" spans="1:6" x14ac:dyDescent="0.25">
      <c r="A1491" t="s">
        <v>27</v>
      </c>
      <c r="B1491" t="s">
        <v>1651</v>
      </c>
      <c r="C1491">
        <v>35806</v>
      </c>
      <c r="D1491">
        <v>0</v>
      </c>
      <c r="E1491">
        <v>0</v>
      </c>
      <c r="F1491">
        <v>0</v>
      </c>
    </row>
    <row r="1492" spans="1:6" x14ac:dyDescent="0.25">
      <c r="A1492" t="s">
        <v>531</v>
      </c>
      <c r="B1492" t="s">
        <v>1640</v>
      </c>
      <c r="C1492">
        <v>35807</v>
      </c>
      <c r="D1492">
        <v>0</v>
      </c>
      <c r="E1492">
        <v>0</v>
      </c>
      <c r="F1492">
        <v>0</v>
      </c>
    </row>
    <row r="1493" spans="1:6" x14ac:dyDescent="0.25">
      <c r="A1493" t="s">
        <v>1583</v>
      </c>
      <c r="B1493" t="s">
        <v>1641</v>
      </c>
      <c r="C1493">
        <v>35808</v>
      </c>
      <c r="D1493">
        <v>0</v>
      </c>
      <c r="E1493">
        <v>0</v>
      </c>
      <c r="F1493">
        <v>0</v>
      </c>
    </row>
    <row r="1494" spans="1:6" x14ac:dyDescent="0.25">
      <c r="B1494" t="s">
        <v>2000</v>
      </c>
      <c r="D1494">
        <v>639</v>
      </c>
      <c r="E1494">
        <v>0</v>
      </c>
      <c r="F1494">
        <v>639</v>
      </c>
    </row>
    <row r="1495" spans="1:6" x14ac:dyDescent="0.25">
      <c r="B1495" t="s">
        <v>1728</v>
      </c>
      <c r="D1495">
        <v>2690211</v>
      </c>
      <c r="E1495">
        <v>0</v>
      </c>
      <c r="F1495">
        <v>2690211</v>
      </c>
    </row>
    <row r="1496" spans="1:6" x14ac:dyDescent="0.25">
      <c r="B1496" t="s">
        <v>2435</v>
      </c>
    </row>
    <row r="1497" spans="1:6" x14ac:dyDescent="0.25">
      <c r="B1497" t="s">
        <v>1672</v>
      </c>
    </row>
    <row r="1498" spans="1:6" x14ac:dyDescent="0.25">
      <c r="A1498" t="s">
        <v>2</v>
      </c>
      <c r="B1498" t="s">
        <v>1673</v>
      </c>
      <c r="C1498">
        <v>36101</v>
      </c>
      <c r="D1498">
        <v>0</v>
      </c>
      <c r="E1498">
        <v>0</v>
      </c>
      <c r="F1498">
        <v>0</v>
      </c>
    </row>
    <row r="1499" spans="1:6" x14ac:dyDescent="0.25">
      <c r="A1499" t="s">
        <v>15</v>
      </c>
      <c r="B1499" t="s">
        <v>1674</v>
      </c>
      <c r="C1499">
        <v>36102</v>
      </c>
      <c r="D1499">
        <v>0</v>
      </c>
      <c r="E1499">
        <v>0</v>
      </c>
      <c r="F1499">
        <v>0</v>
      </c>
    </row>
    <row r="1500" spans="1:6" x14ac:dyDescent="0.25">
      <c r="A1500" t="s">
        <v>16</v>
      </c>
      <c r="B1500" t="s">
        <v>1675</v>
      </c>
      <c r="C1500">
        <v>36103</v>
      </c>
      <c r="D1500">
        <v>0</v>
      </c>
      <c r="E1500">
        <v>0</v>
      </c>
      <c r="F1500">
        <v>0</v>
      </c>
    </row>
    <row r="1501" spans="1:6" x14ac:dyDescent="0.25">
      <c r="A1501" t="s">
        <v>25</v>
      </c>
      <c r="B1501" t="s">
        <v>1676</v>
      </c>
      <c r="C1501">
        <v>36104</v>
      </c>
      <c r="D1501">
        <v>0</v>
      </c>
      <c r="E1501">
        <v>0</v>
      </c>
      <c r="F1501">
        <v>0</v>
      </c>
    </row>
    <row r="1502" spans="1:6" x14ac:dyDescent="0.25">
      <c r="A1502" t="s">
        <v>26</v>
      </c>
      <c r="B1502" t="s">
        <v>1677</v>
      </c>
      <c r="C1502">
        <v>36105</v>
      </c>
      <c r="D1502">
        <v>0</v>
      </c>
      <c r="E1502">
        <v>0</v>
      </c>
      <c r="F1502">
        <v>0</v>
      </c>
    </row>
    <row r="1503" spans="1:6" x14ac:dyDescent="0.25">
      <c r="B1503" t="s">
        <v>2002</v>
      </c>
      <c r="D1503">
        <v>0</v>
      </c>
      <c r="E1503">
        <v>0</v>
      </c>
      <c r="F1503">
        <v>0</v>
      </c>
    </row>
    <row r="1504" spans="1:6" x14ac:dyDescent="0.25">
      <c r="B1504" t="s">
        <v>1679</v>
      </c>
    </row>
    <row r="1505" spans="1:6" x14ac:dyDescent="0.25">
      <c r="A1505" t="s">
        <v>2</v>
      </c>
      <c r="B1505" t="s">
        <v>1680</v>
      </c>
      <c r="C1505">
        <v>36201</v>
      </c>
      <c r="D1505">
        <v>0</v>
      </c>
      <c r="E1505">
        <v>0</v>
      </c>
      <c r="F1505">
        <v>0</v>
      </c>
    </row>
    <row r="1506" spans="1:6" x14ac:dyDescent="0.25">
      <c r="A1506" t="s">
        <v>15</v>
      </c>
      <c r="B1506" t="s">
        <v>1681</v>
      </c>
      <c r="C1506">
        <v>36202</v>
      </c>
      <c r="D1506">
        <v>0</v>
      </c>
      <c r="E1506">
        <v>0</v>
      </c>
      <c r="F1506">
        <v>0</v>
      </c>
    </row>
    <row r="1507" spans="1:6" x14ac:dyDescent="0.25">
      <c r="A1507" t="s">
        <v>16</v>
      </c>
      <c r="B1507" t="s">
        <v>1682</v>
      </c>
      <c r="C1507">
        <v>36203</v>
      </c>
      <c r="D1507">
        <v>0</v>
      </c>
      <c r="E1507">
        <v>0</v>
      </c>
      <c r="F1507">
        <v>0</v>
      </c>
    </row>
    <row r="1508" spans="1:6" x14ac:dyDescent="0.25">
      <c r="A1508" t="s">
        <v>25</v>
      </c>
      <c r="B1508" t="s">
        <v>1683</v>
      </c>
      <c r="C1508">
        <v>36204</v>
      </c>
      <c r="D1508">
        <v>0</v>
      </c>
      <c r="E1508">
        <v>0</v>
      </c>
      <c r="F1508">
        <v>0</v>
      </c>
    </row>
    <row r="1509" spans="1:6" x14ac:dyDescent="0.25">
      <c r="A1509" t="s">
        <v>26</v>
      </c>
      <c r="B1509" t="s">
        <v>1684</v>
      </c>
      <c r="C1509">
        <v>36205</v>
      </c>
      <c r="D1509">
        <v>0</v>
      </c>
      <c r="E1509">
        <v>0</v>
      </c>
      <c r="F1509">
        <v>0</v>
      </c>
    </row>
    <row r="1510" spans="1:6" x14ac:dyDescent="0.25">
      <c r="A1510" t="s">
        <v>27</v>
      </c>
      <c r="B1510" t="s">
        <v>1685</v>
      </c>
      <c r="C1510">
        <v>36206</v>
      </c>
      <c r="D1510">
        <v>0</v>
      </c>
      <c r="E1510">
        <v>0</v>
      </c>
      <c r="F1510">
        <v>0</v>
      </c>
    </row>
    <row r="1511" spans="1:6" x14ac:dyDescent="0.25">
      <c r="A1511" t="s">
        <v>531</v>
      </c>
      <c r="B1511" t="s">
        <v>1686</v>
      </c>
      <c r="C1511">
        <v>36207</v>
      </c>
      <c r="D1511">
        <v>0</v>
      </c>
      <c r="E1511">
        <v>0</v>
      </c>
      <c r="F1511">
        <v>0</v>
      </c>
    </row>
    <row r="1512" spans="1:6" x14ac:dyDescent="0.25">
      <c r="A1512" t="s">
        <v>1583</v>
      </c>
      <c r="B1512" t="s">
        <v>1687</v>
      </c>
      <c r="C1512">
        <v>36208</v>
      </c>
      <c r="D1512">
        <v>0</v>
      </c>
      <c r="E1512">
        <v>0</v>
      </c>
      <c r="F1512">
        <v>0</v>
      </c>
    </row>
    <row r="1513" spans="1:6" x14ac:dyDescent="0.25">
      <c r="A1513" t="s">
        <v>1585</v>
      </c>
      <c r="B1513" t="s">
        <v>1688</v>
      </c>
      <c r="C1513">
        <v>36209</v>
      </c>
      <c r="D1513">
        <v>0</v>
      </c>
      <c r="E1513">
        <v>0</v>
      </c>
      <c r="F1513">
        <v>0</v>
      </c>
    </row>
    <row r="1514" spans="1:6" x14ac:dyDescent="0.25">
      <c r="A1514" t="s">
        <v>1587</v>
      </c>
      <c r="B1514" t="s">
        <v>1637</v>
      </c>
      <c r="C1514">
        <v>36210</v>
      </c>
      <c r="D1514">
        <v>0</v>
      </c>
      <c r="E1514">
        <v>0</v>
      </c>
      <c r="F1514">
        <v>0</v>
      </c>
    </row>
    <row r="1515" spans="1:6" x14ac:dyDescent="0.25">
      <c r="A1515" t="s">
        <v>1589</v>
      </c>
      <c r="B1515" t="s">
        <v>1640</v>
      </c>
      <c r="C1515">
        <v>36211</v>
      </c>
      <c r="D1515">
        <v>0</v>
      </c>
      <c r="E1515">
        <v>0</v>
      </c>
      <c r="F1515">
        <v>0</v>
      </c>
    </row>
    <row r="1516" spans="1:6" x14ac:dyDescent="0.25">
      <c r="A1516" t="s">
        <v>1591</v>
      </c>
      <c r="B1516" t="s">
        <v>1689</v>
      </c>
      <c r="C1516">
        <v>36212</v>
      </c>
      <c r="D1516">
        <v>0</v>
      </c>
      <c r="E1516">
        <v>0</v>
      </c>
      <c r="F1516">
        <v>0</v>
      </c>
    </row>
    <row r="1517" spans="1:6" x14ac:dyDescent="0.25">
      <c r="A1517" t="s">
        <v>1593</v>
      </c>
      <c r="B1517" t="s">
        <v>1690</v>
      </c>
      <c r="C1517">
        <v>36213</v>
      </c>
      <c r="D1517">
        <v>0</v>
      </c>
      <c r="E1517">
        <v>0</v>
      </c>
      <c r="F1517">
        <v>0</v>
      </c>
    </row>
    <row r="1518" spans="1:6" x14ac:dyDescent="0.25">
      <c r="B1518" t="s">
        <v>2003</v>
      </c>
      <c r="D1518">
        <v>0</v>
      </c>
      <c r="E1518">
        <v>0</v>
      </c>
      <c r="F1518">
        <v>0</v>
      </c>
    </row>
    <row r="1519" spans="1:6" x14ac:dyDescent="0.25">
      <c r="B1519" t="s">
        <v>1692</v>
      </c>
    </row>
    <row r="1520" spans="1:6" x14ac:dyDescent="0.25">
      <c r="A1520" t="s">
        <v>2</v>
      </c>
      <c r="B1520" t="s">
        <v>1693</v>
      </c>
      <c r="C1520">
        <v>36301</v>
      </c>
      <c r="D1520">
        <v>0</v>
      </c>
      <c r="E1520">
        <v>0</v>
      </c>
      <c r="F1520">
        <v>0</v>
      </c>
    </row>
    <row r="1521" spans="1:6" x14ac:dyDescent="0.25">
      <c r="A1521" t="s">
        <v>15</v>
      </c>
      <c r="B1521" t="s">
        <v>1694</v>
      </c>
      <c r="C1521">
        <v>36302</v>
      </c>
      <c r="D1521">
        <v>0</v>
      </c>
      <c r="E1521">
        <v>0</v>
      </c>
      <c r="F1521">
        <v>0</v>
      </c>
    </row>
    <row r="1522" spans="1:6" x14ac:dyDescent="0.25">
      <c r="A1522" t="s">
        <v>16</v>
      </c>
      <c r="B1522" t="s">
        <v>1695</v>
      </c>
      <c r="C1522">
        <v>36303</v>
      </c>
      <c r="D1522">
        <v>0</v>
      </c>
      <c r="E1522">
        <v>0</v>
      </c>
      <c r="F1522">
        <v>0</v>
      </c>
    </row>
    <row r="1523" spans="1:6" x14ac:dyDescent="0.25">
      <c r="A1523" t="s">
        <v>25</v>
      </c>
      <c r="B1523" t="s">
        <v>1696</v>
      </c>
      <c r="C1523">
        <v>36304</v>
      </c>
      <c r="D1523">
        <v>0</v>
      </c>
      <c r="E1523">
        <v>0</v>
      </c>
      <c r="F1523">
        <v>0</v>
      </c>
    </row>
    <row r="1524" spans="1:6" x14ac:dyDescent="0.25">
      <c r="A1524" t="s">
        <v>26</v>
      </c>
      <c r="B1524" t="s">
        <v>1680</v>
      </c>
      <c r="C1524">
        <v>36305</v>
      </c>
      <c r="D1524">
        <v>0</v>
      </c>
      <c r="E1524">
        <v>0</v>
      </c>
      <c r="F1524">
        <v>0</v>
      </c>
    </row>
    <row r="1525" spans="1:6" x14ac:dyDescent="0.25">
      <c r="A1525" t="s">
        <v>27</v>
      </c>
      <c r="B1525" t="s">
        <v>1681</v>
      </c>
      <c r="C1525">
        <v>36306</v>
      </c>
      <c r="D1525">
        <v>0</v>
      </c>
      <c r="E1525">
        <v>0</v>
      </c>
      <c r="F1525">
        <v>0</v>
      </c>
    </row>
    <row r="1526" spans="1:6" x14ac:dyDescent="0.25">
      <c r="A1526" t="s">
        <v>531</v>
      </c>
      <c r="B1526" t="s">
        <v>1682</v>
      </c>
      <c r="C1526">
        <v>36307</v>
      </c>
      <c r="D1526">
        <v>0</v>
      </c>
      <c r="E1526">
        <v>0</v>
      </c>
      <c r="F1526">
        <v>0</v>
      </c>
    </row>
    <row r="1527" spans="1:6" x14ac:dyDescent="0.25">
      <c r="A1527" t="s">
        <v>1583</v>
      </c>
      <c r="B1527" t="s">
        <v>1683</v>
      </c>
      <c r="C1527">
        <v>36308</v>
      </c>
      <c r="D1527">
        <v>0</v>
      </c>
      <c r="E1527">
        <v>0</v>
      </c>
      <c r="F1527">
        <v>0</v>
      </c>
    </row>
    <row r="1528" spans="1:6" x14ac:dyDescent="0.25">
      <c r="A1528" t="s">
        <v>1585</v>
      </c>
      <c r="B1528" t="s">
        <v>1684</v>
      </c>
      <c r="C1528">
        <v>36309</v>
      </c>
      <c r="D1528">
        <v>4</v>
      </c>
      <c r="E1528">
        <v>0</v>
      </c>
      <c r="F1528">
        <v>4</v>
      </c>
    </row>
    <row r="1529" spans="1:6" x14ac:dyDescent="0.25">
      <c r="A1529" t="s">
        <v>1587</v>
      </c>
      <c r="B1529" t="s">
        <v>1685</v>
      </c>
      <c r="C1529">
        <v>36310</v>
      </c>
      <c r="D1529">
        <v>0</v>
      </c>
      <c r="E1529">
        <v>0</v>
      </c>
      <c r="F1529">
        <v>0</v>
      </c>
    </row>
    <row r="1530" spans="1:6" x14ac:dyDescent="0.25">
      <c r="A1530" t="s">
        <v>1589</v>
      </c>
      <c r="B1530" t="s">
        <v>1686</v>
      </c>
      <c r="C1530">
        <v>36311</v>
      </c>
      <c r="D1530">
        <v>0</v>
      </c>
      <c r="E1530">
        <v>0</v>
      </c>
      <c r="F1530">
        <v>0</v>
      </c>
    </row>
    <row r="1531" spans="1:6" x14ac:dyDescent="0.25">
      <c r="A1531" t="s">
        <v>1591</v>
      </c>
      <c r="B1531" t="s">
        <v>1687</v>
      </c>
      <c r="C1531">
        <v>36312</v>
      </c>
      <c r="D1531">
        <v>43573</v>
      </c>
      <c r="E1531">
        <v>0</v>
      </c>
      <c r="F1531">
        <v>43573</v>
      </c>
    </row>
    <row r="1532" spans="1:6" x14ac:dyDescent="0.25">
      <c r="A1532" t="s">
        <v>1593</v>
      </c>
      <c r="B1532" t="s">
        <v>1688</v>
      </c>
      <c r="C1532">
        <v>36313</v>
      </c>
      <c r="D1532">
        <v>0</v>
      </c>
      <c r="E1532">
        <v>0</v>
      </c>
      <c r="F1532">
        <v>0</v>
      </c>
    </row>
    <row r="1533" spans="1:6" x14ac:dyDescent="0.25">
      <c r="A1533" t="s">
        <v>1595</v>
      </c>
      <c r="B1533" t="s">
        <v>1690</v>
      </c>
      <c r="C1533">
        <v>36314</v>
      </c>
      <c r="D1533">
        <v>0</v>
      </c>
      <c r="E1533">
        <v>0</v>
      </c>
      <c r="F1533">
        <v>0</v>
      </c>
    </row>
    <row r="1534" spans="1:6" x14ac:dyDescent="0.25">
      <c r="A1534" t="s">
        <v>1597</v>
      </c>
      <c r="B1534" t="s">
        <v>1637</v>
      </c>
      <c r="C1534">
        <v>36315</v>
      </c>
      <c r="D1534">
        <v>0</v>
      </c>
      <c r="E1534">
        <v>0</v>
      </c>
      <c r="F1534">
        <v>0</v>
      </c>
    </row>
    <row r="1535" spans="1:6" x14ac:dyDescent="0.25">
      <c r="A1535" t="s">
        <v>1599</v>
      </c>
      <c r="B1535" t="s">
        <v>1640</v>
      </c>
      <c r="C1535">
        <v>36316</v>
      </c>
      <c r="D1535">
        <v>0</v>
      </c>
      <c r="E1535">
        <v>0</v>
      </c>
      <c r="F1535">
        <v>0</v>
      </c>
    </row>
    <row r="1536" spans="1:6" x14ac:dyDescent="0.25">
      <c r="A1536" t="s">
        <v>1601</v>
      </c>
      <c r="B1536" t="s">
        <v>1636</v>
      </c>
      <c r="C1536">
        <v>36317</v>
      </c>
      <c r="D1536">
        <v>0</v>
      </c>
      <c r="E1536">
        <v>0</v>
      </c>
      <c r="F1536">
        <v>0</v>
      </c>
    </row>
    <row r="1537" spans="1:6" x14ac:dyDescent="0.25">
      <c r="A1537" t="s">
        <v>1603</v>
      </c>
      <c r="B1537" t="s">
        <v>1689</v>
      </c>
      <c r="C1537">
        <v>36318</v>
      </c>
      <c r="D1537">
        <v>3254</v>
      </c>
      <c r="E1537">
        <v>0</v>
      </c>
      <c r="F1537">
        <v>3254</v>
      </c>
    </row>
    <row r="1538" spans="1:6" x14ac:dyDescent="0.25">
      <c r="B1538" t="s">
        <v>2004</v>
      </c>
      <c r="D1538">
        <v>46831</v>
      </c>
      <c r="E1538">
        <v>0</v>
      </c>
      <c r="F1538">
        <v>46831</v>
      </c>
    </row>
    <row r="1539" spans="1:6" x14ac:dyDescent="0.25">
      <c r="B1539" t="s">
        <v>1698</v>
      </c>
    </row>
    <row r="1540" spans="1:6" x14ac:dyDescent="0.25">
      <c r="A1540" t="s">
        <v>2</v>
      </c>
      <c r="B1540" t="s">
        <v>1699</v>
      </c>
      <c r="C1540">
        <v>36401</v>
      </c>
      <c r="D1540">
        <v>0</v>
      </c>
      <c r="E1540">
        <v>0</v>
      </c>
      <c r="F1540">
        <v>0</v>
      </c>
    </row>
    <row r="1541" spans="1:6" x14ac:dyDescent="0.25">
      <c r="A1541" t="s">
        <v>15</v>
      </c>
      <c r="B1541" t="s">
        <v>1694</v>
      </c>
      <c r="C1541">
        <v>36402</v>
      </c>
      <c r="D1541">
        <v>0</v>
      </c>
      <c r="E1541">
        <v>0</v>
      </c>
      <c r="F1541">
        <v>0</v>
      </c>
    </row>
    <row r="1542" spans="1:6" x14ac:dyDescent="0.25">
      <c r="A1542" t="s">
        <v>16</v>
      </c>
      <c r="B1542" t="s">
        <v>1695</v>
      </c>
      <c r="C1542">
        <v>36403</v>
      </c>
      <c r="D1542">
        <v>0</v>
      </c>
      <c r="E1542">
        <v>0</v>
      </c>
      <c r="F1542">
        <v>0</v>
      </c>
    </row>
    <row r="1543" spans="1:6" x14ac:dyDescent="0.25">
      <c r="A1543" t="s">
        <v>25</v>
      </c>
      <c r="B1543" t="s">
        <v>1696</v>
      </c>
      <c r="C1543">
        <v>36404</v>
      </c>
      <c r="D1543">
        <v>0</v>
      </c>
      <c r="E1543">
        <v>0</v>
      </c>
      <c r="F1543">
        <v>0</v>
      </c>
    </row>
    <row r="1544" spans="1:6" x14ac:dyDescent="0.25">
      <c r="A1544" t="s">
        <v>26</v>
      </c>
      <c r="B1544" t="s">
        <v>1680</v>
      </c>
      <c r="C1544">
        <v>36405</v>
      </c>
      <c r="D1544">
        <v>0</v>
      </c>
      <c r="E1544">
        <v>0</v>
      </c>
      <c r="F1544">
        <v>0</v>
      </c>
    </row>
    <row r="1545" spans="1:6" x14ac:dyDescent="0.25">
      <c r="A1545" t="s">
        <v>27</v>
      </c>
      <c r="B1545" t="s">
        <v>1681</v>
      </c>
      <c r="C1545">
        <v>36406</v>
      </c>
      <c r="D1545">
        <v>0</v>
      </c>
      <c r="E1545">
        <v>0</v>
      </c>
      <c r="F1545">
        <v>0</v>
      </c>
    </row>
    <row r="1546" spans="1:6" x14ac:dyDescent="0.25">
      <c r="A1546" t="s">
        <v>531</v>
      </c>
      <c r="B1546" t="s">
        <v>1682</v>
      </c>
      <c r="C1546">
        <v>36407</v>
      </c>
      <c r="D1546">
        <v>0</v>
      </c>
      <c r="E1546">
        <v>0</v>
      </c>
      <c r="F1546">
        <v>0</v>
      </c>
    </row>
    <row r="1547" spans="1:6" x14ac:dyDescent="0.25">
      <c r="A1547" t="s">
        <v>1583</v>
      </c>
      <c r="B1547" t="s">
        <v>1683</v>
      </c>
      <c r="C1547">
        <v>36408</v>
      </c>
      <c r="D1547">
        <v>0</v>
      </c>
      <c r="E1547">
        <v>0</v>
      </c>
      <c r="F1547">
        <v>0</v>
      </c>
    </row>
    <row r="1548" spans="1:6" x14ac:dyDescent="0.25">
      <c r="A1548" t="s">
        <v>1585</v>
      </c>
      <c r="B1548" t="s">
        <v>1684</v>
      </c>
      <c r="C1548">
        <v>36409</v>
      </c>
      <c r="D1548">
        <v>0</v>
      </c>
      <c r="E1548">
        <v>0</v>
      </c>
      <c r="F1548">
        <v>0</v>
      </c>
    </row>
    <row r="1549" spans="1:6" x14ac:dyDescent="0.25">
      <c r="A1549" t="s">
        <v>1587</v>
      </c>
      <c r="B1549" t="s">
        <v>1685</v>
      </c>
      <c r="C1549">
        <v>36410</v>
      </c>
      <c r="D1549">
        <v>0</v>
      </c>
      <c r="E1549">
        <v>0</v>
      </c>
      <c r="F1549">
        <v>0</v>
      </c>
    </row>
    <row r="1550" spans="1:6" x14ac:dyDescent="0.25">
      <c r="A1550" t="s">
        <v>1589</v>
      </c>
      <c r="B1550" t="s">
        <v>1686</v>
      </c>
      <c r="C1550">
        <v>36411</v>
      </c>
      <c r="D1550">
        <v>0</v>
      </c>
      <c r="E1550">
        <v>0</v>
      </c>
      <c r="F1550">
        <v>0</v>
      </c>
    </row>
    <row r="1551" spans="1:6" x14ac:dyDescent="0.25">
      <c r="A1551" t="s">
        <v>1591</v>
      </c>
      <c r="B1551" t="s">
        <v>1687</v>
      </c>
      <c r="C1551">
        <v>36412</v>
      </c>
      <c r="D1551">
        <v>0</v>
      </c>
      <c r="E1551">
        <v>0</v>
      </c>
      <c r="F1551">
        <v>0</v>
      </c>
    </row>
    <row r="1552" spans="1:6" x14ac:dyDescent="0.25">
      <c r="A1552" t="s">
        <v>1593</v>
      </c>
      <c r="B1552" t="s">
        <v>1688</v>
      </c>
      <c r="C1552">
        <v>36413</v>
      </c>
      <c r="D1552">
        <v>0</v>
      </c>
      <c r="E1552">
        <v>0</v>
      </c>
      <c r="F1552">
        <v>0</v>
      </c>
    </row>
    <row r="1553" spans="1:6" x14ac:dyDescent="0.25">
      <c r="A1553" t="s">
        <v>1595</v>
      </c>
      <c r="B1553" t="s">
        <v>1690</v>
      </c>
      <c r="C1553">
        <v>36414</v>
      </c>
      <c r="D1553">
        <v>0</v>
      </c>
      <c r="E1553">
        <v>0</v>
      </c>
      <c r="F1553">
        <v>0</v>
      </c>
    </row>
    <row r="1554" spans="1:6" x14ac:dyDescent="0.25">
      <c r="A1554" t="s">
        <v>1597</v>
      </c>
      <c r="B1554" t="s">
        <v>1637</v>
      </c>
      <c r="C1554">
        <v>36415</v>
      </c>
      <c r="D1554">
        <v>0</v>
      </c>
      <c r="E1554">
        <v>0</v>
      </c>
      <c r="F1554">
        <v>0</v>
      </c>
    </row>
    <row r="1555" spans="1:6" x14ac:dyDescent="0.25">
      <c r="A1555" t="s">
        <v>1599</v>
      </c>
      <c r="B1555" t="s">
        <v>1640</v>
      </c>
      <c r="C1555">
        <v>36416</v>
      </c>
      <c r="D1555">
        <v>0</v>
      </c>
      <c r="E1555">
        <v>0</v>
      </c>
      <c r="F1555">
        <v>0</v>
      </c>
    </row>
    <row r="1556" spans="1:6" x14ac:dyDescent="0.25">
      <c r="A1556" t="s">
        <v>1601</v>
      </c>
      <c r="B1556" t="s">
        <v>1636</v>
      </c>
      <c r="C1556">
        <v>36417</v>
      </c>
      <c r="D1556">
        <v>0</v>
      </c>
      <c r="E1556">
        <v>0</v>
      </c>
      <c r="F1556">
        <v>0</v>
      </c>
    </row>
    <row r="1557" spans="1:6" x14ac:dyDescent="0.25">
      <c r="A1557" t="s">
        <v>1603</v>
      </c>
      <c r="B1557" t="s">
        <v>1689</v>
      </c>
      <c r="C1557">
        <v>36418</v>
      </c>
      <c r="D1557">
        <v>0</v>
      </c>
      <c r="E1557">
        <v>0</v>
      </c>
      <c r="F1557">
        <v>0</v>
      </c>
    </row>
    <row r="1558" spans="1:6" x14ac:dyDescent="0.25">
      <c r="B1558" t="s">
        <v>2005</v>
      </c>
      <c r="D1558">
        <v>0</v>
      </c>
      <c r="E1558">
        <v>0</v>
      </c>
      <c r="F1558">
        <v>0</v>
      </c>
    </row>
    <row r="1559" spans="1:6" x14ac:dyDescent="0.25">
      <c r="B1559" t="s">
        <v>1701</v>
      </c>
    </row>
    <row r="1560" spans="1:6" x14ac:dyDescent="0.25">
      <c r="A1560" t="s">
        <v>2</v>
      </c>
      <c r="B1560" t="s">
        <v>1702</v>
      </c>
      <c r="C1560">
        <v>36501</v>
      </c>
      <c r="D1560">
        <v>0</v>
      </c>
      <c r="E1560">
        <v>0</v>
      </c>
      <c r="F1560">
        <v>0</v>
      </c>
    </row>
    <row r="1561" spans="1:6" x14ac:dyDescent="0.25">
      <c r="A1561" t="s">
        <v>15</v>
      </c>
      <c r="B1561" t="s">
        <v>1703</v>
      </c>
      <c r="C1561">
        <v>36502</v>
      </c>
      <c r="D1561">
        <v>0</v>
      </c>
      <c r="E1561">
        <v>0</v>
      </c>
      <c r="F1561">
        <v>0</v>
      </c>
    </row>
    <row r="1562" spans="1:6" x14ac:dyDescent="0.25">
      <c r="B1562" t="s">
        <v>2006</v>
      </c>
      <c r="D1562">
        <v>0</v>
      </c>
      <c r="E1562">
        <v>0</v>
      </c>
      <c r="F1562">
        <v>0</v>
      </c>
    </row>
    <row r="1563" spans="1:6" x14ac:dyDescent="0.25">
      <c r="B1563" t="s">
        <v>1705</v>
      </c>
    </row>
    <row r="1564" spans="1:6" x14ac:dyDescent="0.25">
      <c r="A1564" t="s">
        <v>2</v>
      </c>
      <c r="B1564" t="s">
        <v>1702</v>
      </c>
      <c r="C1564">
        <v>36601</v>
      </c>
      <c r="D1564">
        <v>0</v>
      </c>
      <c r="E1564">
        <v>0</v>
      </c>
      <c r="F1564">
        <v>0</v>
      </c>
    </row>
    <row r="1565" spans="1:6" x14ac:dyDescent="0.25">
      <c r="A1565" t="s">
        <v>15</v>
      </c>
      <c r="B1565" t="s">
        <v>1703</v>
      </c>
      <c r="C1565">
        <v>36602</v>
      </c>
      <c r="D1565">
        <v>0</v>
      </c>
      <c r="E1565">
        <v>0</v>
      </c>
      <c r="F1565">
        <v>0</v>
      </c>
    </row>
    <row r="1566" spans="1:6" x14ac:dyDescent="0.25">
      <c r="B1566" t="s">
        <v>2007</v>
      </c>
      <c r="D1566">
        <v>0</v>
      </c>
      <c r="E1566">
        <v>0</v>
      </c>
      <c r="F1566">
        <v>0</v>
      </c>
    </row>
    <row r="1567" spans="1:6" x14ac:dyDescent="0.25">
      <c r="B1567" t="s">
        <v>1707</v>
      </c>
    </row>
    <row r="1568" spans="1:6" x14ac:dyDescent="0.25">
      <c r="A1568" t="s">
        <v>2</v>
      </c>
      <c r="B1568" t="s">
        <v>1702</v>
      </c>
      <c r="C1568">
        <v>36701</v>
      </c>
      <c r="D1568">
        <v>0</v>
      </c>
      <c r="E1568">
        <v>0</v>
      </c>
      <c r="F1568">
        <v>0</v>
      </c>
    </row>
    <row r="1569" spans="1:6" x14ac:dyDescent="0.25">
      <c r="A1569" t="s">
        <v>15</v>
      </c>
      <c r="B1569" t="s">
        <v>1703</v>
      </c>
      <c r="C1569">
        <v>36702</v>
      </c>
      <c r="D1569">
        <v>0</v>
      </c>
      <c r="E1569">
        <v>0</v>
      </c>
      <c r="F1569">
        <v>0</v>
      </c>
    </row>
    <row r="1570" spans="1:6" x14ac:dyDescent="0.25">
      <c r="B1570" t="s">
        <v>2008</v>
      </c>
      <c r="D1570">
        <v>0</v>
      </c>
      <c r="E1570">
        <v>0</v>
      </c>
      <c r="F1570">
        <v>0</v>
      </c>
    </row>
    <row r="1571" spans="1:6" x14ac:dyDescent="0.25">
      <c r="B1571" t="s">
        <v>1709</v>
      </c>
    </row>
    <row r="1572" spans="1:6" x14ac:dyDescent="0.25">
      <c r="A1572" t="s">
        <v>2</v>
      </c>
      <c r="B1572" t="s">
        <v>1710</v>
      </c>
      <c r="C1572">
        <v>36801</v>
      </c>
      <c r="D1572">
        <v>0</v>
      </c>
      <c r="E1572">
        <v>0</v>
      </c>
      <c r="F1572">
        <v>0</v>
      </c>
    </row>
    <row r="1573" spans="1:6" x14ac:dyDescent="0.25">
      <c r="A1573" t="s">
        <v>15</v>
      </c>
      <c r="B1573" t="s">
        <v>1711</v>
      </c>
      <c r="C1573">
        <v>36802</v>
      </c>
      <c r="D1573">
        <v>0</v>
      </c>
      <c r="E1573">
        <v>0</v>
      </c>
      <c r="F1573">
        <v>0</v>
      </c>
    </row>
    <row r="1574" spans="1:6" x14ac:dyDescent="0.25">
      <c r="A1574" t="s">
        <v>16</v>
      </c>
      <c r="B1574" t="s">
        <v>1712</v>
      </c>
      <c r="C1574">
        <v>36803</v>
      </c>
      <c r="D1574">
        <v>0</v>
      </c>
      <c r="E1574">
        <v>0</v>
      </c>
      <c r="F1574">
        <v>0</v>
      </c>
    </row>
    <row r="1575" spans="1:6" x14ac:dyDescent="0.25">
      <c r="A1575" t="s">
        <v>25</v>
      </c>
      <c r="B1575" t="s">
        <v>1713</v>
      </c>
      <c r="C1575">
        <v>36804</v>
      </c>
      <c r="D1575">
        <v>2828</v>
      </c>
      <c r="E1575">
        <v>0</v>
      </c>
      <c r="F1575">
        <v>2828</v>
      </c>
    </row>
    <row r="1576" spans="1:6" x14ac:dyDescent="0.25">
      <c r="A1576" t="s">
        <v>26</v>
      </c>
      <c r="B1576" t="s">
        <v>1714</v>
      </c>
      <c r="C1576">
        <v>36805</v>
      </c>
      <c r="D1576">
        <v>0</v>
      </c>
      <c r="E1576">
        <v>0</v>
      </c>
      <c r="F1576">
        <v>0</v>
      </c>
    </row>
    <row r="1577" spans="1:6" x14ac:dyDescent="0.25">
      <c r="B1577" t="s">
        <v>2009</v>
      </c>
      <c r="D1577">
        <v>2828</v>
      </c>
      <c r="E1577">
        <v>0</v>
      </c>
      <c r="F1577">
        <v>2828</v>
      </c>
    </row>
    <row r="1578" spans="1:6" x14ac:dyDescent="0.25">
      <c r="B1578" t="s">
        <v>1732</v>
      </c>
      <c r="D1578">
        <v>49659</v>
      </c>
      <c r="E1578">
        <v>0</v>
      </c>
      <c r="F1578">
        <v>49659</v>
      </c>
    </row>
    <row r="1579" spans="1:6" x14ac:dyDescent="0.25">
      <c r="B1579" t="s">
        <v>2010</v>
      </c>
    </row>
    <row r="1580" spans="1:6" x14ac:dyDescent="0.25">
      <c r="B1580" t="s">
        <v>1575</v>
      </c>
    </row>
    <row r="1581" spans="1:6" x14ac:dyDescent="0.25">
      <c r="A1581" t="s">
        <v>2</v>
      </c>
      <c r="B1581" t="s">
        <v>1576</v>
      </c>
      <c r="C1581">
        <v>37101</v>
      </c>
      <c r="D1581">
        <v>0</v>
      </c>
      <c r="F1581">
        <v>0</v>
      </c>
    </row>
    <row r="1582" spans="1:6" x14ac:dyDescent="0.25">
      <c r="A1582" t="s">
        <v>15</v>
      </c>
      <c r="B1582" t="s">
        <v>1577</v>
      </c>
      <c r="C1582">
        <v>37102</v>
      </c>
      <c r="D1582">
        <v>0</v>
      </c>
      <c r="F1582">
        <v>0</v>
      </c>
    </row>
    <row r="1583" spans="1:6" x14ac:dyDescent="0.25">
      <c r="A1583" t="s">
        <v>16</v>
      </c>
      <c r="B1583" t="s">
        <v>1578</v>
      </c>
      <c r="C1583">
        <v>37103</v>
      </c>
      <c r="D1583">
        <v>0</v>
      </c>
      <c r="F1583">
        <v>0</v>
      </c>
    </row>
    <row r="1584" spans="1:6" x14ac:dyDescent="0.25">
      <c r="A1584" t="s">
        <v>25</v>
      </c>
      <c r="B1584" t="s">
        <v>1579</v>
      </c>
      <c r="C1584">
        <v>37104</v>
      </c>
      <c r="D1584">
        <v>0</v>
      </c>
      <c r="F1584">
        <v>0</v>
      </c>
    </row>
    <row r="1585" spans="1:6" x14ac:dyDescent="0.25">
      <c r="A1585" t="s">
        <v>26</v>
      </c>
      <c r="B1585" t="s">
        <v>1580</v>
      </c>
      <c r="C1585">
        <v>37105</v>
      </c>
      <c r="D1585">
        <v>0</v>
      </c>
      <c r="F1585">
        <v>0</v>
      </c>
    </row>
    <row r="1586" spans="1:6" x14ac:dyDescent="0.25">
      <c r="A1586" t="s">
        <v>27</v>
      </c>
      <c r="B1586" t="s">
        <v>1581</v>
      </c>
      <c r="C1586">
        <v>37106</v>
      </c>
      <c r="D1586">
        <v>949</v>
      </c>
      <c r="F1586">
        <v>949</v>
      </c>
    </row>
    <row r="1587" spans="1:6" x14ac:dyDescent="0.25">
      <c r="A1587" t="s">
        <v>531</v>
      </c>
      <c r="B1587" t="s">
        <v>1582</v>
      </c>
      <c r="C1587">
        <v>37107</v>
      </c>
      <c r="D1587">
        <v>0</v>
      </c>
      <c r="F1587">
        <v>0</v>
      </c>
    </row>
    <row r="1588" spans="1:6" x14ac:dyDescent="0.25">
      <c r="A1588" t="s">
        <v>1583</v>
      </c>
      <c r="B1588" t="s">
        <v>1584</v>
      </c>
      <c r="C1588">
        <v>37108</v>
      </c>
      <c r="D1588">
        <v>0</v>
      </c>
      <c r="F1588">
        <v>0</v>
      </c>
    </row>
    <row r="1589" spans="1:6" x14ac:dyDescent="0.25">
      <c r="A1589" t="s">
        <v>1585</v>
      </c>
      <c r="B1589" t="s">
        <v>1586</v>
      </c>
      <c r="C1589">
        <v>37109</v>
      </c>
      <c r="D1589">
        <v>48659</v>
      </c>
      <c r="F1589">
        <v>48659</v>
      </c>
    </row>
    <row r="1590" spans="1:6" x14ac:dyDescent="0.25">
      <c r="A1590" t="s">
        <v>1587</v>
      </c>
      <c r="B1590" t="s">
        <v>1588</v>
      </c>
      <c r="C1590">
        <v>37110</v>
      </c>
      <c r="D1590">
        <v>2170</v>
      </c>
      <c r="F1590">
        <v>2170</v>
      </c>
    </row>
    <row r="1591" spans="1:6" x14ac:dyDescent="0.25">
      <c r="A1591" t="s">
        <v>1589</v>
      </c>
      <c r="B1591" t="s">
        <v>1590</v>
      </c>
      <c r="C1591">
        <v>37111</v>
      </c>
      <c r="D1591">
        <v>196150</v>
      </c>
      <c r="F1591">
        <v>196150</v>
      </c>
    </row>
    <row r="1592" spans="1:6" x14ac:dyDescent="0.25">
      <c r="A1592" t="s">
        <v>1591</v>
      </c>
      <c r="B1592" t="s">
        <v>1592</v>
      </c>
      <c r="C1592">
        <v>37112</v>
      </c>
      <c r="D1592">
        <v>19219178</v>
      </c>
      <c r="F1592">
        <v>19219178</v>
      </c>
    </row>
    <row r="1593" spans="1:6" x14ac:dyDescent="0.25">
      <c r="A1593" t="s">
        <v>1593</v>
      </c>
      <c r="B1593" t="s">
        <v>1594</v>
      </c>
      <c r="C1593">
        <v>37113</v>
      </c>
      <c r="D1593">
        <v>0</v>
      </c>
      <c r="F1593">
        <v>0</v>
      </c>
    </row>
    <row r="1594" spans="1:6" x14ac:dyDescent="0.25">
      <c r="A1594" t="s">
        <v>1595</v>
      </c>
      <c r="B1594" t="s">
        <v>1596</v>
      </c>
      <c r="C1594">
        <v>37114</v>
      </c>
      <c r="D1594">
        <v>265092</v>
      </c>
      <c r="F1594">
        <v>265092</v>
      </c>
    </row>
    <row r="1595" spans="1:6" x14ac:dyDescent="0.25">
      <c r="A1595" t="s">
        <v>1597</v>
      </c>
      <c r="B1595" t="s">
        <v>1598</v>
      </c>
      <c r="C1595">
        <v>37115</v>
      </c>
      <c r="D1595">
        <v>4563236</v>
      </c>
      <c r="F1595">
        <v>4563236</v>
      </c>
    </row>
    <row r="1596" spans="1:6" x14ac:dyDescent="0.25">
      <c r="A1596" t="s">
        <v>1599</v>
      </c>
      <c r="B1596" t="s">
        <v>1600</v>
      </c>
      <c r="C1596">
        <v>37116</v>
      </c>
      <c r="D1596">
        <v>781659</v>
      </c>
      <c r="F1596">
        <v>781659</v>
      </c>
    </row>
    <row r="1597" spans="1:6" x14ac:dyDescent="0.25">
      <c r="A1597" t="s">
        <v>1601</v>
      </c>
      <c r="B1597" t="s">
        <v>1602</v>
      </c>
      <c r="C1597">
        <v>37117</v>
      </c>
      <c r="D1597">
        <v>0</v>
      </c>
      <c r="F1597">
        <v>0</v>
      </c>
    </row>
    <row r="1598" spans="1:6" x14ac:dyDescent="0.25">
      <c r="A1598" t="s">
        <v>1603</v>
      </c>
      <c r="B1598" t="s">
        <v>1604</v>
      </c>
      <c r="C1598">
        <v>37118</v>
      </c>
      <c r="D1598">
        <v>11991648</v>
      </c>
      <c r="F1598">
        <v>11991648</v>
      </c>
    </row>
    <row r="1599" spans="1:6" x14ac:dyDescent="0.25">
      <c r="A1599" t="s">
        <v>1605</v>
      </c>
      <c r="B1599" t="s">
        <v>1606</v>
      </c>
      <c r="C1599">
        <v>37119</v>
      </c>
      <c r="D1599">
        <v>1400</v>
      </c>
      <c r="F1599">
        <v>1400</v>
      </c>
    </row>
    <row r="1600" spans="1:6" x14ac:dyDescent="0.25">
      <c r="A1600" t="s">
        <v>1607</v>
      </c>
      <c r="B1600" t="s">
        <v>1608</v>
      </c>
      <c r="C1600">
        <v>37120</v>
      </c>
      <c r="D1600">
        <v>0</v>
      </c>
      <c r="F1600">
        <v>0</v>
      </c>
    </row>
    <row r="1601" spans="1:6" x14ac:dyDescent="0.25">
      <c r="B1601" t="s">
        <v>2011</v>
      </c>
      <c r="D1601">
        <v>37070141</v>
      </c>
      <c r="F1601">
        <v>37070141</v>
      </c>
    </row>
    <row r="1602" spans="1:6" x14ac:dyDescent="0.25">
      <c r="B1602" t="s">
        <v>1656</v>
      </c>
    </row>
    <row r="1603" spans="1:6" x14ac:dyDescent="0.25">
      <c r="A1603" t="s">
        <v>2</v>
      </c>
      <c r="B1603" t="s">
        <v>1611</v>
      </c>
      <c r="C1603">
        <v>37201</v>
      </c>
      <c r="D1603">
        <v>0</v>
      </c>
      <c r="F1603">
        <v>0</v>
      </c>
    </row>
    <row r="1604" spans="1:6" x14ac:dyDescent="0.25">
      <c r="A1604" t="s">
        <v>15</v>
      </c>
      <c r="B1604" t="s">
        <v>1612</v>
      </c>
      <c r="C1604">
        <v>37202</v>
      </c>
      <c r="D1604">
        <v>0</v>
      </c>
      <c r="F1604">
        <v>0</v>
      </c>
    </row>
    <row r="1605" spans="1:6" x14ac:dyDescent="0.25">
      <c r="A1605" t="s">
        <v>16</v>
      </c>
      <c r="B1605" t="s">
        <v>1613</v>
      </c>
      <c r="C1605">
        <v>37203</v>
      </c>
      <c r="D1605">
        <v>0</v>
      </c>
      <c r="F1605">
        <v>0</v>
      </c>
    </row>
    <row r="1606" spans="1:6" x14ac:dyDescent="0.25">
      <c r="A1606" t="s">
        <v>25</v>
      </c>
      <c r="B1606" t="s">
        <v>1614</v>
      </c>
      <c r="C1606">
        <v>37204</v>
      </c>
      <c r="D1606">
        <v>12911</v>
      </c>
      <c r="F1606">
        <v>12911</v>
      </c>
    </row>
    <row r="1607" spans="1:6" x14ac:dyDescent="0.25">
      <c r="A1607" t="s">
        <v>26</v>
      </c>
      <c r="B1607" t="s">
        <v>1615</v>
      </c>
      <c r="C1607">
        <v>37205</v>
      </c>
      <c r="D1607">
        <v>0</v>
      </c>
      <c r="F1607">
        <v>0</v>
      </c>
    </row>
    <row r="1608" spans="1:6" x14ac:dyDescent="0.25">
      <c r="A1608" t="s">
        <v>27</v>
      </c>
      <c r="B1608" t="s">
        <v>1616</v>
      </c>
      <c r="C1608">
        <v>37206</v>
      </c>
      <c r="D1608">
        <v>0</v>
      </c>
      <c r="F1608">
        <v>0</v>
      </c>
    </row>
    <row r="1609" spans="1:6" x14ac:dyDescent="0.25">
      <c r="A1609" t="s">
        <v>531</v>
      </c>
      <c r="B1609" t="s">
        <v>1617</v>
      </c>
      <c r="C1609">
        <v>37207</v>
      </c>
      <c r="D1609">
        <v>0</v>
      </c>
      <c r="F1609">
        <v>0</v>
      </c>
    </row>
    <row r="1610" spans="1:6" x14ac:dyDescent="0.25">
      <c r="A1610" t="s">
        <v>1583</v>
      </c>
      <c r="B1610" t="s">
        <v>1618</v>
      </c>
      <c r="C1610">
        <v>37208</v>
      </c>
      <c r="D1610">
        <v>0</v>
      </c>
      <c r="F1610">
        <v>0</v>
      </c>
    </row>
    <row r="1611" spans="1:6" x14ac:dyDescent="0.25">
      <c r="A1611" t="s">
        <v>1585</v>
      </c>
      <c r="B1611" t="s">
        <v>1619</v>
      </c>
      <c r="C1611">
        <v>37209</v>
      </c>
      <c r="D1611">
        <v>0</v>
      </c>
      <c r="F1611">
        <v>0</v>
      </c>
    </row>
    <row r="1612" spans="1:6" x14ac:dyDescent="0.25">
      <c r="A1612" t="s">
        <v>1587</v>
      </c>
      <c r="B1612" t="s">
        <v>1620</v>
      </c>
      <c r="C1612">
        <v>37210</v>
      </c>
      <c r="D1612">
        <v>0</v>
      </c>
      <c r="F1612">
        <v>0</v>
      </c>
    </row>
    <row r="1613" spans="1:6" x14ac:dyDescent="0.25">
      <c r="A1613" t="s">
        <v>1589</v>
      </c>
      <c r="B1613" t="s">
        <v>1621</v>
      </c>
      <c r="C1613">
        <v>37211</v>
      </c>
      <c r="D1613">
        <v>26853</v>
      </c>
      <c r="F1613">
        <v>26853</v>
      </c>
    </row>
    <row r="1614" spans="1:6" x14ac:dyDescent="0.25">
      <c r="A1614" t="s">
        <v>1591</v>
      </c>
      <c r="B1614" t="s">
        <v>1622</v>
      </c>
      <c r="C1614">
        <v>37212</v>
      </c>
      <c r="D1614">
        <v>2047964</v>
      </c>
      <c r="F1614">
        <v>2047964</v>
      </c>
    </row>
    <row r="1615" spans="1:6" x14ac:dyDescent="0.25">
      <c r="A1615" t="s">
        <v>1593</v>
      </c>
      <c r="B1615" t="s">
        <v>1623</v>
      </c>
      <c r="C1615">
        <v>37213</v>
      </c>
      <c r="D1615">
        <v>0</v>
      </c>
      <c r="F1615">
        <v>0</v>
      </c>
    </row>
    <row r="1616" spans="1:6" x14ac:dyDescent="0.25">
      <c r="A1616" t="s">
        <v>1595</v>
      </c>
      <c r="B1616" t="s">
        <v>1624</v>
      </c>
      <c r="C1616">
        <v>37214</v>
      </c>
      <c r="D1616">
        <v>0</v>
      </c>
      <c r="F1616">
        <v>0</v>
      </c>
    </row>
    <row r="1617" spans="1:6" x14ac:dyDescent="0.25">
      <c r="A1617" t="s">
        <v>1597</v>
      </c>
      <c r="B1617" t="s">
        <v>1625</v>
      </c>
      <c r="C1617">
        <v>37215</v>
      </c>
      <c r="D1617">
        <v>0</v>
      </c>
      <c r="F1617">
        <v>0</v>
      </c>
    </row>
    <row r="1618" spans="1:6" x14ac:dyDescent="0.25">
      <c r="A1618" t="s">
        <v>1599</v>
      </c>
      <c r="B1618" t="s">
        <v>1626</v>
      </c>
      <c r="C1618">
        <v>37216</v>
      </c>
      <c r="D1618">
        <v>0</v>
      </c>
      <c r="F1618">
        <v>0</v>
      </c>
    </row>
    <row r="1619" spans="1:6" x14ac:dyDescent="0.25">
      <c r="A1619" t="s">
        <v>1601</v>
      </c>
      <c r="B1619" t="s">
        <v>1627</v>
      </c>
      <c r="C1619">
        <v>37217</v>
      </c>
      <c r="D1619">
        <v>0</v>
      </c>
      <c r="F1619">
        <v>0</v>
      </c>
    </row>
    <row r="1620" spans="1:6" x14ac:dyDescent="0.25">
      <c r="A1620" t="s">
        <v>1603</v>
      </c>
      <c r="B1620" t="s">
        <v>1596</v>
      </c>
      <c r="C1620">
        <v>37218</v>
      </c>
      <c r="D1620">
        <v>0</v>
      </c>
      <c r="F1620">
        <v>0</v>
      </c>
    </row>
    <row r="1621" spans="1:6" x14ac:dyDescent="0.25">
      <c r="A1621" t="s">
        <v>1605</v>
      </c>
      <c r="B1621" t="s">
        <v>1598</v>
      </c>
      <c r="C1621">
        <v>37219</v>
      </c>
      <c r="D1621">
        <v>1207776</v>
      </c>
      <c r="F1621">
        <v>1207776</v>
      </c>
    </row>
    <row r="1622" spans="1:6" x14ac:dyDescent="0.25">
      <c r="A1622" t="s">
        <v>1607</v>
      </c>
      <c r="B1622" t="s">
        <v>1602</v>
      </c>
      <c r="C1622">
        <v>37220</v>
      </c>
      <c r="D1622">
        <v>0</v>
      </c>
      <c r="F1622">
        <v>0</v>
      </c>
    </row>
    <row r="1623" spans="1:6" x14ac:dyDescent="0.25">
      <c r="B1623" t="s">
        <v>2012</v>
      </c>
      <c r="D1623">
        <v>3295504</v>
      </c>
      <c r="F1623">
        <v>3295504</v>
      </c>
    </row>
    <row r="1624" spans="1:6" x14ac:dyDescent="0.25">
      <c r="B1624" t="s">
        <v>1629</v>
      </c>
    </row>
    <row r="1625" spans="1:6" x14ac:dyDescent="0.25">
      <c r="A1625" t="s">
        <v>2</v>
      </c>
      <c r="B1625" t="s">
        <v>1627</v>
      </c>
      <c r="C1625">
        <v>37301</v>
      </c>
      <c r="D1625">
        <v>0</v>
      </c>
      <c r="F1625">
        <v>0</v>
      </c>
    </row>
    <row r="1626" spans="1:6" x14ac:dyDescent="0.25">
      <c r="A1626" t="s">
        <v>15</v>
      </c>
      <c r="B1626" t="s">
        <v>1625</v>
      </c>
      <c r="C1626">
        <v>37302</v>
      </c>
      <c r="D1626">
        <v>31729</v>
      </c>
      <c r="F1626">
        <v>31729</v>
      </c>
    </row>
    <row r="1627" spans="1:6" x14ac:dyDescent="0.25">
      <c r="A1627" t="s">
        <v>16</v>
      </c>
      <c r="B1627" t="s">
        <v>1626</v>
      </c>
      <c r="C1627">
        <v>37303</v>
      </c>
      <c r="D1627">
        <v>0</v>
      </c>
      <c r="F1627">
        <v>0</v>
      </c>
    </row>
    <row r="1628" spans="1:6" x14ac:dyDescent="0.25">
      <c r="B1628" t="s">
        <v>2013</v>
      </c>
      <c r="D1628">
        <v>31729</v>
      </c>
      <c r="F1628">
        <v>31729</v>
      </c>
    </row>
    <row r="1629" spans="1:6" x14ac:dyDescent="0.25">
      <c r="B1629" t="s">
        <v>1631</v>
      </c>
    </row>
    <row r="1630" spans="1:6" x14ac:dyDescent="0.25">
      <c r="A1630" t="s">
        <v>2</v>
      </c>
      <c r="B1630" t="s">
        <v>1627</v>
      </c>
      <c r="C1630">
        <v>37401</v>
      </c>
      <c r="D1630">
        <v>0</v>
      </c>
      <c r="F1630">
        <v>0</v>
      </c>
    </row>
    <row r="1631" spans="1:6" x14ac:dyDescent="0.25">
      <c r="A1631" t="s">
        <v>15</v>
      </c>
      <c r="B1631" t="s">
        <v>1625</v>
      </c>
      <c r="C1631">
        <v>37402</v>
      </c>
      <c r="D1631">
        <v>0</v>
      </c>
      <c r="F1631">
        <v>0</v>
      </c>
    </row>
    <row r="1632" spans="1:6" x14ac:dyDescent="0.25">
      <c r="A1632" t="s">
        <v>16</v>
      </c>
      <c r="B1632" t="s">
        <v>1626</v>
      </c>
      <c r="C1632">
        <v>37403</v>
      </c>
      <c r="D1632">
        <v>0</v>
      </c>
      <c r="F1632">
        <v>0</v>
      </c>
    </row>
    <row r="1633" spans="1:6" x14ac:dyDescent="0.25">
      <c r="B1633" t="s">
        <v>2014</v>
      </c>
      <c r="D1633">
        <v>0</v>
      </c>
      <c r="F1633">
        <v>0</v>
      </c>
    </row>
    <row r="1634" spans="1:6" x14ac:dyDescent="0.25">
      <c r="B1634" t="s">
        <v>2291</v>
      </c>
    </row>
    <row r="1635" spans="1:6" x14ac:dyDescent="0.25">
      <c r="A1635" t="s">
        <v>2</v>
      </c>
      <c r="B1635" t="s">
        <v>1634</v>
      </c>
      <c r="C1635">
        <v>37501</v>
      </c>
      <c r="D1635">
        <v>0</v>
      </c>
      <c r="F1635">
        <v>0</v>
      </c>
    </row>
    <row r="1636" spans="1:6" x14ac:dyDescent="0.25">
      <c r="A1636" t="s">
        <v>15</v>
      </c>
      <c r="B1636" t="s">
        <v>1635</v>
      </c>
      <c r="C1636">
        <v>37502</v>
      </c>
      <c r="D1636">
        <v>0</v>
      </c>
      <c r="F1636">
        <v>0</v>
      </c>
    </row>
    <row r="1637" spans="1:6" x14ac:dyDescent="0.25">
      <c r="A1637" t="s">
        <v>16</v>
      </c>
      <c r="B1637" t="s">
        <v>1636</v>
      </c>
      <c r="C1637">
        <v>37503</v>
      </c>
      <c r="D1637">
        <v>0</v>
      </c>
      <c r="F1637">
        <v>0</v>
      </c>
    </row>
    <row r="1638" spans="1:6" x14ac:dyDescent="0.25">
      <c r="A1638" t="s">
        <v>25</v>
      </c>
      <c r="B1638" t="s">
        <v>1637</v>
      </c>
      <c r="C1638">
        <v>37504</v>
      </c>
      <c r="D1638">
        <v>0</v>
      </c>
      <c r="F1638">
        <v>0</v>
      </c>
    </row>
    <row r="1639" spans="1:6" x14ac:dyDescent="0.25">
      <c r="A1639" t="s">
        <v>26</v>
      </c>
      <c r="B1639" t="s">
        <v>1638</v>
      </c>
      <c r="C1639">
        <v>37505</v>
      </c>
      <c r="D1639">
        <v>92557</v>
      </c>
      <c r="F1639">
        <v>92557</v>
      </c>
    </row>
    <row r="1640" spans="1:6" x14ac:dyDescent="0.25">
      <c r="A1640" t="s">
        <v>27</v>
      </c>
      <c r="B1640" t="s">
        <v>1639</v>
      </c>
      <c r="C1640">
        <v>37506</v>
      </c>
      <c r="D1640">
        <v>0</v>
      </c>
      <c r="F1640">
        <v>0</v>
      </c>
    </row>
    <row r="1641" spans="1:6" x14ac:dyDescent="0.25">
      <c r="A1641" t="s">
        <v>531</v>
      </c>
      <c r="B1641" t="s">
        <v>1640</v>
      </c>
      <c r="C1641">
        <v>37507</v>
      </c>
      <c r="D1641">
        <v>0</v>
      </c>
      <c r="F1641">
        <v>0</v>
      </c>
    </row>
    <row r="1642" spans="1:6" x14ac:dyDescent="0.25">
      <c r="A1642" t="s">
        <v>1583</v>
      </c>
      <c r="B1642" t="s">
        <v>1641</v>
      </c>
      <c r="C1642">
        <v>37508</v>
      </c>
      <c r="D1642">
        <v>16363</v>
      </c>
      <c r="F1642">
        <v>16363</v>
      </c>
    </row>
    <row r="1643" spans="1:6" x14ac:dyDescent="0.25">
      <c r="B1643" t="s">
        <v>2015</v>
      </c>
      <c r="D1643">
        <v>108920</v>
      </c>
      <c r="F1643">
        <v>108920</v>
      </c>
    </row>
    <row r="1644" spans="1:6" x14ac:dyDescent="0.25">
      <c r="B1644" t="s">
        <v>2292</v>
      </c>
    </row>
    <row r="1645" spans="1:6" x14ac:dyDescent="0.25">
      <c r="A1645" t="s">
        <v>2</v>
      </c>
      <c r="B1645" t="s">
        <v>1634</v>
      </c>
      <c r="C1645">
        <v>37601</v>
      </c>
      <c r="D1645">
        <v>0</v>
      </c>
      <c r="F1645">
        <v>0</v>
      </c>
    </row>
    <row r="1646" spans="1:6" x14ac:dyDescent="0.25">
      <c r="A1646" t="s">
        <v>15</v>
      </c>
      <c r="B1646" t="s">
        <v>1635</v>
      </c>
      <c r="C1646">
        <v>37602</v>
      </c>
      <c r="D1646">
        <v>0</v>
      </c>
      <c r="F1646">
        <v>0</v>
      </c>
    </row>
    <row r="1647" spans="1:6" x14ac:dyDescent="0.25">
      <c r="A1647" t="s">
        <v>16</v>
      </c>
      <c r="B1647" t="s">
        <v>1636</v>
      </c>
      <c r="C1647">
        <v>37603</v>
      </c>
      <c r="D1647">
        <v>0</v>
      </c>
      <c r="F1647">
        <v>0</v>
      </c>
    </row>
    <row r="1648" spans="1:6" x14ac:dyDescent="0.25">
      <c r="A1648" t="s">
        <v>25</v>
      </c>
      <c r="B1648" t="s">
        <v>1637</v>
      </c>
      <c r="C1648">
        <v>37604</v>
      </c>
      <c r="D1648">
        <v>0</v>
      </c>
      <c r="F1648">
        <v>0</v>
      </c>
    </row>
    <row r="1649" spans="1:6" x14ac:dyDescent="0.25">
      <c r="A1649" t="s">
        <v>26</v>
      </c>
      <c r="B1649" t="s">
        <v>1638</v>
      </c>
      <c r="C1649">
        <v>37605</v>
      </c>
      <c r="D1649">
        <v>24594</v>
      </c>
      <c r="F1649">
        <v>24594</v>
      </c>
    </row>
    <row r="1650" spans="1:6" x14ac:dyDescent="0.25">
      <c r="A1650" t="s">
        <v>27</v>
      </c>
      <c r="B1650" t="s">
        <v>1639</v>
      </c>
      <c r="C1650">
        <v>37606</v>
      </c>
      <c r="D1650">
        <v>0</v>
      </c>
      <c r="F1650">
        <v>0</v>
      </c>
    </row>
    <row r="1651" spans="1:6" x14ac:dyDescent="0.25">
      <c r="A1651" t="s">
        <v>531</v>
      </c>
      <c r="B1651" t="s">
        <v>1640</v>
      </c>
      <c r="C1651">
        <v>37607</v>
      </c>
      <c r="D1651">
        <v>0</v>
      </c>
      <c r="F1651">
        <v>0</v>
      </c>
    </row>
    <row r="1652" spans="1:6" x14ac:dyDescent="0.25">
      <c r="A1652" t="s">
        <v>1583</v>
      </c>
      <c r="B1652" t="s">
        <v>1641</v>
      </c>
      <c r="C1652">
        <v>37608</v>
      </c>
      <c r="D1652">
        <v>252219</v>
      </c>
      <c r="F1652">
        <v>252219</v>
      </c>
    </row>
    <row r="1653" spans="1:6" x14ac:dyDescent="0.25">
      <c r="B1653" t="s">
        <v>2016</v>
      </c>
      <c r="D1653">
        <v>276813</v>
      </c>
      <c r="F1653">
        <v>276813</v>
      </c>
    </row>
    <row r="1654" spans="1:6" x14ac:dyDescent="0.25">
      <c r="B1654" t="s">
        <v>1726</v>
      </c>
    </row>
    <row r="1655" spans="1:6" x14ac:dyDescent="0.25">
      <c r="A1655" t="s">
        <v>2</v>
      </c>
      <c r="B1655" t="s">
        <v>1648</v>
      </c>
      <c r="C1655">
        <v>37701</v>
      </c>
      <c r="D1655">
        <v>0</v>
      </c>
      <c r="F1655">
        <v>0</v>
      </c>
    </row>
    <row r="1656" spans="1:6" x14ac:dyDescent="0.25">
      <c r="A1656" t="s">
        <v>15</v>
      </c>
      <c r="B1656" t="s">
        <v>1649</v>
      </c>
      <c r="C1656">
        <v>37702</v>
      </c>
      <c r="D1656">
        <v>0</v>
      </c>
      <c r="F1656">
        <v>0</v>
      </c>
    </row>
    <row r="1657" spans="1:6" x14ac:dyDescent="0.25">
      <c r="A1657" t="s">
        <v>16</v>
      </c>
      <c r="B1657" t="s">
        <v>1637</v>
      </c>
      <c r="C1657">
        <v>37703</v>
      </c>
      <c r="D1657">
        <v>0</v>
      </c>
      <c r="F1657">
        <v>0</v>
      </c>
    </row>
    <row r="1658" spans="1:6" x14ac:dyDescent="0.25">
      <c r="A1658" t="s">
        <v>25</v>
      </c>
      <c r="B1658" t="s">
        <v>1638</v>
      </c>
      <c r="C1658">
        <v>37704</v>
      </c>
      <c r="D1658">
        <v>103587</v>
      </c>
      <c r="F1658">
        <v>103587</v>
      </c>
    </row>
    <row r="1659" spans="1:6" x14ac:dyDescent="0.25">
      <c r="A1659" t="s">
        <v>26</v>
      </c>
      <c r="B1659" t="s">
        <v>1650</v>
      </c>
      <c r="C1659">
        <v>37705</v>
      </c>
      <c r="D1659">
        <v>0</v>
      </c>
      <c r="F1659">
        <v>0</v>
      </c>
    </row>
    <row r="1660" spans="1:6" x14ac:dyDescent="0.25">
      <c r="A1660" t="s">
        <v>27</v>
      </c>
      <c r="B1660" t="s">
        <v>1651</v>
      </c>
      <c r="C1660">
        <v>37706</v>
      </c>
      <c r="D1660">
        <v>0</v>
      </c>
      <c r="F1660">
        <v>0</v>
      </c>
    </row>
    <row r="1661" spans="1:6" x14ac:dyDescent="0.25">
      <c r="A1661" t="s">
        <v>531</v>
      </c>
      <c r="B1661" t="s">
        <v>1640</v>
      </c>
      <c r="C1661">
        <v>37707</v>
      </c>
      <c r="D1661">
        <v>0</v>
      </c>
      <c r="F1661">
        <v>0</v>
      </c>
    </row>
    <row r="1662" spans="1:6" x14ac:dyDescent="0.25">
      <c r="A1662" t="s">
        <v>1583</v>
      </c>
      <c r="B1662" t="s">
        <v>1641</v>
      </c>
      <c r="C1662">
        <v>37708</v>
      </c>
      <c r="D1662">
        <v>0</v>
      </c>
      <c r="F1662">
        <v>0</v>
      </c>
    </row>
    <row r="1663" spans="1:6" x14ac:dyDescent="0.25">
      <c r="B1663" t="s">
        <v>2017</v>
      </c>
      <c r="D1663">
        <v>103587</v>
      </c>
      <c r="F1663">
        <v>103587</v>
      </c>
    </row>
    <row r="1664" spans="1:6" x14ac:dyDescent="0.25">
      <c r="B1664" t="s">
        <v>1866</v>
      </c>
      <c r="D1664">
        <v>40886694</v>
      </c>
      <c r="F1664">
        <v>40886694</v>
      </c>
    </row>
    <row r="1665" spans="1:6" x14ac:dyDescent="0.25">
      <c r="B1665" t="s">
        <v>2436</v>
      </c>
    </row>
    <row r="1666" spans="1:6" x14ac:dyDescent="0.25">
      <c r="B1666" t="s">
        <v>1575</v>
      </c>
    </row>
    <row r="1667" spans="1:6" x14ac:dyDescent="0.25">
      <c r="A1667" t="s">
        <v>2</v>
      </c>
      <c r="B1667" t="s">
        <v>1576</v>
      </c>
      <c r="C1667">
        <v>38101</v>
      </c>
      <c r="D1667">
        <v>0</v>
      </c>
      <c r="F1667">
        <v>0</v>
      </c>
    </row>
    <row r="1668" spans="1:6" x14ac:dyDescent="0.25">
      <c r="A1668" t="s">
        <v>15</v>
      </c>
      <c r="B1668" t="s">
        <v>1577</v>
      </c>
      <c r="C1668">
        <v>38102</v>
      </c>
      <c r="D1668">
        <v>5</v>
      </c>
      <c r="F1668">
        <v>5</v>
      </c>
    </row>
    <row r="1669" spans="1:6" x14ac:dyDescent="0.25">
      <c r="A1669" t="s">
        <v>16</v>
      </c>
      <c r="B1669" t="s">
        <v>1578</v>
      </c>
      <c r="C1669">
        <v>38103</v>
      </c>
      <c r="D1669">
        <v>0</v>
      </c>
      <c r="F1669">
        <v>0</v>
      </c>
    </row>
    <row r="1670" spans="1:6" x14ac:dyDescent="0.25">
      <c r="A1670" t="s">
        <v>25</v>
      </c>
      <c r="B1670" t="s">
        <v>1579</v>
      </c>
      <c r="C1670">
        <v>38104</v>
      </c>
      <c r="D1670">
        <v>0</v>
      </c>
      <c r="F1670">
        <v>0</v>
      </c>
    </row>
    <row r="1671" spans="1:6" x14ac:dyDescent="0.25">
      <c r="A1671" t="s">
        <v>26</v>
      </c>
      <c r="B1671" t="s">
        <v>1580</v>
      </c>
      <c r="C1671">
        <v>38105</v>
      </c>
      <c r="D1671">
        <v>29343</v>
      </c>
      <c r="F1671">
        <v>29343</v>
      </c>
    </row>
    <row r="1672" spans="1:6" x14ac:dyDescent="0.25">
      <c r="A1672" t="s">
        <v>27</v>
      </c>
      <c r="B1672" t="s">
        <v>1581</v>
      </c>
      <c r="C1672">
        <v>38106</v>
      </c>
      <c r="D1672">
        <v>118661</v>
      </c>
      <c r="F1672">
        <v>118661</v>
      </c>
    </row>
    <row r="1673" spans="1:6" x14ac:dyDescent="0.25">
      <c r="A1673" t="s">
        <v>531</v>
      </c>
      <c r="B1673" t="s">
        <v>1582</v>
      </c>
      <c r="C1673">
        <v>38107</v>
      </c>
      <c r="D1673">
        <v>0</v>
      </c>
      <c r="F1673">
        <v>0</v>
      </c>
    </row>
    <row r="1674" spans="1:6" x14ac:dyDescent="0.25">
      <c r="A1674" t="s">
        <v>1583</v>
      </c>
      <c r="B1674" t="s">
        <v>1584</v>
      </c>
      <c r="C1674">
        <v>38108</v>
      </c>
      <c r="D1674">
        <v>0</v>
      </c>
      <c r="F1674">
        <v>0</v>
      </c>
    </row>
    <row r="1675" spans="1:6" x14ac:dyDescent="0.25">
      <c r="A1675" t="s">
        <v>1585</v>
      </c>
      <c r="B1675" t="s">
        <v>1586</v>
      </c>
      <c r="C1675">
        <v>38109</v>
      </c>
      <c r="D1675">
        <v>172523</v>
      </c>
      <c r="F1675">
        <v>172523</v>
      </c>
    </row>
    <row r="1676" spans="1:6" x14ac:dyDescent="0.25">
      <c r="A1676" t="s">
        <v>1587</v>
      </c>
      <c r="B1676" t="s">
        <v>1588</v>
      </c>
      <c r="C1676">
        <v>38110</v>
      </c>
      <c r="D1676">
        <v>20352</v>
      </c>
      <c r="F1676">
        <v>20352</v>
      </c>
    </row>
    <row r="1677" spans="1:6" x14ac:dyDescent="0.25">
      <c r="A1677" t="s">
        <v>1589</v>
      </c>
      <c r="B1677" t="s">
        <v>1590</v>
      </c>
      <c r="C1677">
        <v>38111</v>
      </c>
      <c r="D1677">
        <v>1400447</v>
      </c>
      <c r="F1677">
        <v>1400447</v>
      </c>
    </row>
    <row r="1678" spans="1:6" x14ac:dyDescent="0.25">
      <c r="A1678" t="s">
        <v>1591</v>
      </c>
      <c r="B1678" t="s">
        <v>1592</v>
      </c>
      <c r="C1678">
        <v>38112</v>
      </c>
      <c r="D1678">
        <v>23752142</v>
      </c>
      <c r="F1678">
        <v>23752142</v>
      </c>
    </row>
    <row r="1679" spans="1:6" x14ac:dyDescent="0.25">
      <c r="A1679" t="s">
        <v>1593</v>
      </c>
      <c r="B1679" t="s">
        <v>1594</v>
      </c>
      <c r="C1679">
        <v>38113</v>
      </c>
      <c r="D1679">
        <v>9</v>
      </c>
      <c r="F1679">
        <v>9</v>
      </c>
    </row>
    <row r="1680" spans="1:6" x14ac:dyDescent="0.25">
      <c r="A1680" t="s">
        <v>1595</v>
      </c>
      <c r="B1680" t="s">
        <v>1596</v>
      </c>
      <c r="C1680">
        <v>38114</v>
      </c>
      <c r="D1680">
        <v>377873</v>
      </c>
      <c r="F1680">
        <v>377873</v>
      </c>
    </row>
    <row r="1681" spans="1:6" x14ac:dyDescent="0.25">
      <c r="A1681" t="s">
        <v>1597</v>
      </c>
      <c r="B1681" t="s">
        <v>1598</v>
      </c>
      <c r="C1681">
        <v>38115</v>
      </c>
      <c r="D1681">
        <v>7841974</v>
      </c>
      <c r="F1681">
        <v>7841974</v>
      </c>
    </row>
    <row r="1682" spans="1:6" x14ac:dyDescent="0.25">
      <c r="A1682" t="s">
        <v>1599</v>
      </c>
      <c r="B1682" t="s">
        <v>1600</v>
      </c>
      <c r="C1682">
        <v>38116</v>
      </c>
      <c r="D1682">
        <v>0</v>
      </c>
      <c r="F1682">
        <v>0</v>
      </c>
    </row>
    <row r="1683" spans="1:6" x14ac:dyDescent="0.25">
      <c r="A1683" t="s">
        <v>1601</v>
      </c>
      <c r="B1683" t="s">
        <v>1602</v>
      </c>
      <c r="C1683">
        <v>38117</v>
      </c>
      <c r="D1683">
        <v>4</v>
      </c>
      <c r="F1683">
        <v>4</v>
      </c>
    </row>
    <row r="1684" spans="1:6" x14ac:dyDescent="0.25">
      <c r="A1684" t="s">
        <v>1603</v>
      </c>
      <c r="B1684" t="s">
        <v>1604</v>
      </c>
      <c r="C1684">
        <v>38118</v>
      </c>
      <c r="D1684">
        <v>8257960</v>
      </c>
      <c r="F1684">
        <v>8257960</v>
      </c>
    </row>
    <row r="1685" spans="1:6" x14ac:dyDescent="0.25">
      <c r="A1685" t="s">
        <v>1605</v>
      </c>
      <c r="B1685" t="s">
        <v>1606</v>
      </c>
      <c r="C1685">
        <v>38119</v>
      </c>
      <c r="D1685">
        <v>650311</v>
      </c>
      <c r="F1685">
        <v>650311</v>
      </c>
    </row>
    <row r="1686" spans="1:6" x14ac:dyDescent="0.25">
      <c r="A1686" t="s">
        <v>1607</v>
      </c>
      <c r="B1686" t="s">
        <v>1608</v>
      </c>
      <c r="C1686">
        <v>38120</v>
      </c>
      <c r="D1686">
        <v>0</v>
      </c>
      <c r="F1686">
        <v>0</v>
      </c>
    </row>
    <row r="1687" spans="1:6" x14ac:dyDescent="0.25">
      <c r="B1687" t="s">
        <v>2437</v>
      </c>
      <c r="D1687">
        <v>42621604</v>
      </c>
      <c r="F1687">
        <v>42621604</v>
      </c>
    </row>
    <row r="1688" spans="1:6" x14ac:dyDescent="0.25">
      <c r="B1688" t="s">
        <v>1656</v>
      </c>
    </row>
    <row r="1689" spans="1:6" x14ac:dyDescent="0.25">
      <c r="A1689" t="s">
        <v>2</v>
      </c>
      <c r="B1689" t="s">
        <v>1611</v>
      </c>
      <c r="C1689">
        <v>38201</v>
      </c>
      <c r="D1689">
        <v>0</v>
      </c>
      <c r="F1689">
        <v>0</v>
      </c>
    </row>
    <row r="1690" spans="1:6" x14ac:dyDescent="0.25">
      <c r="A1690" t="s">
        <v>15</v>
      </c>
      <c r="B1690" t="s">
        <v>1612</v>
      </c>
      <c r="C1690">
        <v>38202</v>
      </c>
      <c r="D1690">
        <v>0</v>
      </c>
      <c r="F1690">
        <v>0</v>
      </c>
    </row>
    <row r="1691" spans="1:6" x14ac:dyDescent="0.25">
      <c r="A1691" t="s">
        <v>16</v>
      </c>
      <c r="B1691" t="s">
        <v>1613</v>
      </c>
      <c r="C1691">
        <v>38203</v>
      </c>
      <c r="D1691">
        <v>0</v>
      </c>
      <c r="F1691">
        <v>0</v>
      </c>
    </row>
    <row r="1692" spans="1:6" x14ac:dyDescent="0.25">
      <c r="A1692" t="s">
        <v>25</v>
      </c>
      <c r="B1692" t="s">
        <v>1614</v>
      </c>
      <c r="C1692">
        <v>38204</v>
      </c>
      <c r="D1692">
        <v>0</v>
      </c>
      <c r="F1692">
        <v>0</v>
      </c>
    </row>
    <row r="1693" spans="1:6" x14ac:dyDescent="0.25">
      <c r="A1693" t="s">
        <v>26</v>
      </c>
      <c r="B1693" t="s">
        <v>1615</v>
      </c>
      <c r="C1693">
        <v>38205</v>
      </c>
      <c r="D1693">
        <v>0</v>
      </c>
      <c r="F1693">
        <v>0</v>
      </c>
    </row>
    <row r="1694" spans="1:6" x14ac:dyDescent="0.25">
      <c r="A1694" t="s">
        <v>27</v>
      </c>
      <c r="B1694" t="s">
        <v>1616</v>
      </c>
      <c r="C1694">
        <v>38206</v>
      </c>
      <c r="D1694">
        <v>0</v>
      </c>
      <c r="F1694">
        <v>0</v>
      </c>
    </row>
    <row r="1695" spans="1:6" x14ac:dyDescent="0.25">
      <c r="A1695" t="s">
        <v>531</v>
      </c>
      <c r="B1695" t="s">
        <v>1617</v>
      </c>
      <c r="C1695">
        <v>38207</v>
      </c>
      <c r="D1695">
        <v>0</v>
      </c>
      <c r="F1695">
        <v>0</v>
      </c>
    </row>
    <row r="1696" spans="1:6" x14ac:dyDescent="0.25">
      <c r="A1696" t="s">
        <v>1583</v>
      </c>
      <c r="B1696" t="s">
        <v>1618</v>
      </c>
      <c r="C1696">
        <v>38208</v>
      </c>
      <c r="D1696">
        <v>0</v>
      </c>
      <c r="F1696">
        <v>0</v>
      </c>
    </row>
    <row r="1697" spans="1:6" x14ac:dyDescent="0.25">
      <c r="A1697" t="s">
        <v>1585</v>
      </c>
      <c r="B1697" t="s">
        <v>1619</v>
      </c>
      <c r="C1697">
        <v>38209</v>
      </c>
      <c r="D1697">
        <v>0</v>
      </c>
      <c r="F1697">
        <v>0</v>
      </c>
    </row>
    <row r="1698" spans="1:6" x14ac:dyDescent="0.25">
      <c r="A1698" t="s">
        <v>1587</v>
      </c>
      <c r="B1698" t="s">
        <v>1620</v>
      </c>
      <c r="C1698">
        <v>38210</v>
      </c>
      <c r="D1698">
        <v>0</v>
      </c>
      <c r="F1698">
        <v>0</v>
      </c>
    </row>
    <row r="1699" spans="1:6" x14ac:dyDescent="0.25">
      <c r="A1699" t="s">
        <v>1589</v>
      </c>
      <c r="B1699" t="s">
        <v>1621</v>
      </c>
      <c r="C1699">
        <v>38211</v>
      </c>
      <c r="D1699">
        <v>4357</v>
      </c>
      <c r="F1699">
        <v>4357</v>
      </c>
    </row>
    <row r="1700" spans="1:6" x14ac:dyDescent="0.25">
      <c r="A1700" t="s">
        <v>1591</v>
      </c>
      <c r="B1700" t="s">
        <v>1622</v>
      </c>
      <c r="C1700">
        <v>38212</v>
      </c>
      <c r="D1700">
        <v>1099781</v>
      </c>
      <c r="F1700">
        <v>1099781</v>
      </c>
    </row>
    <row r="1701" spans="1:6" x14ac:dyDescent="0.25">
      <c r="A1701" t="s">
        <v>1593</v>
      </c>
      <c r="B1701" t="s">
        <v>1623</v>
      </c>
      <c r="C1701">
        <v>38213</v>
      </c>
      <c r="D1701">
        <v>0</v>
      </c>
      <c r="F1701">
        <v>0</v>
      </c>
    </row>
    <row r="1702" spans="1:6" x14ac:dyDescent="0.25">
      <c r="A1702" t="s">
        <v>1595</v>
      </c>
      <c r="B1702" t="s">
        <v>1624</v>
      </c>
      <c r="C1702">
        <v>38214</v>
      </c>
      <c r="D1702">
        <v>0</v>
      </c>
      <c r="F1702">
        <v>0</v>
      </c>
    </row>
    <row r="1703" spans="1:6" x14ac:dyDescent="0.25">
      <c r="A1703" t="s">
        <v>1597</v>
      </c>
      <c r="B1703" t="s">
        <v>1625</v>
      </c>
      <c r="C1703">
        <v>38215</v>
      </c>
      <c r="D1703">
        <v>56097</v>
      </c>
      <c r="F1703">
        <v>56097</v>
      </c>
    </row>
    <row r="1704" spans="1:6" x14ac:dyDescent="0.25">
      <c r="A1704" t="s">
        <v>1599</v>
      </c>
      <c r="B1704" t="s">
        <v>1626</v>
      </c>
      <c r="C1704">
        <v>38216</v>
      </c>
      <c r="D1704">
        <v>0</v>
      </c>
      <c r="F1704">
        <v>0</v>
      </c>
    </row>
    <row r="1705" spans="1:6" x14ac:dyDescent="0.25">
      <c r="A1705" t="s">
        <v>1601</v>
      </c>
      <c r="B1705" t="s">
        <v>1627</v>
      </c>
      <c r="C1705">
        <v>38217</v>
      </c>
      <c r="D1705">
        <v>0</v>
      </c>
      <c r="F1705">
        <v>0</v>
      </c>
    </row>
    <row r="1706" spans="1:6" x14ac:dyDescent="0.25">
      <c r="A1706" t="s">
        <v>1603</v>
      </c>
      <c r="B1706" t="s">
        <v>1596</v>
      </c>
      <c r="C1706">
        <v>38218</v>
      </c>
      <c r="D1706">
        <v>2139</v>
      </c>
      <c r="F1706">
        <v>2139</v>
      </c>
    </row>
    <row r="1707" spans="1:6" x14ac:dyDescent="0.25">
      <c r="A1707" t="s">
        <v>1605</v>
      </c>
      <c r="B1707" t="s">
        <v>1598</v>
      </c>
      <c r="C1707">
        <v>38219</v>
      </c>
      <c r="D1707">
        <v>0</v>
      </c>
      <c r="F1707">
        <v>0</v>
      </c>
    </row>
    <row r="1708" spans="1:6" x14ac:dyDescent="0.25">
      <c r="A1708" t="s">
        <v>1607</v>
      </c>
      <c r="B1708" t="s">
        <v>1602</v>
      </c>
      <c r="C1708">
        <v>38220</v>
      </c>
      <c r="D1708">
        <v>0</v>
      </c>
      <c r="F1708">
        <v>0</v>
      </c>
    </row>
    <row r="1709" spans="1:6" x14ac:dyDescent="0.25">
      <c r="B1709" t="s">
        <v>2438</v>
      </c>
      <c r="D1709">
        <v>1162374</v>
      </c>
      <c r="F1709">
        <v>1162374</v>
      </c>
    </row>
    <row r="1710" spans="1:6" x14ac:dyDescent="0.25">
      <c r="B1710" t="s">
        <v>1629</v>
      </c>
    </row>
    <row r="1711" spans="1:6" x14ac:dyDescent="0.25">
      <c r="A1711" t="s">
        <v>2</v>
      </c>
      <c r="B1711" t="s">
        <v>1627</v>
      </c>
      <c r="C1711">
        <v>38301</v>
      </c>
      <c r="D1711">
        <v>0</v>
      </c>
      <c r="F1711">
        <v>0</v>
      </c>
    </row>
    <row r="1712" spans="1:6" x14ac:dyDescent="0.25">
      <c r="A1712" t="s">
        <v>15</v>
      </c>
      <c r="B1712" t="s">
        <v>1625</v>
      </c>
      <c r="C1712">
        <v>38302</v>
      </c>
      <c r="D1712">
        <v>0</v>
      </c>
      <c r="F1712">
        <v>0</v>
      </c>
    </row>
    <row r="1713" spans="1:6" x14ac:dyDescent="0.25">
      <c r="A1713" t="s">
        <v>16</v>
      </c>
      <c r="B1713" t="s">
        <v>1626</v>
      </c>
      <c r="C1713">
        <v>38303</v>
      </c>
      <c r="D1713">
        <v>0</v>
      </c>
      <c r="F1713">
        <v>0</v>
      </c>
    </row>
    <row r="1714" spans="1:6" x14ac:dyDescent="0.25">
      <c r="B1714" t="s">
        <v>2439</v>
      </c>
      <c r="D1714">
        <v>0</v>
      </c>
      <c r="F1714">
        <v>0</v>
      </c>
    </row>
    <row r="1715" spans="1:6" x14ac:dyDescent="0.25">
      <c r="B1715" t="s">
        <v>1631</v>
      </c>
    </row>
    <row r="1716" spans="1:6" x14ac:dyDescent="0.25">
      <c r="A1716" t="s">
        <v>2</v>
      </c>
      <c r="B1716" t="s">
        <v>1627</v>
      </c>
      <c r="C1716">
        <v>38401</v>
      </c>
      <c r="D1716">
        <v>0</v>
      </c>
      <c r="F1716">
        <v>0</v>
      </c>
    </row>
    <row r="1717" spans="1:6" x14ac:dyDescent="0.25">
      <c r="A1717" t="s">
        <v>15</v>
      </c>
      <c r="B1717" t="s">
        <v>1625</v>
      </c>
      <c r="C1717">
        <v>38402</v>
      </c>
      <c r="D1717">
        <v>0</v>
      </c>
      <c r="F1717">
        <v>0</v>
      </c>
    </row>
    <row r="1718" spans="1:6" x14ac:dyDescent="0.25">
      <c r="A1718" t="s">
        <v>16</v>
      </c>
      <c r="B1718" t="s">
        <v>1626</v>
      </c>
      <c r="C1718">
        <v>38403</v>
      </c>
      <c r="D1718">
        <v>0</v>
      </c>
      <c r="F1718">
        <v>0</v>
      </c>
    </row>
    <row r="1719" spans="1:6" x14ac:dyDescent="0.25">
      <c r="B1719" t="s">
        <v>2440</v>
      </c>
      <c r="D1719">
        <v>0</v>
      </c>
      <c r="F1719">
        <v>0</v>
      </c>
    </row>
    <row r="1720" spans="1:6" x14ac:dyDescent="0.25">
      <c r="B1720" t="s">
        <v>2291</v>
      </c>
    </row>
    <row r="1721" spans="1:6" x14ac:dyDescent="0.25">
      <c r="A1721" t="s">
        <v>2</v>
      </c>
      <c r="B1721" t="s">
        <v>1634</v>
      </c>
      <c r="C1721">
        <v>38501</v>
      </c>
      <c r="D1721">
        <v>181858</v>
      </c>
      <c r="F1721">
        <v>181858</v>
      </c>
    </row>
    <row r="1722" spans="1:6" x14ac:dyDescent="0.25">
      <c r="A1722" t="s">
        <v>15</v>
      </c>
      <c r="B1722" t="s">
        <v>1635</v>
      </c>
      <c r="C1722">
        <v>38502</v>
      </c>
      <c r="D1722">
        <v>251</v>
      </c>
      <c r="F1722">
        <v>251</v>
      </c>
    </row>
    <row r="1723" spans="1:6" x14ac:dyDescent="0.25">
      <c r="A1723" t="s">
        <v>16</v>
      </c>
      <c r="B1723" t="s">
        <v>1636</v>
      </c>
      <c r="C1723">
        <v>38503</v>
      </c>
      <c r="D1723">
        <v>0</v>
      </c>
      <c r="F1723">
        <v>0</v>
      </c>
    </row>
    <row r="1724" spans="1:6" x14ac:dyDescent="0.25">
      <c r="A1724" t="s">
        <v>25</v>
      </c>
      <c r="B1724" t="s">
        <v>1637</v>
      </c>
      <c r="C1724">
        <v>38504</v>
      </c>
      <c r="D1724">
        <v>16952</v>
      </c>
      <c r="F1724">
        <v>16952</v>
      </c>
    </row>
    <row r="1725" spans="1:6" x14ac:dyDescent="0.25">
      <c r="A1725" t="s">
        <v>26</v>
      </c>
      <c r="B1725" t="s">
        <v>1638</v>
      </c>
      <c r="C1725">
        <v>38505</v>
      </c>
      <c r="D1725">
        <v>201777</v>
      </c>
      <c r="F1725">
        <v>201777</v>
      </c>
    </row>
    <row r="1726" spans="1:6" x14ac:dyDescent="0.25">
      <c r="A1726" t="s">
        <v>27</v>
      </c>
      <c r="B1726" t="s">
        <v>1639</v>
      </c>
      <c r="C1726">
        <v>38506</v>
      </c>
      <c r="D1726">
        <v>29005</v>
      </c>
      <c r="F1726">
        <v>29005</v>
      </c>
    </row>
    <row r="1727" spans="1:6" x14ac:dyDescent="0.25">
      <c r="A1727" t="s">
        <v>531</v>
      </c>
      <c r="B1727" t="s">
        <v>1640</v>
      </c>
      <c r="C1727">
        <v>38507</v>
      </c>
      <c r="D1727">
        <v>637</v>
      </c>
      <c r="F1727">
        <v>637</v>
      </c>
    </row>
    <row r="1728" spans="1:6" x14ac:dyDescent="0.25">
      <c r="A1728" t="s">
        <v>1583</v>
      </c>
      <c r="B1728" t="s">
        <v>1641</v>
      </c>
      <c r="C1728">
        <v>38508</v>
      </c>
      <c r="D1728">
        <v>1530712</v>
      </c>
      <c r="F1728">
        <v>1530712</v>
      </c>
    </row>
    <row r="1729" spans="1:6" x14ac:dyDescent="0.25">
      <c r="B1729" t="s">
        <v>2441</v>
      </c>
      <c r="D1729">
        <v>1961192</v>
      </c>
      <c r="F1729">
        <v>1961192</v>
      </c>
    </row>
    <row r="1730" spans="1:6" x14ac:dyDescent="0.25">
      <c r="B1730" t="s">
        <v>2292</v>
      </c>
    </row>
    <row r="1731" spans="1:6" x14ac:dyDescent="0.25">
      <c r="A1731" t="s">
        <v>2</v>
      </c>
      <c r="B1731" t="s">
        <v>1634</v>
      </c>
      <c r="C1731">
        <v>38601</v>
      </c>
      <c r="D1731">
        <v>29610</v>
      </c>
      <c r="F1731">
        <v>29610</v>
      </c>
    </row>
    <row r="1732" spans="1:6" x14ac:dyDescent="0.25">
      <c r="A1732" t="s">
        <v>15</v>
      </c>
      <c r="B1732" t="s">
        <v>1635</v>
      </c>
      <c r="C1732">
        <v>38602</v>
      </c>
      <c r="D1732">
        <v>15993</v>
      </c>
      <c r="F1732">
        <v>15993</v>
      </c>
    </row>
    <row r="1733" spans="1:6" x14ac:dyDescent="0.25">
      <c r="A1733" t="s">
        <v>16</v>
      </c>
      <c r="B1733" t="s">
        <v>1636</v>
      </c>
      <c r="C1733">
        <v>38603</v>
      </c>
      <c r="D1733">
        <v>0</v>
      </c>
      <c r="F1733">
        <v>0</v>
      </c>
    </row>
    <row r="1734" spans="1:6" x14ac:dyDescent="0.25">
      <c r="A1734" t="s">
        <v>25</v>
      </c>
      <c r="B1734" t="s">
        <v>1637</v>
      </c>
      <c r="C1734">
        <v>38604</v>
      </c>
      <c r="D1734">
        <v>24538</v>
      </c>
      <c r="F1734">
        <v>24538</v>
      </c>
    </row>
    <row r="1735" spans="1:6" x14ac:dyDescent="0.25">
      <c r="A1735" t="s">
        <v>26</v>
      </c>
      <c r="B1735" t="s">
        <v>1638</v>
      </c>
      <c r="C1735">
        <v>38605</v>
      </c>
      <c r="D1735">
        <v>357957</v>
      </c>
      <c r="F1735">
        <v>357957</v>
      </c>
    </row>
    <row r="1736" spans="1:6" x14ac:dyDescent="0.25">
      <c r="A1736" t="s">
        <v>27</v>
      </c>
      <c r="B1736" t="s">
        <v>1639</v>
      </c>
      <c r="C1736">
        <v>38606</v>
      </c>
      <c r="D1736">
        <v>18769</v>
      </c>
      <c r="F1736">
        <v>18769</v>
      </c>
    </row>
    <row r="1737" spans="1:6" x14ac:dyDescent="0.25">
      <c r="A1737" t="s">
        <v>531</v>
      </c>
      <c r="B1737" t="s">
        <v>1640</v>
      </c>
      <c r="C1737">
        <v>38607</v>
      </c>
      <c r="D1737">
        <v>0</v>
      </c>
      <c r="F1737">
        <v>0</v>
      </c>
    </row>
    <row r="1738" spans="1:6" x14ac:dyDescent="0.25">
      <c r="A1738" t="s">
        <v>1583</v>
      </c>
      <c r="B1738" t="s">
        <v>1641</v>
      </c>
      <c r="C1738">
        <v>38608</v>
      </c>
      <c r="D1738">
        <v>277452</v>
      </c>
      <c r="F1738">
        <v>277452</v>
      </c>
    </row>
    <row r="1739" spans="1:6" x14ac:dyDescent="0.25">
      <c r="B1739" t="s">
        <v>2442</v>
      </c>
      <c r="D1739">
        <v>724319</v>
      </c>
      <c r="F1739">
        <v>724319</v>
      </c>
    </row>
    <row r="1740" spans="1:6" x14ac:dyDescent="0.25">
      <c r="B1740" t="s">
        <v>1726</v>
      </c>
    </row>
    <row r="1741" spans="1:6" x14ac:dyDescent="0.25">
      <c r="A1741" t="s">
        <v>2</v>
      </c>
      <c r="B1741" t="s">
        <v>1648</v>
      </c>
      <c r="C1741">
        <v>38701</v>
      </c>
      <c r="D1741">
        <v>0</v>
      </c>
      <c r="F1741">
        <v>0</v>
      </c>
    </row>
    <row r="1742" spans="1:6" x14ac:dyDescent="0.25">
      <c r="A1742" t="s">
        <v>15</v>
      </c>
      <c r="B1742" t="s">
        <v>1649</v>
      </c>
      <c r="C1742">
        <v>38702</v>
      </c>
      <c r="D1742">
        <v>0</v>
      </c>
      <c r="F1742">
        <v>0</v>
      </c>
    </row>
    <row r="1743" spans="1:6" x14ac:dyDescent="0.25">
      <c r="A1743" t="s">
        <v>16</v>
      </c>
      <c r="B1743" t="s">
        <v>1637</v>
      </c>
      <c r="C1743">
        <v>38703</v>
      </c>
      <c r="D1743">
        <v>0</v>
      </c>
      <c r="F1743">
        <v>0</v>
      </c>
    </row>
    <row r="1744" spans="1:6" x14ac:dyDescent="0.25">
      <c r="A1744" t="s">
        <v>25</v>
      </c>
      <c r="B1744" t="s">
        <v>1638</v>
      </c>
      <c r="C1744">
        <v>38704</v>
      </c>
      <c r="D1744">
        <v>18243</v>
      </c>
      <c r="F1744">
        <v>18243</v>
      </c>
    </row>
    <row r="1745" spans="1:6" x14ac:dyDescent="0.25">
      <c r="A1745" t="s">
        <v>26</v>
      </c>
      <c r="B1745" t="s">
        <v>1650</v>
      </c>
      <c r="C1745">
        <v>38705</v>
      </c>
      <c r="D1745">
        <v>0</v>
      </c>
      <c r="F1745">
        <v>0</v>
      </c>
    </row>
    <row r="1746" spans="1:6" x14ac:dyDescent="0.25">
      <c r="A1746" t="s">
        <v>27</v>
      </c>
      <c r="B1746" t="s">
        <v>1651</v>
      </c>
      <c r="C1746">
        <v>38706</v>
      </c>
      <c r="D1746">
        <v>0</v>
      </c>
      <c r="F1746">
        <v>0</v>
      </c>
    </row>
    <row r="1747" spans="1:6" x14ac:dyDescent="0.25">
      <c r="A1747" t="s">
        <v>531</v>
      </c>
      <c r="B1747" t="s">
        <v>1640</v>
      </c>
      <c r="C1747">
        <v>38707</v>
      </c>
      <c r="D1747">
        <v>0</v>
      </c>
      <c r="F1747">
        <v>0</v>
      </c>
    </row>
    <row r="1748" spans="1:6" x14ac:dyDescent="0.25">
      <c r="A1748" t="s">
        <v>1583</v>
      </c>
      <c r="B1748" t="s">
        <v>1641</v>
      </c>
      <c r="C1748">
        <v>38708</v>
      </c>
      <c r="D1748">
        <v>0</v>
      </c>
      <c r="F1748">
        <v>0</v>
      </c>
    </row>
    <row r="1749" spans="1:6" x14ac:dyDescent="0.25">
      <c r="B1749" t="s">
        <v>2443</v>
      </c>
      <c r="D1749">
        <v>18243</v>
      </c>
      <c r="F1749">
        <v>18243</v>
      </c>
    </row>
    <row r="1750" spans="1:6" x14ac:dyDescent="0.25">
      <c r="B1750" t="s">
        <v>1910</v>
      </c>
      <c r="D1750">
        <v>46487732</v>
      </c>
      <c r="F1750">
        <v>46487732</v>
      </c>
    </row>
    <row r="1751" spans="1:6" x14ac:dyDescent="0.25">
      <c r="B1751" t="s">
        <v>2444</v>
      </c>
      <c r="D1751">
        <v>111708719</v>
      </c>
      <c r="E1751">
        <v>3283680</v>
      </c>
      <c r="F1751">
        <v>114992399</v>
      </c>
    </row>
    <row r="1752" spans="1:6" x14ac:dyDescent="0.25">
      <c r="B1752" t="s">
        <v>2019</v>
      </c>
    </row>
    <row r="1753" spans="1:6" x14ac:dyDescent="0.25">
      <c r="B1753" t="s">
        <v>2020</v>
      </c>
    </row>
    <row r="1754" spans="1:6" x14ac:dyDescent="0.25">
      <c r="B1754" t="s">
        <v>1575</v>
      </c>
    </row>
    <row r="1755" spans="1:6" x14ac:dyDescent="0.25">
      <c r="A1755" t="s">
        <v>2</v>
      </c>
      <c r="B1755" t="s">
        <v>1576</v>
      </c>
      <c r="C1755">
        <v>41101</v>
      </c>
      <c r="D1755">
        <v>0</v>
      </c>
      <c r="E1755">
        <v>0</v>
      </c>
      <c r="F1755">
        <v>0</v>
      </c>
    </row>
    <row r="1756" spans="1:6" x14ac:dyDescent="0.25">
      <c r="A1756" t="s">
        <v>15</v>
      </c>
      <c r="B1756" t="s">
        <v>1577</v>
      </c>
      <c r="C1756">
        <v>41102</v>
      </c>
      <c r="D1756">
        <v>0</v>
      </c>
      <c r="E1756">
        <v>0</v>
      </c>
      <c r="F1756">
        <v>0</v>
      </c>
    </row>
    <row r="1757" spans="1:6" x14ac:dyDescent="0.25">
      <c r="A1757" t="s">
        <v>16</v>
      </c>
      <c r="B1757" t="s">
        <v>1578</v>
      </c>
      <c r="C1757">
        <v>41103</v>
      </c>
      <c r="D1757">
        <v>0</v>
      </c>
      <c r="E1757">
        <v>0</v>
      </c>
      <c r="F1757">
        <v>0</v>
      </c>
    </row>
    <row r="1758" spans="1:6" x14ac:dyDescent="0.25">
      <c r="A1758" t="s">
        <v>25</v>
      </c>
      <c r="B1758" t="s">
        <v>1579</v>
      </c>
      <c r="C1758">
        <v>41104</v>
      </c>
      <c r="D1758">
        <v>0</v>
      </c>
      <c r="E1758">
        <v>0</v>
      </c>
      <c r="F1758">
        <v>0</v>
      </c>
    </row>
    <row r="1759" spans="1:6" x14ac:dyDescent="0.25">
      <c r="A1759" t="s">
        <v>26</v>
      </c>
      <c r="B1759" t="s">
        <v>1580</v>
      </c>
      <c r="C1759">
        <v>41105</v>
      </c>
      <c r="D1759">
        <v>782</v>
      </c>
      <c r="E1759">
        <v>0</v>
      </c>
      <c r="F1759">
        <v>782</v>
      </c>
    </row>
    <row r="1760" spans="1:6" x14ac:dyDescent="0.25">
      <c r="A1760" t="s">
        <v>27</v>
      </c>
      <c r="B1760" t="s">
        <v>1581</v>
      </c>
      <c r="C1760">
        <v>41106</v>
      </c>
      <c r="D1760">
        <v>0</v>
      </c>
      <c r="E1760">
        <v>0</v>
      </c>
      <c r="F1760">
        <v>0</v>
      </c>
    </row>
    <row r="1761" spans="1:6" x14ac:dyDescent="0.25">
      <c r="A1761" t="s">
        <v>531</v>
      </c>
      <c r="B1761" t="s">
        <v>1582</v>
      </c>
      <c r="C1761">
        <v>41107</v>
      </c>
      <c r="D1761">
        <v>0</v>
      </c>
      <c r="E1761">
        <v>0</v>
      </c>
      <c r="F1761">
        <v>0</v>
      </c>
    </row>
    <row r="1762" spans="1:6" x14ac:dyDescent="0.25">
      <c r="A1762" t="s">
        <v>1583</v>
      </c>
      <c r="B1762" t="s">
        <v>1584</v>
      </c>
      <c r="C1762">
        <v>41108</v>
      </c>
      <c r="D1762">
        <v>0</v>
      </c>
      <c r="E1762">
        <v>0</v>
      </c>
      <c r="F1762">
        <v>0</v>
      </c>
    </row>
    <row r="1763" spans="1:6" x14ac:dyDescent="0.25">
      <c r="A1763" t="s">
        <v>1585</v>
      </c>
      <c r="B1763" t="s">
        <v>1586</v>
      </c>
      <c r="C1763">
        <v>41109</v>
      </c>
      <c r="D1763">
        <v>15850</v>
      </c>
      <c r="E1763">
        <v>0</v>
      </c>
      <c r="F1763">
        <v>15850</v>
      </c>
    </row>
    <row r="1764" spans="1:6" x14ac:dyDescent="0.25">
      <c r="A1764" t="s">
        <v>1587</v>
      </c>
      <c r="B1764" t="s">
        <v>1588</v>
      </c>
      <c r="C1764">
        <v>41110</v>
      </c>
      <c r="D1764">
        <v>18388</v>
      </c>
      <c r="E1764">
        <v>0</v>
      </c>
      <c r="F1764">
        <v>18388</v>
      </c>
    </row>
    <row r="1765" spans="1:6" x14ac:dyDescent="0.25">
      <c r="A1765" t="s">
        <v>1589</v>
      </c>
      <c r="B1765" t="s">
        <v>1590</v>
      </c>
      <c r="C1765">
        <v>41111</v>
      </c>
      <c r="D1765">
        <v>12760</v>
      </c>
      <c r="E1765">
        <v>0</v>
      </c>
      <c r="F1765">
        <v>12760</v>
      </c>
    </row>
    <row r="1766" spans="1:6" x14ac:dyDescent="0.25">
      <c r="A1766" t="s">
        <v>1591</v>
      </c>
      <c r="B1766" t="s">
        <v>1592</v>
      </c>
      <c r="C1766">
        <v>41112</v>
      </c>
      <c r="D1766">
        <v>465925</v>
      </c>
      <c r="E1766">
        <v>0</v>
      </c>
      <c r="F1766">
        <v>465925</v>
      </c>
    </row>
    <row r="1767" spans="1:6" x14ac:dyDescent="0.25">
      <c r="A1767" t="s">
        <v>1593</v>
      </c>
      <c r="B1767" t="s">
        <v>1594</v>
      </c>
      <c r="C1767">
        <v>41113</v>
      </c>
      <c r="D1767">
        <v>1</v>
      </c>
      <c r="E1767">
        <v>0</v>
      </c>
      <c r="F1767">
        <v>1</v>
      </c>
    </row>
    <row r="1768" spans="1:6" x14ac:dyDescent="0.25">
      <c r="A1768" t="s">
        <v>1595</v>
      </c>
      <c r="B1768" t="s">
        <v>1596</v>
      </c>
      <c r="C1768">
        <v>41114</v>
      </c>
      <c r="D1768">
        <v>30949</v>
      </c>
      <c r="E1768">
        <v>0</v>
      </c>
      <c r="F1768">
        <v>30949</v>
      </c>
    </row>
    <row r="1769" spans="1:6" x14ac:dyDescent="0.25">
      <c r="A1769" t="s">
        <v>1597</v>
      </c>
      <c r="B1769" t="s">
        <v>1598</v>
      </c>
      <c r="C1769">
        <v>41115</v>
      </c>
      <c r="D1769">
        <v>4805</v>
      </c>
      <c r="E1769">
        <v>0</v>
      </c>
      <c r="F1769">
        <v>4805</v>
      </c>
    </row>
    <row r="1770" spans="1:6" x14ac:dyDescent="0.25">
      <c r="A1770" t="s">
        <v>1599</v>
      </c>
      <c r="B1770" t="s">
        <v>1600</v>
      </c>
      <c r="C1770">
        <v>41116</v>
      </c>
      <c r="D1770">
        <v>0</v>
      </c>
      <c r="E1770">
        <v>0</v>
      </c>
      <c r="F1770">
        <v>0</v>
      </c>
    </row>
    <row r="1771" spans="1:6" x14ac:dyDescent="0.25">
      <c r="A1771" t="s">
        <v>1601</v>
      </c>
      <c r="B1771" t="s">
        <v>1602</v>
      </c>
      <c r="C1771">
        <v>41117</v>
      </c>
      <c r="D1771">
        <v>0</v>
      </c>
      <c r="E1771">
        <v>0</v>
      </c>
      <c r="F1771">
        <v>0</v>
      </c>
    </row>
    <row r="1772" spans="1:6" x14ac:dyDescent="0.25">
      <c r="A1772" t="s">
        <v>1603</v>
      </c>
      <c r="B1772" t="s">
        <v>1604</v>
      </c>
      <c r="C1772">
        <v>41118</v>
      </c>
      <c r="D1772">
        <v>0</v>
      </c>
      <c r="E1772">
        <v>0</v>
      </c>
      <c r="F1772">
        <v>0</v>
      </c>
    </row>
    <row r="1773" spans="1:6" x14ac:dyDescent="0.25">
      <c r="A1773" t="s">
        <v>1605</v>
      </c>
      <c r="B1773" t="s">
        <v>1606</v>
      </c>
      <c r="C1773">
        <v>41119</v>
      </c>
      <c r="D1773">
        <v>0</v>
      </c>
      <c r="E1773">
        <v>0</v>
      </c>
      <c r="F1773">
        <v>0</v>
      </c>
    </row>
    <row r="1774" spans="1:6" x14ac:dyDescent="0.25">
      <c r="A1774" t="s">
        <v>1607</v>
      </c>
      <c r="B1774" t="s">
        <v>1608</v>
      </c>
      <c r="C1774">
        <v>41120</v>
      </c>
      <c r="D1774">
        <v>0</v>
      </c>
      <c r="E1774">
        <v>0</v>
      </c>
      <c r="F1774">
        <v>0</v>
      </c>
    </row>
    <row r="1775" spans="1:6" x14ac:dyDescent="0.25">
      <c r="B1775" t="s">
        <v>2021</v>
      </c>
      <c r="D1775">
        <v>549460</v>
      </c>
      <c r="E1775">
        <v>0</v>
      </c>
      <c r="F1775">
        <v>549460</v>
      </c>
    </row>
    <row r="1776" spans="1:6" x14ac:dyDescent="0.25">
      <c r="B1776" t="s">
        <v>1656</v>
      </c>
    </row>
    <row r="1777" spans="1:6" x14ac:dyDescent="0.25">
      <c r="A1777" t="s">
        <v>2</v>
      </c>
      <c r="B1777" t="s">
        <v>1611</v>
      </c>
      <c r="C1777">
        <v>41201</v>
      </c>
      <c r="D1777">
        <v>0</v>
      </c>
      <c r="E1777">
        <v>0</v>
      </c>
      <c r="F1777">
        <v>0</v>
      </c>
    </row>
    <row r="1778" spans="1:6" x14ac:dyDescent="0.25">
      <c r="A1778" t="s">
        <v>15</v>
      </c>
      <c r="B1778" t="s">
        <v>1612</v>
      </c>
      <c r="C1778">
        <v>41202</v>
      </c>
      <c r="D1778">
        <v>0</v>
      </c>
      <c r="E1778">
        <v>0</v>
      </c>
      <c r="F1778">
        <v>0</v>
      </c>
    </row>
    <row r="1779" spans="1:6" x14ac:dyDescent="0.25">
      <c r="A1779" t="s">
        <v>16</v>
      </c>
      <c r="B1779" t="s">
        <v>1613</v>
      </c>
      <c r="C1779">
        <v>41203</v>
      </c>
      <c r="D1779">
        <v>0</v>
      </c>
      <c r="E1779">
        <v>0</v>
      </c>
      <c r="F1779">
        <v>0</v>
      </c>
    </row>
    <row r="1780" spans="1:6" x14ac:dyDescent="0.25">
      <c r="A1780" t="s">
        <v>25</v>
      </c>
      <c r="B1780" t="s">
        <v>1614</v>
      </c>
      <c r="C1780">
        <v>41204</v>
      </c>
      <c r="D1780">
        <v>0</v>
      </c>
      <c r="E1780">
        <v>0</v>
      </c>
      <c r="F1780">
        <v>0</v>
      </c>
    </row>
    <row r="1781" spans="1:6" x14ac:dyDescent="0.25">
      <c r="A1781" t="s">
        <v>26</v>
      </c>
      <c r="B1781" t="s">
        <v>1615</v>
      </c>
      <c r="C1781">
        <v>41205</v>
      </c>
      <c r="D1781">
        <v>0</v>
      </c>
      <c r="E1781">
        <v>0</v>
      </c>
      <c r="F1781">
        <v>0</v>
      </c>
    </row>
    <row r="1782" spans="1:6" x14ac:dyDescent="0.25">
      <c r="A1782" t="s">
        <v>27</v>
      </c>
      <c r="B1782" t="s">
        <v>1616</v>
      </c>
      <c r="C1782">
        <v>41206</v>
      </c>
      <c r="D1782">
        <v>0</v>
      </c>
      <c r="E1782">
        <v>0</v>
      </c>
      <c r="F1782">
        <v>0</v>
      </c>
    </row>
    <row r="1783" spans="1:6" x14ac:dyDescent="0.25">
      <c r="A1783" t="s">
        <v>531</v>
      </c>
      <c r="B1783" t="s">
        <v>1617</v>
      </c>
      <c r="C1783">
        <v>41207</v>
      </c>
      <c r="D1783">
        <v>0</v>
      </c>
      <c r="E1783">
        <v>0</v>
      </c>
      <c r="F1783">
        <v>0</v>
      </c>
    </row>
    <row r="1784" spans="1:6" x14ac:dyDescent="0.25">
      <c r="A1784" t="s">
        <v>1583</v>
      </c>
      <c r="B1784" t="s">
        <v>1618</v>
      </c>
      <c r="C1784">
        <v>41208</v>
      </c>
      <c r="D1784">
        <v>0</v>
      </c>
      <c r="E1784">
        <v>0</v>
      </c>
      <c r="F1784">
        <v>0</v>
      </c>
    </row>
    <row r="1785" spans="1:6" x14ac:dyDescent="0.25">
      <c r="A1785" t="s">
        <v>1585</v>
      </c>
      <c r="B1785" t="s">
        <v>1619</v>
      </c>
      <c r="C1785">
        <v>41209</v>
      </c>
      <c r="D1785">
        <v>0</v>
      </c>
      <c r="E1785">
        <v>0</v>
      </c>
      <c r="F1785">
        <v>0</v>
      </c>
    </row>
    <row r="1786" spans="1:6" x14ac:dyDescent="0.25">
      <c r="A1786" t="s">
        <v>1587</v>
      </c>
      <c r="B1786" t="s">
        <v>1620</v>
      </c>
      <c r="C1786">
        <v>41210</v>
      </c>
      <c r="D1786">
        <v>0</v>
      </c>
      <c r="E1786">
        <v>0</v>
      </c>
      <c r="F1786">
        <v>0</v>
      </c>
    </row>
    <row r="1787" spans="1:6" x14ac:dyDescent="0.25">
      <c r="A1787" t="s">
        <v>1589</v>
      </c>
      <c r="B1787" t="s">
        <v>1621</v>
      </c>
      <c r="C1787">
        <v>41211</v>
      </c>
      <c r="D1787">
        <v>0</v>
      </c>
      <c r="E1787">
        <v>0</v>
      </c>
      <c r="F1787">
        <v>0</v>
      </c>
    </row>
    <row r="1788" spans="1:6" x14ac:dyDescent="0.25">
      <c r="A1788" t="s">
        <v>1591</v>
      </c>
      <c r="B1788" t="s">
        <v>1622</v>
      </c>
      <c r="C1788">
        <v>41212</v>
      </c>
      <c r="D1788">
        <v>0</v>
      </c>
      <c r="E1788">
        <v>0</v>
      </c>
      <c r="F1788">
        <v>0</v>
      </c>
    </row>
    <row r="1789" spans="1:6" x14ac:dyDescent="0.25">
      <c r="A1789" t="s">
        <v>1593</v>
      </c>
      <c r="B1789" t="s">
        <v>1623</v>
      </c>
      <c r="C1789">
        <v>41213</v>
      </c>
      <c r="D1789">
        <v>0</v>
      </c>
      <c r="E1789">
        <v>0</v>
      </c>
      <c r="F1789">
        <v>0</v>
      </c>
    </row>
    <row r="1790" spans="1:6" x14ac:dyDescent="0.25">
      <c r="A1790" t="s">
        <v>1595</v>
      </c>
      <c r="B1790" t="s">
        <v>1624</v>
      </c>
      <c r="C1790">
        <v>41214</v>
      </c>
      <c r="D1790">
        <v>0</v>
      </c>
      <c r="E1790">
        <v>0</v>
      </c>
      <c r="F1790">
        <v>0</v>
      </c>
    </row>
    <row r="1791" spans="1:6" x14ac:dyDescent="0.25">
      <c r="A1791" t="s">
        <v>1597</v>
      </c>
      <c r="B1791" t="s">
        <v>1625</v>
      </c>
      <c r="C1791">
        <v>41215</v>
      </c>
      <c r="D1791">
        <v>167903</v>
      </c>
      <c r="E1791">
        <v>0</v>
      </c>
      <c r="F1791">
        <v>167903</v>
      </c>
    </row>
    <row r="1792" spans="1:6" x14ac:dyDescent="0.25">
      <c r="A1792" t="s">
        <v>1599</v>
      </c>
      <c r="B1792" t="s">
        <v>1626</v>
      </c>
      <c r="C1792">
        <v>41216</v>
      </c>
      <c r="D1792">
        <v>0</v>
      </c>
      <c r="E1792">
        <v>0</v>
      </c>
      <c r="F1792">
        <v>0</v>
      </c>
    </row>
    <row r="1793" spans="1:6" x14ac:dyDescent="0.25">
      <c r="A1793" t="s">
        <v>1601</v>
      </c>
      <c r="B1793" t="s">
        <v>1627</v>
      </c>
      <c r="C1793">
        <v>41217</v>
      </c>
      <c r="D1793">
        <v>0</v>
      </c>
      <c r="E1793">
        <v>0</v>
      </c>
      <c r="F1793">
        <v>0</v>
      </c>
    </row>
    <row r="1794" spans="1:6" x14ac:dyDescent="0.25">
      <c r="A1794" t="s">
        <v>1603</v>
      </c>
      <c r="B1794" t="s">
        <v>1596</v>
      </c>
      <c r="C1794">
        <v>41218</v>
      </c>
      <c r="D1794">
        <v>0</v>
      </c>
      <c r="E1794">
        <v>0</v>
      </c>
      <c r="F1794">
        <v>0</v>
      </c>
    </row>
    <row r="1795" spans="1:6" x14ac:dyDescent="0.25">
      <c r="A1795" t="s">
        <v>1605</v>
      </c>
      <c r="B1795" t="s">
        <v>1598</v>
      </c>
      <c r="C1795">
        <v>41219</v>
      </c>
      <c r="D1795">
        <v>0</v>
      </c>
      <c r="E1795">
        <v>0</v>
      </c>
      <c r="F1795">
        <v>0</v>
      </c>
    </row>
    <row r="1796" spans="1:6" x14ac:dyDescent="0.25">
      <c r="A1796" t="s">
        <v>1607</v>
      </c>
      <c r="B1796" t="s">
        <v>1602</v>
      </c>
      <c r="C1796">
        <v>41220</v>
      </c>
      <c r="D1796">
        <v>0</v>
      </c>
      <c r="E1796">
        <v>0</v>
      </c>
      <c r="F1796">
        <v>0</v>
      </c>
    </row>
    <row r="1797" spans="1:6" x14ac:dyDescent="0.25">
      <c r="B1797" t="s">
        <v>2022</v>
      </c>
      <c r="D1797">
        <v>167903</v>
      </c>
      <c r="E1797">
        <v>0</v>
      </c>
      <c r="F1797">
        <v>167903</v>
      </c>
    </row>
    <row r="1798" spans="1:6" x14ac:dyDescent="0.25">
      <c r="B1798" t="s">
        <v>1658</v>
      </c>
    </row>
    <row r="1799" spans="1:6" x14ac:dyDescent="0.25">
      <c r="A1799" t="s">
        <v>2</v>
      </c>
      <c r="B1799" t="s">
        <v>1627</v>
      </c>
      <c r="C1799">
        <v>41301</v>
      </c>
      <c r="D1799">
        <v>0</v>
      </c>
      <c r="E1799">
        <v>0</v>
      </c>
      <c r="F1799">
        <v>0</v>
      </c>
    </row>
    <row r="1800" spans="1:6" x14ac:dyDescent="0.25">
      <c r="A1800" t="s">
        <v>15</v>
      </c>
      <c r="B1800" t="s">
        <v>1625</v>
      </c>
      <c r="C1800">
        <v>41302</v>
      </c>
      <c r="D1800">
        <v>0</v>
      </c>
      <c r="E1800">
        <v>0</v>
      </c>
      <c r="F1800">
        <v>0</v>
      </c>
    </row>
    <row r="1801" spans="1:6" x14ac:dyDescent="0.25">
      <c r="A1801" t="s">
        <v>16</v>
      </c>
      <c r="B1801" t="s">
        <v>1626</v>
      </c>
      <c r="C1801">
        <v>41303</v>
      </c>
      <c r="D1801">
        <v>0</v>
      </c>
      <c r="E1801">
        <v>0</v>
      </c>
      <c r="F1801">
        <v>0</v>
      </c>
    </row>
    <row r="1802" spans="1:6" x14ac:dyDescent="0.25">
      <c r="B1802" t="s">
        <v>2023</v>
      </c>
      <c r="D1802">
        <v>0</v>
      </c>
      <c r="E1802">
        <v>0</v>
      </c>
      <c r="F1802">
        <v>0</v>
      </c>
    </row>
    <row r="1803" spans="1:6" x14ac:dyDescent="0.25">
      <c r="B1803" t="s">
        <v>2445</v>
      </c>
    </row>
    <row r="1804" spans="1:6" x14ac:dyDescent="0.25">
      <c r="A1804" t="s">
        <v>2</v>
      </c>
      <c r="B1804" t="s">
        <v>1576</v>
      </c>
      <c r="C1804">
        <v>41401</v>
      </c>
      <c r="D1804">
        <v>0</v>
      </c>
      <c r="F1804">
        <v>0</v>
      </c>
    </row>
    <row r="1805" spans="1:6" x14ac:dyDescent="0.25">
      <c r="A1805" t="s">
        <v>15</v>
      </c>
      <c r="B1805" t="s">
        <v>1577</v>
      </c>
      <c r="C1805">
        <v>41402</v>
      </c>
      <c r="D1805">
        <v>0</v>
      </c>
      <c r="F1805">
        <v>0</v>
      </c>
    </row>
    <row r="1806" spans="1:6" x14ac:dyDescent="0.25">
      <c r="A1806" t="s">
        <v>16</v>
      </c>
      <c r="B1806" t="s">
        <v>1578</v>
      </c>
      <c r="C1806">
        <v>41403</v>
      </c>
      <c r="D1806">
        <v>0</v>
      </c>
      <c r="F1806">
        <v>0</v>
      </c>
    </row>
    <row r="1807" spans="1:6" x14ac:dyDescent="0.25">
      <c r="A1807" t="s">
        <v>25</v>
      </c>
      <c r="B1807" t="s">
        <v>1579</v>
      </c>
      <c r="C1807">
        <v>41404</v>
      </c>
      <c r="D1807">
        <v>0</v>
      </c>
      <c r="F1807">
        <v>0</v>
      </c>
    </row>
    <row r="1808" spans="1:6" x14ac:dyDescent="0.25">
      <c r="A1808" t="s">
        <v>26</v>
      </c>
      <c r="B1808" t="s">
        <v>1580</v>
      </c>
      <c r="C1808">
        <v>41405</v>
      </c>
      <c r="D1808">
        <v>0</v>
      </c>
      <c r="F1808">
        <v>0</v>
      </c>
    </row>
    <row r="1809" spans="1:6" x14ac:dyDescent="0.25">
      <c r="A1809" t="s">
        <v>27</v>
      </c>
      <c r="B1809" t="s">
        <v>1581</v>
      </c>
      <c r="C1809">
        <v>41406</v>
      </c>
      <c r="D1809">
        <v>0</v>
      </c>
      <c r="F1809">
        <v>0</v>
      </c>
    </row>
    <row r="1810" spans="1:6" x14ac:dyDescent="0.25">
      <c r="A1810" t="s">
        <v>531</v>
      </c>
      <c r="B1810" t="s">
        <v>1582</v>
      </c>
      <c r="C1810">
        <v>41407</v>
      </c>
      <c r="D1810">
        <v>0</v>
      </c>
      <c r="F1810">
        <v>0</v>
      </c>
    </row>
    <row r="1811" spans="1:6" x14ac:dyDescent="0.25">
      <c r="A1811" t="s">
        <v>1583</v>
      </c>
      <c r="B1811" t="s">
        <v>1584</v>
      </c>
      <c r="C1811">
        <v>41408</v>
      </c>
      <c r="D1811">
        <v>0</v>
      </c>
      <c r="F1811">
        <v>0</v>
      </c>
    </row>
    <row r="1812" spans="1:6" x14ac:dyDescent="0.25">
      <c r="A1812" t="s">
        <v>1585</v>
      </c>
      <c r="B1812" t="s">
        <v>1586</v>
      </c>
      <c r="C1812">
        <v>41409</v>
      </c>
      <c r="D1812">
        <v>0</v>
      </c>
      <c r="F1812">
        <v>0</v>
      </c>
    </row>
    <row r="1813" spans="1:6" x14ac:dyDescent="0.25">
      <c r="A1813" t="s">
        <v>1587</v>
      </c>
      <c r="B1813" t="s">
        <v>1588</v>
      </c>
      <c r="C1813">
        <v>41410</v>
      </c>
      <c r="D1813">
        <v>0</v>
      </c>
      <c r="F1813">
        <v>0</v>
      </c>
    </row>
    <row r="1814" spans="1:6" x14ac:dyDescent="0.25">
      <c r="A1814" t="s">
        <v>1589</v>
      </c>
      <c r="B1814" t="s">
        <v>1590</v>
      </c>
      <c r="C1814">
        <v>41411</v>
      </c>
      <c r="D1814">
        <v>0</v>
      </c>
      <c r="F1814">
        <v>0</v>
      </c>
    </row>
    <row r="1815" spans="1:6" x14ac:dyDescent="0.25">
      <c r="A1815" t="s">
        <v>1591</v>
      </c>
      <c r="B1815" t="s">
        <v>1592</v>
      </c>
      <c r="C1815">
        <v>41412</v>
      </c>
      <c r="D1815">
        <v>0</v>
      </c>
      <c r="F1815">
        <v>0</v>
      </c>
    </row>
    <row r="1816" spans="1:6" x14ac:dyDescent="0.25">
      <c r="A1816" t="s">
        <v>1593</v>
      </c>
      <c r="B1816" t="s">
        <v>1594</v>
      </c>
      <c r="C1816">
        <v>41413</v>
      </c>
      <c r="D1816">
        <v>0</v>
      </c>
      <c r="F1816">
        <v>0</v>
      </c>
    </row>
    <row r="1817" spans="1:6" x14ac:dyDescent="0.25">
      <c r="A1817" t="s">
        <v>1595</v>
      </c>
      <c r="B1817" t="s">
        <v>1596</v>
      </c>
      <c r="C1817">
        <v>41414</v>
      </c>
      <c r="D1817">
        <v>0</v>
      </c>
      <c r="F1817">
        <v>0</v>
      </c>
    </row>
    <row r="1818" spans="1:6" x14ac:dyDescent="0.25">
      <c r="A1818" t="s">
        <v>1597</v>
      </c>
      <c r="B1818" t="s">
        <v>1598</v>
      </c>
      <c r="C1818">
        <v>41415</v>
      </c>
      <c r="D1818">
        <v>0</v>
      </c>
      <c r="F1818">
        <v>0</v>
      </c>
    </row>
    <row r="1819" spans="1:6" x14ac:dyDescent="0.25">
      <c r="A1819" t="s">
        <v>1599</v>
      </c>
      <c r="B1819" t="s">
        <v>1600</v>
      </c>
      <c r="C1819">
        <v>41416</v>
      </c>
      <c r="D1819">
        <v>0</v>
      </c>
      <c r="F1819">
        <v>0</v>
      </c>
    </row>
    <row r="1820" spans="1:6" x14ac:dyDescent="0.25">
      <c r="A1820" t="s">
        <v>1601</v>
      </c>
      <c r="B1820" t="s">
        <v>1602</v>
      </c>
      <c r="C1820">
        <v>41417</v>
      </c>
      <c r="D1820">
        <v>0</v>
      </c>
      <c r="F1820">
        <v>0</v>
      </c>
    </row>
    <row r="1821" spans="1:6" x14ac:dyDescent="0.25">
      <c r="A1821" t="s">
        <v>1603</v>
      </c>
      <c r="B1821" t="s">
        <v>1604</v>
      </c>
      <c r="C1821">
        <v>41418</v>
      </c>
      <c r="D1821">
        <v>0</v>
      </c>
      <c r="F1821">
        <v>0</v>
      </c>
    </row>
    <row r="1822" spans="1:6" x14ac:dyDescent="0.25">
      <c r="A1822" t="s">
        <v>1605</v>
      </c>
      <c r="B1822" t="s">
        <v>1606</v>
      </c>
      <c r="C1822">
        <v>41419</v>
      </c>
      <c r="D1822">
        <v>0</v>
      </c>
      <c r="F1822">
        <v>0</v>
      </c>
    </row>
    <row r="1823" spans="1:6" x14ac:dyDescent="0.25">
      <c r="A1823" t="s">
        <v>1607</v>
      </c>
      <c r="B1823" t="s">
        <v>1608</v>
      </c>
      <c r="C1823">
        <v>41420</v>
      </c>
      <c r="D1823">
        <v>0</v>
      </c>
      <c r="F1823">
        <v>0</v>
      </c>
    </row>
    <row r="1824" spans="1:6" x14ac:dyDescent="0.25">
      <c r="B1824" t="s">
        <v>2446</v>
      </c>
      <c r="D1824">
        <v>0</v>
      </c>
      <c r="F1824">
        <v>0</v>
      </c>
    </row>
    <row r="1825" spans="1:6" x14ac:dyDescent="0.25">
      <c r="B1825" t="s">
        <v>2447</v>
      </c>
    </row>
    <row r="1826" spans="1:6" x14ac:dyDescent="0.25">
      <c r="A1826" t="s">
        <v>2</v>
      </c>
      <c r="B1826" t="s">
        <v>1611</v>
      </c>
      <c r="C1826">
        <v>41501</v>
      </c>
      <c r="D1826">
        <v>0</v>
      </c>
      <c r="F1826">
        <v>0</v>
      </c>
    </row>
    <row r="1827" spans="1:6" x14ac:dyDescent="0.25">
      <c r="A1827" t="s">
        <v>15</v>
      </c>
      <c r="B1827" t="s">
        <v>1612</v>
      </c>
      <c r="C1827">
        <v>41502</v>
      </c>
      <c r="D1827">
        <v>0</v>
      </c>
      <c r="F1827">
        <v>0</v>
      </c>
    </row>
    <row r="1828" spans="1:6" x14ac:dyDescent="0.25">
      <c r="A1828" t="s">
        <v>16</v>
      </c>
      <c r="B1828" t="s">
        <v>1613</v>
      </c>
      <c r="C1828">
        <v>41503</v>
      </c>
      <c r="D1828">
        <v>0</v>
      </c>
      <c r="F1828">
        <v>0</v>
      </c>
    </row>
    <row r="1829" spans="1:6" x14ac:dyDescent="0.25">
      <c r="A1829" t="s">
        <v>25</v>
      </c>
      <c r="B1829" t="s">
        <v>1614</v>
      </c>
      <c r="C1829">
        <v>41504</v>
      </c>
      <c r="D1829">
        <v>0</v>
      </c>
      <c r="F1829">
        <v>0</v>
      </c>
    </row>
    <row r="1830" spans="1:6" x14ac:dyDescent="0.25">
      <c r="A1830" t="s">
        <v>26</v>
      </c>
      <c r="B1830" t="s">
        <v>1615</v>
      </c>
      <c r="C1830">
        <v>41505</v>
      </c>
      <c r="D1830">
        <v>0</v>
      </c>
      <c r="F1830">
        <v>0</v>
      </c>
    </row>
    <row r="1831" spans="1:6" x14ac:dyDescent="0.25">
      <c r="A1831" t="s">
        <v>27</v>
      </c>
      <c r="B1831" t="s">
        <v>1616</v>
      </c>
      <c r="C1831">
        <v>41506</v>
      </c>
      <c r="D1831">
        <v>0</v>
      </c>
      <c r="F1831">
        <v>0</v>
      </c>
    </row>
    <row r="1832" spans="1:6" x14ac:dyDescent="0.25">
      <c r="A1832" t="s">
        <v>531</v>
      </c>
      <c r="B1832" t="s">
        <v>1617</v>
      </c>
      <c r="C1832">
        <v>41507</v>
      </c>
      <c r="D1832">
        <v>0</v>
      </c>
      <c r="F1832">
        <v>0</v>
      </c>
    </row>
    <row r="1833" spans="1:6" x14ac:dyDescent="0.25">
      <c r="A1833" t="s">
        <v>1583</v>
      </c>
      <c r="B1833" t="s">
        <v>1618</v>
      </c>
      <c r="C1833">
        <v>41508</v>
      </c>
      <c r="D1833">
        <v>0</v>
      </c>
      <c r="F1833">
        <v>0</v>
      </c>
    </row>
    <row r="1834" spans="1:6" x14ac:dyDescent="0.25">
      <c r="A1834" t="s">
        <v>1585</v>
      </c>
      <c r="B1834" t="s">
        <v>1619</v>
      </c>
      <c r="C1834">
        <v>41509</v>
      </c>
      <c r="D1834">
        <v>0</v>
      </c>
      <c r="F1834">
        <v>0</v>
      </c>
    </row>
    <row r="1835" spans="1:6" x14ac:dyDescent="0.25">
      <c r="A1835" t="s">
        <v>1587</v>
      </c>
      <c r="B1835" t="s">
        <v>1620</v>
      </c>
      <c r="C1835">
        <v>41510</v>
      </c>
      <c r="D1835">
        <v>0</v>
      </c>
      <c r="F1835">
        <v>0</v>
      </c>
    </row>
    <row r="1836" spans="1:6" x14ac:dyDescent="0.25">
      <c r="A1836" t="s">
        <v>1589</v>
      </c>
      <c r="B1836" t="s">
        <v>1621</v>
      </c>
      <c r="C1836">
        <v>41511</v>
      </c>
      <c r="D1836">
        <v>0</v>
      </c>
      <c r="F1836">
        <v>0</v>
      </c>
    </row>
    <row r="1837" spans="1:6" x14ac:dyDescent="0.25">
      <c r="A1837" t="s">
        <v>1591</v>
      </c>
      <c r="B1837" t="s">
        <v>1622</v>
      </c>
      <c r="C1837">
        <v>41512</v>
      </c>
      <c r="D1837">
        <v>0</v>
      </c>
      <c r="F1837">
        <v>0</v>
      </c>
    </row>
    <row r="1838" spans="1:6" x14ac:dyDescent="0.25">
      <c r="A1838" t="s">
        <v>1593</v>
      </c>
      <c r="B1838" t="s">
        <v>1623</v>
      </c>
      <c r="C1838">
        <v>41513</v>
      </c>
      <c r="D1838">
        <v>0</v>
      </c>
      <c r="F1838">
        <v>0</v>
      </c>
    </row>
    <row r="1839" spans="1:6" x14ac:dyDescent="0.25">
      <c r="A1839" t="s">
        <v>1595</v>
      </c>
      <c r="B1839" t="s">
        <v>1624</v>
      </c>
      <c r="C1839">
        <v>41514</v>
      </c>
      <c r="D1839">
        <v>0</v>
      </c>
      <c r="F1839">
        <v>0</v>
      </c>
    </row>
    <row r="1840" spans="1:6" x14ac:dyDescent="0.25">
      <c r="A1840" t="s">
        <v>1597</v>
      </c>
      <c r="B1840" t="s">
        <v>1625</v>
      </c>
      <c r="C1840">
        <v>41515</v>
      </c>
      <c r="D1840">
        <v>0</v>
      </c>
      <c r="F1840">
        <v>0</v>
      </c>
    </row>
    <row r="1841" spans="1:6" x14ac:dyDescent="0.25">
      <c r="A1841" t="s">
        <v>1599</v>
      </c>
      <c r="B1841" t="s">
        <v>1626</v>
      </c>
      <c r="C1841">
        <v>41516</v>
      </c>
      <c r="D1841">
        <v>0</v>
      </c>
      <c r="F1841">
        <v>0</v>
      </c>
    </row>
    <row r="1842" spans="1:6" x14ac:dyDescent="0.25">
      <c r="A1842" t="s">
        <v>1601</v>
      </c>
      <c r="B1842" t="s">
        <v>1627</v>
      </c>
      <c r="C1842">
        <v>41517</v>
      </c>
      <c r="D1842">
        <v>0</v>
      </c>
      <c r="F1842">
        <v>0</v>
      </c>
    </row>
    <row r="1843" spans="1:6" x14ac:dyDescent="0.25">
      <c r="A1843" t="s">
        <v>1603</v>
      </c>
      <c r="B1843" t="s">
        <v>1596</v>
      </c>
      <c r="C1843">
        <v>41518</v>
      </c>
      <c r="D1843">
        <v>0</v>
      </c>
      <c r="F1843">
        <v>0</v>
      </c>
    </row>
    <row r="1844" spans="1:6" x14ac:dyDescent="0.25">
      <c r="A1844" t="s">
        <v>1605</v>
      </c>
      <c r="B1844" t="s">
        <v>1598</v>
      </c>
      <c r="C1844">
        <v>41519</v>
      </c>
      <c r="D1844">
        <v>0</v>
      </c>
      <c r="F1844">
        <v>0</v>
      </c>
    </row>
    <row r="1845" spans="1:6" x14ac:dyDescent="0.25">
      <c r="A1845" t="s">
        <v>1607</v>
      </c>
      <c r="B1845" t="s">
        <v>1602</v>
      </c>
      <c r="C1845">
        <v>41520</v>
      </c>
      <c r="D1845">
        <v>0</v>
      </c>
      <c r="F1845">
        <v>0</v>
      </c>
    </row>
    <row r="1846" spans="1:6" x14ac:dyDescent="0.25">
      <c r="B1846" t="s">
        <v>2448</v>
      </c>
      <c r="D1846">
        <v>0</v>
      </c>
      <c r="F1846">
        <v>0</v>
      </c>
    </row>
    <row r="1847" spans="1:6" x14ac:dyDescent="0.25">
      <c r="B1847" t="s">
        <v>2449</v>
      </c>
    </row>
    <row r="1848" spans="1:6" x14ac:dyDescent="0.25">
      <c r="A1848" t="s">
        <v>2</v>
      </c>
      <c r="B1848" t="s">
        <v>1627</v>
      </c>
      <c r="C1848">
        <v>41601</v>
      </c>
      <c r="D1848">
        <v>0</v>
      </c>
      <c r="F1848">
        <v>0</v>
      </c>
    </row>
    <row r="1849" spans="1:6" x14ac:dyDescent="0.25">
      <c r="A1849" t="s">
        <v>15</v>
      </c>
      <c r="B1849" t="s">
        <v>1625</v>
      </c>
      <c r="C1849">
        <v>41602</v>
      </c>
      <c r="D1849">
        <v>0</v>
      </c>
      <c r="F1849">
        <v>0</v>
      </c>
    </row>
    <row r="1850" spans="1:6" x14ac:dyDescent="0.25">
      <c r="A1850" t="s">
        <v>16</v>
      </c>
      <c r="B1850" t="s">
        <v>1626</v>
      </c>
      <c r="C1850">
        <v>41603</v>
      </c>
      <c r="D1850">
        <v>0</v>
      </c>
      <c r="F1850">
        <v>0</v>
      </c>
    </row>
    <row r="1851" spans="1:6" x14ac:dyDescent="0.25">
      <c r="B1851" t="s">
        <v>2450</v>
      </c>
      <c r="D1851">
        <v>0</v>
      </c>
      <c r="F1851">
        <v>0</v>
      </c>
    </row>
    <row r="1852" spans="1:6" x14ac:dyDescent="0.25">
      <c r="B1852" t="s">
        <v>1653</v>
      </c>
      <c r="D1852">
        <v>717363</v>
      </c>
      <c r="E1852">
        <v>0</v>
      </c>
      <c r="F1852">
        <v>717363</v>
      </c>
    </row>
    <row r="1853" spans="1:6" x14ac:dyDescent="0.25">
      <c r="B1853" t="s">
        <v>2024</v>
      </c>
    </row>
    <row r="1854" spans="1:6" x14ac:dyDescent="0.25">
      <c r="B1854" t="s">
        <v>2025</v>
      </c>
    </row>
    <row r="1855" spans="1:6" x14ac:dyDescent="0.25">
      <c r="A1855" t="s">
        <v>2</v>
      </c>
      <c r="B1855" t="s">
        <v>1634</v>
      </c>
      <c r="C1855">
        <v>42101</v>
      </c>
      <c r="D1855">
        <v>0</v>
      </c>
      <c r="F1855">
        <v>0</v>
      </c>
    </row>
    <row r="1856" spans="1:6" x14ac:dyDescent="0.25">
      <c r="A1856" t="s">
        <v>15</v>
      </c>
      <c r="B1856" t="s">
        <v>1635</v>
      </c>
      <c r="C1856">
        <v>42102</v>
      </c>
      <c r="D1856">
        <v>0</v>
      </c>
      <c r="F1856">
        <v>0</v>
      </c>
    </row>
    <row r="1857" spans="1:6" x14ac:dyDescent="0.25">
      <c r="A1857" t="s">
        <v>16</v>
      </c>
      <c r="B1857" t="s">
        <v>1636</v>
      </c>
      <c r="C1857">
        <v>42103</v>
      </c>
      <c r="D1857">
        <v>0</v>
      </c>
      <c r="F1857">
        <v>0</v>
      </c>
    </row>
    <row r="1858" spans="1:6" x14ac:dyDescent="0.25">
      <c r="A1858" t="s">
        <v>25</v>
      </c>
      <c r="B1858" t="s">
        <v>1637</v>
      </c>
      <c r="C1858">
        <v>42104</v>
      </c>
      <c r="D1858">
        <v>0</v>
      </c>
      <c r="F1858">
        <v>0</v>
      </c>
    </row>
    <row r="1859" spans="1:6" x14ac:dyDescent="0.25">
      <c r="A1859" t="s">
        <v>26</v>
      </c>
      <c r="B1859" t="s">
        <v>1638</v>
      </c>
      <c r="C1859">
        <v>42105</v>
      </c>
      <c r="D1859">
        <v>0</v>
      </c>
      <c r="F1859">
        <v>0</v>
      </c>
    </row>
    <row r="1860" spans="1:6" x14ac:dyDescent="0.25">
      <c r="A1860" t="s">
        <v>27</v>
      </c>
      <c r="B1860" t="s">
        <v>1639</v>
      </c>
      <c r="C1860">
        <v>42106</v>
      </c>
      <c r="D1860">
        <v>0</v>
      </c>
      <c r="F1860">
        <v>0</v>
      </c>
    </row>
    <row r="1861" spans="1:6" x14ac:dyDescent="0.25">
      <c r="A1861" t="s">
        <v>531</v>
      </c>
      <c r="B1861" t="s">
        <v>1640</v>
      </c>
      <c r="C1861">
        <v>42107</v>
      </c>
      <c r="D1861">
        <v>0</v>
      </c>
      <c r="F1861">
        <v>0</v>
      </c>
    </row>
    <row r="1862" spans="1:6" x14ac:dyDescent="0.25">
      <c r="A1862" t="s">
        <v>1583</v>
      </c>
      <c r="B1862" t="s">
        <v>1641</v>
      </c>
      <c r="C1862">
        <v>42108</v>
      </c>
      <c r="D1862">
        <v>0</v>
      </c>
      <c r="F1862">
        <v>0</v>
      </c>
    </row>
    <row r="1863" spans="1:6" x14ac:dyDescent="0.25">
      <c r="B1863" t="s">
        <v>2026</v>
      </c>
      <c r="D1863">
        <v>0</v>
      </c>
      <c r="F1863">
        <v>0</v>
      </c>
    </row>
    <row r="1864" spans="1:6" x14ac:dyDescent="0.25">
      <c r="B1864" t="s">
        <v>2451</v>
      </c>
    </row>
    <row r="1865" spans="1:6" x14ac:dyDescent="0.25">
      <c r="A1865" t="s">
        <v>2</v>
      </c>
      <c r="B1865" t="s">
        <v>1634</v>
      </c>
      <c r="C1865">
        <v>42201</v>
      </c>
      <c r="D1865">
        <v>0</v>
      </c>
      <c r="F1865">
        <v>0</v>
      </c>
    </row>
    <row r="1866" spans="1:6" x14ac:dyDescent="0.25">
      <c r="A1866" t="s">
        <v>15</v>
      </c>
      <c r="B1866" t="s">
        <v>1635</v>
      </c>
      <c r="C1866">
        <v>42202</v>
      </c>
      <c r="D1866">
        <v>0</v>
      </c>
      <c r="F1866">
        <v>0</v>
      </c>
    </row>
    <row r="1867" spans="1:6" x14ac:dyDescent="0.25">
      <c r="A1867" t="s">
        <v>16</v>
      </c>
      <c r="B1867" t="s">
        <v>1636</v>
      </c>
      <c r="C1867">
        <v>42203</v>
      </c>
      <c r="D1867">
        <v>0</v>
      </c>
      <c r="F1867">
        <v>0</v>
      </c>
    </row>
    <row r="1868" spans="1:6" x14ac:dyDescent="0.25">
      <c r="A1868" t="s">
        <v>25</v>
      </c>
      <c r="B1868" t="s">
        <v>1637</v>
      </c>
      <c r="C1868">
        <v>42204</v>
      </c>
      <c r="D1868">
        <v>0</v>
      </c>
      <c r="F1868">
        <v>0</v>
      </c>
    </row>
    <row r="1869" spans="1:6" x14ac:dyDescent="0.25">
      <c r="A1869" t="s">
        <v>26</v>
      </c>
      <c r="B1869" t="s">
        <v>1638</v>
      </c>
      <c r="C1869">
        <v>42205</v>
      </c>
      <c r="D1869">
        <v>0</v>
      </c>
      <c r="F1869">
        <v>0</v>
      </c>
    </row>
    <row r="1870" spans="1:6" x14ac:dyDescent="0.25">
      <c r="A1870" t="s">
        <v>27</v>
      </c>
      <c r="B1870" t="s">
        <v>1639</v>
      </c>
      <c r="C1870">
        <v>42206</v>
      </c>
      <c r="D1870">
        <v>0</v>
      </c>
      <c r="F1870">
        <v>0</v>
      </c>
    </row>
    <row r="1871" spans="1:6" x14ac:dyDescent="0.25">
      <c r="A1871" t="s">
        <v>531</v>
      </c>
      <c r="B1871" t="s">
        <v>1640</v>
      </c>
      <c r="C1871">
        <v>42207</v>
      </c>
      <c r="D1871">
        <v>0</v>
      </c>
      <c r="F1871">
        <v>0</v>
      </c>
    </row>
    <row r="1872" spans="1:6" x14ac:dyDescent="0.25">
      <c r="A1872" t="s">
        <v>1583</v>
      </c>
      <c r="B1872" t="s">
        <v>1641</v>
      </c>
      <c r="C1872">
        <v>42208</v>
      </c>
      <c r="D1872">
        <v>0</v>
      </c>
      <c r="F1872">
        <v>0</v>
      </c>
    </row>
    <row r="1873" spans="1:6" x14ac:dyDescent="0.25">
      <c r="B1873" t="s">
        <v>2028</v>
      </c>
      <c r="D1873">
        <v>0</v>
      </c>
      <c r="F1873">
        <v>0</v>
      </c>
    </row>
    <row r="1874" spans="1:6" x14ac:dyDescent="0.25">
      <c r="B1874" t="s">
        <v>2452</v>
      </c>
    </row>
    <row r="1875" spans="1:6" x14ac:dyDescent="0.25">
      <c r="A1875" t="s">
        <v>2</v>
      </c>
      <c r="B1875" t="s">
        <v>1634</v>
      </c>
      <c r="C1875">
        <v>42301</v>
      </c>
      <c r="D1875">
        <v>74987</v>
      </c>
      <c r="F1875">
        <v>74987</v>
      </c>
    </row>
    <row r="1876" spans="1:6" x14ac:dyDescent="0.25">
      <c r="A1876" t="s">
        <v>15</v>
      </c>
      <c r="B1876" t="s">
        <v>1635</v>
      </c>
      <c r="C1876">
        <v>42302</v>
      </c>
      <c r="D1876">
        <v>10</v>
      </c>
      <c r="F1876">
        <v>10</v>
      </c>
    </row>
    <row r="1877" spans="1:6" x14ac:dyDescent="0.25">
      <c r="A1877" t="s">
        <v>16</v>
      </c>
      <c r="B1877" t="s">
        <v>1636</v>
      </c>
      <c r="C1877">
        <v>42303</v>
      </c>
      <c r="D1877">
        <v>806</v>
      </c>
      <c r="F1877">
        <v>806</v>
      </c>
    </row>
    <row r="1878" spans="1:6" x14ac:dyDescent="0.25">
      <c r="A1878" t="s">
        <v>25</v>
      </c>
      <c r="B1878" t="s">
        <v>1637</v>
      </c>
      <c r="C1878">
        <v>42304</v>
      </c>
      <c r="D1878">
        <v>9685</v>
      </c>
      <c r="F1878">
        <v>9685</v>
      </c>
    </row>
    <row r="1879" spans="1:6" x14ac:dyDescent="0.25">
      <c r="A1879" t="s">
        <v>26</v>
      </c>
      <c r="B1879" t="s">
        <v>1638</v>
      </c>
      <c r="C1879">
        <v>42305</v>
      </c>
      <c r="D1879">
        <v>31953</v>
      </c>
      <c r="F1879">
        <v>31953</v>
      </c>
    </row>
    <row r="1880" spans="1:6" x14ac:dyDescent="0.25">
      <c r="A1880" t="s">
        <v>27</v>
      </c>
      <c r="B1880" t="s">
        <v>1639</v>
      </c>
      <c r="C1880">
        <v>42306</v>
      </c>
      <c r="D1880">
        <v>5</v>
      </c>
      <c r="F1880">
        <v>5</v>
      </c>
    </row>
    <row r="1881" spans="1:6" x14ac:dyDescent="0.25">
      <c r="A1881" t="s">
        <v>531</v>
      </c>
      <c r="B1881" t="s">
        <v>1640</v>
      </c>
      <c r="C1881">
        <v>42307</v>
      </c>
      <c r="D1881">
        <v>0</v>
      </c>
      <c r="F1881">
        <v>0</v>
      </c>
    </row>
    <row r="1882" spans="1:6" x14ac:dyDescent="0.25">
      <c r="A1882" t="s">
        <v>1583</v>
      </c>
      <c r="B1882" t="s">
        <v>1641</v>
      </c>
      <c r="C1882">
        <v>42308</v>
      </c>
      <c r="D1882">
        <v>63593</v>
      </c>
      <c r="F1882">
        <v>63593</v>
      </c>
    </row>
    <row r="1883" spans="1:6" x14ac:dyDescent="0.25">
      <c r="B1883" t="s">
        <v>2030</v>
      </c>
      <c r="D1883">
        <v>181039</v>
      </c>
      <c r="F1883">
        <v>181039</v>
      </c>
    </row>
    <row r="1884" spans="1:6" x14ac:dyDescent="0.25">
      <c r="B1884" t="s">
        <v>2453</v>
      </c>
    </row>
    <row r="1885" spans="1:6" x14ac:dyDescent="0.25">
      <c r="A1885" t="s">
        <v>2</v>
      </c>
      <c r="B1885" t="s">
        <v>1634</v>
      </c>
      <c r="C1885">
        <v>42401</v>
      </c>
      <c r="D1885">
        <v>0</v>
      </c>
      <c r="F1885">
        <v>0</v>
      </c>
    </row>
    <row r="1886" spans="1:6" x14ac:dyDescent="0.25">
      <c r="A1886" t="s">
        <v>15</v>
      </c>
      <c r="B1886" t="s">
        <v>1635</v>
      </c>
      <c r="C1886">
        <v>42402</v>
      </c>
      <c r="D1886">
        <v>0</v>
      </c>
      <c r="F1886">
        <v>0</v>
      </c>
    </row>
    <row r="1887" spans="1:6" x14ac:dyDescent="0.25">
      <c r="A1887" t="s">
        <v>16</v>
      </c>
      <c r="B1887" t="s">
        <v>1636</v>
      </c>
      <c r="C1887">
        <v>42403</v>
      </c>
      <c r="D1887">
        <v>0</v>
      </c>
      <c r="F1887">
        <v>0</v>
      </c>
    </row>
    <row r="1888" spans="1:6" x14ac:dyDescent="0.25">
      <c r="A1888" t="s">
        <v>25</v>
      </c>
      <c r="B1888" t="s">
        <v>1637</v>
      </c>
      <c r="C1888">
        <v>42404</v>
      </c>
      <c r="D1888">
        <v>0</v>
      </c>
      <c r="F1888">
        <v>0</v>
      </c>
    </row>
    <row r="1889" spans="1:6" x14ac:dyDescent="0.25">
      <c r="A1889" t="s">
        <v>26</v>
      </c>
      <c r="B1889" t="s">
        <v>1638</v>
      </c>
      <c r="C1889">
        <v>42405</v>
      </c>
      <c r="D1889">
        <v>22345</v>
      </c>
      <c r="F1889">
        <v>22345</v>
      </c>
    </row>
    <row r="1890" spans="1:6" x14ac:dyDescent="0.25">
      <c r="A1890" t="s">
        <v>27</v>
      </c>
      <c r="B1890" t="s">
        <v>1639</v>
      </c>
      <c r="C1890">
        <v>42406</v>
      </c>
      <c r="D1890">
        <v>0</v>
      </c>
      <c r="F1890">
        <v>0</v>
      </c>
    </row>
    <row r="1891" spans="1:6" x14ac:dyDescent="0.25">
      <c r="A1891" t="s">
        <v>531</v>
      </c>
      <c r="B1891" t="s">
        <v>1640</v>
      </c>
      <c r="C1891">
        <v>42407</v>
      </c>
      <c r="D1891">
        <v>2730</v>
      </c>
      <c r="F1891">
        <v>2730</v>
      </c>
    </row>
    <row r="1892" spans="1:6" x14ac:dyDescent="0.25">
      <c r="A1892" t="s">
        <v>1583</v>
      </c>
      <c r="B1892" t="s">
        <v>1641</v>
      </c>
      <c r="C1892">
        <v>42408</v>
      </c>
      <c r="D1892">
        <v>95</v>
      </c>
      <c r="F1892">
        <v>95</v>
      </c>
    </row>
    <row r="1893" spans="1:6" x14ac:dyDescent="0.25">
      <c r="B1893" t="s">
        <v>2032</v>
      </c>
      <c r="D1893">
        <v>25170</v>
      </c>
      <c r="F1893">
        <v>25170</v>
      </c>
    </row>
    <row r="1894" spans="1:6" x14ac:dyDescent="0.25">
      <c r="B1894" t="s">
        <v>2033</v>
      </c>
    </row>
    <row r="1895" spans="1:6" x14ac:dyDescent="0.25">
      <c r="A1895" t="s">
        <v>2</v>
      </c>
      <c r="B1895" t="s">
        <v>1648</v>
      </c>
      <c r="C1895">
        <v>42501</v>
      </c>
      <c r="D1895">
        <v>0</v>
      </c>
      <c r="F1895">
        <v>0</v>
      </c>
    </row>
    <row r="1896" spans="1:6" x14ac:dyDescent="0.25">
      <c r="A1896" t="s">
        <v>15</v>
      </c>
      <c r="B1896" t="s">
        <v>1649</v>
      </c>
      <c r="C1896">
        <v>42502</v>
      </c>
      <c r="D1896">
        <v>0</v>
      </c>
      <c r="F1896">
        <v>0</v>
      </c>
    </row>
    <row r="1897" spans="1:6" x14ac:dyDescent="0.25">
      <c r="A1897" t="s">
        <v>16</v>
      </c>
      <c r="B1897" t="s">
        <v>1637</v>
      </c>
      <c r="C1897">
        <v>42503</v>
      </c>
      <c r="D1897">
        <v>0</v>
      </c>
      <c r="F1897">
        <v>0</v>
      </c>
    </row>
    <row r="1898" spans="1:6" x14ac:dyDescent="0.25">
      <c r="A1898" t="s">
        <v>25</v>
      </c>
      <c r="B1898" t="s">
        <v>1638</v>
      </c>
      <c r="C1898">
        <v>42504</v>
      </c>
      <c r="D1898">
        <v>0</v>
      </c>
      <c r="F1898">
        <v>0</v>
      </c>
    </row>
    <row r="1899" spans="1:6" x14ac:dyDescent="0.25">
      <c r="A1899" t="s">
        <v>26</v>
      </c>
      <c r="B1899" t="s">
        <v>1650</v>
      </c>
      <c r="C1899">
        <v>42505</v>
      </c>
      <c r="D1899">
        <v>0</v>
      </c>
      <c r="F1899">
        <v>0</v>
      </c>
    </row>
    <row r="1900" spans="1:6" x14ac:dyDescent="0.25">
      <c r="A1900" t="s">
        <v>27</v>
      </c>
      <c r="B1900" t="s">
        <v>1651</v>
      </c>
      <c r="C1900">
        <v>42506</v>
      </c>
      <c r="D1900">
        <v>0</v>
      </c>
      <c r="F1900">
        <v>0</v>
      </c>
    </row>
    <row r="1901" spans="1:6" x14ac:dyDescent="0.25">
      <c r="A1901" t="s">
        <v>531</v>
      </c>
      <c r="B1901" t="s">
        <v>1640</v>
      </c>
      <c r="C1901">
        <v>42507</v>
      </c>
      <c r="D1901">
        <v>0</v>
      </c>
      <c r="F1901">
        <v>0</v>
      </c>
    </row>
    <row r="1902" spans="1:6" x14ac:dyDescent="0.25">
      <c r="A1902" t="s">
        <v>1583</v>
      </c>
      <c r="B1902" t="s">
        <v>1641</v>
      </c>
      <c r="C1902">
        <v>42508</v>
      </c>
      <c r="D1902">
        <v>0</v>
      </c>
      <c r="F1902">
        <v>0</v>
      </c>
    </row>
    <row r="1903" spans="1:6" x14ac:dyDescent="0.25">
      <c r="B1903" t="s">
        <v>2034</v>
      </c>
      <c r="D1903">
        <v>0</v>
      </c>
      <c r="F1903">
        <v>0</v>
      </c>
    </row>
    <row r="1904" spans="1:6" x14ac:dyDescent="0.25">
      <c r="B1904" t="s">
        <v>2454</v>
      </c>
    </row>
    <row r="1905" spans="1:6" x14ac:dyDescent="0.25">
      <c r="A1905" t="s">
        <v>2</v>
      </c>
      <c r="B1905" t="s">
        <v>1648</v>
      </c>
      <c r="C1905">
        <v>42601</v>
      </c>
      <c r="D1905">
        <v>0</v>
      </c>
      <c r="F1905">
        <v>0</v>
      </c>
    </row>
    <row r="1906" spans="1:6" x14ac:dyDescent="0.25">
      <c r="A1906" t="s">
        <v>15</v>
      </c>
      <c r="B1906" t="s">
        <v>1649</v>
      </c>
      <c r="C1906">
        <v>42602</v>
      </c>
      <c r="D1906">
        <v>0</v>
      </c>
      <c r="F1906">
        <v>0</v>
      </c>
    </row>
    <row r="1907" spans="1:6" x14ac:dyDescent="0.25">
      <c r="A1907" t="s">
        <v>16</v>
      </c>
      <c r="B1907" t="s">
        <v>1637</v>
      </c>
      <c r="C1907">
        <v>42603</v>
      </c>
      <c r="D1907">
        <v>0</v>
      </c>
      <c r="F1907">
        <v>0</v>
      </c>
    </row>
    <row r="1908" spans="1:6" x14ac:dyDescent="0.25">
      <c r="A1908" t="s">
        <v>25</v>
      </c>
      <c r="B1908" t="s">
        <v>1638</v>
      </c>
      <c r="C1908">
        <v>42604</v>
      </c>
      <c r="D1908">
        <v>0</v>
      </c>
      <c r="F1908">
        <v>0</v>
      </c>
    </row>
    <row r="1909" spans="1:6" x14ac:dyDescent="0.25">
      <c r="A1909" t="s">
        <v>26</v>
      </c>
      <c r="B1909" t="s">
        <v>1650</v>
      </c>
      <c r="C1909">
        <v>42605</v>
      </c>
      <c r="D1909">
        <v>0</v>
      </c>
      <c r="F1909">
        <v>0</v>
      </c>
    </row>
    <row r="1910" spans="1:6" x14ac:dyDescent="0.25">
      <c r="A1910" t="s">
        <v>27</v>
      </c>
      <c r="B1910" t="s">
        <v>1651</v>
      </c>
      <c r="C1910">
        <v>42606</v>
      </c>
      <c r="D1910">
        <v>0</v>
      </c>
      <c r="F1910">
        <v>0</v>
      </c>
    </row>
    <row r="1911" spans="1:6" x14ac:dyDescent="0.25">
      <c r="A1911" t="s">
        <v>531</v>
      </c>
      <c r="B1911" t="s">
        <v>1640</v>
      </c>
      <c r="C1911">
        <v>42607</v>
      </c>
      <c r="D1911">
        <v>0</v>
      </c>
      <c r="F1911">
        <v>0</v>
      </c>
    </row>
    <row r="1912" spans="1:6" x14ac:dyDescent="0.25">
      <c r="A1912" t="s">
        <v>1583</v>
      </c>
      <c r="B1912" t="s">
        <v>1641</v>
      </c>
      <c r="C1912">
        <v>42608</v>
      </c>
      <c r="D1912">
        <v>0</v>
      </c>
      <c r="F1912">
        <v>0</v>
      </c>
    </row>
    <row r="1913" spans="1:6" x14ac:dyDescent="0.25">
      <c r="B1913" t="s">
        <v>2455</v>
      </c>
      <c r="D1913">
        <v>0</v>
      </c>
      <c r="F1913">
        <v>0</v>
      </c>
    </row>
    <row r="1914" spans="1:6" x14ac:dyDescent="0.25">
      <c r="B1914" t="s">
        <v>1660</v>
      </c>
      <c r="D1914">
        <v>206209</v>
      </c>
      <c r="F1914">
        <v>206209</v>
      </c>
    </row>
    <row r="1915" spans="1:6" x14ac:dyDescent="0.25">
      <c r="B1915" t="s">
        <v>2035</v>
      </c>
    </row>
    <row r="1916" spans="1:6" x14ac:dyDescent="0.25">
      <c r="B1916" t="s">
        <v>2036</v>
      </c>
    </row>
    <row r="1917" spans="1:6" x14ac:dyDescent="0.25">
      <c r="A1917" t="s">
        <v>2</v>
      </c>
      <c r="B1917" t="s">
        <v>1637</v>
      </c>
      <c r="C1917">
        <v>43101</v>
      </c>
      <c r="D1917">
        <v>11600</v>
      </c>
      <c r="F1917">
        <v>11600</v>
      </c>
    </row>
    <row r="1918" spans="1:6" x14ac:dyDescent="0.25">
      <c r="A1918" t="s">
        <v>15</v>
      </c>
      <c r="B1918" t="s">
        <v>1638</v>
      </c>
      <c r="C1918">
        <v>43102</v>
      </c>
      <c r="D1918">
        <v>39703</v>
      </c>
      <c r="F1918">
        <v>39703</v>
      </c>
    </row>
    <row r="1919" spans="1:6" x14ac:dyDescent="0.25">
      <c r="A1919" t="s">
        <v>16</v>
      </c>
      <c r="B1919" t="s">
        <v>1640</v>
      </c>
      <c r="C1919">
        <v>43103</v>
      </c>
      <c r="D1919">
        <v>0</v>
      </c>
      <c r="F1919">
        <v>0</v>
      </c>
    </row>
    <row r="1920" spans="1:6" x14ac:dyDescent="0.25">
      <c r="A1920" t="s">
        <v>25</v>
      </c>
      <c r="B1920" t="s">
        <v>1641</v>
      </c>
      <c r="C1920">
        <v>43104</v>
      </c>
      <c r="D1920">
        <v>0</v>
      </c>
      <c r="F1920">
        <v>0</v>
      </c>
    </row>
    <row r="1921" spans="1:6" x14ac:dyDescent="0.25">
      <c r="B1921" t="s">
        <v>2037</v>
      </c>
      <c r="D1921">
        <v>51303</v>
      </c>
      <c r="F1921">
        <v>51303</v>
      </c>
    </row>
    <row r="1922" spans="1:6" x14ac:dyDescent="0.25">
      <c r="B1922" t="s">
        <v>2277</v>
      </c>
    </row>
    <row r="1923" spans="1:6" x14ac:dyDescent="0.25">
      <c r="A1923" t="s">
        <v>2</v>
      </c>
      <c r="B1923" t="s">
        <v>1637</v>
      </c>
      <c r="C1923">
        <v>43201</v>
      </c>
      <c r="D1923">
        <v>57553</v>
      </c>
      <c r="F1923">
        <v>57553</v>
      </c>
    </row>
    <row r="1924" spans="1:6" x14ac:dyDescent="0.25">
      <c r="A1924" t="s">
        <v>15</v>
      </c>
      <c r="B1924" t="s">
        <v>1638</v>
      </c>
      <c r="C1924">
        <v>43202</v>
      </c>
      <c r="D1924">
        <v>107421</v>
      </c>
      <c r="F1924">
        <v>107421</v>
      </c>
    </row>
    <row r="1925" spans="1:6" x14ac:dyDescent="0.25">
      <c r="A1925" t="s">
        <v>16</v>
      </c>
      <c r="B1925" t="s">
        <v>1640</v>
      </c>
      <c r="C1925">
        <v>43203</v>
      </c>
      <c r="D1925">
        <v>0</v>
      </c>
      <c r="F1925">
        <v>0</v>
      </c>
    </row>
    <row r="1926" spans="1:6" x14ac:dyDescent="0.25">
      <c r="A1926" t="s">
        <v>25</v>
      </c>
      <c r="B1926" t="s">
        <v>1641</v>
      </c>
      <c r="C1926">
        <v>43204</v>
      </c>
      <c r="D1926">
        <v>0</v>
      </c>
      <c r="F1926">
        <v>0</v>
      </c>
    </row>
    <row r="1927" spans="1:6" x14ac:dyDescent="0.25">
      <c r="B1927" t="s">
        <v>2039</v>
      </c>
      <c r="D1927">
        <v>164974</v>
      </c>
      <c r="F1927">
        <v>164974</v>
      </c>
    </row>
    <row r="1928" spans="1:6" x14ac:dyDescent="0.25">
      <c r="B1928" t="s">
        <v>2456</v>
      </c>
    </row>
    <row r="1929" spans="1:6" x14ac:dyDescent="0.25">
      <c r="A1929" t="s">
        <v>2</v>
      </c>
      <c r="B1929" t="s">
        <v>1637</v>
      </c>
      <c r="C1929">
        <v>43301</v>
      </c>
      <c r="D1929">
        <v>0</v>
      </c>
      <c r="F1929">
        <v>0</v>
      </c>
    </row>
    <row r="1930" spans="1:6" x14ac:dyDescent="0.25">
      <c r="A1930" t="s">
        <v>15</v>
      </c>
      <c r="B1930" t="s">
        <v>1638</v>
      </c>
      <c r="C1930">
        <v>43302</v>
      </c>
      <c r="D1930">
        <v>57</v>
      </c>
      <c r="F1930">
        <v>57</v>
      </c>
    </row>
    <row r="1931" spans="1:6" x14ac:dyDescent="0.25">
      <c r="A1931" t="s">
        <v>16</v>
      </c>
      <c r="B1931" t="s">
        <v>1640</v>
      </c>
      <c r="C1931">
        <v>43303</v>
      </c>
      <c r="D1931">
        <v>0</v>
      </c>
      <c r="F1931">
        <v>0</v>
      </c>
    </row>
    <row r="1932" spans="1:6" x14ac:dyDescent="0.25">
      <c r="A1932" t="s">
        <v>25</v>
      </c>
      <c r="B1932" t="s">
        <v>1641</v>
      </c>
      <c r="C1932">
        <v>43304</v>
      </c>
      <c r="D1932">
        <v>0</v>
      </c>
      <c r="F1932">
        <v>0</v>
      </c>
    </row>
    <row r="1933" spans="1:6" x14ac:dyDescent="0.25">
      <c r="B1933" t="s">
        <v>2041</v>
      </c>
      <c r="D1933">
        <v>57</v>
      </c>
      <c r="F1933">
        <v>57</v>
      </c>
    </row>
    <row r="1934" spans="1:6" x14ac:dyDescent="0.25">
      <c r="B1934" t="s">
        <v>2457</v>
      </c>
    </row>
    <row r="1935" spans="1:6" x14ac:dyDescent="0.25">
      <c r="A1935" t="s">
        <v>2</v>
      </c>
      <c r="B1935" t="s">
        <v>1637</v>
      </c>
      <c r="C1935">
        <v>43501</v>
      </c>
      <c r="D1935">
        <v>0</v>
      </c>
      <c r="F1935">
        <v>0</v>
      </c>
    </row>
    <row r="1936" spans="1:6" x14ac:dyDescent="0.25">
      <c r="A1936" t="s">
        <v>15</v>
      </c>
      <c r="B1936" t="s">
        <v>1638</v>
      </c>
      <c r="C1936">
        <v>43502</v>
      </c>
      <c r="D1936">
        <v>0</v>
      </c>
      <c r="F1936">
        <v>0</v>
      </c>
    </row>
    <row r="1937" spans="1:6" x14ac:dyDescent="0.25">
      <c r="A1937" t="s">
        <v>16</v>
      </c>
      <c r="B1937" t="s">
        <v>1640</v>
      </c>
      <c r="C1937">
        <v>43503</v>
      </c>
      <c r="D1937">
        <v>0</v>
      </c>
      <c r="F1937">
        <v>0</v>
      </c>
    </row>
    <row r="1938" spans="1:6" x14ac:dyDescent="0.25">
      <c r="A1938" t="s">
        <v>25</v>
      </c>
      <c r="B1938" t="s">
        <v>1641</v>
      </c>
      <c r="C1938">
        <v>43504</v>
      </c>
      <c r="D1938">
        <v>0</v>
      </c>
      <c r="F1938">
        <v>0</v>
      </c>
    </row>
    <row r="1939" spans="1:6" x14ac:dyDescent="0.25">
      <c r="B1939" t="s">
        <v>2045</v>
      </c>
      <c r="D1939">
        <v>0</v>
      </c>
      <c r="F1939">
        <v>0</v>
      </c>
    </row>
    <row r="1940" spans="1:6" x14ac:dyDescent="0.25">
      <c r="B1940" t="s">
        <v>1670</v>
      </c>
      <c r="D1940">
        <v>216334</v>
      </c>
      <c r="F1940">
        <v>216334</v>
      </c>
    </row>
    <row r="1941" spans="1:6" x14ac:dyDescent="0.25">
      <c r="B1941" t="s">
        <v>2046</v>
      </c>
    </row>
    <row r="1942" spans="1:6" x14ac:dyDescent="0.25">
      <c r="B1942" t="s">
        <v>1672</v>
      </c>
    </row>
    <row r="1943" spans="1:6" x14ac:dyDescent="0.25">
      <c r="A1943" t="s">
        <v>2</v>
      </c>
      <c r="B1943" t="s">
        <v>1673</v>
      </c>
      <c r="C1943">
        <v>44101</v>
      </c>
      <c r="D1943">
        <v>4543</v>
      </c>
      <c r="E1943">
        <v>0</v>
      </c>
      <c r="F1943">
        <v>4543</v>
      </c>
    </row>
    <row r="1944" spans="1:6" x14ac:dyDescent="0.25">
      <c r="A1944" t="s">
        <v>15</v>
      </c>
      <c r="B1944" t="s">
        <v>1674</v>
      </c>
      <c r="C1944">
        <v>44102</v>
      </c>
      <c r="D1944">
        <v>0</v>
      </c>
      <c r="E1944">
        <v>0</v>
      </c>
      <c r="F1944">
        <v>0</v>
      </c>
    </row>
    <row r="1945" spans="1:6" x14ac:dyDescent="0.25">
      <c r="A1945" t="s">
        <v>16</v>
      </c>
      <c r="B1945" t="s">
        <v>1675</v>
      </c>
      <c r="C1945">
        <v>44103</v>
      </c>
      <c r="D1945">
        <v>0</v>
      </c>
      <c r="E1945">
        <v>0</v>
      </c>
      <c r="F1945">
        <v>0</v>
      </c>
    </row>
    <row r="1946" spans="1:6" x14ac:dyDescent="0.25">
      <c r="A1946" t="s">
        <v>25</v>
      </c>
      <c r="B1946" t="s">
        <v>1676</v>
      </c>
      <c r="C1946">
        <v>44104</v>
      </c>
      <c r="D1946">
        <v>0</v>
      </c>
      <c r="E1946">
        <v>0</v>
      </c>
      <c r="F1946">
        <v>0</v>
      </c>
    </row>
    <row r="1947" spans="1:6" x14ac:dyDescent="0.25">
      <c r="A1947" t="s">
        <v>26</v>
      </c>
      <c r="B1947" t="s">
        <v>1677</v>
      </c>
      <c r="C1947">
        <v>44105</v>
      </c>
      <c r="D1947">
        <v>0</v>
      </c>
      <c r="E1947">
        <v>0</v>
      </c>
      <c r="F1947">
        <v>0</v>
      </c>
    </row>
    <row r="1948" spans="1:6" x14ac:dyDescent="0.25">
      <c r="B1948" t="s">
        <v>2047</v>
      </c>
      <c r="D1948">
        <v>4543</v>
      </c>
      <c r="E1948">
        <v>0</v>
      </c>
      <c r="F1948">
        <v>4543</v>
      </c>
    </row>
    <row r="1949" spans="1:6" x14ac:dyDescent="0.25">
      <c r="B1949" t="s">
        <v>1781</v>
      </c>
    </row>
    <row r="1950" spans="1:6" x14ac:dyDescent="0.25">
      <c r="A1950" t="s">
        <v>2</v>
      </c>
      <c r="B1950" t="s">
        <v>1693</v>
      </c>
      <c r="C1950">
        <v>44201</v>
      </c>
      <c r="D1950">
        <v>0</v>
      </c>
      <c r="E1950">
        <v>0</v>
      </c>
      <c r="F1950">
        <v>0</v>
      </c>
    </row>
    <row r="1951" spans="1:6" x14ac:dyDescent="0.25">
      <c r="A1951" t="s">
        <v>15</v>
      </c>
      <c r="B1951" t="s">
        <v>1694</v>
      </c>
      <c r="C1951">
        <v>44202</v>
      </c>
      <c r="D1951">
        <v>0</v>
      </c>
      <c r="E1951">
        <v>0</v>
      </c>
      <c r="F1951">
        <v>0</v>
      </c>
    </row>
    <row r="1952" spans="1:6" x14ac:dyDescent="0.25">
      <c r="A1952" t="s">
        <v>16</v>
      </c>
      <c r="B1952" t="s">
        <v>1695</v>
      </c>
      <c r="C1952">
        <v>44203</v>
      </c>
      <c r="D1952">
        <v>0</v>
      </c>
      <c r="E1952">
        <v>0</v>
      </c>
      <c r="F1952">
        <v>0</v>
      </c>
    </row>
    <row r="1953" spans="1:6" x14ac:dyDescent="0.25">
      <c r="A1953" t="s">
        <v>25</v>
      </c>
      <c r="B1953" t="s">
        <v>1696</v>
      </c>
      <c r="C1953">
        <v>44204</v>
      </c>
      <c r="D1953">
        <v>0</v>
      </c>
      <c r="E1953">
        <v>0</v>
      </c>
      <c r="F1953">
        <v>0</v>
      </c>
    </row>
    <row r="1954" spans="1:6" x14ac:dyDescent="0.25">
      <c r="A1954" t="s">
        <v>26</v>
      </c>
      <c r="B1954" t="s">
        <v>1680</v>
      </c>
      <c r="C1954">
        <v>44205</v>
      </c>
      <c r="D1954">
        <v>0</v>
      </c>
      <c r="E1954">
        <v>0</v>
      </c>
      <c r="F1954">
        <v>0</v>
      </c>
    </row>
    <row r="1955" spans="1:6" x14ac:dyDescent="0.25">
      <c r="A1955" t="s">
        <v>27</v>
      </c>
      <c r="B1955" t="s">
        <v>1681</v>
      </c>
      <c r="C1955">
        <v>44206</v>
      </c>
      <c r="D1955">
        <v>0</v>
      </c>
      <c r="E1955">
        <v>0</v>
      </c>
      <c r="F1955">
        <v>0</v>
      </c>
    </row>
    <row r="1956" spans="1:6" x14ac:dyDescent="0.25">
      <c r="A1956" t="s">
        <v>531</v>
      </c>
      <c r="B1956" t="s">
        <v>1682</v>
      </c>
      <c r="C1956">
        <v>44207</v>
      </c>
      <c r="D1956">
        <v>0</v>
      </c>
      <c r="E1956">
        <v>0</v>
      </c>
      <c r="F1956">
        <v>0</v>
      </c>
    </row>
    <row r="1957" spans="1:6" x14ac:dyDescent="0.25">
      <c r="A1957" t="s">
        <v>1583</v>
      </c>
      <c r="B1957" t="s">
        <v>1683</v>
      </c>
      <c r="C1957">
        <v>44208</v>
      </c>
      <c r="D1957">
        <v>0</v>
      </c>
      <c r="E1957">
        <v>0</v>
      </c>
      <c r="F1957">
        <v>0</v>
      </c>
    </row>
    <row r="1958" spans="1:6" x14ac:dyDescent="0.25">
      <c r="A1958" t="s">
        <v>1585</v>
      </c>
      <c r="B1958" t="s">
        <v>1684</v>
      </c>
      <c r="C1958">
        <v>44209</v>
      </c>
      <c r="D1958">
        <v>0</v>
      </c>
      <c r="E1958">
        <v>0</v>
      </c>
      <c r="F1958">
        <v>0</v>
      </c>
    </row>
    <row r="1959" spans="1:6" x14ac:dyDescent="0.25">
      <c r="A1959" t="s">
        <v>1587</v>
      </c>
      <c r="B1959" t="s">
        <v>1685</v>
      </c>
      <c r="C1959">
        <v>44210</v>
      </c>
      <c r="D1959">
        <v>0</v>
      </c>
      <c r="E1959">
        <v>0</v>
      </c>
      <c r="F1959">
        <v>0</v>
      </c>
    </row>
    <row r="1960" spans="1:6" x14ac:dyDescent="0.25">
      <c r="A1960" t="s">
        <v>1589</v>
      </c>
      <c r="B1960" t="s">
        <v>1686</v>
      </c>
      <c r="C1960">
        <v>44211</v>
      </c>
      <c r="D1960">
        <v>0</v>
      </c>
      <c r="E1960">
        <v>0</v>
      </c>
      <c r="F1960">
        <v>0</v>
      </c>
    </row>
    <row r="1961" spans="1:6" x14ac:dyDescent="0.25">
      <c r="A1961" t="s">
        <v>1591</v>
      </c>
      <c r="B1961" t="s">
        <v>1687</v>
      </c>
      <c r="C1961">
        <v>44212</v>
      </c>
      <c r="D1961">
        <v>5562</v>
      </c>
      <c r="E1961">
        <v>0</v>
      </c>
      <c r="F1961">
        <v>5562</v>
      </c>
    </row>
    <row r="1962" spans="1:6" x14ac:dyDescent="0.25">
      <c r="A1962" t="s">
        <v>1593</v>
      </c>
      <c r="B1962" t="s">
        <v>1688</v>
      </c>
      <c r="C1962">
        <v>44213</v>
      </c>
      <c r="D1962">
        <v>0</v>
      </c>
      <c r="E1962">
        <v>0</v>
      </c>
      <c r="F1962">
        <v>0</v>
      </c>
    </row>
    <row r="1963" spans="1:6" x14ac:dyDescent="0.25">
      <c r="A1963" t="s">
        <v>1595</v>
      </c>
      <c r="B1963" t="s">
        <v>1690</v>
      </c>
      <c r="C1963">
        <v>44214</v>
      </c>
      <c r="D1963">
        <v>0</v>
      </c>
      <c r="E1963">
        <v>0</v>
      </c>
      <c r="F1963">
        <v>0</v>
      </c>
    </row>
    <row r="1964" spans="1:6" x14ac:dyDescent="0.25">
      <c r="A1964" t="s">
        <v>1597</v>
      </c>
      <c r="B1964" t="s">
        <v>1637</v>
      </c>
      <c r="C1964">
        <v>44215</v>
      </c>
      <c r="D1964">
        <v>0</v>
      </c>
      <c r="E1964">
        <v>0</v>
      </c>
      <c r="F1964">
        <v>0</v>
      </c>
    </row>
    <row r="1965" spans="1:6" x14ac:dyDescent="0.25">
      <c r="A1965" t="s">
        <v>1599</v>
      </c>
      <c r="B1965" t="s">
        <v>1640</v>
      </c>
      <c r="C1965">
        <v>44216</v>
      </c>
      <c r="D1965">
        <v>0</v>
      </c>
      <c r="E1965">
        <v>0</v>
      </c>
      <c r="F1965">
        <v>0</v>
      </c>
    </row>
    <row r="1966" spans="1:6" x14ac:dyDescent="0.25">
      <c r="A1966" t="s">
        <v>1601</v>
      </c>
      <c r="B1966" t="s">
        <v>1636</v>
      </c>
      <c r="C1966">
        <v>44217</v>
      </c>
      <c r="D1966">
        <v>0</v>
      </c>
      <c r="E1966">
        <v>0</v>
      </c>
      <c r="F1966">
        <v>0</v>
      </c>
    </row>
    <row r="1967" spans="1:6" x14ac:dyDescent="0.25">
      <c r="A1967" t="s">
        <v>1603</v>
      </c>
      <c r="B1967" t="s">
        <v>1689</v>
      </c>
      <c r="C1967">
        <v>44218</v>
      </c>
      <c r="D1967">
        <v>17</v>
      </c>
      <c r="E1967">
        <v>0</v>
      </c>
      <c r="F1967">
        <v>17</v>
      </c>
    </row>
    <row r="1968" spans="1:6" x14ac:dyDescent="0.25">
      <c r="B1968" t="s">
        <v>2048</v>
      </c>
      <c r="D1968">
        <v>5579</v>
      </c>
      <c r="E1968">
        <v>0</v>
      </c>
      <c r="F1968">
        <v>5579</v>
      </c>
    </row>
    <row r="1969" spans="1:6" x14ac:dyDescent="0.25">
      <c r="B1969" t="s">
        <v>1783</v>
      </c>
    </row>
    <row r="1970" spans="1:6" x14ac:dyDescent="0.25">
      <c r="A1970" t="s">
        <v>2</v>
      </c>
      <c r="B1970" t="s">
        <v>1699</v>
      </c>
      <c r="C1970">
        <v>44301</v>
      </c>
      <c r="D1970">
        <v>0</v>
      </c>
      <c r="E1970">
        <v>0</v>
      </c>
      <c r="F1970">
        <v>0</v>
      </c>
    </row>
    <row r="1971" spans="1:6" x14ac:dyDescent="0.25">
      <c r="A1971" t="s">
        <v>15</v>
      </c>
      <c r="B1971" t="s">
        <v>1694</v>
      </c>
      <c r="C1971">
        <v>44302</v>
      </c>
      <c r="D1971">
        <v>0</v>
      </c>
      <c r="E1971">
        <v>0</v>
      </c>
      <c r="F1971">
        <v>0</v>
      </c>
    </row>
    <row r="1972" spans="1:6" x14ac:dyDescent="0.25">
      <c r="A1972" t="s">
        <v>16</v>
      </c>
      <c r="B1972" t="s">
        <v>1695</v>
      </c>
      <c r="C1972">
        <v>44303</v>
      </c>
      <c r="D1972">
        <v>0</v>
      </c>
      <c r="E1972">
        <v>0</v>
      </c>
      <c r="F1972">
        <v>0</v>
      </c>
    </row>
    <row r="1973" spans="1:6" x14ac:dyDescent="0.25">
      <c r="A1973" t="s">
        <v>25</v>
      </c>
      <c r="B1973" t="s">
        <v>1696</v>
      </c>
      <c r="C1973">
        <v>44304</v>
      </c>
      <c r="D1973">
        <v>0</v>
      </c>
      <c r="E1973">
        <v>0</v>
      </c>
      <c r="F1973">
        <v>0</v>
      </c>
    </row>
    <row r="1974" spans="1:6" x14ac:dyDescent="0.25">
      <c r="A1974" t="s">
        <v>26</v>
      </c>
      <c r="B1974" t="s">
        <v>1680</v>
      </c>
      <c r="C1974">
        <v>44305</v>
      </c>
      <c r="D1974">
        <v>0</v>
      </c>
      <c r="E1974">
        <v>0</v>
      </c>
      <c r="F1974">
        <v>0</v>
      </c>
    </row>
    <row r="1975" spans="1:6" x14ac:dyDescent="0.25">
      <c r="A1975" t="s">
        <v>27</v>
      </c>
      <c r="B1975" t="s">
        <v>1681</v>
      </c>
      <c r="C1975">
        <v>44306</v>
      </c>
      <c r="D1975">
        <v>0</v>
      </c>
      <c r="E1975">
        <v>0</v>
      </c>
      <c r="F1975">
        <v>0</v>
      </c>
    </row>
    <row r="1976" spans="1:6" x14ac:dyDescent="0.25">
      <c r="A1976" t="s">
        <v>531</v>
      </c>
      <c r="B1976" t="s">
        <v>1682</v>
      </c>
      <c r="C1976">
        <v>44307</v>
      </c>
      <c r="D1976">
        <v>0</v>
      </c>
      <c r="E1976">
        <v>0</v>
      </c>
      <c r="F1976">
        <v>0</v>
      </c>
    </row>
    <row r="1977" spans="1:6" x14ac:dyDescent="0.25">
      <c r="A1977" t="s">
        <v>1583</v>
      </c>
      <c r="B1977" t="s">
        <v>1683</v>
      </c>
      <c r="C1977">
        <v>44308</v>
      </c>
      <c r="D1977">
        <v>0</v>
      </c>
      <c r="E1977">
        <v>0</v>
      </c>
      <c r="F1977">
        <v>0</v>
      </c>
    </row>
    <row r="1978" spans="1:6" x14ac:dyDescent="0.25">
      <c r="A1978" t="s">
        <v>1585</v>
      </c>
      <c r="B1978" t="s">
        <v>1684</v>
      </c>
      <c r="C1978">
        <v>44309</v>
      </c>
      <c r="D1978">
        <v>0</v>
      </c>
      <c r="E1978">
        <v>0</v>
      </c>
      <c r="F1978">
        <v>0</v>
      </c>
    </row>
    <row r="1979" spans="1:6" x14ac:dyDescent="0.25">
      <c r="A1979" t="s">
        <v>1587</v>
      </c>
      <c r="B1979" t="s">
        <v>1685</v>
      </c>
      <c r="C1979">
        <v>44310</v>
      </c>
      <c r="D1979">
        <v>0</v>
      </c>
      <c r="E1979">
        <v>0</v>
      </c>
      <c r="F1979">
        <v>0</v>
      </c>
    </row>
    <row r="1980" spans="1:6" x14ac:dyDescent="0.25">
      <c r="A1980" t="s">
        <v>1589</v>
      </c>
      <c r="B1980" t="s">
        <v>1686</v>
      </c>
      <c r="C1980">
        <v>44311</v>
      </c>
      <c r="D1980">
        <v>0</v>
      </c>
      <c r="E1980">
        <v>0</v>
      </c>
      <c r="F1980">
        <v>0</v>
      </c>
    </row>
    <row r="1981" spans="1:6" x14ac:dyDescent="0.25">
      <c r="A1981" t="s">
        <v>1591</v>
      </c>
      <c r="B1981" t="s">
        <v>1687</v>
      </c>
      <c r="C1981">
        <v>44312</v>
      </c>
      <c r="D1981">
        <v>0</v>
      </c>
      <c r="E1981">
        <v>0</v>
      </c>
      <c r="F1981">
        <v>0</v>
      </c>
    </row>
    <row r="1982" spans="1:6" x14ac:dyDescent="0.25">
      <c r="A1982" t="s">
        <v>1593</v>
      </c>
      <c r="B1982" t="s">
        <v>1688</v>
      </c>
      <c r="C1982">
        <v>44313</v>
      </c>
      <c r="D1982">
        <v>0</v>
      </c>
      <c r="E1982">
        <v>0</v>
      </c>
      <c r="F1982">
        <v>0</v>
      </c>
    </row>
    <row r="1983" spans="1:6" x14ac:dyDescent="0.25">
      <c r="A1983" t="s">
        <v>1595</v>
      </c>
      <c r="B1983" t="s">
        <v>1690</v>
      </c>
      <c r="C1983">
        <v>44314</v>
      </c>
      <c r="D1983">
        <v>0</v>
      </c>
      <c r="E1983">
        <v>0</v>
      </c>
      <c r="F1983">
        <v>0</v>
      </c>
    </row>
    <row r="1984" spans="1:6" x14ac:dyDescent="0.25">
      <c r="A1984" t="s">
        <v>1597</v>
      </c>
      <c r="B1984" t="s">
        <v>1637</v>
      </c>
      <c r="C1984">
        <v>44315</v>
      </c>
      <c r="D1984">
        <v>0</v>
      </c>
      <c r="E1984">
        <v>0</v>
      </c>
      <c r="F1984">
        <v>0</v>
      </c>
    </row>
    <row r="1985" spans="1:6" x14ac:dyDescent="0.25">
      <c r="A1985" t="s">
        <v>1599</v>
      </c>
      <c r="B1985" t="s">
        <v>1640</v>
      </c>
      <c r="C1985">
        <v>44316</v>
      </c>
      <c r="D1985">
        <v>0</v>
      </c>
      <c r="E1985">
        <v>0</v>
      </c>
      <c r="F1985">
        <v>0</v>
      </c>
    </row>
    <row r="1986" spans="1:6" x14ac:dyDescent="0.25">
      <c r="A1986" t="s">
        <v>1601</v>
      </c>
      <c r="B1986" t="s">
        <v>1636</v>
      </c>
      <c r="C1986">
        <v>44317</v>
      </c>
      <c r="D1986">
        <v>0</v>
      </c>
      <c r="E1986">
        <v>0</v>
      </c>
      <c r="F1986">
        <v>0</v>
      </c>
    </row>
    <row r="1987" spans="1:6" x14ac:dyDescent="0.25">
      <c r="A1987" t="s">
        <v>1603</v>
      </c>
      <c r="B1987" t="s">
        <v>1689</v>
      </c>
      <c r="C1987">
        <v>44318</v>
      </c>
      <c r="D1987">
        <v>0</v>
      </c>
      <c r="E1987">
        <v>0</v>
      </c>
      <c r="F1987">
        <v>0</v>
      </c>
    </row>
    <row r="1988" spans="1:6" x14ac:dyDescent="0.25">
      <c r="B1988" t="s">
        <v>2049</v>
      </c>
      <c r="D1988">
        <v>0</v>
      </c>
      <c r="E1988">
        <v>0</v>
      </c>
      <c r="F1988">
        <v>0</v>
      </c>
    </row>
    <row r="1989" spans="1:6" x14ac:dyDescent="0.25">
      <c r="B1989" t="s">
        <v>1785</v>
      </c>
    </row>
    <row r="1990" spans="1:6" x14ac:dyDescent="0.25">
      <c r="A1990" t="s">
        <v>2</v>
      </c>
      <c r="B1990" t="s">
        <v>1702</v>
      </c>
      <c r="C1990">
        <v>44401</v>
      </c>
      <c r="D1990">
        <v>0</v>
      </c>
      <c r="E1990">
        <v>0</v>
      </c>
      <c r="F1990">
        <v>0</v>
      </c>
    </row>
    <row r="1991" spans="1:6" x14ac:dyDescent="0.25">
      <c r="A1991" t="s">
        <v>15</v>
      </c>
      <c r="B1991" t="s">
        <v>1703</v>
      </c>
      <c r="C1991">
        <v>44402</v>
      </c>
      <c r="D1991">
        <v>0</v>
      </c>
      <c r="E1991">
        <v>0</v>
      </c>
      <c r="F1991">
        <v>0</v>
      </c>
    </row>
    <row r="1992" spans="1:6" x14ac:dyDescent="0.25">
      <c r="B1992" t="s">
        <v>2050</v>
      </c>
      <c r="D1992">
        <v>0</v>
      </c>
      <c r="E1992">
        <v>0</v>
      </c>
      <c r="F1992">
        <v>0</v>
      </c>
    </row>
    <row r="1993" spans="1:6" x14ac:dyDescent="0.25">
      <c r="B1993" t="s">
        <v>1787</v>
      </c>
    </row>
    <row r="1994" spans="1:6" x14ac:dyDescent="0.25">
      <c r="A1994" t="s">
        <v>2</v>
      </c>
      <c r="B1994" t="s">
        <v>1702</v>
      </c>
      <c r="C1994">
        <v>44501</v>
      </c>
      <c r="D1994">
        <v>0</v>
      </c>
      <c r="E1994">
        <v>0</v>
      </c>
      <c r="F1994">
        <v>0</v>
      </c>
    </row>
    <row r="1995" spans="1:6" x14ac:dyDescent="0.25">
      <c r="A1995" t="s">
        <v>15</v>
      </c>
      <c r="B1995" t="s">
        <v>1703</v>
      </c>
      <c r="C1995">
        <v>44502</v>
      </c>
      <c r="D1995">
        <v>0</v>
      </c>
      <c r="E1995">
        <v>0</v>
      </c>
      <c r="F1995">
        <v>0</v>
      </c>
    </row>
    <row r="1996" spans="1:6" x14ac:dyDescent="0.25">
      <c r="B1996" t="s">
        <v>2051</v>
      </c>
      <c r="D1996">
        <v>0</v>
      </c>
      <c r="E1996">
        <v>0</v>
      </c>
      <c r="F1996">
        <v>0</v>
      </c>
    </row>
    <row r="1997" spans="1:6" x14ac:dyDescent="0.25">
      <c r="B1997" t="s">
        <v>1789</v>
      </c>
    </row>
    <row r="1998" spans="1:6" x14ac:dyDescent="0.25">
      <c r="A1998" t="s">
        <v>2</v>
      </c>
      <c r="B1998" t="s">
        <v>1710</v>
      </c>
      <c r="C1998">
        <v>44601</v>
      </c>
      <c r="D1998">
        <v>42</v>
      </c>
      <c r="E1998">
        <v>8611</v>
      </c>
      <c r="F1998">
        <v>8653</v>
      </c>
    </row>
    <row r="1999" spans="1:6" x14ac:dyDescent="0.25">
      <c r="A1999" t="s">
        <v>15</v>
      </c>
      <c r="B1999" t="s">
        <v>1711</v>
      </c>
      <c r="C1999">
        <v>44602</v>
      </c>
      <c r="D1999">
        <v>0</v>
      </c>
      <c r="E1999">
        <v>0</v>
      </c>
      <c r="F1999">
        <v>0</v>
      </c>
    </row>
    <row r="2000" spans="1:6" x14ac:dyDescent="0.25">
      <c r="A2000" t="s">
        <v>16</v>
      </c>
      <c r="B2000" t="s">
        <v>1712</v>
      </c>
      <c r="C2000">
        <v>44603</v>
      </c>
      <c r="D2000">
        <v>0</v>
      </c>
      <c r="E2000">
        <v>0</v>
      </c>
      <c r="F2000">
        <v>0</v>
      </c>
    </row>
    <row r="2001" spans="1:6" x14ac:dyDescent="0.25">
      <c r="A2001" t="s">
        <v>25</v>
      </c>
      <c r="B2001" t="s">
        <v>1713</v>
      </c>
      <c r="C2001">
        <v>44604</v>
      </c>
      <c r="D2001">
        <v>0</v>
      </c>
      <c r="E2001">
        <v>0</v>
      </c>
      <c r="F2001">
        <v>0</v>
      </c>
    </row>
    <row r="2002" spans="1:6" x14ac:dyDescent="0.25">
      <c r="A2002" t="s">
        <v>26</v>
      </c>
      <c r="B2002" t="s">
        <v>1714</v>
      </c>
      <c r="C2002">
        <v>44605</v>
      </c>
      <c r="D2002">
        <v>0</v>
      </c>
      <c r="E2002">
        <v>0</v>
      </c>
      <c r="F2002">
        <v>0</v>
      </c>
    </row>
    <row r="2003" spans="1:6" x14ac:dyDescent="0.25">
      <c r="B2003" t="s">
        <v>2052</v>
      </c>
      <c r="D2003">
        <v>42</v>
      </c>
      <c r="E2003">
        <v>8611</v>
      </c>
      <c r="F2003">
        <v>8653</v>
      </c>
    </row>
    <row r="2004" spans="1:6" x14ac:dyDescent="0.25">
      <c r="B2004" t="s">
        <v>2458</v>
      </c>
    </row>
    <row r="2005" spans="1:6" x14ac:dyDescent="0.25">
      <c r="A2005" t="s">
        <v>2</v>
      </c>
      <c r="B2005" t="s">
        <v>2316</v>
      </c>
      <c r="C2005">
        <v>44701</v>
      </c>
      <c r="D2005">
        <v>0</v>
      </c>
      <c r="F2005">
        <v>0</v>
      </c>
    </row>
    <row r="2006" spans="1:6" x14ac:dyDescent="0.25">
      <c r="A2006" t="s">
        <v>15</v>
      </c>
      <c r="B2006" t="s">
        <v>2317</v>
      </c>
      <c r="C2006">
        <v>44702</v>
      </c>
      <c r="D2006">
        <v>0</v>
      </c>
      <c r="F2006">
        <v>0</v>
      </c>
    </row>
    <row r="2007" spans="1:6" x14ac:dyDescent="0.25">
      <c r="A2007" t="s">
        <v>16</v>
      </c>
      <c r="B2007" t="s">
        <v>2318</v>
      </c>
      <c r="C2007">
        <v>44703</v>
      </c>
      <c r="D2007">
        <v>0</v>
      </c>
      <c r="F2007">
        <v>0</v>
      </c>
    </row>
    <row r="2008" spans="1:6" x14ac:dyDescent="0.25">
      <c r="A2008" t="s">
        <v>25</v>
      </c>
      <c r="B2008" t="s">
        <v>2319</v>
      </c>
      <c r="C2008">
        <v>44704</v>
      </c>
      <c r="D2008">
        <v>0</v>
      </c>
      <c r="F2008">
        <v>0</v>
      </c>
    </row>
    <row r="2009" spans="1:6" x14ac:dyDescent="0.25">
      <c r="A2009" t="s">
        <v>26</v>
      </c>
      <c r="B2009" t="s">
        <v>2320</v>
      </c>
      <c r="C2009">
        <v>44705</v>
      </c>
      <c r="D2009">
        <v>0</v>
      </c>
      <c r="F2009">
        <v>0</v>
      </c>
    </row>
    <row r="2010" spans="1:6" x14ac:dyDescent="0.25">
      <c r="A2010" t="s">
        <v>27</v>
      </c>
      <c r="B2010" t="s">
        <v>2321</v>
      </c>
      <c r="C2010">
        <v>44706</v>
      </c>
      <c r="D2010">
        <v>0</v>
      </c>
      <c r="F2010">
        <v>0</v>
      </c>
    </row>
    <row r="2011" spans="1:6" x14ac:dyDescent="0.25">
      <c r="A2011" t="s">
        <v>531</v>
      </c>
      <c r="B2011" t="s">
        <v>2322</v>
      </c>
      <c r="C2011">
        <v>44707</v>
      </c>
      <c r="D2011">
        <v>0</v>
      </c>
      <c r="F2011">
        <v>0</v>
      </c>
    </row>
    <row r="2012" spans="1:6" x14ac:dyDescent="0.25">
      <c r="A2012" t="s">
        <v>1583</v>
      </c>
      <c r="B2012" t="s">
        <v>2323</v>
      </c>
      <c r="C2012">
        <v>44708</v>
      </c>
      <c r="D2012">
        <v>0</v>
      </c>
      <c r="F2012">
        <v>0</v>
      </c>
    </row>
    <row r="2013" spans="1:6" x14ac:dyDescent="0.25">
      <c r="A2013" t="s">
        <v>1585</v>
      </c>
      <c r="B2013" t="s">
        <v>2324</v>
      </c>
      <c r="C2013">
        <v>44709</v>
      </c>
      <c r="D2013">
        <v>0</v>
      </c>
      <c r="F2013">
        <v>0</v>
      </c>
    </row>
    <row r="2014" spans="1:6" x14ac:dyDescent="0.25">
      <c r="A2014" t="s">
        <v>1587</v>
      </c>
      <c r="B2014" t="s">
        <v>2325</v>
      </c>
      <c r="C2014">
        <v>44710</v>
      </c>
      <c r="D2014">
        <v>0</v>
      </c>
      <c r="F2014">
        <v>0</v>
      </c>
    </row>
    <row r="2015" spans="1:6" x14ac:dyDescent="0.25">
      <c r="A2015" t="s">
        <v>1589</v>
      </c>
      <c r="B2015" t="s">
        <v>2326</v>
      </c>
      <c r="C2015">
        <v>44711</v>
      </c>
      <c r="D2015">
        <v>0</v>
      </c>
      <c r="F2015">
        <v>0</v>
      </c>
    </row>
    <row r="2016" spans="1:6" x14ac:dyDescent="0.25">
      <c r="A2016" t="s">
        <v>1591</v>
      </c>
      <c r="B2016" t="s">
        <v>2327</v>
      </c>
      <c r="C2016">
        <v>44712</v>
      </c>
      <c r="D2016">
        <v>0</v>
      </c>
      <c r="F2016">
        <v>0</v>
      </c>
    </row>
    <row r="2017" spans="1:6" x14ac:dyDescent="0.25">
      <c r="A2017" t="s">
        <v>1593</v>
      </c>
      <c r="B2017" t="s">
        <v>2328</v>
      </c>
      <c r="C2017">
        <v>44713</v>
      </c>
      <c r="D2017">
        <v>0</v>
      </c>
      <c r="F2017">
        <v>0</v>
      </c>
    </row>
    <row r="2018" spans="1:6" x14ac:dyDescent="0.25">
      <c r="A2018" t="s">
        <v>1595</v>
      </c>
      <c r="B2018" t="s">
        <v>2329</v>
      </c>
      <c r="C2018">
        <v>44714</v>
      </c>
      <c r="D2018">
        <v>0</v>
      </c>
      <c r="F2018">
        <v>0</v>
      </c>
    </row>
    <row r="2019" spans="1:6" x14ac:dyDescent="0.25">
      <c r="A2019" t="s">
        <v>1597</v>
      </c>
      <c r="B2019" t="s">
        <v>2330</v>
      </c>
      <c r="C2019">
        <v>44715</v>
      </c>
      <c r="D2019">
        <v>0</v>
      </c>
      <c r="F2019">
        <v>0</v>
      </c>
    </row>
    <row r="2020" spans="1:6" x14ac:dyDescent="0.25">
      <c r="A2020" t="s">
        <v>1599</v>
      </c>
      <c r="B2020" t="s">
        <v>2331</v>
      </c>
      <c r="C2020">
        <v>44716</v>
      </c>
      <c r="D2020">
        <v>0</v>
      </c>
      <c r="F2020">
        <v>0</v>
      </c>
    </row>
    <row r="2021" spans="1:6" x14ac:dyDescent="0.25">
      <c r="A2021" t="s">
        <v>1601</v>
      </c>
      <c r="B2021" t="s">
        <v>2332</v>
      </c>
      <c r="C2021">
        <v>44717</v>
      </c>
      <c r="D2021">
        <v>0</v>
      </c>
      <c r="F2021">
        <v>0</v>
      </c>
    </row>
    <row r="2022" spans="1:6" x14ac:dyDescent="0.25">
      <c r="A2022" t="s">
        <v>1603</v>
      </c>
      <c r="B2022" t="s">
        <v>2333</v>
      </c>
      <c r="C2022">
        <v>44718</v>
      </c>
      <c r="D2022">
        <v>0</v>
      </c>
      <c r="F2022">
        <v>0</v>
      </c>
    </row>
    <row r="2023" spans="1:6" x14ac:dyDescent="0.25">
      <c r="A2023" t="s">
        <v>1605</v>
      </c>
      <c r="B2023" t="s">
        <v>2334</v>
      </c>
      <c r="C2023">
        <v>44719</v>
      </c>
      <c r="D2023">
        <v>0</v>
      </c>
      <c r="F2023">
        <v>0</v>
      </c>
    </row>
    <row r="2024" spans="1:6" x14ac:dyDescent="0.25">
      <c r="A2024" t="s">
        <v>1607</v>
      </c>
      <c r="B2024" t="s">
        <v>2335</v>
      </c>
      <c r="C2024">
        <v>44720</v>
      </c>
      <c r="D2024">
        <v>0</v>
      </c>
      <c r="F2024">
        <v>0</v>
      </c>
    </row>
    <row r="2025" spans="1:6" x14ac:dyDescent="0.25">
      <c r="A2025" t="s">
        <v>2336</v>
      </c>
      <c r="B2025" t="s">
        <v>2337</v>
      </c>
      <c r="C2025">
        <v>44721</v>
      </c>
      <c r="D2025">
        <v>0</v>
      </c>
      <c r="F2025">
        <v>0</v>
      </c>
    </row>
    <row r="2026" spans="1:6" x14ac:dyDescent="0.25">
      <c r="A2026" t="s">
        <v>2338</v>
      </c>
      <c r="B2026" t="s">
        <v>2339</v>
      </c>
      <c r="C2026">
        <v>44722</v>
      </c>
      <c r="D2026">
        <v>0</v>
      </c>
      <c r="F2026">
        <v>0</v>
      </c>
    </row>
    <row r="2027" spans="1:6" x14ac:dyDescent="0.25">
      <c r="A2027" t="s">
        <v>2340</v>
      </c>
      <c r="B2027" t="s">
        <v>2341</v>
      </c>
      <c r="C2027">
        <v>44723</v>
      </c>
      <c r="D2027">
        <v>0</v>
      </c>
      <c r="F2027">
        <v>0</v>
      </c>
    </row>
    <row r="2028" spans="1:6" x14ac:dyDescent="0.25">
      <c r="A2028" t="s">
        <v>2342</v>
      </c>
      <c r="B2028" t="s">
        <v>2343</v>
      </c>
      <c r="C2028">
        <v>44724</v>
      </c>
      <c r="D2028">
        <v>0</v>
      </c>
      <c r="F2028">
        <v>0</v>
      </c>
    </row>
    <row r="2029" spans="1:6" x14ac:dyDescent="0.25">
      <c r="A2029" t="s">
        <v>2344</v>
      </c>
      <c r="B2029" t="s">
        <v>2345</v>
      </c>
      <c r="C2029">
        <v>44725</v>
      </c>
      <c r="D2029">
        <v>0</v>
      </c>
      <c r="F2029">
        <v>0</v>
      </c>
    </row>
    <row r="2030" spans="1:6" x14ac:dyDescent="0.25">
      <c r="A2030" t="s">
        <v>2346</v>
      </c>
      <c r="B2030" t="s">
        <v>2347</v>
      </c>
      <c r="C2030">
        <v>44726</v>
      </c>
      <c r="D2030">
        <v>0</v>
      </c>
      <c r="F2030">
        <v>0</v>
      </c>
    </row>
    <row r="2031" spans="1:6" x14ac:dyDescent="0.25">
      <c r="A2031" t="s">
        <v>2348</v>
      </c>
      <c r="B2031" t="s">
        <v>2349</v>
      </c>
      <c r="C2031">
        <v>44727</v>
      </c>
      <c r="D2031">
        <v>0</v>
      </c>
      <c r="F2031">
        <v>0</v>
      </c>
    </row>
    <row r="2032" spans="1:6" x14ac:dyDescent="0.25">
      <c r="A2032" t="s">
        <v>2350</v>
      </c>
      <c r="B2032" t="s">
        <v>2351</v>
      </c>
      <c r="C2032">
        <v>44728</v>
      </c>
      <c r="D2032">
        <v>0</v>
      </c>
      <c r="F2032">
        <v>0</v>
      </c>
    </row>
    <row r="2033" spans="1:6" x14ac:dyDescent="0.25">
      <c r="A2033" t="s">
        <v>2352</v>
      </c>
      <c r="B2033" t="s">
        <v>2353</v>
      </c>
      <c r="C2033">
        <v>44729</v>
      </c>
      <c r="D2033">
        <v>0</v>
      </c>
      <c r="F2033">
        <v>0</v>
      </c>
    </row>
    <row r="2034" spans="1:6" x14ac:dyDescent="0.25">
      <c r="A2034" t="s">
        <v>2354</v>
      </c>
      <c r="B2034" t="s">
        <v>2355</v>
      </c>
      <c r="C2034">
        <v>44730</v>
      </c>
      <c r="D2034">
        <v>0</v>
      </c>
      <c r="F2034">
        <v>0</v>
      </c>
    </row>
    <row r="2035" spans="1:6" x14ac:dyDescent="0.25">
      <c r="A2035" t="s">
        <v>2356</v>
      </c>
      <c r="B2035" t="s">
        <v>2357</v>
      </c>
      <c r="C2035">
        <v>44731</v>
      </c>
      <c r="D2035">
        <v>0</v>
      </c>
      <c r="F2035">
        <v>0</v>
      </c>
    </row>
    <row r="2036" spans="1:6" x14ac:dyDescent="0.25">
      <c r="A2036" t="s">
        <v>2358</v>
      </c>
      <c r="B2036" t="s">
        <v>2359</v>
      </c>
      <c r="C2036">
        <v>44732</v>
      </c>
      <c r="D2036">
        <v>0</v>
      </c>
      <c r="F2036">
        <v>0</v>
      </c>
    </row>
    <row r="2037" spans="1:6" x14ac:dyDescent="0.25">
      <c r="A2037" t="s">
        <v>2360</v>
      </c>
      <c r="B2037" t="s">
        <v>2361</v>
      </c>
      <c r="C2037">
        <v>44733</v>
      </c>
      <c r="D2037">
        <v>0</v>
      </c>
      <c r="F2037">
        <v>0</v>
      </c>
    </row>
    <row r="2038" spans="1:6" x14ac:dyDescent="0.25">
      <c r="A2038" t="s">
        <v>2362</v>
      </c>
      <c r="B2038" t="s">
        <v>2363</v>
      </c>
      <c r="C2038">
        <v>44734</v>
      </c>
      <c r="D2038">
        <v>0</v>
      </c>
      <c r="F2038">
        <v>0</v>
      </c>
    </row>
    <row r="2039" spans="1:6" x14ac:dyDescent="0.25">
      <c r="A2039" t="s">
        <v>2364</v>
      </c>
      <c r="B2039" t="s">
        <v>2365</v>
      </c>
      <c r="C2039">
        <v>44735</v>
      </c>
      <c r="D2039">
        <v>0</v>
      </c>
      <c r="F2039">
        <v>0</v>
      </c>
    </row>
    <row r="2040" spans="1:6" x14ac:dyDescent="0.25">
      <c r="A2040" t="s">
        <v>2366</v>
      </c>
      <c r="B2040" t="s">
        <v>2367</v>
      </c>
      <c r="C2040">
        <v>44736</v>
      </c>
      <c r="D2040">
        <v>0</v>
      </c>
      <c r="F2040">
        <v>0</v>
      </c>
    </row>
    <row r="2041" spans="1:6" x14ac:dyDescent="0.25">
      <c r="A2041" t="s">
        <v>2368</v>
      </c>
      <c r="B2041" t="s">
        <v>2369</v>
      </c>
      <c r="C2041">
        <v>44737</v>
      </c>
      <c r="D2041">
        <v>0</v>
      </c>
      <c r="F2041">
        <v>0</v>
      </c>
    </row>
    <row r="2042" spans="1:6" x14ac:dyDescent="0.25">
      <c r="A2042" t="s">
        <v>2370</v>
      </c>
      <c r="B2042" t="s">
        <v>2371</v>
      </c>
      <c r="C2042">
        <v>44738</v>
      </c>
      <c r="D2042">
        <v>0</v>
      </c>
      <c r="F2042">
        <v>0</v>
      </c>
    </row>
    <row r="2043" spans="1:6" x14ac:dyDescent="0.25">
      <c r="A2043" t="s">
        <v>2372</v>
      </c>
      <c r="B2043" t="s">
        <v>2373</v>
      </c>
      <c r="C2043">
        <v>44739</v>
      </c>
      <c r="D2043">
        <v>0</v>
      </c>
      <c r="F2043">
        <v>0</v>
      </c>
    </row>
    <row r="2044" spans="1:6" x14ac:dyDescent="0.25">
      <c r="A2044" t="s">
        <v>2374</v>
      </c>
      <c r="B2044" t="s">
        <v>2375</v>
      </c>
      <c r="C2044">
        <v>44740</v>
      </c>
      <c r="D2044">
        <v>0</v>
      </c>
      <c r="F2044">
        <v>0</v>
      </c>
    </row>
    <row r="2045" spans="1:6" x14ac:dyDescent="0.25">
      <c r="A2045" t="s">
        <v>2376</v>
      </c>
      <c r="B2045" t="s">
        <v>2377</v>
      </c>
      <c r="C2045">
        <v>44741</v>
      </c>
      <c r="D2045">
        <v>0</v>
      </c>
      <c r="F2045">
        <v>0</v>
      </c>
    </row>
    <row r="2046" spans="1:6" x14ac:dyDescent="0.25">
      <c r="B2046" t="s">
        <v>2459</v>
      </c>
      <c r="D2046">
        <v>0</v>
      </c>
      <c r="F2046">
        <v>0</v>
      </c>
    </row>
    <row r="2047" spans="1:6" x14ac:dyDescent="0.25">
      <c r="B2047" t="s">
        <v>2460</v>
      </c>
    </row>
    <row r="2048" spans="1:6" x14ac:dyDescent="0.25">
      <c r="A2048" t="s">
        <v>2</v>
      </c>
      <c r="B2048" t="s">
        <v>2380</v>
      </c>
      <c r="C2048">
        <v>44801</v>
      </c>
      <c r="D2048">
        <v>0</v>
      </c>
      <c r="F2048">
        <v>0</v>
      </c>
    </row>
    <row r="2049" spans="1:6" x14ac:dyDescent="0.25">
      <c r="A2049" t="s">
        <v>15</v>
      </c>
      <c r="B2049" t="s">
        <v>2381</v>
      </c>
      <c r="C2049">
        <v>44802</v>
      </c>
      <c r="D2049">
        <v>0</v>
      </c>
      <c r="F2049">
        <v>0</v>
      </c>
    </row>
    <row r="2050" spans="1:6" x14ac:dyDescent="0.25">
      <c r="A2050" t="s">
        <v>16</v>
      </c>
      <c r="B2050" t="s">
        <v>2382</v>
      </c>
      <c r="C2050">
        <v>44803</v>
      </c>
      <c r="D2050">
        <v>0</v>
      </c>
      <c r="F2050">
        <v>0</v>
      </c>
    </row>
    <row r="2051" spans="1:6" x14ac:dyDescent="0.25">
      <c r="A2051" t="s">
        <v>25</v>
      </c>
      <c r="B2051" t="s">
        <v>2383</v>
      </c>
      <c r="C2051">
        <v>44804</v>
      </c>
      <c r="D2051">
        <v>0</v>
      </c>
      <c r="F2051">
        <v>0</v>
      </c>
    </row>
    <row r="2052" spans="1:6" x14ac:dyDescent="0.25">
      <c r="B2052" t="s">
        <v>2461</v>
      </c>
      <c r="D2052">
        <v>0</v>
      </c>
      <c r="F2052">
        <v>0</v>
      </c>
    </row>
    <row r="2053" spans="1:6" x14ac:dyDescent="0.25">
      <c r="B2053" t="s">
        <v>2462</v>
      </c>
    </row>
    <row r="2054" spans="1:6" x14ac:dyDescent="0.25">
      <c r="A2054" t="s">
        <v>2</v>
      </c>
      <c r="B2054" t="s">
        <v>1710</v>
      </c>
      <c r="C2054">
        <v>44901</v>
      </c>
      <c r="D2054">
        <v>0</v>
      </c>
      <c r="F2054">
        <v>0</v>
      </c>
    </row>
    <row r="2055" spans="1:6" x14ac:dyDescent="0.25">
      <c r="A2055" t="s">
        <v>15</v>
      </c>
      <c r="B2055" t="s">
        <v>1711</v>
      </c>
      <c r="C2055">
        <v>44902</v>
      </c>
      <c r="D2055">
        <v>0</v>
      </c>
      <c r="F2055">
        <v>0</v>
      </c>
    </row>
    <row r="2056" spans="1:6" x14ac:dyDescent="0.25">
      <c r="A2056" t="s">
        <v>16</v>
      </c>
      <c r="B2056" t="s">
        <v>1712</v>
      </c>
      <c r="C2056">
        <v>44903</v>
      </c>
      <c r="D2056">
        <v>0</v>
      </c>
      <c r="F2056">
        <v>0</v>
      </c>
    </row>
    <row r="2057" spans="1:6" x14ac:dyDescent="0.25">
      <c r="A2057" t="s">
        <v>25</v>
      </c>
      <c r="B2057" t="s">
        <v>1713</v>
      </c>
      <c r="C2057">
        <v>44904</v>
      </c>
      <c r="D2057">
        <v>0</v>
      </c>
      <c r="F2057">
        <v>0</v>
      </c>
    </row>
    <row r="2058" spans="1:6" x14ac:dyDescent="0.25">
      <c r="A2058" t="s">
        <v>26</v>
      </c>
      <c r="B2058" t="s">
        <v>1714</v>
      </c>
      <c r="C2058">
        <v>44905</v>
      </c>
      <c r="D2058">
        <v>0</v>
      </c>
      <c r="F2058">
        <v>0</v>
      </c>
    </row>
    <row r="2059" spans="1:6" x14ac:dyDescent="0.25">
      <c r="B2059" t="s">
        <v>2463</v>
      </c>
      <c r="D2059">
        <v>0</v>
      </c>
      <c r="F2059">
        <v>0</v>
      </c>
    </row>
    <row r="2060" spans="1:6" x14ac:dyDescent="0.25">
      <c r="B2060" t="s">
        <v>1716</v>
      </c>
      <c r="D2060">
        <v>10164</v>
      </c>
      <c r="E2060">
        <v>8611</v>
      </c>
      <c r="F2060">
        <v>18775</v>
      </c>
    </row>
    <row r="2061" spans="1:6" x14ac:dyDescent="0.25">
      <c r="B2061" t="s">
        <v>2464</v>
      </c>
    </row>
    <row r="2062" spans="1:6" x14ac:dyDescent="0.25">
      <c r="B2062" t="s">
        <v>2465</v>
      </c>
    </row>
    <row r="2063" spans="1:6" x14ac:dyDescent="0.25">
      <c r="A2063" t="s">
        <v>2</v>
      </c>
      <c r="B2063" t="s">
        <v>1793</v>
      </c>
      <c r="C2063">
        <v>45101</v>
      </c>
      <c r="D2063">
        <v>3346651</v>
      </c>
      <c r="F2063">
        <v>3346651</v>
      </c>
    </row>
    <row r="2064" spans="1:6" x14ac:dyDescent="0.25">
      <c r="A2064" t="s">
        <v>15</v>
      </c>
      <c r="B2064" t="s">
        <v>1794</v>
      </c>
      <c r="C2064">
        <v>45102</v>
      </c>
      <c r="D2064">
        <v>85351</v>
      </c>
      <c r="F2064">
        <v>85351</v>
      </c>
    </row>
    <row r="2065" spans="1:6" x14ac:dyDescent="0.25">
      <c r="A2065" t="s">
        <v>16</v>
      </c>
      <c r="B2065" t="s">
        <v>1795</v>
      </c>
      <c r="C2065">
        <v>45103</v>
      </c>
      <c r="D2065">
        <v>143857</v>
      </c>
      <c r="F2065">
        <v>143857</v>
      </c>
    </row>
    <row r="2066" spans="1:6" x14ac:dyDescent="0.25">
      <c r="A2066" t="s">
        <v>25</v>
      </c>
      <c r="B2066" t="s">
        <v>1796</v>
      </c>
      <c r="C2066">
        <v>45104</v>
      </c>
      <c r="D2066">
        <v>16099689</v>
      </c>
      <c r="F2066">
        <v>16099689</v>
      </c>
    </row>
    <row r="2067" spans="1:6" x14ac:dyDescent="0.25">
      <c r="A2067" t="s">
        <v>26</v>
      </c>
      <c r="B2067" t="s">
        <v>1797</v>
      </c>
      <c r="C2067">
        <v>45105</v>
      </c>
      <c r="D2067">
        <v>0</v>
      </c>
      <c r="F2067">
        <v>0</v>
      </c>
    </row>
    <row r="2068" spans="1:6" x14ac:dyDescent="0.25">
      <c r="B2068" t="s">
        <v>2055</v>
      </c>
      <c r="D2068">
        <v>19675548</v>
      </c>
      <c r="F2068">
        <v>19675548</v>
      </c>
    </row>
    <row r="2069" spans="1:6" x14ac:dyDescent="0.25">
      <c r="B2069" t="s">
        <v>2466</v>
      </c>
    </row>
    <row r="2070" spans="1:6" x14ac:dyDescent="0.25">
      <c r="A2070" t="s">
        <v>2</v>
      </c>
      <c r="B2070" t="s">
        <v>1793</v>
      </c>
      <c r="C2070">
        <v>45201</v>
      </c>
      <c r="D2070">
        <v>0</v>
      </c>
      <c r="F2070">
        <v>0</v>
      </c>
    </row>
    <row r="2071" spans="1:6" x14ac:dyDescent="0.25">
      <c r="A2071" t="s">
        <v>15</v>
      </c>
      <c r="B2071" t="s">
        <v>1794</v>
      </c>
      <c r="C2071">
        <v>45202</v>
      </c>
      <c r="D2071">
        <v>0</v>
      </c>
      <c r="F2071">
        <v>0</v>
      </c>
    </row>
    <row r="2072" spans="1:6" x14ac:dyDescent="0.25">
      <c r="A2072" t="s">
        <v>16</v>
      </c>
      <c r="B2072" t="s">
        <v>1795</v>
      </c>
      <c r="C2072">
        <v>45203</v>
      </c>
      <c r="D2072">
        <v>0</v>
      </c>
      <c r="F2072">
        <v>0</v>
      </c>
    </row>
    <row r="2073" spans="1:6" x14ac:dyDescent="0.25">
      <c r="A2073" t="s">
        <v>25</v>
      </c>
      <c r="B2073" t="s">
        <v>1796</v>
      </c>
      <c r="C2073">
        <v>45204</v>
      </c>
      <c r="D2073">
        <v>0</v>
      </c>
      <c r="F2073">
        <v>0</v>
      </c>
    </row>
    <row r="2074" spans="1:6" x14ac:dyDescent="0.25">
      <c r="A2074" t="s">
        <v>26</v>
      </c>
      <c r="B2074" t="s">
        <v>1797</v>
      </c>
      <c r="C2074">
        <v>45205</v>
      </c>
      <c r="D2074">
        <v>0</v>
      </c>
      <c r="F2074">
        <v>0</v>
      </c>
    </row>
    <row r="2075" spans="1:6" x14ac:dyDescent="0.25">
      <c r="B2075" t="s">
        <v>2057</v>
      </c>
      <c r="D2075">
        <v>0</v>
      </c>
      <c r="F2075">
        <v>0</v>
      </c>
    </row>
    <row r="2076" spans="1:6" x14ac:dyDescent="0.25">
      <c r="B2076" t="s">
        <v>2467</v>
      </c>
    </row>
    <row r="2077" spans="1:6" x14ac:dyDescent="0.25">
      <c r="A2077" t="s">
        <v>2</v>
      </c>
      <c r="B2077" t="s">
        <v>1793</v>
      </c>
      <c r="C2077">
        <v>45301</v>
      </c>
      <c r="D2077">
        <v>236074</v>
      </c>
      <c r="F2077">
        <v>236074</v>
      </c>
    </row>
    <row r="2078" spans="1:6" x14ac:dyDescent="0.25">
      <c r="A2078" t="s">
        <v>15</v>
      </c>
      <c r="B2078" t="s">
        <v>1794</v>
      </c>
      <c r="C2078">
        <v>45302</v>
      </c>
      <c r="D2078">
        <v>0</v>
      </c>
      <c r="F2078">
        <v>0</v>
      </c>
    </row>
    <row r="2079" spans="1:6" x14ac:dyDescent="0.25">
      <c r="A2079" t="s">
        <v>16</v>
      </c>
      <c r="B2079" t="s">
        <v>1795</v>
      </c>
      <c r="C2079">
        <v>45303</v>
      </c>
      <c r="D2079">
        <v>0</v>
      </c>
      <c r="F2079">
        <v>0</v>
      </c>
    </row>
    <row r="2080" spans="1:6" x14ac:dyDescent="0.25">
      <c r="A2080" t="s">
        <v>25</v>
      </c>
      <c r="B2080" t="s">
        <v>1796</v>
      </c>
      <c r="C2080">
        <v>45304</v>
      </c>
      <c r="D2080">
        <v>0</v>
      </c>
      <c r="F2080">
        <v>0</v>
      </c>
    </row>
    <row r="2081" spans="1:6" x14ac:dyDescent="0.25">
      <c r="A2081" t="s">
        <v>26</v>
      </c>
      <c r="B2081" t="s">
        <v>1797</v>
      </c>
      <c r="C2081">
        <v>45305</v>
      </c>
      <c r="D2081">
        <v>0</v>
      </c>
      <c r="F2081">
        <v>0</v>
      </c>
    </row>
    <row r="2082" spans="1:6" x14ac:dyDescent="0.25">
      <c r="B2082" t="s">
        <v>2059</v>
      </c>
      <c r="D2082">
        <v>236074</v>
      </c>
      <c r="F2082">
        <v>236074</v>
      </c>
    </row>
    <row r="2083" spans="1:6" x14ac:dyDescent="0.25">
      <c r="B2083" t="s">
        <v>2468</v>
      </c>
    </row>
    <row r="2084" spans="1:6" x14ac:dyDescent="0.25">
      <c r="A2084" t="s">
        <v>2</v>
      </c>
      <c r="B2084" t="s">
        <v>1793</v>
      </c>
      <c r="C2084">
        <v>45401</v>
      </c>
      <c r="D2084">
        <v>0</v>
      </c>
      <c r="F2084">
        <v>0</v>
      </c>
    </row>
    <row r="2085" spans="1:6" x14ac:dyDescent="0.25">
      <c r="A2085" t="s">
        <v>15</v>
      </c>
      <c r="B2085" t="s">
        <v>1794</v>
      </c>
      <c r="C2085">
        <v>45402</v>
      </c>
      <c r="D2085">
        <v>0</v>
      </c>
      <c r="F2085">
        <v>0</v>
      </c>
    </row>
    <row r="2086" spans="1:6" x14ac:dyDescent="0.25">
      <c r="A2086" t="s">
        <v>16</v>
      </c>
      <c r="B2086" t="s">
        <v>1795</v>
      </c>
      <c r="C2086">
        <v>45403</v>
      </c>
      <c r="D2086">
        <v>0</v>
      </c>
      <c r="F2086">
        <v>0</v>
      </c>
    </row>
    <row r="2087" spans="1:6" x14ac:dyDescent="0.25">
      <c r="A2087" t="s">
        <v>25</v>
      </c>
      <c r="B2087" t="s">
        <v>1796</v>
      </c>
      <c r="C2087">
        <v>45404</v>
      </c>
      <c r="D2087">
        <v>0</v>
      </c>
      <c r="F2087">
        <v>0</v>
      </c>
    </row>
    <row r="2088" spans="1:6" x14ac:dyDescent="0.25">
      <c r="A2088" t="s">
        <v>26</v>
      </c>
      <c r="B2088" t="s">
        <v>1797</v>
      </c>
      <c r="C2088">
        <v>45405</v>
      </c>
      <c r="D2088">
        <v>0</v>
      </c>
      <c r="F2088">
        <v>0</v>
      </c>
    </row>
    <row r="2089" spans="1:6" x14ac:dyDescent="0.25">
      <c r="B2089" t="s">
        <v>2061</v>
      </c>
      <c r="D2089">
        <v>0</v>
      </c>
      <c r="F2089">
        <v>0</v>
      </c>
    </row>
    <row r="2090" spans="1:6" x14ac:dyDescent="0.25">
      <c r="B2090" t="s">
        <v>2469</v>
      </c>
    </row>
    <row r="2091" spans="1:6" x14ac:dyDescent="0.25">
      <c r="A2091" t="s">
        <v>2</v>
      </c>
      <c r="B2091" t="s">
        <v>1793</v>
      </c>
      <c r="C2091">
        <v>45501</v>
      </c>
      <c r="D2091">
        <v>150107</v>
      </c>
      <c r="F2091">
        <v>150107</v>
      </c>
    </row>
    <row r="2092" spans="1:6" x14ac:dyDescent="0.25">
      <c r="A2092" t="s">
        <v>15</v>
      </c>
      <c r="B2092" t="s">
        <v>1794</v>
      </c>
      <c r="C2092">
        <v>45502</v>
      </c>
      <c r="D2092">
        <v>0</v>
      </c>
      <c r="F2092">
        <v>0</v>
      </c>
    </row>
    <row r="2093" spans="1:6" x14ac:dyDescent="0.25">
      <c r="A2093" t="s">
        <v>16</v>
      </c>
      <c r="B2093" t="s">
        <v>1795</v>
      </c>
      <c r="C2093">
        <v>45503</v>
      </c>
      <c r="D2093">
        <v>0</v>
      </c>
      <c r="F2093">
        <v>0</v>
      </c>
    </row>
    <row r="2094" spans="1:6" x14ac:dyDescent="0.25">
      <c r="A2094" t="s">
        <v>25</v>
      </c>
      <c r="B2094" t="s">
        <v>1796</v>
      </c>
      <c r="C2094">
        <v>45504</v>
      </c>
      <c r="D2094">
        <v>0</v>
      </c>
      <c r="F2094">
        <v>0</v>
      </c>
    </row>
    <row r="2095" spans="1:6" x14ac:dyDescent="0.25">
      <c r="A2095" t="s">
        <v>26</v>
      </c>
      <c r="B2095" t="s">
        <v>1797</v>
      </c>
      <c r="C2095">
        <v>45505</v>
      </c>
      <c r="D2095">
        <v>0</v>
      </c>
      <c r="F2095">
        <v>0</v>
      </c>
    </row>
    <row r="2096" spans="1:6" x14ac:dyDescent="0.25">
      <c r="B2096" t="s">
        <v>2063</v>
      </c>
      <c r="D2096">
        <v>150107</v>
      </c>
      <c r="F2096">
        <v>150107</v>
      </c>
    </row>
    <row r="2097" spans="1:6" x14ac:dyDescent="0.25">
      <c r="B2097" t="s">
        <v>2470</v>
      </c>
    </row>
    <row r="2098" spans="1:6" x14ac:dyDescent="0.25">
      <c r="A2098" t="s">
        <v>2</v>
      </c>
      <c r="B2098" t="s">
        <v>2394</v>
      </c>
      <c r="C2098">
        <v>45601</v>
      </c>
      <c r="D2098">
        <v>0</v>
      </c>
      <c r="F2098">
        <v>0</v>
      </c>
    </row>
    <row r="2099" spans="1:6" x14ac:dyDescent="0.25">
      <c r="A2099" t="s">
        <v>15</v>
      </c>
      <c r="B2099" t="s">
        <v>2395</v>
      </c>
      <c r="C2099">
        <v>45602</v>
      </c>
      <c r="D2099">
        <v>0</v>
      </c>
      <c r="F2099">
        <v>0</v>
      </c>
    </row>
    <row r="2100" spans="1:6" x14ac:dyDescent="0.25">
      <c r="A2100" t="s">
        <v>16</v>
      </c>
      <c r="B2100" t="s">
        <v>2396</v>
      </c>
      <c r="C2100">
        <v>45603</v>
      </c>
      <c r="D2100">
        <v>0</v>
      </c>
      <c r="F2100">
        <v>0</v>
      </c>
    </row>
    <row r="2101" spans="1:6" x14ac:dyDescent="0.25">
      <c r="A2101" t="s">
        <v>25</v>
      </c>
      <c r="B2101" t="s">
        <v>2397</v>
      </c>
      <c r="C2101">
        <v>45604</v>
      </c>
      <c r="D2101">
        <v>0</v>
      </c>
      <c r="F2101">
        <v>0</v>
      </c>
    </row>
    <row r="2102" spans="1:6" x14ac:dyDescent="0.25">
      <c r="A2102" t="s">
        <v>26</v>
      </c>
      <c r="B2102" t="s">
        <v>2398</v>
      </c>
      <c r="C2102">
        <v>45605</v>
      </c>
      <c r="D2102">
        <v>0</v>
      </c>
      <c r="F2102">
        <v>0</v>
      </c>
    </row>
    <row r="2103" spans="1:6" x14ac:dyDescent="0.25">
      <c r="A2103" t="s">
        <v>27</v>
      </c>
      <c r="B2103" t="s">
        <v>2399</v>
      </c>
      <c r="C2103">
        <v>45606</v>
      </c>
      <c r="D2103">
        <v>0</v>
      </c>
      <c r="F2103">
        <v>0</v>
      </c>
    </row>
    <row r="2104" spans="1:6" x14ac:dyDescent="0.25">
      <c r="A2104" t="s">
        <v>531</v>
      </c>
      <c r="B2104" t="s">
        <v>2400</v>
      </c>
      <c r="C2104">
        <v>45607</v>
      </c>
      <c r="D2104">
        <v>0</v>
      </c>
      <c r="F2104">
        <v>0</v>
      </c>
    </row>
    <row r="2105" spans="1:6" x14ac:dyDescent="0.25">
      <c r="A2105" t="s">
        <v>1583</v>
      </c>
      <c r="B2105" t="s">
        <v>2401</v>
      </c>
      <c r="C2105">
        <v>45608</v>
      </c>
      <c r="D2105">
        <v>0</v>
      </c>
      <c r="F2105">
        <v>0</v>
      </c>
    </row>
    <row r="2106" spans="1:6" x14ac:dyDescent="0.25">
      <c r="A2106" t="s">
        <v>1585</v>
      </c>
      <c r="B2106" t="s">
        <v>2402</v>
      </c>
      <c r="C2106">
        <v>45609</v>
      </c>
      <c r="D2106">
        <v>0</v>
      </c>
      <c r="F2106">
        <v>0</v>
      </c>
    </row>
    <row r="2107" spans="1:6" x14ac:dyDescent="0.25">
      <c r="A2107" t="s">
        <v>1587</v>
      </c>
      <c r="B2107" t="s">
        <v>2403</v>
      </c>
      <c r="C2107">
        <v>45610</v>
      </c>
      <c r="D2107">
        <v>0</v>
      </c>
      <c r="F2107">
        <v>0</v>
      </c>
    </row>
    <row r="2108" spans="1:6" x14ac:dyDescent="0.25">
      <c r="A2108" t="s">
        <v>1589</v>
      </c>
      <c r="B2108" t="s">
        <v>2404</v>
      </c>
      <c r="C2108">
        <v>45611</v>
      </c>
      <c r="D2108">
        <v>0</v>
      </c>
      <c r="F2108">
        <v>0</v>
      </c>
    </row>
    <row r="2109" spans="1:6" x14ac:dyDescent="0.25">
      <c r="A2109" t="s">
        <v>1591</v>
      </c>
      <c r="B2109" t="s">
        <v>2471</v>
      </c>
      <c r="C2109">
        <v>45612</v>
      </c>
      <c r="D2109">
        <v>0</v>
      </c>
      <c r="F2109">
        <v>0</v>
      </c>
    </row>
    <row r="2110" spans="1:6" x14ac:dyDescent="0.25">
      <c r="A2110" t="s">
        <v>1593</v>
      </c>
      <c r="B2110" t="s">
        <v>2406</v>
      </c>
      <c r="C2110">
        <v>45613</v>
      </c>
      <c r="D2110">
        <v>0</v>
      </c>
      <c r="F2110">
        <v>0</v>
      </c>
    </row>
    <row r="2111" spans="1:6" x14ac:dyDescent="0.25">
      <c r="A2111" t="s">
        <v>1595</v>
      </c>
      <c r="B2111" t="s">
        <v>2407</v>
      </c>
      <c r="C2111">
        <v>45614</v>
      </c>
      <c r="D2111">
        <v>0</v>
      </c>
      <c r="F2111">
        <v>0</v>
      </c>
    </row>
    <row r="2112" spans="1:6" x14ac:dyDescent="0.25">
      <c r="A2112" t="s">
        <v>1597</v>
      </c>
      <c r="B2112" t="s">
        <v>2408</v>
      </c>
      <c r="C2112">
        <v>45615</v>
      </c>
      <c r="D2112">
        <v>0</v>
      </c>
      <c r="F2112">
        <v>0</v>
      </c>
    </row>
    <row r="2113" spans="1:6" x14ac:dyDescent="0.25">
      <c r="A2113" t="s">
        <v>1599</v>
      </c>
      <c r="B2113" t="s">
        <v>2409</v>
      </c>
      <c r="C2113">
        <v>45616</v>
      </c>
      <c r="D2113">
        <v>0</v>
      </c>
      <c r="F2113">
        <v>0</v>
      </c>
    </row>
    <row r="2114" spans="1:6" x14ac:dyDescent="0.25">
      <c r="A2114" t="s">
        <v>1601</v>
      </c>
      <c r="B2114" t="s">
        <v>2410</v>
      </c>
      <c r="C2114">
        <v>45617</v>
      </c>
      <c r="D2114">
        <v>0</v>
      </c>
      <c r="F2114">
        <v>0</v>
      </c>
    </row>
    <row r="2115" spans="1:6" x14ac:dyDescent="0.25">
      <c r="A2115" t="s">
        <v>1603</v>
      </c>
      <c r="B2115" t="s">
        <v>2411</v>
      </c>
      <c r="C2115">
        <v>45618</v>
      </c>
      <c r="D2115">
        <v>0</v>
      </c>
      <c r="F2115">
        <v>0</v>
      </c>
    </row>
    <row r="2116" spans="1:6" x14ac:dyDescent="0.25">
      <c r="A2116" t="s">
        <v>1605</v>
      </c>
      <c r="B2116" t="s">
        <v>2412</v>
      </c>
      <c r="C2116">
        <v>45619</v>
      </c>
      <c r="D2116">
        <v>0</v>
      </c>
      <c r="F2116">
        <v>0</v>
      </c>
    </row>
    <row r="2117" spans="1:6" x14ac:dyDescent="0.25">
      <c r="A2117" t="s">
        <v>1607</v>
      </c>
      <c r="B2117" t="s">
        <v>2413</v>
      </c>
      <c r="C2117">
        <v>45620</v>
      </c>
      <c r="D2117">
        <v>0</v>
      </c>
      <c r="F2117">
        <v>0</v>
      </c>
    </row>
    <row r="2118" spans="1:6" x14ac:dyDescent="0.25">
      <c r="A2118" t="s">
        <v>2336</v>
      </c>
      <c r="B2118" t="s">
        <v>2414</v>
      </c>
      <c r="C2118">
        <v>45621</v>
      </c>
      <c r="D2118">
        <v>0</v>
      </c>
      <c r="F2118">
        <v>0</v>
      </c>
    </row>
    <row r="2119" spans="1:6" x14ac:dyDescent="0.25">
      <c r="A2119" t="s">
        <v>2338</v>
      </c>
      <c r="B2119" t="s">
        <v>2472</v>
      </c>
      <c r="C2119">
        <v>45622</v>
      </c>
      <c r="D2119">
        <v>0</v>
      </c>
      <c r="F2119">
        <v>0</v>
      </c>
    </row>
    <row r="2120" spans="1:6" x14ac:dyDescent="0.25">
      <c r="A2120" t="s">
        <v>2340</v>
      </c>
      <c r="B2120" t="s">
        <v>2416</v>
      </c>
      <c r="C2120">
        <v>45623</v>
      </c>
      <c r="D2120">
        <v>0</v>
      </c>
      <c r="F2120">
        <v>0</v>
      </c>
    </row>
    <row r="2121" spans="1:6" x14ac:dyDescent="0.25">
      <c r="A2121" t="s">
        <v>2342</v>
      </c>
      <c r="B2121" t="s">
        <v>2417</v>
      </c>
      <c r="C2121">
        <v>45624</v>
      </c>
      <c r="D2121">
        <v>0</v>
      </c>
      <c r="F2121">
        <v>0</v>
      </c>
    </row>
    <row r="2122" spans="1:6" x14ac:dyDescent="0.25">
      <c r="A2122" t="s">
        <v>2344</v>
      </c>
      <c r="B2122" t="s">
        <v>2418</v>
      </c>
      <c r="C2122">
        <v>45625</v>
      </c>
      <c r="D2122">
        <v>0</v>
      </c>
      <c r="F2122">
        <v>0</v>
      </c>
    </row>
    <row r="2123" spans="1:6" x14ac:dyDescent="0.25">
      <c r="A2123" t="s">
        <v>2346</v>
      </c>
      <c r="B2123" t="s">
        <v>2419</v>
      </c>
      <c r="C2123">
        <v>45626</v>
      </c>
      <c r="D2123">
        <v>0</v>
      </c>
      <c r="F2123">
        <v>0</v>
      </c>
    </row>
    <row r="2124" spans="1:6" x14ac:dyDescent="0.25">
      <c r="A2124" t="s">
        <v>2348</v>
      </c>
      <c r="B2124" t="s">
        <v>2420</v>
      </c>
      <c r="C2124">
        <v>45627</v>
      </c>
      <c r="D2124">
        <v>0</v>
      </c>
      <c r="F2124">
        <v>0</v>
      </c>
    </row>
    <row r="2125" spans="1:6" x14ac:dyDescent="0.25">
      <c r="B2125" t="s">
        <v>2473</v>
      </c>
      <c r="D2125">
        <v>0</v>
      </c>
      <c r="F2125">
        <v>0</v>
      </c>
    </row>
    <row r="2126" spans="1:6" x14ac:dyDescent="0.25">
      <c r="B2126" t="s">
        <v>1728</v>
      </c>
      <c r="D2126">
        <v>20061729</v>
      </c>
      <c r="F2126">
        <v>20061729</v>
      </c>
    </row>
    <row r="2127" spans="1:6" x14ac:dyDescent="0.25">
      <c r="B2127" t="s">
        <v>2066</v>
      </c>
    </row>
    <row r="2128" spans="1:6" x14ac:dyDescent="0.25">
      <c r="B2128" t="s">
        <v>2067</v>
      </c>
    </row>
    <row r="2129" spans="1:6" x14ac:dyDescent="0.25">
      <c r="A2129" t="s">
        <v>2</v>
      </c>
      <c r="B2129" t="s">
        <v>2474</v>
      </c>
      <c r="C2129">
        <v>46101</v>
      </c>
      <c r="D2129">
        <v>22808</v>
      </c>
      <c r="F2129">
        <v>22808</v>
      </c>
    </row>
    <row r="2130" spans="1:6" x14ac:dyDescent="0.25">
      <c r="B2130" t="s">
        <v>2069</v>
      </c>
    </row>
    <row r="2131" spans="1:6" x14ac:dyDescent="0.25">
      <c r="A2131" t="s">
        <v>2</v>
      </c>
      <c r="B2131" t="s">
        <v>2475</v>
      </c>
      <c r="C2131">
        <v>46201</v>
      </c>
      <c r="D2131">
        <v>25044701</v>
      </c>
      <c r="F2131">
        <v>25044701</v>
      </c>
    </row>
    <row r="2132" spans="1:6" x14ac:dyDescent="0.25">
      <c r="B2132" t="s">
        <v>2476</v>
      </c>
    </row>
    <row r="2133" spans="1:6" x14ac:dyDescent="0.25">
      <c r="A2133" t="s">
        <v>2</v>
      </c>
      <c r="B2133" t="s">
        <v>2477</v>
      </c>
      <c r="C2133">
        <v>46301</v>
      </c>
      <c r="D2133">
        <v>78388884</v>
      </c>
      <c r="F2133">
        <v>78388884</v>
      </c>
    </row>
    <row r="2134" spans="1:6" x14ac:dyDescent="0.25">
      <c r="B2134" t="s">
        <v>2073</v>
      </c>
    </row>
    <row r="2135" spans="1:6" x14ac:dyDescent="0.25">
      <c r="A2135" t="s">
        <v>2</v>
      </c>
      <c r="B2135" t="s">
        <v>2478</v>
      </c>
      <c r="C2135">
        <v>46401</v>
      </c>
      <c r="D2135">
        <v>26811</v>
      </c>
      <c r="F2135">
        <v>26811</v>
      </c>
    </row>
    <row r="2136" spans="1:6" x14ac:dyDescent="0.25">
      <c r="B2136" t="s">
        <v>2280</v>
      </c>
    </row>
    <row r="2137" spans="1:6" x14ac:dyDescent="0.25">
      <c r="A2137" t="s">
        <v>2</v>
      </c>
      <c r="B2137" t="s">
        <v>2479</v>
      </c>
      <c r="C2137">
        <v>46501</v>
      </c>
      <c r="D2137">
        <v>2530721</v>
      </c>
      <c r="F2137">
        <v>2530721</v>
      </c>
    </row>
    <row r="2138" spans="1:6" x14ac:dyDescent="0.25">
      <c r="B2138" t="s">
        <v>1732</v>
      </c>
      <c r="D2138">
        <v>106013925</v>
      </c>
      <c r="F2138">
        <v>106013925</v>
      </c>
    </row>
    <row r="2139" spans="1:6" x14ac:dyDescent="0.25">
      <c r="B2139" t="s">
        <v>2077</v>
      </c>
    </row>
    <row r="2140" spans="1:6" x14ac:dyDescent="0.25">
      <c r="B2140" t="s">
        <v>2078</v>
      </c>
    </row>
    <row r="2141" spans="1:6" x14ac:dyDescent="0.25">
      <c r="A2141" t="s">
        <v>2</v>
      </c>
      <c r="B2141" t="s">
        <v>2079</v>
      </c>
      <c r="C2141">
        <v>47101</v>
      </c>
      <c r="D2141">
        <v>0</v>
      </c>
      <c r="E2141">
        <v>37806</v>
      </c>
      <c r="F2141">
        <v>37806</v>
      </c>
    </row>
    <row r="2142" spans="1:6" x14ac:dyDescent="0.25">
      <c r="A2142" t="s">
        <v>15</v>
      </c>
      <c r="B2142" t="s">
        <v>2080</v>
      </c>
      <c r="C2142">
        <v>47102</v>
      </c>
      <c r="D2142">
        <v>0</v>
      </c>
      <c r="E2142">
        <v>0</v>
      </c>
      <c r="F2142">
        <v>0</v>
      </c>
    </row>
    <row r="2143" spans="1:6" x14ac:dyDescent="0.25">
      <c r="A2143" t="s">
        <v>16</v>
      </c>
      <c r="B2143" t="s">
        <v>2081</v>
      </c>
      <c r="C2143">
        <v>47103</v>
      </c>
      <c r="D2143">
        <v>1529443</v>
      </c>
      <c r="E2143">
        <v>565940</v>
      </c>
      <c r="F2143">
        <v>2095383</v>
      </c>
    </row>
    <row r="2144" spans="1:6" x14ac:dyDescent="0.25">
      <c r="A2144" t="s">
        <v>25</v>
      </c>
      <c r="B2144" t="s">
        <v>2082</v>
      </c>
      <c r="C2144">
        <v>47104</v>
      </c>
      <c r="D2144">
        <v>92960</v>
      </c>
      <c r="E2144">
        <v>0</v>
      </c>
      <c r="F2144">
        <v>92960</v>
      </c>
    </row>
    <row r="2145" spans="1:6" x14ac:dyDescent="0.25">
      <c r="A2145" t="s">
        <v>26</v>
      </c>
      <c r="B2145" t="s">
        <v>2083</v>
      </c>
      <c r="C2145">
        <v>47105</v>
      </c>
      <c r="D2145">
        <v>3085</v>
      </c>
      <c r="E2145">
        <v>7622</v>
      </c>
      <c r="F2145">
        <v>10707</v>
      </c>
    </row>
    <row r="2146" spans="1:6" x14ac:dyDescent="0.25">
      <c r="A2146" t="s">
        <v>27</v>
      </c>
      <c r="B2146" t="s">
        <v>2084</v>
      </c>
      <c r="C2146">
        <v>47106</v>
      </c>
      <c r="D2146">
        <v>76141</v>
      </c>
      <c r="E2146">
        <v>0</v>
      </c>
      <c r="F2146">
        <v>76141</v>
      </c>
    </row>
    <row r="2147" spans="1:6" x14ac:dyDescent="0.25">
      <c r="A2147" t="s">
        <v>531</v>
      </c>
      <c r="B2147" t="s">
        <v>2085</v>
      </c>
      <c r="C2147">
        <v>47107</v>
      </c>
      <c r="D2147">
        <v>0</v>
      </c>
      <c r="E2147">
        <v>0</v>
      </c>
      <c r="F2147">
        <v>0</v>
      </c>
    </row>
    <row r="2148" spans="1:6" x14ac:dyDescent="0.25">
      <c r="A2148" t="s">
        <v>1583</v>
      </c>
      <c r="B2148" t="s">
        <v>2086</v>
      </c>
      <c r="C2148">
        <v>47108</v>
      </c>
      <c r="D2148">
        <v>611805</v>
      </c>
      <c r="E2148">
        <v>0</v>
      </c>
      <c r="F2148">
        <v>611805</v>
      </c>
    </row>
    <row r="2149" spans="1:6" x14ac:dyDescent="0.25">
      <c r="A2149" t="s">
        <v>1585</v>
      </c>
      <c r="B2149" t="s">
        <v>2087</v>
      </c>
      <c r="C2149">
        <v>47109</v>
      </c>
      <c r="D2149">
        <v>4396</v>
      </c>
      <c r="E2149">
        <v>0</v>
      </c>
      <c r="F2149">
        <v>4396</v>
      </c>
    </row>
    <row r="2150" spans="1:6" x14ac:dyDescent="0.25">
      <c r="B2150" t="s">
        <v>2088</v>
      </c>
      <c r="D2150">
        <v>2317830</v>
      </c>
      <c r="E2150">
        <v>611368</v>
      </c>
      <c r="F2150">
        <v>2929198</v>
      </c>
    </row>
    <row r="2151" spans="1:6" x14ac:dyDescent="0.25">
      <c r="B2151" t="s">
        <v>2089</v>
      </c>
    </row>
    <row r="2152" spans="1:6" x14ac:dyDescent="0.25">
      <c r="A2152" t="s">
        <v>2</v>
      </c>
      <c r="B2152" t="s">
        <v>2090</v>
      </c>
      <c r="C2152">
        <v>47201</v>
      </c>
      <c r="D2152">
        <v>2234351</v>
      </c>
      <c r="F2152">
        <v>2234351</v>
      </c>
    </row>
    <row r="2153" spans="1:6" x14ac:dyDescent="0.25">
      <c r="A2153" t="s">
        <v>15</v>
      </c>
      <c r="B2153" t="s">
        <v>2091</v>
      </c>
      <c r="C2153">
        <v>47202</v>
      </c>
      <c r="D2153">
        <v>0</v>
      </c>
      <c r="F2153">
        <v>0</v>
      </c>
    </row>
    <row r="2154" spans="1:6" x14ac:dyDescent="0.25">
      <c r="A2154" t="s">
        <v>16</v>
      </c>
      <c r="B2154" t="s">
        <v>2092</v>
      </c>
      <c r="C2154">
        <v>47203</v>
      </c>
      <c r="D2154">
        <v>0</v>
      </c>
      <c r="F2154">
        <v>0</v>
      </c>
    </row>
    <row r="2155" spans="1:6" x14ac:dyDescent="0.25">
      <c r="A2155" t="s">
        <v>25</v>
      </c>
      <c r="B2155" t="s">
        <v>2093</v>
      </c>
      <c r="C2155">
        <v>47204</v>
      </c>
      <c r="D2155">
        <v>0</v>
      </c>
      <c r="F2155">
        <v>0</v>
      </c>
    </row>
    <row r="2156" spans="1:6" x14ac:dyDescent="0.25">
      <c r="B2156" t="s">
        <v>2094</v>
      </c>
      <c r="D2156">
        <v>2234351</v>
      </c>
      <c r="F2156">
        <v>2234351</v>
      </c>
    </row>
    <row r="2157" spans="1:6" x14ac:dyDescent="0.25">
      <c r="B2157" t="s">
        <v>2480</v>
      </c>
    </row>
    <row r="2158" spans="1:6" x14ac:dyDescent="0.25">
      <c r="A2158" t="s">
        <v>2</v>
      </c>
      <c r="B2158" t="s">
        <v>2096</v>
      </c>
      <c r="C2158">
        <v>47301</v>
      </c>
      <c r="D2158">
        <v>114239</v>
      </c>
      <c r="F2158">
        <v>114239</v>
      </c>
    </row>
    <row r="2159" spans="1:6" x14ac:dyDescent="0.25">
      <c r="A2159" t="s">
        <v>15</v>
      </c>
      <c r="B2159" t="s">
        <v>2097</v>
      </c>
      <c r="C2159">
        <v>47302</v>
      </c>
      <c r="D2159">
        <v>7791151</v>
      </c>
      <c r="F2159">
        <v>7791151</v>
      </c>
    </row>
    <row r="2160" spans="1:6" x14ac:dyDescent="0.25">
      <c r="A2160" t="s">
        <v>16</v>
      </c>
      <c r="B2160" t="s">
        <v>2098</v>
      </c>
      <c r="C2160">
        <v>47303</v>
      </c>
      <c r="D2160">
        <v>0</v>
      </c>
      <c r="F2160">
        <v>0</v>
      </c>
    </row>
    <row r="2161" spans="1:6" x14ac:dyDescent="0.25">
      <c r="A2161" t="s">
        <v>25</v>
      </c>
      <c r="B2161" t="s">
        <v>2099</v>
      </c>
      <c r="C2161">
        <v>47304</v>
      </c>
      <c r="D2161">
        <v>4715835</v>
      </c>
      <c r="F2161">
        <v>4715835</v>
      </c>
    </row>
    <row r="2162" spans="1:6" x14ac:dyDescent="0.25">
      <c r="A2162" t="s">
        <v>26</v>
      </c>
      <c r="B2162" t="s">
        <v>2481</v>
      </c>
      <c r="C2162">
        <v>47305</v>
      </c>
      <c r="D2162">
        <v>8962652</v>
      </c>
      <c r="F2162">
        <v>8962652</v>
      </c>
    </row>
    <row r="2163" spans="1:6" x14ac:dyDescent="0.25">
      <c r="B2163" t="s">
        <v>2482</v>
      </c>
      <c r="D2163">
        <v>21583877</v>
      </c>
      <c r="F2163">
        <v>21583877</v>
      </c>
    </row>
    <row r="2164" spans="1:6" x14ac:dyDescent="0.25">
      <c r="B2164" t="s">
        <v>1885</v>
      </c>
    </row>
    <row r="2165" spans="1:6" x14ac:dyDescent="0.25">
      <c r="A2165" t="s">
        <v>2</v>
      </c>
      <c r="B2165" t="s">
        <v>1886</v>
      </c>
      <c r="C2165">
        <v>47401</v>
      </c>
      <c r="D2165">
        <v>7626</v>
      </c>
      <c r="E2165">
        <v>0</v>
      </c>
      <c r="F2165">
        <v>7626</v>
      </c>
    </row>
    <row r="2166" spans="1:6" x14ac:dyDescent="0.25">
      <c r="A2166" t="s">
        <v>15</v>
      </c>
      <c r="B2166" t="s">
        <v>1887</v>
      </c>
      <c r="C2166">
        <v>47402</v>
      </c>
      <c r="D2166">
        <v>22</v>
      </c>
      <c r="E2166">
        <v>0</v>
      </c>
      <c r="F2166">
        <v>22</v>
      </c>
    </row>
    <row r="2167" spans="1:6" x14ac:dyDescent="0.25">
      <c r="B2167" t="s">
        <v>2101</v>
      </c>
      <c r="D2167">
        <v>7648</v>
      </c>
      <c r="E2167">
        <v>0</v>
      </c>
      <c r="F2167">
        <v>7648</v>
      </c>
    </row>
    <row r="2168" spans="1:6" x14ac:dyDescent="0.25">
      <c r="B2168" t="s">
        <v>2102</v>
      </c>
    </row>
    <row r="2169" spans="1:6" x14ac:dyDescent="0.25">
      <c r="A2169" t="s">
        <v>2</v>
      </c>
      <c r="B2169" t="s">
        <v>2103</v>
      </c>
      <c r="C2169">
        <v>47501</v>
      </c>
      <c r="D2169">
        <v>0</v>
      </c>
      <c r="F2169">
        <v>0</v>
      </c>
    </row>
    <row r="2170" spans="1:6" x14ac:dyDescent="0.25">
      <c r="A2170" t="s">
        <v>15</v>
      </c>
      <c r="B2170" t="s">
        <v>2104</v>
      </c>
      <c r="C2170">
        <v>47502</v>
      </c>
      <c r="D2170">
        <v>0</v>
      </c>
      <c r="F2170">
        <v>0</v>
      </c>
    </row>
    <row r="2171" spans="1:6" x14ac:dyDescent="0.25">
      <c r="A2171" t="s">
        <v>16</v>
      </c>
      <c r="B2171" t="s">
        <v>2105</v>
      </c>
      <c r="C2171">
        <v>47503</v>
      </c>
      <c r="D2171">
        <v>8396</v>
      </c>
      <c r="F2171">
        <v>8396</v>
      </c>
    </row>
    <row r="2172" spans="1:6" x14ac:dyDescent="0.25">
      <c r="A2172" t="s">
        <v>25</v>
      </c>
      <c r="B2172" t="s">
        <v>2106</v>
      </c>
      <c r="C2172">
        <v>47504</v>
      </c>
      <c r="D2172">
        <v>0</v>
      </c>
      <c r="E2172">
        <v>0</v>
      </c>
      <c r="F2172">
        <v>0</v>
      </c>
    </row>
    <row r="2173" spans="1:6" x14ac:dyDescent="0.25">
      <c r="A2173" t="s">
        <v>26</v>
      </c>
      <c r="B2173" t="s">
        <v>2107</v>
      </c>
      <c r="C2173">
        <v>47505</v>
      </c>
      <c r="D2173">
        <v>1985</v>
      </c>
      <c r="E2173">
        <v>0</v>
      </c>
      <c r="F2173">
        <v>1985</v>
      </c>
    </row>
    <row r="2174" spans="1:6" x14ac:dyDescent="0.25">
      <c r="A2174" t="s">
        <v>27</v>
      </c>
      <c r="B2174" t="s">
        <v>2108</v>
      </c>
      <c r="C2174">
        <v>47506</v>
      </c>
      <c r="D2174">
        <v>0</v>
      </c>
      <c r="F2174">
        <v>0</v>
      </c>
    </row>
    <row r="2175" spans="1:6" x14ac:dyDescent="0.25">
      <c r="B2175" t="s">
        <v>2109</v>
      </c>
      <c r="D2175">
        <v>10381</v>
      </c>
      <c r="E2175">
        <v>0</v>
      </c>
      <c r="F2175">
        <v>10381</v>
      </c>
    </row>
    <row r="2176" spans="1:6" x14ac:dyDescent="0.25">
      <c r="B2176" t="s">
        <v>2110</v>
      </c>
    </row>
    <row r="2177" spans="1:6" x14ac:dyDescent="0.25">
      <c r="A2177" t="s">
        <v>2</v>
      </c>
      <c r="B2177" t="s">
        <v>2111</v>
      </c>
      <c r="C2177">
        <v>47601</v>
      </c>
      <c r="D2177">
        <v>18971</v>
      </c>
      <c r="F2177">
        <v>18971</v>
      </c>
    </row>
    <row r="2178" spans="1:6" x14ac:dyDescent="0.25">
      <c r="A2178" t="s">
        <v>15</v>
      </c>
      <c r="B2178" t="s">
        <v>2112</v>
      </c>
      <c r="C2178">
        <v>47602</v>
      </c>
      <c r="D2178">
        <v>88841</v>
      </c>
      <c r="F2178">
        <v>88841</v>
      </c>
    </row>
    <row r="2179" spans="1:6" x14ac:dyDescent="0.25">
      <c r="B2179" t="s">
        <v>2113</v>
      </c>
      <c r="D2179">
        <v>107812</v>
      </c>
      <c r="F2179">
        <v>107812</v>
      </c>
    </row>
    <row r="2180" spans="1:6" x14ac:dyDescent="0.25">
      <c r="B2180" t="s">
        <v>2114</v>
      </c>
    </row>
    <row r="2181" spans="1:6" x14ac:dyDescent="0.25">
      <c r="A2181" t="s">
        <v>2</v>
      </c>
      <c r="B2181" t="s">
        <v>2115</v>
      </c>
      <c r="C2181">
        <v>47701</v>
      </c>
      <c r="D2181">
        <v>0</v>
      </c>
      <c r="F2181">
        <v>0</v>
      </c>
    </row>
    <row r="2182" spans="1:6" x14ac:dyDescent="0.25">
      <c r="A2182" t="s">
        <v>15</v>
      </c>
      <c r="B2182" t="s">
        <v>2116</v>
      </c>
      <c r="C2182">
        <v>47702</v>
      </c>
      <c r="D2182">
        <v>0</v>
      </c>
      <c r="F2182">
        <v>0</v>
      </c>
    </row>
    <row r="2183" spans="1:6" x14ac:dyDescent="0.25">
      <c r="A2183" t="s">
        <v>16</v>
      </c>
      <c r="B2183" t="s">
        <v>2117</v>
      </c>
      <c r="C2183">
        <v>47703</v>
      </c>
      <c r="D2183">
        <v>17300</v>
      </c>
      <c r="F2183">
        <v>17300</v>
      </c>
    </row>
    <row r="2184" spans="1:6" x14ac:dyDescent="0.25">
      <c r="A2184" t="s">
        <v>25</v>
      </c>
      <c r="B2184" t="s">
        <v>2118</v>
      </c>
      <c r="C2184">
        <v>47704</v>
      </c>
      <c r="D2184">
        <v>0</v>
      </c>
      <c r="F2184">
        <v>0</v>
      </c>
    </row>
    <row r="2185" spans="1:6" x14ac:dyDescent="0.25">
      <c r="B2185" t="s">
        <v>2119</v>
      </c>
      <c r="D2185">
        <v>17300</v>
      </c>
      <c r="F2185">
        <v>17300</v>
      </c>
    </row>
    <row r="2186" spans="1:6" x14ac:dyDescent="0.25">
      <c r="B2186" t="s">
        <v>2120</v>
      </c>
    </row>
    <row r="2187" spans="1:6" x14ac:dyDescent="0.25">
      <c r="A2187" t="s">
        <v>2</v>
      </c>
      <c r="B2187" t="s">
        <v>2121</v>
      </c>
      <c r="C2187">
        <v>47801</v>
      </c>
      <c r="D2187">
        <v>0</v>
      </c>
      <c r="E2187">
        <v>0</v>
      </c>
      <c r="F2187">
        <v>0</v>
      </c>
    </row>
    <row r="2188" spans="1:6" x14ac:dyDescent="0.25">
      <c r="A2188" t="s">
        <v>15</v>
      </c>
      <c r="B2188" t="s">
        <v>2123</v>
      </c>
      <c r="C2188">
        <v>47803</v>
      </c>
      <c r="D2188">
        <v>399940</v>
      </c>
      <c r="E2188">
        <v>19194</v>
      </c>
      <c r="F2188">
        <v>419134</v>
      </c>
    </row>
    <row r="2189" spans="1:6" x14ac:dyDescent="0.25">
      <c r="B2189" t="s">
        <v>2124</v>
      </c>
      <c r="D2189">
        <v>399940</v>
      </c>
      <c r="E2189">
        <v>19194</v>
      </c>
      <c r="F2189">
        <v>419134</v>
      </c>
    </row>
    <row r="2190" spans="1:6" x14ac:dyDescent="0.25">
      <c r="B2190" t="s">
        <v>1866</v>
      </c>
      <c r="D2190">
        <v>26679139</v>
      </c>
      <c r="E2190">
        <v>630562</v>
      </c>
      <c r="F2190">
        <v>27309701</v>
      </c>
    </row>
    <row r="2191" spans="1:6" x14ac:dyDescent="0.25">
      <c r="B2191" t="s">
        <v>2483</v>
      </c>
    </row>
    <row r="2192" spans="1:6" x14ac:dyDescent="0.25">
      <c r="B2192" t="s">
        <v>1394</v>
      </c>
    </row>
    <row r="2193" spans="1:6" x14ac:dyDescent="0.25">
      <c r="A2193" t="s">
        <v>2</v>
      </c>
      <c r="B2193" t="s">
        <v>2126</v>
      </c>
      <c r="C2193">
        <v>48101</v>
      </c>
      <c r="D2193">
        <v>3929300</v>
      </c>
      <c r="E2193">
        <v>0</v>
      </c>
      <c r="F2193">
        <v>3929300</v>
      </c>
    </row>
    <row r="2194" spans="1:6" x14ac:dyDescent="0.25">
      <c r="A2194" t="s">
        <v>15</v>
      </c>
      <c r="B2194" t="s">
        <v>2127</v>
      </c>
      <c r="C2194">
        <v>48102</v>
      </c>
      <c r="D2194">
        <v>167119</v>
      </c>
      <c r="E2194">
        <v>0</v>
      </c>
      <c r="F2194">
        <v>167119</v>
      </c>
    </row>
    <row r="2195" spans="1:6" x14ac:dyDescent="0.25">
      <c r="A2195" t="s">
        <v>16</v>
      </c>
      <c r="B2195" t="s">
        <v>2128</v>
      </c>
      <c r="C2195">
        <v>48103</v>
      </c>
      <c r="D2195">
        <v>1090672</v>
      </c>
      <c r="E2195">
        <v>0</v>
      </c>
      <c r="F2195">
        <v>1090672</v>
      </c>
    </row>
    <row r="2196" spans="1:6" x14ac:dyDescent="0.25">
      <c r="A2196" t="s">
        <v>25</v>
      </c>
      <c r="B2196" t="s">
        <v>2129</v>
      </c>
      <c r="C2196">
        <v>48104</v>
      </c>
      <c r="D2196">
        <v>0</v>
      </c>
      <c r="E2196">
        <v>0</v>
      </c>
      <c r="F2196">
        <v>0</v>
      </c>
    </row>
    <row r="2197" spans="1:6" x14ac:dyDescent="0.25">
      <c r="A2197" t="s">
        <v>26</v>
      </c>
      <c r="B2197" t="s">
        <v>2130</v>
      </c>
      <c r="C2197">
        <v>48105</v>
      </c>
      <c r="D2197">
        <v>0</v>
      </c>
      <c r="E2197">
        <v>0</v>
      </c>
      <c r="F2197">
        <v>0</v>
      </c>
    </row>
    <row r="2198" spans="1:6" x14ac:dyDescent="0.25">
      <c r="A2198" t="s">
        <v>27</v>
      </c>
      <c r="B2198" t="s">
        <v>2131</v>
      </c>
      <c r="C2198">
        <v>48106</v>
      </c>
      <c r="D2198">
        <v>0</v>
      </c>
      <c r="E2198">
        <v>0</v>
      </c>
      <c r="F2198">
        <v>0</v>
      </c>
    </row>
    <row r="2199" spans="1:6" x14ac:dyDescent="0.25">
      <c r="A2199" t="s">
        <v>531</v>
      </c>
      <c r="B2199" t="s">
        <v>2132</v>
      </c>
      <c r="C2199">
        <v>48107</v>
      </c>
      <c r="D2199">
        <v>0</v>
      </c>
      <c r="E2199">
        <v>0</v>
      </c>
      <c r="F2199">
        <v>0</v>
      </c>
    </row>
    <row r="2200" spans="1:6" x14ac:dyDescent="0.25">
      <c r="A2200" t="s">
        <v>1583</v>
      </c>
      <c r="B2200" t="s">
        <v>2133</v>
      </c>
      <c r="C2200">
        <v>48108</v>
      </c>
      <c r="D2200">
        <v>0</v>
      </c>
      <c r="E2200">
        <v>0</v>
      </c>
      <c r="F2200">
        <v>0</v>
      </c>
    </row>
    <row r="2201" spans="1:6" x14ac:dyDescent="0.25">
      <c r="A2201" t="s">
        <v>1585</v>
      </c>
      <c r="B2201" t="s">
        <v>2134</v>
      </c>
      <c r="C2201">
        <v>48109</v>
      </c>
      <c r="D2201">
        <v>20819</v>
      </c>
      <c r="E2201">
        <v>0</v>
      </c>
      <c r="F2201">
        <v>20819</v>
      </c>
    </row>
    <row r="2202" spans="1:6" x14ac:dyDescent="0.25">
      <c r="A2202" t="s">
        <v>1587</v>
      </c>
      <c r="B2202" t="s">
        <v>2135</v>
      </c>
      <c r="C2202">
        <v>48110</v>
      </c>
      <c r="D2202">
        <v>0</v>
      </c>
      <c r="E2202">
        <v>0</v>
      </c>
      <c r="F2202">
        <v>0</v>
      </c>
    </row>
    <row r="2203" spans="1:6" x14ac:dyDescent="0.25">
      <c r="A2203" t="s">
        <v>1589</v>
      </c>
      <c r="B2203" t="s">
        <v>2136</v>
      </c>
      <c r="C2203">
        <v>48111</v>
      </c>
      <c r="D2203">
        <v>0</v>
      </c>
      <c r="E2203">
        <v>0</v>
      </c>
      <c r="F2203">
        <v>0</v>
      </c>
    </row>
    <row r="2204" spans="1:6" x14ac:dyDescent="0.25">
      <c r="A2204" t="s">
        <v>1591</v>
      </c>
      <c r="B2204" t="s">
        <v>2137</v>
      </c>
      <c r="C2204">
        <v>48112</v>
      </c>
      <c r="D2204">
        <v>8480</v>
      </c>
      <c r="E2204">
        <v>0</v>
      </c>
      <c r="F2204">
        <v>8480</v>
      </c>
    </row>
    <row r="2205" spans="1:6" x14ac:dyDescent="0.25">
      <c r="A2205" t="s">
        <v>1593</v>
      </c>
      <c r="B2205" t="s">
        <v>2138</v>
      </c>
      <c r="C2205">
        <v>48113</v>
      </c>
      <c r="D2205">
        <v>7626</v>
      </c>
      <c r="E2205">
        <v>0</v>
      </c>
      <c r="F2205">
        <v>7626</v>
      </c>
    </row>
    <row r="2206" spans="1:6" x14ac:dyDescent="0.25">
      <c r="B2206" t="s">
        <v>2139</v>
      </c>
      <c r="D2206">
        <v>5224016</v>
      </c>
      <c r="E2206">
        <v>0</v>
      </c>
      <c r="F2206">
        <v>5224016</v>
      </c>
    </row>
    <row r="2207" spans="1:6" x14ac:dyDescent="0.25">
      <c r="B2207" t="s">
        <v>2140</v>
      </c>
    </row>
    <row r="2208" spans="1:6" x14ac:dyDescent="0.25">
      <c r="A2208" t="s">
        <v>2</v>
      </c>
      <c r="B2208" t="s">
        <v>2141</v>
      </c>
      <c r="C2208">
        <v>48201</v>
      </c>
      <c r="D2208">
        <v>8597</v>
      </c>
      <c r="F2208">
        <v>8597</v>
      </c>
    </row>
    <row r="2209" spans="1:6" x14ac:dyDescent="0.25">
      <c r="A2209" t="s">
        <v>15</v>
      </c>
      <c r="B2209" t="s">
        <v>2142</v>
      </c>
      <c r="C2209">
        <v>48202</v>
      </c>
      <c r="D2209">
        <v>12</v>
      </c>
      <c r="F2209">
        <v>12</v>
      </c>
    </row>
    <row r="2210" spans="1:6" x14ac:dyDescent="0.25">
      <c r="A2210" t="s">
        <v>16</v>
      </c>
      <c r="B2210" t="s">
        <v>2143</v>
      </c>
      <c r="C2210">
        <v>48203</v>
      </c>
      <c r="D2210">
        <v>13604</v>
      </c>
      <c r="F2210">
        <v>13604</v>
      </c>
    </row>
    <row r="2211" spans="1:6" x14ac:dyDescent="0.25">
      <c r="A2211" t="s">
        <v>25</v>
      </c>
      <c r="B2211" t="s">
        <v>2144</v>
      </c>
      <c r="C2211">
        <v>48204</v>
      </c>
      <c r="D2211">
        <v>0</v>
      </c>
      <c r="F2211">
        <v>0</v>
      </c>
    </row>
    <row r="2212" spans="1:6" x14ac:dyDescent="0.25">
      <c r="A2212" t="s">
        <v>26</v>
      </c>
      <c r="B2212" t="s">
        <v>2145</v>
      </c>
      <c r="C2212">
        <v>48205</v>
      </c>
      <c r="D2212">
        <v>0</v>
      </c>
      <c r="F2212">
        <v>0</v>
      </c>
    </row>
    <row r="2213" spans="1:6" x14ac:dyDescent="0.25">
      <c r="A2213" t="s">
        <v>27</v>
      </c>
      <c r="B2213" t="s">
        <v>2146</v>
      </c>
      <c r="C2213">
        <v>48206</v>
      </c>
      <c r="D2213">
        <v>0</v>
      </c>
      <c r="F2213">
        <v>0</v>
      </c>
    </row>
    <row r="2214" spans="1:6" x14ac:dyDescent="0.25">
      <c r="A2214" t="s">
        <v>531</v>
      </c>
      <c r="B2214" t="s">
        <v>2147</v>
      </c>
      <c r="C2214">
        <v>48207</v>
      </c>
      <c r="D2214">
        <v>0</v>
      </c>
      <c r="F2214">
        <v>0</v>
      </c>
    </row>
    <row r="2215" spans="1:6" x14ac:dyDescent="0.25">
      <c r="A2215" t="s">
        <v>1583</v>
      </c>
      <c r="B2215" t="s">
        <v>2148</v>
      </c>
      <c r="C2215">
        <v>48208</v>
      </c>
      <c r="D2215">
        <v>42591</v>
      </c>
      <c r="E2215">
        <v>0</v>
      </c>
      <c r="F2215">
        <v>42591</v>
      </c>
    </row>
    <row r="2216" spans="1:6" x14ac:dyDescent="0.25">
      <c r="A2216" t="s">
        <v>1585</v>
      </c>
      <c r="B2216" t="s">
        <v>2149</v>
      </c>
      <c r="C2216">
        <v>48209</v>
      </c>
      <c r="D2216">
        <v>319356</v>
      </c>
      <c r="E2216">
        <v>0</v>
      </c>
      <c r="F2216">
        <v>319356</v>
      </c>
    </row>
    <row r="2217" spans="1:6" x14ac:dyDescent="0.25">
      <c r="B2217" t="s">
        <v>2150</v>
      </c>
      <c r="D2217">
        <v>384160</v>
      </c>
      <c r="E2217">
        <v>0</v>
      </c>
      <c r="F2217">
        <v>384160</v>
      </c>
    </row>
    <row r="2218" spans="1:6" x14ac:dyDescent="0.25">
      <c r="B2218" t="s">
        <v>2151</v>
      </c>
    </row>
    <row r="2219" spans="1:6" x14ac:dyDescent="0.25">
      <c r="A2219" t="s">
        <v>2</v>
      </c>
      <c r="B2219" t="s">
        <v>2152</v>
      </c>
      <c r="C2219">
        <v>48301</v>
      </c>
      <c r="D2219">
        <v>375380</v>
      </c>
      <c r="F2219">
        <v>375380</v>
      </c>
    </row>
    <row r="2220" spans="1:6" x14ac:dyDescent="0.25">
      <c r="A2220" t="s">
        <v>15</v>
      </c>
      <c r="B2220" t="s">
        <v>2153</v>
      </c>
      <c r="C2220">
        <v>48302</v>
      </c>
      <c r="D2220">
        <v>0</v>
      </c>
      <c r="F2220">
        <v>0</v>
      </c>
    </row>
    <row r="2221" spans="1:6" x14ac:dyDescent="0.25">
      <c r="A2221" t="s">
        <v>16</v>
      </c>
      <c r="B2221" t="s">
        <v>2154</v>
      </c>
      <c r="C2221">
        <v>48303</v>
      </c>
      <c r="D2221">
        <v>160559</v>
      </c>
      <c r="F2221">
        <v>160559</v>
      </c>
    </row>
    <row r="2222" spans="1:6" x14ac:dyDescent="0.25">
      <c r="A2222" t="s">
        <v>25</v>
      </c>
      <c r="B2222" t="s">
        <v>2155</v>
      </c>
      <c r="C2222">
        <v>48300</v>
      </c>
      <c r="D2222">
        <v>535939</v>
      </c>
      <c r="F2222">
        <v>535939</v>
      </c>
    </row>
    <row r="2223" spans="1:6" x14ac:dyDescent="0.25">
      <c r="B2223" t="s">
        <v>1397</v>
      </c>
    </row>
    <row r="2224" spans="1:6" x14ac:dyDescent="0.25">
      <c r="A2224" t="s">
        <v>2</v>
      </c>
      <c r="B2224" t="s">
        <v>2156</v>
      </c>
      <c r="C2224">
        <v>48401</v>
      </c>
      <c r="D2224">
        <v>543738</v>
      </c>
      <c r="E2224">
        <v>0</v>
      </c>
      <c r="F2224">
        <v>543738</v>
      </c>
    </row>
    <row r="2225" spans="1:6" x14ac:dyDescent="0.25">
      <c r="A2225" t="s">
        <v>15</v>
      </c>
      <c r="B2225" t="s">
        <v>2157</v>
      </c>
      <c r="C2225">
        <v>48402</v>
      </c>
      <c r="D2225">
        <v>0</v>
      </c>
      <c r="E2225">
        <v>0</v>
      </c>
      <c r="F2225">
        <v>0</v>
      </c>
    </row>
    <row r="2226" spans="1:6" x14ac:dyDescent="0.25">
      <c r="A2226" t="s">
        <v>16</v>
      </c>
      <c r="B2226" t="s">
        <v>1468</v>
      </c>
      <c r="C2226">
        <v>48403</v>
      </c>
      <c r="D2226">
        <v>214089</v>
      </c>
      <c r="E2226">
        <v>56824</v>
      </c>
      <c r="F2226">
        <v>270913</v>
      </c>
    </row>
    <row r="2227" spans="1:6" x14ac:dyDescent="0.25">
      <c r="A2227" t="s">
        <v>25</v>
      </c>
      <c r="B2227" t="s">
        <v>2158</v>
      </c>
      <c r="C2227">
        <v>48404</v>
      </c>
      <c r="D2227">
        <v>77465</v>
      </c>
      <c r="E2227">
        <v>0</v>
      </c>
      <c r="F2227">
        <v>77465</v>
      </c>
    </row>
    <row r="2228" spans="1:6" x14ac:dyDescent="0.25">
      <c r="A2228" t="s">
        <v>26</v>
      </c>
      <c r="B2228" t="s">
        <v>2159</v>
      </c>
      <c r="C2228">
        <v>48405</v>
      </c>
      <c r="D2228">
        <v>100515</v>
      </c>
      <c r="E2228">
        <v>0</v>
      </c>
      <c r="F2228">
        <v>100515</v>
      </c>
    </row>
    <row r="2229" spans="1:6" x14ac:dyDescent="0.25">
      <c r="A2229" t="s">
        <v>27</v>
      </c>
      <c r="B2229" t="s">
        <v>2160</v>
      </c>
      <c r="C2229">
        <v>48406</v>
      </c>
      <c r="D2229">
        <v>44540</v>
      </c>
      <c r="E2229">
        <v>0</v>
      </c>
      <c r="F2229">
        <v>44540</v>
      </c>
    </row>
    <row r="2230" spans="1:6" x14ac:dyDescent="0.25">
      <c r="A2230" t="s">
        <v>531</v>
      </c>
      <c r="B2230" t="s">
        <v>1479</v>
      </c>
      <c r="C2230">
        <v>48407</v>
      </c>
      <c r="D2230">
        <v>2501138</v>
      </c>
      <c r="E2230">
        <v>0</v>
      </c>
      <c r="F2230">
        <v>2501138</v>
      </c>
    </row>
    <row r="2231" spans="1:6" x14ac:dyDescent="0.25">
      <c r="A2231" t="s">
        <v>1583</v>
      </c>
      <c r="B2231" t="s">
        <v>2161</v>
      </c>
      <c r="C2231">
        <v>48408</v>
      </c>
      <c r="D2231">
        <v>37849</v>
      </c>
      <c r="E2231">
        <v>0</v>
      </c>
      <c r="F2231">
        <v>37849</v>
      </c>
    </row>
    <row r="2232" spans="1:6" x14ac:dyDescent="0.25">
      <c r="A2232" t="s">
        <v>1585</v>
      </c>
      <c r="B2232" t="s">
        <v>1480</v>
      </c>
      <c r="C2232">
        <v>48409</v>
      </c>
      <c r="D2232">
        <v>269632</v>
      </c>
      <c r="E2232">
        <v>29791</v>
      </c>
      <c r="F2232">
        <v>299423</v>
      </c>
    </row>
    <row r="2233" spans="1:6" x14ac:dyDescent="0.25">
      <c r="A2233" t="s">
        <v>1587</v>
      </c>
      <c r="B2233" t="s">
        <v>2162</v>
      </c>
      <c r="C2233">
        <v>48410</v>
      </c>
      <c r="D2233">
        <v>15131</v>
      </c>
      <c r="E2233">
        <v>0</v>
      </c>
      <c r="F2233">
        <v>15131</v>
      </c>
    </row>
    <row r="2234" spans="1:6" x14ac:dyDescent="0.25">
      <c r="A2234" t="s">
        <v>1589</v>
      </c>
      <c r="B2234" t="s">
        <v>2163</v>
      </c>
      <c r="C2234">
        <v>48411</v>
      </c>
      <c r="D2234">
        <v>13</v>
      </c>
      <c r="E2234">
        <v>0</v>
      </c>
      <c r="F2234">
        <v>13</v>
      </c>
    </row>
    <row r="2235" spans="1:6" x14ac:dyDescent="0.25">
      <c r="A2235" t="s">
        <v>1591</v>
      </c>
      <c r="B2235" t="s">
        <v>1481</v>
      </c>
      <c r="C2235">
        <v>48412</v>
      </c>
      <c r="D2235">
        <v>807010</v>
      </c>
      <c r="E2235">
        <v>0</v>
      </c>
      <c r="F2235">
        <v>807010</v>
      </c>
    </row>
    <row r="2236" spans="1:6" x14ac:dyDescent="0.25">
      <c r="A2236" t="s">
        <v>1593</v>
      </c>
      <c r="B2236" t="s">
        <v>2164</v>
      </c>
      <c r="C2236">
        <v>48413</v>
      </c>
      <c r="D2236">
        <v>821187</v>
      </c>
      <c r="E2236">
        <v>0</v>
      </c>
      <c r="F2236">
        <v>821187</v>
      </c>
    </row>
    <row r="2237" spans="1:6" x14ac:dyDescent="0.25">
      <c r="A2237" t="s">
        <v>1595</v>
      </c>
      <c r="B2237" t="s">
        <v>1482</v>
      </c>
      <c r="C2237">
        <v>48414</v>
      </c>
      <c r="D2237">
        <v>855043</v>
      </c>
      <c r="E2237">
        <v>212864</v>
      </c>
      <c r="F2237">
        <v>1067907</v>
      </c>
    </row>
    <row r="2238" spans="1:6" x14ac:dyDescent="0.25">
      <c r="B2238" t="s">
        <v>2165</v>
      </c>
      <c r="D2238">
        <v>6287350</v>
      </c>
      <c r="E2238">
        <v>299479</v>
      </c>
      <c r="F2238">
        <v>6586829</v>
      </c>
    </row>
    <row r="2239" spans="1:6" x14ac:dyDescent="0.25">
      <c r="B2239" t="s">
        <v>2166</v>
      </c>
    </row>
    <row r="2240" spans="1:6" x14ac:dyDescent="0.25">
      <c r="A2240" t="s">
        <v>2</v>
      </c>
      <c r="B2240" t="s">
        <v>1932</v>
      </c>
      <c r="C2240">
        <v>48501</v>
      </c>
      <c r="D2240">
        <v>0</v>
      </c>
      <c r="F2240">
        <v>0</v>
      </c>
    </row>
    <row r="2241" spans="1:6" x14ac:dyDescent="0.25">
      <c r="A2241" t="s">
        <v>15</v>
      </c>
      <c r="B2241" t="s">
        <v>1933</v>
      </c>
      <c r="C2241">
        <v>48502</v>
      </c>
      <c r="D2241">
        <v>0</v>
      </c>
      <c r="F2241">
        <v>0</v>
      </c>
    </row>
    <row r="2242" spans="1:6" x14ac:dyDescent="0.25">
      <c r="A2242" t="s">
        <v>16</v>
      </c>
      <c r="B2242" t="s">
        <v>1934</v>
      </c>
      <c r="C2242">
        <v>48503</v>
      </c>
      <c r="D2242">
        <v>0</v>
      </c>
      <c r="F2242">
        <v>0</v>
      </c>
    </row>
    <row r="2243" spans="1:6" x14ac:dyDescent="0.25">
      <c r="A2243" t="s">
        <v>25</v>
      </c>
      <c r="B2243" t="s">
        <v>1935</v>
      </c>
      <c r="C2243">
        <v>48504</v>
      </c>
      <c r="D2243">
        <v>0</v>
      </c>
      <c r="F2243">
        <v>0</v>
      </c>
    </row>
    <row r="2244" spans="1:6" x14ac:dyDescent="0.25">
      <c r="A2244" t="s">
        <v>26</v>
      </c>
      <c r="B2244" t="s">
        <v>2484</v>
      </c>
      <c r="C2244">
        <v>48505</v>
      </c>
      <c r="D2244">
        <v>0</v>
      </c>
      <c r="F2244">
        <v>0</v>
      </c>
    </row>
    <row r="2245" spans="1:6" x14ac:dyDescent="0.25">
      <c r="B2245" t="s">
        <v>2168</v>
      </c>
      <c r="D2245">
        <v>0</v>
      </c>
      <c r="F2245">
        <v>0</v>
      </c>
    </row>
    <row r="2246" spans="1:6" x14ac:dyDescent="0.25">
      <c r="B2246" t="s">
        <v>2169</v>
      </c>
    </row>
    <row r="2247" spans="1:6" x14ac:dyDescent="0.25">
      <c r="A2247" t="s">
        <v>2</v>
      </c>
      <c r="B2247" t="s">
        <v>1938</v>
      </c>
      <c r="C2247">
        <v>48601</v>
      </c>
      <c r="D2247">
        <v>5394</v>
      </c>
      <c r="E2247">
        <v>0</v>
      </c>
      <c r="F2247">
        <v>5394</v>
      </c>
    </row>
    <row r="2248" spans="1:6" x14ac:dyDescent="0.25">
      <c r="A2248" t="s">
        <v>15</v>
      </c>
      <c r="B2248" t="s">
        <v>2170</v>
      </c>
      <c r="C2248">
        <v>48602</v>
      </c>
      <c r="D2248">
        <v>3258</v>
      </c>
      <c r="E2248">
        <v>0</v>
      </c>
      <c r="F2248">
        <v>3258</v>
      </c>
    </row>
    <row r="2249" spans="1:6" x14ac:dyDescent="0.25">
      <c r="A2249" t="s">
        <v>16</v>
      </c>
      <c r="B2249" t="s">
        <v>2171</v>
      </c>
      <c r="C2249">
        <v>48603</v>
      </c>
      <c r="D2249">
        <v>17717</v>
      </c>
      <c r="E2249">
        <v>0</v>
      </c>
      <c r="F2249">
        <v>17717</v>
      </c>
    </row>
    <row r="2250" spans="1:6" x14ac:dyDescent="0.25">
      <c r="A2250" t="s">
        <v>25</v>
      </c>
      <c r="B2250" t="s">
        <v>2172</v>
      </c>
      <c r="C2250">
        <v>48604</v>
      </c>
      <c r="D2250">
        <v>0</v>
      </c>
      <c r="E2250">
        <v>0</v>
      </c>
      <c r="F2250">
        <v>0</v>
      </c>
    </row>
    <row r="2251" spans="1:6" x14ac:dyDescent="0.25">
      <c r="A2251" t="s">
        <v>26</v>
      </c>
      <c r="B2251" t="s">
        <v>2173</v>
      </c>
      <c r="C2251">
        <v>48605</v>
      </c>
      <c r="D2251">
        <v>0</v>
      </c>
      <c r="E2251">
        <v>0</v>
      </c>
      <c r="F2251">
        <v>0</v>
      </c>
    </row>
    <row r="2252" spans="1:6" x14ac:dyDescent="0.25">
      <c r="A2252" t="s">
        <v>27</v>
      </c>
      <c r="B2252" t="s">
        <v>2174</v>
      </c>
      <c r="C2252">
        <v>48606</v>
      </c>
      <c r="D2252">
        <v>53</v>
      </c>
      <c r="E2252">
        <v>0</v>
      </c>
      <c r="F2252">
        <v>53</v>
      </c>
    </row>
    <row r="2253" spans="1:6" x14ac:dyDescent="0.25">
      <c r="A2253" t="s">
        <v>531</v>
      </c>
      <c r="B2253" t="s">
        <v>2175</v>
      </c>
      <c r="C2253">
        <v>48607</v>
      </c>
      <c r="D2253">
        <v>69380</v>
      </c>
      <c r="E2253">
        <v>0</v>
      </c>
      <c r="F2253">
        <v>69380</v>
      </c>
    </row>
    <row r="2254" spans="1:6" x14ac:dyDescent="0.25">
      <c r="A2254" t="s">
        <v>1583</v>
      </c>
      <c r="B2254" t="s">
        <v>2176</v>
      </c>
      <c r="C2254">
        <v>48608</v>
      </c>
      <c r="D2254">
        <v>48482</v>
      </c>
      <c r="E2254">
        <v>0</v>
      </c>
      <c r="F2254">
        <v>48482</v>
      </c>
    </row>
    <row r="2255" spans="1:6" x14ac:dyDescent="0.25">
      <c r="A2255" t="s">
        <v>1585</v>
      </c>
      <c r="B2255" t="s">
        <v>2177</v>
      </c>
      <c r="C2255">
        <v>48609</v>
      </c>
      <c r="D2255">
        <v>0</v>
      </c>
      <c r="E2255">
        <v>0</v>
      </c>
      <c r="F2255">
        <v>0</v>
      </c>
    </row>
    <row r="2256" spans="1:6" x14ac:dyDescent="0.25">
      <c r="A2256" t="s">
        <v>1587</v>
      </c>
      <c r="B2256" t="s">
        <v>2178</v>
      </c>
      <c r="C2256">
        <v>48610</v>
      </c>
      <c r="D2256">
        <v>0</v>
      </c>
      <c r="E2256">
        <v>0</v>
      </c>
      <c r="F2256">
        <v>0</v>
      </c>
    </row>
    <row r="2257" spans="1:6" x14ac:dyDescent="0.25">
      <c r="A2257" t="s">
        <v>1589</v>
      </c>
      <c r="B2257" t="s">
        <v>2179</v>
      </c>
      <c r="C2257">
        <v>48611</v>
      </c>
      <c r="D2257">
        <v>696388</v>
      </c>
      <c r="E2257">
        <v>1</v>
      </c>
      <c r="F2257">
        <v>696389</v>
      </c>
    </row>
    <row r="2258" spans="1:6" x14ac:dyDescent="0.25">
      <c r="B2258" t="s">
        <v>2180</v>
      </c>
      <c r="D2258">
        <v>840672</v>
      </c>
      <c r="E2258">
        <v>1</v>
      </c>
      <c r="F2258">
        <v>840673</v>
      </c>
    </row>
    <row r="2259" spans="1:6" x14ac:dyDescent="0.25">
      <c r="B2259" t="s">
        <v>1910</v>
      </c>
      <c r="D2259">
        <v>13272137</v>
      </c>
      <c r="E2259">
        <v>299480</v>
      </c>
      <c r="F2259">
        <v>13571617</v>
      </c>
    </row>
    <row r="2260" spans="1:6" x14ac:dyDescent="0.25">
      <c r="B2260" t="s">
        <v>2281</v>
      </c>
      <c r="D2260">
        <v>167177000</v>
      </c>
      <c r="E2260">
        <v>938653</v>
      </c>
      <c r="F2260">
        <v>168115653</v>
      </c>
    </row>
    <row r="2261" spans="1:6" x14ac:dyDescent="0.25">
      <c r="B2261" t="s">
        <v>2182</v>
      </c>
      <c r="D2261">
        <v>278885719</v>
      </c>
      <c r="E2261">
        <v>4222333</v>
      </c>
      <c r="F2261">
        <v>283108052</v>
      </c>
    </row>
    <row r="2262" spans="1:6" x14ac:dyDescent="0.25">
      <c r="B2262" t="s">
        <v>2282</v>
      </c>
      <c r="C2262">
        <v>1000</v>
      </c>
      <c r="F2262">
        <v>6938442</v>
      </c>
    </row>
    <row r="2263" spans="1:6" x14ac:dyDescent="0.25">
      <c r="B2263" t="s">
        <v>2283</v>
      </c>
      <c r="C2263">
        <v>2000</v>
      </c>
      <c r="F2263">
        <v>0</v>
      </c>
    </row>
    <row r="2264" spans="1:6" x14ac:dyDescent="0.25">
      <c r="B2264" t="s">
        <v>2185</v>
      </c>
    </row>
    <row r="2265" spans="1:6" x14ac:dyDescent="0.25">
      <c r="B2265" t="s">
        <v>2186</v>
      </c>
    </row>
    <row r="2266" spans="1:6" x14ac:dyDescent="0.25">
      <c r="B2266" t="s">
        <v>2187</v>
      </c>
    </row>
    <row r="2267" spans="1:6" x14ac:dyDescent="0.25">
      <c r="A2267" t="s">
        <v>2</v>
      </c>
      <c r="B2267" t="s">
        <v>2284</v>
      </c>
      <c r="C2267">
        <v>51101</v>
      </c>
      <c r="D2267">
        <v>680214</v>
      </c>
      <c r="F2267">
        <v>680214</v>
      </c>
    </row>
    <row r="2268" spans="1:6" x14ac:dyDescent="0.25">
      <c r="B2268" t="s">
        <v>2189</v>
      </c>
    </row>
    <row r="2269" spans="1:6" x14ac:dyDescent="0.25">
      <c r="A2269" t="s">
        <v>2</v>
      </c>
      <c r="B2269" t="s">
        <v>2285</v>
      </c>
      <c r="C2269">
        <v>51201</v>
      </c>
      <c r="D2269">
        <v>1184349</v>
      </c>
      <c r="F2269">
        <v>1184349</v>
      </c>
    </row>
    <row r="2270" spans="1:6" x14ac:dyDescent="0.25">
      <c r="A2270" t="s">
        <v>15</v>
      </c>
      <c r="B2270" t="s">
        <v>2286</v>
      </c>
      <c r="C2270">
        <v>51202</v>
      </c>
      <c r="D2270">
        <v>1167346</v>
      </c>
      <c r="F2270">
        <v>1167346</v>
      </c>
    </row>
    <row r="2271" spans="1:6" x14ac:dyDescent="0.25">
      <c r="A2271" t="s">
        <v>16</v>
      </c>
      <c r="B2271" t="s">
        <v>2192</v>
      </c>
      <c r="C2271">
        <v>3000</v>
      </c>
      <c r="D2271">
        <v>697217</v>
      </c>
      <c r="F2271">
        <v>697217</v>
      </c>
    </row>
    <row r="2272" spans="1:6" x14ac:dyDescent="0.25">
      <c r="A2272" t="s">
        <v>25</v>
      </c>
      <c r="B2272" t="s">
        <v>2193</v>
      </c>
      <c r="C2272">
        <v>4000</v>
      </c>
      <c r="D2272">
        <v>0</v>
      </c>
      <c r="F2272">
        <v>0</v>
      </c>
    </row>
    <row r="2273" spans="1:6" x14ac:dyDescent="0.25">
      <c r="B2273" t="s">
        <v>2194</v>
      </c>
    </row>
    <row r="2274" spans="1:6" x14ac:dyDescent="0.25">
      <c r="B2274" t="s">
        <v>2195</v>
      </c>
    </row>
    <row r="2275" spans="1:6" x14ac:dyDescent="0.25">
      <c r="B2275" t="s">
        <v>2196</v>
      </c>
    </row>
    <row r="2276" spans="1:6" x14ac:dyDescent="0.25">
      <c r="A2276" t="s">
        <v>2</v>
      </c>
      <c r="B2276" t="s">
        <v>2197</v>
      </c>
      <c r="C2276">
        <v>61101</v>
      </c>
      <c r="F2276">
        <v>6241225</v>
      </c>
    </row>
    <row r="2277" spans="1:6" x14ac:dyDescent="0.25">
      <c r="A2277" t="s">
        <v>15</v>
      </c>
      <c r="B2277" t="s">
        <v>2198</v>
      </c>
      <c r="C2277">
        <v>61102</v>
      </c>
      <c r="F2277">
        <v>0</v>
      </c>
    </row>
    <row r="2278" spans="1:6" x14ac:dyDescent="0.25">
      <c r="B2278" t="s">
        <v>2199</v>
      </c>
    </row>
    <row r="2279" spans="1:6" x14ac:dyDescent="0.25">
      <c r="B2279" t="s">
        <v>2200</v>
      </c>
    </row>
    <row r="2280" spans="1:6" x14ac:dyDescent="0.25">
      <c r="B2280" t="s">
        <v>2485</v>
      </c>
    </row>
    <row r="2281" spans="1:6" x14ac:dyDescent="0.25">
      <c r="A2281" t="s">
        <v>2</v>
      </c>
      <c r="B2281" t="s">
        <v>2486</v>
      </c>
      <c r="C2281">
        <v>71101</v>
      </c>
      <c r="D2281">
        <v>24443919</v>
      </c>
      <c r="F2281">
        <v>24443919</v>
      </c>
    </row>
    <row r="2282" spans="1:6" x14ac:dyDescent="0.25">
      <c r="A2282" t="s">
        <v>15</v>
      </c>
      <c r="B2282" t="s">
        <v>2487</v>
      </c>
      <c r="C2282">
        <v>71102</v>
      </c>
      <c r="D2282">
        <v>9895368</v>
      </c>
      <c r="F2282">
        <v>9895368</v>
      </c>
    </row>
    <row r="2283" spans="1:6" x14ac:dyDescent="0.25">
      <c r="A2283" t="s">
        <v>16</v>
      </c>
      <c r="B2283" t="s">
        <v>2488</v>
      </c>
      <c r="C2283">
        <v>71103</v>
      </c>
      <c r="D2283">
        <v>0</v>
      </c>
      <c r="F2283">
        <v>0</v>
      </c>
    </row>
    <row r="2284" spans="1:6" x14ac:dyDescent="0.25">
      <c r="A2284" t="s">
        <v>25</v>
      </c>
      <c r="B2284" t="s">
        <v>2489</v>
      </c>
      <c r="C2284">
        <v>71104</v>
      </c>
      <c r="D2284">
        <v>0</v>
      </c>
      <c r="F2284">
        <v>0</v>
      </c>
    </row>
    <row r="2285" spans="1:6" x14ac:dyDescent="0.25">
      <c r="A2285" t="s">
        <v>26</v>
      </c>
      <c r="B2285" t="s">
        <v>2490</v>
      </c>
      <c r="C2285">
        <v>71105</v>
      </c>
      <c r="D2285">
        <v>0</v>
      </c>
      <c r="F2285">
        <v>0</v>
      </c>
    </row>
    <row r="2286" spans="1:6" x14ac:dyDescent="0.25">
      <c r="A2286" t="s">
        <v>27</v>
      </c>
      <c r="B2286" t="s">
        <v>2491</v>
      </c>
      <c r="C2286">
        <v>71106</v>
      </c>
      <c r="D2286">
        <v>0</v>
      </c>
      <c r="F2286">
        <v>0</v>
      </c>
    </row>
    <row r="2287" spans="1:6" x14ac:dyDescent="0.25">
      <c r="B2287" t="s">
        <v>2492</v>
      </c>
      <c r="D2287">
        <v>34339287</v>
      </c>
      <c r="F2287">
        <v>34339287</v>
      </c>
    </row>
    <row r="2288" spans="1:6" x14ac:dyDescent="0.25">
      <c r="B2288" t="s">
        <v>2493</v>
      </c>
    </row>
    <row r="2289" spans="1:6" x14ac:dyDescent="0.25">
      <c r="A2289" t="s">
        <v>2</v>
      </c>
      <c r="B2289" t="s">
        <v>2486</v>
      </c>
      <c r="C2289">
        <v>71201</v>
      </c>
      <c r="D2289">
        <v>489116</v>
      </c>
      <c r="F2289">
        <v>489116</v>
      </c>
    </row>
    <row r="2290" spans="1:6" x14ac:dyDescent="0.25">
      <c r="B2290" t="s">
        <v>2494</v>
      </c>
    </row>
    <row r="2291" spans="1:6" x14ac:dyDescent="0.25">
      <c r="A2291" t="s">
        <v>2</v>
      </c>
      <c r="B2291" t="s">
        <v>2487</v>
      </c>
      <c r="C2291">
        <v>71301</v>
      </c>
      <c r="D2291">
        <v>430204</v>
      </c>
      <c r="F2291">
        <v>430204</v>
      </c>
    </row>
    <row r="2292" spans="1:6" x14ac:dyDescent="0.25">
      <c r="A2292" t="s">
        <v>15</v>
      </c>
      <c r="B2292" t="s">
        <v>2488</v>
      </c>
      <c r="C2292">
        <v>71302</v>
      </c>
      <c r="D2292">
        <v>0</v>
      </c>
      <c r="F2292">
        <v>0</v>
      </c>
    </row>
    <row r="2293" spans="1:6" x14ac:dyDescent="0.25">
      <c r="A2293" t="s">
        <v>16</v>
      </c>
      <c r="B2293" t="s">
        <v>2489</v>
      </c>
      <c r="C2293">
        <v>71303</v>
      </c>
      <c r="D2293">
        <v>0</v>
      </c>
      <c r="F2293">
        <v>0</v>
      </c>
    </row>
    <row r="2294" spans="1:6" x14ac:dyDescent="0.25">
      <c r="A2294" t="s">
        <v>25</v>
      </c>
      <c r="B2294" t="s">
        <v>2490</v>
      </c>
      <c r="C2294">
        <v>71304</v>
      </c>
      <c r="D2294">
        <v>0</v>
      </c>
      <c r="F2294">
        <v>0</v>
      </c>
    </row>
    <row r="2295" spans="1:6" x14ac:dyDescent="0.25">
      <c r="A2295" t="s">
        <v>26</v>
      </c>
      <c r="B2295" t="s">
        <v>2491</v>
      </c>
      <c r="C2295">
        <v>71305</v>
      </c>
      <c r="D2295">
        <v>0</v>
      </c>
      <c r="F2295">
        <v>0</v>
      </c>
    </row>
    <row r="2296" spans="1:6" x14ac:dyDescent="0.25">
      <c r="B2296" t="s">
        <v>2495</v>
      </c>
      <c r="D2296">
        <v>430204</v>
      </c>
      <c r="F2296">
        <v>430204</v>
      </c>
    </row>
    <row r="2297" spans="1:6" x14ac:dyDescent="0.25">
      <c r="B2297" t="s">
        <v>2496</v>
      </c>
    </row>
    <row r="2298" spans="1:6" x14ac:dyDescent="0.25">
      <c r="A2298" t="s">
        <v>2</v>
      </c>
      <c r="B2298" t="s">
        <v>2497</v>
      </c>
      <c r="C2298">
        <v>71401</v>
      </c>
      <c r="D2298">
        <v>0</v>
      </c>
      <c r="F2298">
        <v>0</v>
      </c>
    </row>
    <row r="2299" spans="1:6" x14ac:dyDescent="0.25">
      <c r="A2299" t="s">
        <v>15</v>
      </c>
      <c r="B2299" t="s">
        <v>2498</v>
      </c>
      <c r="C2299">
        <v>71402</v>
      </c>
      <c r="D2299">
        <v>0</v>
      </c>
      <c r="F2299">
        <v>0</v>
      </c>
    </row>
    <row r="2300" spans="1:6" x14ac:dyDescent="0.25">
      <c r="A2300" t="s">
        <v>16</v>
      </c>
      <c r="B2300" t="s">
        <v>2499</v>
      </c>
      <c r="C2300">
        <v>71403</v>
      </c>
      <c r="D2300">
        <v>0</v>
      </c>
      <c r="F2300">
        <v>0</v>
      </c>
    </row>
    <row r="2301" spans="1:6" x14ac:dyDescent="0.25">
      <c r="A2301" t="s">
        <v>25</v>
      </c>
      <c r="B2301" t="s">
        <v>2500</v>
      </c>
      <c r="C2301">
        <v>71404</v>
      </c>
      <c r="D2301">
        <v>0</v>
      </c>
      <c r="F2301">
        <v>0</v>
      </c>
    </row>
    <row r="2302" spans="1:6" x14ac:dyDescent="0.25">
      <c r="A2302" t="s">
        <v>26</v>
      </c>
      <c r="B2302" t="s">
        <v>2501</v>
      </c>
      <c r="C2302">
        <v>71405</v>
      </c>
      <c r="D2302">
        <v>0</v>
      </c>
      <c r="F2302">
        <v>0</v>
      </c>
    </row>
    <row r="2303" spans="1:6" x14ac:dyDescent="0.25">
      <c r="A2303" t="s">
        <v>27</v>
      </c>
      <c r="B2303" t="s">
        <v>2502</v>
      </c>
      <c r="C2303">
        <v>71406</v>
      </c>
      <c r="D2303">
        <v>0</v>
      </c>
      <c r="F2303">
        <v>0</v>
      </c>
    </row>
    <row r="2304" spans="1:6" x14ac:dyDescent="0.25">
      <c r="A2304" t="s">
        <v>531</v>
      </c>
      <c r="B2304" t="s">
        <v>2503</v>
      </c>
      <c r="C2304">
        <v>71407</v>
      </c>
      <c r="D2304">
        <v>0</v>
      </c>
      <c r="F2304">
        <v>0</v>
      </c>
    </row>
    <row r="2305" spans="1:6" x14ac:dyDescent="0.25">
      <c r="B2305" t="s">
        <v>2504</v>
      </c>
      <c r="D2305">
        <v>0</v>
      </c>
      <c r="F2305">
        <v>0</v>
      </c>
    </row>
    <row r="2306" spans="1:6" x14ac:dyDescent="0.25">
      <c r="B2306" t="s">
        <v>2209</v>
      </c>
    </row>
    <row r="2307" spans="1:6" x14ac:dyDescent="0.25">
      <c r="A2307" t="s">
        <v>2</v>
      </c>
      <c r="B2307" t="s">
        <v>2210</v>
      </c>
      <c r="C2307">
        <v>71501</v>
      </c>
      <c r="D2307">
        <v>0</v>
      </c>
      <c r="F2307">
        <v>0</v>
      </c>
    </row>
    <row r="2308" spans="1:6" x14ac:dyDescent="0.25">
      <c r="A2308" t="s">
        <v>15</v>
      </c>
      <c r="B2308" t="s">
        <v>2211</v>
      </c>
      <c r="C2308">
        <v>71502</v>
      </c>
      <c r="D2308">
        <v>0</v>
      </c>
      <c r="F2308">
        <v>0</v>
      </c>
    </row>
    <row r="2309" spans="1:6" x14ac:dyDescent="0.25">
      <c r="B2309" t="s">
        <v>2212</v>
      </c>
      <c r="D2309">
        <v>0</v>
      </c>
      <c r="F2309">
        <v>0</v>
      </c>
    </row>
    <row r="2310" spans="1:6" x14ac:dyDescent="0.25">
      <c r="B2310" t="s">
        <v>2213</v>
      </c>
    </row>
    <row r="2311" spans="1:6" x14ac:dyDescent="0.25">
      <c r="A2311" t="s">
        <v>2</v>
      </c>
      <c r="B2311" t="s">
        <v>2214</v>
      </c>
      <c r="C2311">
        <v>71601</v>
      </c>
      <c r="D2311">
        <v>0</v>
      </c>
      <c r="F2311">
        <v>0</v>
      </c>
    </row>
    <row r="2312" spans="1:6" x14ac:dyDescent="0.25">
      <c r="A2312" t="s">
        <v>15</v>
      </c>
      <c r="B2312" t="s">
        <v>2215</v>
      </c>
      <c r="C2312">
        <v>71602</v>
      </c>
      <c r="D2312">
        <v>0</v>
      </c>
      <c r="F2312">
        <v>0</v>
      </c>
    </row>
    <row r="2313" spans="1:6" x14ac:dyDescent="0.25">
      <c r="A2313" t="s">
        <v>16</v>
      </c>
      <c r="B2313" t="s">
        <v>2216</v>
      </c>
      <c r="C2313">
        <v>71603</v>
      </c>
      <c r="D2313">
        <v>0</v>
      </c>
      <c r="F2313">
        <v>0</v>
      </c>
    </row>
    <row r="2314" spans="1:6" x14ac:dyDescent="0.25">
      <c r="A2314" t="s">
        <v>25</v>
      </c>
      <c r="B2314" t="s">
        <v>2217</v>
      </c>
      <c r="C2314">
        <v>71604</v>
      </c>
      <c r="D2314">
        <v>0</v>
      </c>
      <c r="F2314">
        <v>0</v>
      </c>
    </row>
    <row r="2315" spans="1:6" x14ac:dyDescent="0.25">
      <c r="B2315" t="s">
        <v>2218</v>
      </c>
      <c r="D2315">
        <v>0</v>
      </c>
      <c r="F2315">
        <v>0</v>
      </c>
    </row>
    <row r="2316" spans="1:6" x14ac:dyDescent="0.25">
      <c r="B2316" t="s">
        <v>2505</v>
      </c>
    </row>
    <row r="2317" spans="1:6" x14ac:dyDescent="0.25">
      <c r="A2317" t="s">
        <v>2</v>
      </c>
      <c r="B2317" t="s">
        <v>2506</v>
      </c>
      <c r="C2317">
        <v>71701</v>
      </c>
      <c r="D2317">
        <v>2524048</v>
      </c>
      <c r="F2317">
        <v>2524048</v>
      </c>
    </row>
    <row r="2318" spans="1:6" x14ac:dyDescent="0.25">
      <c r="A2318" t="s">
        <v>15</v>
      </c>
      <c r="B2318" t="s">
        <v>2507</v>
      </c>
      <c r="C2318">
        <v>71702</v>
      </c>
      <c r="D2318">
        <v>0</v>
      </c>
      <c r="F2318">
        <v>0</v>
      </c>
    </row>
    <row r="2319" spans="1:6" x14ac:dyDescent="0.25">
      <c r="A2319" t="s">
        <v>16</v>
      </c>
      <c r="B2319" t="s">
        <v>2508</v>
      </c>
      <c r="C2319">
        <v>71703</v>
      </c>
      <c r="D2319">
        <v>0</v>
      </c>
      <c r="F2319">
        <v>0</v>
      </c>
    </row>
    <row r="2320" spans="1:6" x14ac:dyDescent="0.25">
      <c r="A2320" t="s">
        <v>25</v>
      </c>
      <c r="B2320" t="s">
        <v>2509</v>
      </c>
      <c r="C2320">
        <v>71704</v>
      </c>
      <c r="D2320">
        <v>0</v>
      </c>
      <c r="F2320">
        <v>0</v>
      </c>
    </row>
    <row r="2321" spans="1:6" x14ac:dyDescent="0.25">
      <c r="A2321" t="s">
        <v>26</v>
      </c>
      <c r="B2321" t="s">
        <v>2510</v>
      </c>
      <c r="C2321">
        <v>71705</v>
      </c>
      <c r="D2321">
        <v>0</v>
      </c>
      <c r="F2321">
        <v>0</v>
      </c>
    </row>
    <row r="2322" spans="1:6" x14ac:dyDescent="0.25">
      <c r="A2322" t="s">
        <v>27</v>
      </c>
      <c r="B2322" t="s">
        <v>2511</v>
      </c>
      <c r="C2322">
        <v>71706</v>
      </c>
      <c r="D2322">
        <v>0</v>
      </c>
      <c r="F2322">
        <v>0</v>
      </c>
    </row>
    <row r="2323" spans="1:6" x14ac:dyDescent="0.25">
      <c r="B2323" t="s">
        <v>2512</v>
      </c>
      <c r="D2323">
        <v>2524048</v>
      </c>
      <c r="F2323">
        <v>2524048</v>
      </c>
    </row>
    <row r="2324" spans="1:6" x14ac:dyDescent="0.25">
      <c r="B2324" t="s">
        <v>2513</v>
      </c>
    </row>
    <row r="2325" spans="1:6" x14ac:dyDescent="0.25">
      <c r="A2325" t="s">
        <v>2</v>
      </c>
      <c r="B2325" t="s">
        <v>2220</v>
      </c>
      <c r="C2325">
        <v>71801</v>
      </c>
      <c r="D2325">
        <v>0</v>
      </c>
      <c r="F2325">
        <v>0</v>
      </c>
    </row>
    <row r="2326" spans="1:6" x14ac:dyDescent="0.25">
      <c r="A2326" t="s">
        <v>15</v>
      </c>
      <c r="B2326" t="s">
        <v>2221</v>
      </c>
      <c r="C2326">
        <v>71802</v>
      </c>
      <c r="D2326">
        <v>0</v>
      </c>
      <c r="F2326">
        <v>0</v>
      </c>
    </row>
    <row r="2327" spans="1:6" x14ac:dyDescent="0.25">
      <c r="A2327" t="s">
        <v>16</v>
      </c>
      <c r="B2327" t="s">
        <v>2514</v>
      </c>
      <c r="C2327">
        <v>71803</v>
      </c>
      <c r="D2327">
        <v>0</v>
      </c>
      <c r="F2327">
        <v>0</v>
      </c>
    </row>
    <row r="2328" spans="1:6" x14ac:dyDescent="0.25">
      <c r="A2328" t="s">
        <v>25</v>
      </c>
      <c r="B2328" t="s">
        <v>2515</v>
      </c>
      <c r="C2328">
        <v>71804</v>
      </c>
      <c r="D2328">
        <v>0</v>
      </c>
      <c r="F2328">
        <v>0</v>
      </c>
    </row>
    <row r="2329" spans="1:6" x14ac:dyDescent="0.25">
      <c r="A2329" t="s">
        <v>26</v>
      </c>
      <c r="B2329" t="s">
        <v>2516</v>
      </c>
      <c r="C2329">
        <v>71805</v>
      </c>
      <c r="D2329">
        <v>0</v>
      </c>
      <c r="F2329">
        <v>0</v>
      </c>
    </row>
    <row r="2330" spans="1:6" x14ac:dyDescent="0.25">
      <c r="A2330" t="s">
        <v>27</v>
      </c>
      <c r="B2330" t="s">
        <v>2517</v>
      </c>
      <c r="C2330">
        <v>71806</v>
      </c>
      <c r="D2330">
        <v>0</v>
      </c>
      <c r="F2330">
        <v>0</v>
      </c>
    </row>
    <row r="2331" spans="1:6" x14ac:dyDescent="0.25">
      <c r="B2331" t="s">
        <v>2518</v>
      </c>
      <c r="D2331">
        <v>0</v>
      </c>
      <c r="F2331">
        <v>0</v>
      </c>
    </row>
    <row r="2332" spans="1:6" x14ac:dyDescent="0.25">
      <c r="B2332" t="s">
        <v>2227</v>
      </c>
    </row>
    <row r="2333" spans="1:6" x14ac:dyDescent="0.25">
      <c r="A2333" t="s">
        <v>2</v>
      </c>
      <c r="B2333" t="s">
        <v>2519</v>
      </c>
      <c r="C2333">
        <v>71901</v>
      </c>
      <c r="D2333">
        <v>2776122</v>
      </c>
      <c r="F2333">
        <v>2776122</v>
      </c>
    </row>
    <row r="2334" spans="1:6" x14ac:dyDescent="0.25">
      <c r="A2334" t="s">
        <v>15</v>
      </c>
      <c r="B2334" t="s">
        <v>2520</v>
      </c>
      <c r="C2334">
        <v>71902</v>
      </c>
      <c r="D2334">
        <v>0</v>
      </c>
      <c r="F2334">
        <v>0</v>
      </c>
    </row>
    <row r="2335" spans="1:6" x14ac:dyDescent="0.25">
      <c r="A2335" t="s">
        <v>16</v>
      </c>
      <c r="B2335" t="s">
        <v>2230</v>
      </c>
      <c r="C2335">
        <v>71903</v>
      </c>
      <c r="D2335">
        <v>0</v>
      </c>
      <c r="F2335">
        <v>0</v>
      </c>
    </row>
    <row r="2336" spans="1:6" x14ac:dyDescent="0.25">
      <c r="A2336" t="s">
        <v>25</v>
      </c>
      <c r="B2336" t="s">
        <v>2231</v>
      </c>
      <c r="C2336">
        <v>71904</v>
      </c>
      <c r="D2336">
        <v>0</v>
      </c>
      <c r="F2336">
        <v>0</v>
      </c>
    </row>
    <row r="2337" spans="1:6" x14ac:dyDescent="0.25">
      <c r="A2337" t="s">
        <v>26</v>
      </c>
      <c r="B2337" t="s">
        <v>2232</v>
      </c>
      <c r="C2337">
        <v>71905</v>
      </c>
      <c r="D2337">
        <v>0</v>
      </c>
      <c r="F2337">
        <v>0</v>
      </c>
    </row>
    <row r="2338" spans="1:6" x14ac:dyDescent="0.25">
      <c r="A2338" t="s">
        <v>27</v>
      </c>
      <c r="B2338" t="s">
        <v>2233</v>
      </c>
      <c r="C2338">
        <v>71906</v>
      </c>
      <c r="D2338">
        <v>0</v>
      </c>
      <c r="F2338">
        <v>0</v>
      </c>
    </row>
    <row r="2339" spans="1:6" x14ac:dyDescent="0.25">
      <c r="A2339" t="s">
        <v>531</v>
      </c>
      <c r="B2339" t="s">
        <v>2521</v>
      </c>
      <c r="C2339">
        <v>71907</v>
      </c>
      <c r="D2339">
        <v>0</v>
      </c>
      <c r="F2339">
        <v>0</v>
      </c>
    </row>
    <row r="2340" spans="1:6" x14ac:dyDescent="0.25">
      <c r="A2340" t="s">
        <v>1583</v>
      </c>
      <c r="B2340" t="s">
        <v>2522</v>
      </c>
      <c r="C2340">
        <v>71908</v>
      </c>
      <c r="D2340">
        <v>0</v>
      </c>
      <c r="F2340">
        <v>0</v>
      </c>
    </row>
    <row r="2341" spans="1:6" x14ac:dyDescent="0.25">
      <c r="A2341" t="s">
        <v>1585</v>
      </c>
      <c r="B2341" t="s">
        <v>2523</v>
      </c>
      <c r="C2341">
        <v>71909</v>
      </c>
      <c r="D2341">
        <v>0</v>
      </c>
      <c r="F2341">
        <v>0</v>
      </c>
    </row>
    <row r="2342" spans="1:6" x14ac:dyDescent="0.25">
      <c r="B2342" t="s">
        <v>2524</v>
      </c>
      <c r="D2342">
        <v>2776122</v>
      </c>
      <c r="F2342">
        <v>2776122</v>
      </c>
    </row>
    <row r="2343" spans="1:6" x14ac:dyDescent="0.25">
      <c r="B2343" t="s">
        <v>1653</v>
      </c>
      <c r="D2343">
        <v>40558777</v>
      </c>
      <c r="F2343">
        <v>40558777</v>
      </c>
    </row>
    <row r="2344" spans="1:6" x14ac:dyDescent="0.25">
      <c r="B2344" t="s">
        <v>2235</v>
      </c>
    </row>
    <row r="2345" spans="1:6" x14ac:dyDescent="0.25">
      <c r="B2345" t="s">
        <v>2525</v>
      </c>
    </row>
    <row r="2346" spans="1:6" x14ac:dyDescent="0.25">
      <c r="A2346" t="s">
        <v>2</v>
      </c>
      <c r="B2346" t="s">
        <v>2486</v>
      </c>
      <c r="C2346">
        <v>72101</v>
      </c>
      <c r="D2346">
        <v>24482053</v>
      </c>
      <c r="F2346">
        <v>24482053</v>
      </c>
    </row>
    <row r="2347" spans="1:6" x14ac:dyDescent="0.25">
      <c r="A2347" t="s">
        <v>15</v>
      </c>
      <c r="B2347" t="s">
        <v>2487</v>
      </c>
      <c r="C2347">
        <v>72102</v>
      </c>
      <c r="D2347">
        <v>8719374</v>
      </c>
      <c r="F2347">
        <v>8719374</v>
      </c>
    </row>
    <row r="2348" spans="1:6" x14ac:dyDescent="0.25">
      <c r="A2348" t="s">
        <v>16</v>
      </c>
      <c r="B2348" t="s">
        <v>2488</v>
      </c>
      <c r="C2348">
        <v>72103</v>
      </c>
      <c r="D2348">
        <v>0</v>
      </c>
      <c r="F2348">
        <v>0</v>
      </c>
    </row>
    <row r="2349" spans="1:6" x14ac:dyDescent="0.25">
      <c r="A2349" t="s">
        <v>25</v>
      </c>
      <c r="B2349" t="s">
        <v>2489</v>
      </c>
      <c r="C2349">
        <v>72104</v>
      </c>
      <c r="D2349">
        <v>0</v>
      </c>
      <c r="F2349">
        <v>0</v>
      </c>
    </row>
    <row r="2350" spans="1:6" x14ac:dyDescent="0.25">
      <c r="A2350" t="s">
        <v>26</v>
      </c>
      <c r="B2350" t="s">
        <v>2490</v>
      </c>
      <c r="C2350">
        <v>72105</v>
      </c>
      <c r="D2350">
        <v>0</v>
      </c>
      <c r="F2350">
        <v>0</v>
      </c>
    </row>
    <row r="2351" spans="1:6" x14ac:dyDescent="0.25">
      <c r="A2351" t="s">
        <v>27</v>
      </c>
      <c r="B2351" t="s">
        <v>2491</v>
      </c>
      <c r="C2351">
        <v>72106</v>
      </c>
      <c r="D2351">
        <v>0</v>
      </c>
      <c r="F2351">
        <v>0</v>
      </c>
    </row>
    <row r="2352" spans="1:6" x14ac:dyDescent="0.25">
      <c r="B2352" t="s">
        <v>2526</v>
      </c>
      <c r="D2352">
        <v>33201427</v>
      </c>
      <c r="F2352">
        <v>33201427</v>
      </c>
    </row>
    <row r="2353" spans="1:6" x14ac:dyDescent="0.25">
      <c r="B2353" t="s">
        <v>2527</v>
      </c>
    </row>
    <row r="2354" spans="1:6" x14ac:dyDescent="0.25">
      <c r="A2354" t="s">
        <v>2</v>
      </c>
      <c r="B2354" t="s">
        <v>2486</v>
      </c>
      <c r="C2354">
        <v>72201</v>
      </c>
      <c r="D2354">
        <v>489116</v>
      </c>
      <c r="F2354">
        <v>489116</v>
      </c>
    </row>
    <row r="2355" spans="1:6" x14ac:dyDescent="0.25">
      <c r="B2355" t="s">
        <v>2528</v>
      </c>
    </row>
    <row r="2356" spans="1:6" x14ac:dyDescent="0.25">
      <c r="A2356" t="s">
        <v>2</v>
      </c>
      <c r="B2356" t="s">
        <v>2487</v>
      </c>
      <c r="C2356">
        <v>72301</v>
      </c>
      <c r="D2356">
        <v>3904277</v>
      </c>
      <c r="F2356">
        <v>3904277</v>
      </c>
    </row>
    <row r="2357" spans="1:6" x14ac:dyDescent="0.25">
      <c r="A2357" t="s">
        <v>15</v>
      </c>
      <c r="B2357" t="s">
        <v>2488</v>
      </c>
      <c r="C2357">
        <v>72302</v>
      </c>
      <c r="D2357">
        <v>0</v>
      </c>
      <c r="F2357">
        <v>0</v>
      </c>
    </row>
    <row r="2358" spans="1:6" x14ac:dyDescent="0.25">
      <c r="A2358" t="s">
        <v>16</v>
      </c>
      <c r="B2358" t="s">
        <v>2489</v>
      </c>
      <c r="C2358">
        <v>72303</v>
      </c>
      <c r="D2358">
        <v>0</v>
      </c>
      <c r="F2358">
        <v>0</v>
      </c>
    </row>
    <row r="2359" spans="1:6" x14ac:dyDescent="0.25">
      <c r="A2359" t="s">
        <v>25</v>
      </c>
      <c r="B2359" t="s">
        <v>2490</v>
      </c>
      <c r="C2359">
        <v>72304</v>
      </c>
      <c r="D2359">
        <v>0</v>
      </c>
      <c r="F2359">
        <v>0</v>
      </c>
    </row>
    <row r="2360" spans="1:6" x14ac:dyDescent="0.25">
      <c r="A2360" t="s">
        <v>26</v>
      </c>
      <c r="B2360" t="s">
        <v>2491</v>
      </c>
      <c r="C2360">
        <v>72305</v>
      </c>
      <c r="D2360">
        <v>0</v>
      </c>
      <c r="F2360">
        <v>0</v>
      </c>
    </row>
    <row r="2361" spans="1:6" x14ac:dyDescent="0.25">
      <c r="B2361" t="s">
        <v>2529</v>
      </c>
      <c r="D2361">
        <v>3904277</v>
      </c>
      <c r="F2361">
        <v>3904277</v>
      </c>
    </row>
    <row r="2362" spans="1:6" x14ac:dyDescent="0.25">
      <c r="B2362" t="s">
        <v>2530</v>
      </c>
    </row>
    <row r="2363" spans="1:6" x14ac:dyDescent="0.25">
      <c r="A2363" t="s">
        <v>2</v>
      </c>
      <c r="B2363" t="s">
        <v>2497</v>
      </c>
      <c r="C2363">
        <v>72401</v>
      </c>
      <c r="D2363">
        <v>0</v>
      </c>
      <c r="F2363">
        <v>0</v>
      </c>
    </row>
    <row r="2364" spans="1:6" x14ac:dyDescent="0.25">
      <c r="A2364" t="s">
        <v>15</v>
      </c>
      <c r="B2364" t="s">
        <v>2498</v>
      </c>
      <c r="C2364">
        <v>72402</v>
      </c>
      <c r="D2364">
        <v>0</v>
      </c>
      <c r="F2364">
        <v>0</v>
      </c>
    </row>
    <row r="2365" spans="1:6" x14ac:dyDescent="0.25">
      <c r="A2365" t="s">
        <v>16</v>
      </c>
      <c r="B2365" t="s">
        <v>2499</v>
      </c>
      <c r="C2365">
        <v>72403</v>
      </c>
      <c r="D2365">
        <v>0</v>
      </c>
      <c r="F2365">
        <v>0</v>
      </c>
    </row>
    <row r="2366" spans="1:6" x14ac:dyDescent="0.25">
      <c r="A2366" t="s">
        <v>25</v>
      </c>
      <c r="B2366" t="s">
        <v>2500</v>
      </c>
      <c r="C2366">
        <v>72404</v>
      </c>
      <c r="D2366">
        <v>0</v>
      </c>
      <c r="F2366">
        <v>0</v>
      </c>
    </row>
    <row r="2367" spans="1:6" x14ac:dyDescent="0.25">
      <c r="A2367" t="s">
        <v>26</v>
      </c>
      <c r="B2367" t="s">
        <v>2501</v>
      </c>
      <c r="C2367">
        <v>72405</v>
      </c>
      <c r="D2367">
        <v>0</v>
      </c>
      <c r="F2367">
        <v>0</v>
      </c>
    </row>
    <row r="2368" spans="1:6" x14ac:dyDescent="0.25">
      <c r="A2368" t="s">
        <v>27</v>
      </c>
      <c r="B2368" t="s">
        <v>2502</v>
      </c>
      <c r="C2368">
        <v>72406</v>
      </c>
      <c r="D2368">
        <v>0</v>
      </c>
      <c r="F2368">
        <v>0</v>
      </c>
    </row>
    <row r="2369" spans="1:6" x14ac:dyDescent="0.25">
      <c r="A2369" t="s">
        <v>531</v>
      </c>
      <c r="B2369" t="s">
        <v>2531</v>
      </c>
      <c r="C2369">
        <v>72407</v>
      </c>
      <c r="D2369">
        <v>0</v>
      </c>
      <c r="F2369">
        <v>0</v>
      </c>
    </row>
    <row r="2370" spans="1:6" x14ac:dyDescent="0.25">
      <c r="B2370" t="s">
        <v>2532</v>
      </c>
      <c r="D2370">
        <v>0</v>
      </c>
      <c r="F2370">
        <v>0</v>
      </c>
    </row>
    <row r="2371" spans="1:6" x14ac:dyDescent="0.25">
      <c r="B2371" t="s">
        <v>2244</v>
      </c>
    </row>
    <row r="2372" spans="1:6" x14ac:dyDescent="0.25">
      <c r="A2372" t="s">
        <v>2</v>
      </c>
      <c r="B2372" t="s">
        <v>2245</v>
      </c>
      <c r="C2372">
        <v>72501</v>
      </c>
      <c r="D2372">
        <v>0</v>
      </c>
      <c r="F2372">
        <v>0</v>
      </c>
    </row>
    <row r="2373" spans="1:6" x14ac:dyDescent="0.25">
      <c r="A2373" t="s">
        <v>15</v>
      </c>
      <c r="B2373" t="s">
        <v>2246</v>
      </c>
      <c r="C2373">
        <v>72502</v>
      </c>
      <c r="D2373">
        <v>0</v>
      </c>
      <c r="F2373">
        <v>0</v>
      </c>
    </row>
    <row r="2374" spans="1:6" x14ac:dyDescent="0.25">
      <c r="B2374" t="s">
        <v>2247</v>
      </c>
      <c r="D2374">
        <v>0</v>
      </c>
      <c r="F2374">
        <v>0</v>
      </c>
    </row>
    <row r="2375" spans="1:6" x14ac:dyDescent="0.25">
      <c r="B2375" t="s">
        <v>2248</v>
      </c>
    </row>
    <row r="2376" spans="1:6" x14ac:dyDescent="0.25">
      <c r="A2376" t="s">
        <v>2</v>
      </c>
      <c r="B2376" t="s">
        <v>2249</v>
      </c>
      <c r="C2376">
        <v>72601</v>
      </c>
      <c r="D2376">
        <v>0</v>
      </c>
      <c r="F2376">
        <v>0</v>
      </c>
    </row>
    <row r="2377" spans="1:6" x14ac:dyDescent="0.25">
      <c r="A2377" t="s">
        <v>15</v>
      </c>
      <c r="B2377" t="s">
        <v>2250</v>
      </c>
      <c r="C2377">
        <v>72602</v>
      </c>
      <c r="D2377">
        <v>0</v>
      </c>
      <c r="F2377">
        <v>0</v>
      </c>
    </row>
    <row r="2378" spans="1:6" x14ac:dyDescent="0.25">
      <c r="A2378" t="s">
        <v>16</v>
      </c>
      <c r="B2378" t="s">
        <v>2251</v>
      </c>
      <c r="C2378">
        <v>72603</v>
      </c>
      <c r="D2378">
        <v>0</v>
      </c>
      <c r="F2378">
        <v>0</v>
      </c>
    </row>
    <row r="2379" spans="1:6" x14ac:dyDescent="0.25">
      <c r="A2379" t="s">
        <v>25</v>
      </c>
      <c r="B2379" t="s">
        <v>2252</v>
      </c>
      <c r="C2379">
        <v>72604</v>
      </c>
      <c r="D2379">
        <v>0</v>
      </c>
      <c r="F2379">
        <v>0</v>
      </c>
    </row>
    <row r="2380" spans="1:6" x14ac:dyDescent="0.25">
      <c r="B2380" t="s">
        <v>2253</v>
      </c>
      <c r="D2380">
        <v>0</v>
      </c>
      <c r="F2380">
        <v>0</v>
      </c>
    </row>
    <row r="2381" spans="1:6" x14ac:dyDescent="0.25">
      <c r="B2381" t="s">
        <v>2533</v>
      </c>
    </row>
    <row r="2382" spans="1:6" x14ac:dyDescent="0.25">
      <c r="A2382" t="s">
        <v>2</v>
      </c>
      <c r="B2382" t="s">
        <v>2506</v>
      </c>
      <c r="C2382">
        <v>72701</v>
      </c>
      <c r="D2382">
        <v>1764967</v>
      </c>
      <c r="F2382">
        <v>1764967</v>
      </c>
    </row>
    <row r="2383" spans="1:6" x14ac:dyDescent="0.25">
      <c r="A2383" t="s">
        <v>15</v>
      </c>
      <c r="B2383" t="s">
        <v>2507</v>
      </c>
      <c r="C2383">
        <v>72702</v>
      </c>
      <c r="D2383">
        <v>0</v>
      </c>
      <c r="F2383">
        <v>0</v>
      </c>
    </row>
    <row r="2384" spans="1:6" x14ac:dyDescent="0.25">
      <c r="A2384" t="s">
        <v>16</v>
      </c>
      <c r="B2384" t="s">
        <v>2508</v>
      </c>
      <c r="C2384">
        <v>72703</v>
      </c>
      <c r="D2384">
        <v>0</v>
      </c>
      <c r="F2384">
        <v>0</v>
      </c>
    </row>
    <row r="2385" spans="1:6" x14ac:dyDescent="0.25">
      <c r="A2385" t="s">
        <v>25</v>
      </c>
      <c r="B2385" t="s">
        <v>2509</v>
      </c>
      <c r="C2385">
        <v>72704</v>
      </c>
      <c r="D2385">
        <v>0</v>
      </c>
      <c r="F2385">
        <v>0</v>
      </c>
    </row>
    <row r="2386" spans="1:6" x14ac:dyDescent="0.25">
      <c r="A2386" t="s">
        <v>26</v>
      </c>
      <c r="B2386" t="s">
        <v>2510</v>
      </c>
      <c r="C2386">
        <v>72705</v>
      </c>
      <c r="D2386">
        <v>0</v>
      </c>
      <c r="F2386">
        <v>0</v>
      </c>
    </row>
    <row r="2387" spans="1:6" x14ac:dyDescent="0.25">
      <c r="A2387" t="s">
        <v>27</v>
      </c>
      <c r="B2387" t="s">
        <v>2511</v>
      </c>
      <c r="C2387">
        <v>72706</v>
      </c>
      <c r="D2387">
        <v>0</v>
      </c>
      <c r="F2387">
        <v>0</v>
      </c>
    </row>
    <row r="2388" spans="1:6" x14ac:dyDescent="0.25">
      <c r="B2388" t="s">
        <v>2534</v>
      </c>
      <c r="D2388">
        <v>1764967</v>
      </c>
      <c r="F2388">
        <v>1764967</v>
      </c>
    </row>
    <row r="2389" spans="1:6" x14ac:dyDescent="0.25">
      <c r="B2389" t="s">
        <v>2535</v>
      </c>
    </row>
    <row r="2390" spans="1:6" x14ac:dyDescent="0.25">
      <c r="A2390" t="s">
        <v>2</v>
      </c>
      <c r="B2390" t="s">
        <v>2220</v>
      </c>
      <c r="C2390">
        <v>72801</v>
      </c>
      <c r="D2390">
        <v>0</v>
      </c>
      <c r="F2390">
        <v>0</v>
      </c>
    </row>
    <row r="2391" spans="1:6" x14ac:dyDescent="0.25">
      <c r="A2391" t="s">
        <v>15</v>
      </c>
      <c r="B2391" t="s">
        <v>2221</v>
      </c>
      <c r="C2391">
        <v>72802</v>
      </c>
      <c r="D2391">
        <v>0</v>
      </c>
      <c r="F2391">
        <v>0</v>
      </c>
    </row>
    <row r="2392" spans="1:6" x14ac:dyDescent="0.25">
      <c r="A2392" t="s">
        <v>16</v>
      </c>
      <c r="B2392" t="s">
        <v>2514</v>
      </c>
      <c r="C2392">
        <v>72803</v>
      </c>
      <c r="D2392">
        <v>0</v>
      </c>
      <c r="F2392">
        <v>0</v>
      </c>
    </row>
    <row r="2393" spans="1:6" x14ac:dyDescent="0.25">
      <c r="A2393" t="s">
        <v>25</v>
      </c>
      <c r="B2393" t="s">
        <v>2536</v>
      </c>
      <c r="C2393">
        <v>72804</v>
      </c>
      <c r="D2393">
        <v>0</v>
      </c>
      <c r="F2393">
        <v>0</v>
      </c>
    </row>
    <row r="2394" spans="1:6" x14ac:dyDescent="0.25">
      <c r="A2394" t="s">
        <v>26</v>
      </c>
      <c r="B2394" t="s">
        <v>2537</v>
      </c>
      <c r="C2394">
        <v>72805</v>
      </c>
      <c r="D2394">
        <v>0</v>
      </c>
      <c r="F2394">
        <v>0</v>
      </c>
    </row>
    <row r="2395" spans="1:6" x14ac:dyDescent="0.25">
      <c r="A2395" t="s">
        <v>27</v>
      </c>
      <c r="B2395" t="s">
        <v>2538</v>
      </c>
      <c r="C2395">
        <v>72806</v>
      </c>
      <c r="D2395">
        <v>0</v>
      </c>
      <c r="F2395">
        <v>0</v>
      </c>
    </row>
    <row r="2396" spans="1:6" x14ac:dyDescent="0.25">
      <c r="B2396" t="s">
        <v>2539</v>
      </c>
      <c r="D2396">
        <v>0</v>
      </c>
      <c r="F2396">
        <v>0</v>
      </c>
    </row>
    <row r="2397" spans="1:6" x14ac:dyDescent="0.25">
      <c r="B2397" t="s">
        <v>2258</v>
      </c>
    </row>
    <row r="2398" spans="1:6" x14ac:dyDescent="0.25">
      <c r="A2398" t="s">
        <v>2</v>
      </c>
      <c r="B2398" t="s">
        <v>2519</v>
      </c>
      <c r="C2398">
        <v>72901</v>
      </c>
      <c r="D2398">
        <v>1925095</v>
      </c>
      <c r="F2398">
        <v>1925095</v>
      </c>
    </row>
    <row r="2399" spans="1:6" x14ac:dyDescent="0.25">
      <c r="A2399" t="s">
        <v>15</v>
      </c>
      <c r="B2399" t="s">
        <v>2520</v>
      </c>
      <c r="C2399">
        <v>72902</v>
      </c>
      <c r="D2399">
        <v>0</v>
      </c>
      <c r="F2399">
        <v>0</v>
      </c>
    </row>
    <row r="2400" spans="1:6" x14ac:dyDescent="0.25">
      <c r="A2400" t="s">
        <v>16</v>
      </c>
      <c r="B2400" t="s">
        <v>2230</v>
      </c>
      <c r="C2400">
        <v>72903</v>
      </c>
      <c r="D2400">
        <v>0</v>
      </c>
      <c r="F2400">
        <v>0</v>
      </c>
    </row>
    <row r="2401" spans="1:6" x14ac:dyDescent="0.25">
      <c r="A2401" t="s">
        <v>25</v>
      </c>
      <c r="B2401" t="s">
        <v>2231</v>
      </c>
      <c r="C2401">
        <v>72904</v>
      </c>
      <c r="D2401">
        <v>0</v>
      </c>
      <c r="F2401">
        <v>0</v>
      </c>
    </row>
    <row r="2402" spans="1:6" x14ac:dyDescent="0.25">
      <c r="A2402" t="s">
        <v>26</v>
      </c>
      <c r="B2402" t="s">
        <v>2540</v>
      </c>
      <c r="C2402">
        <v>72905</v>
      </c>
      <c r="D2402">
        <v>0</v>
      </c>
      <c r="F2402">
        <v>0</v>
      </c>
    </row>
    <row r="2403" spans="1:6" x14ac:dyDescent="0.25">
      <c r="A2403" t="s">
        <v>27</v>
      </c>
      <c r="B2403" t="s">
        <v>2233</v>
      </c>
      <c r="C2403">
        <v>72906</v>
      </c>
      <c r="D2403">
        <v>0</v>
      </c>
      <c r="F2403">
        <v>0</v>
      </c>
    </row>
    <row r="2404" spans="1:6" x14ac:dyDescent="0.25">
      <c r="A2404" t="s">
        <v>531</v>
      </c>
      <c r="B2404" t="s">
        <v>2521</v>
      </c>
      <c r="C2404">
        <v>72907</v>
      </c>
      <c r="D2404">
        <v>0</v>
      </c>
      <c r="F2404">
        <v>0</v>
      </c>
    </row>
    <row r="2405" spans="1:6" x14ac:dyDescent="0.25">
      <c r="A2405" t="s">
        <v>1583</v>
      </c>
      <c r="B2405" t="s">
        <v>2522</v>
      </c>
      <c r="C2405">
        <v>72908</v>
      </c>
      <c r="D2405">
        <v>0</v>
      </c>
      <c r="F2405">
        <v>0</v>
      </c>
    </row>
    <row r="2406" spans="1:6" x14ac:dyDescent="0.25">
      <c r="A2406" t="s">
        <v>1585</v>
      </c>
      <c r="B2406" t="s">
        <v>2523</v>
      </c>
      <c r="C2406">
        <v>72909</v>
      </c>
      <c r="D2406">
        <v>0</v>
      </c>
      <c r="F2406">
        <v>0</v>
      </c>
    </row>
    <row r="2407" spans="1:6" x14ac:dyDescent="0.25">
      <c r="B2407" t="s">
        <v>2541</v>
      </c>
      <c r="D2407">
        <v>1925095</v>
      </c>
      <c r="F2407">
        <v>1925095</v>
      </c>
    </row>
    <row r="2408" spans="1:6" x14ac:dyDescent="0.25">
      <c r="B2408" t="s">
        <v>1660</v>
      </c>
      <c r="D2408">
        <v>41284882</v>
      </c>
      <c r="F2408">
        <v>41284882</v>
      </c>
    </row>
    <row r="2409" spans="1:6" x14ac:dyDescent="0.25">
      <c r="B2409" t="s">
        <v>2260</v>
      </c>
    </row>
    <row r="2410" spans="1:6" x14ac:dyDescent="0.25">
      <c r="B2410" t="s">
        <v>2261</v>
      </c>
    </row>
    <row r="2411" spans="1:6" x14ac:dyDescent="0.25">
      <c r="B2411" t="s">
        <v>2262</v>
      </c>
    </row>
    <row r="2412" spans="1:6" x14ac:dyDescent="0.25">
      <c r="A2412" t="s">
        <v>2</v>
      </c>
      <c r="B2412" t="s">
        <v>2263</v>
      </c>
      <c r="C2412">
        <v>81101</v>
      </c>
      <c r="F2412">
        <v>0</v>
      </c>
    </row>
    <row r="2413" spans="1:6" x14ac:dyDescent="0.25">
      <c r="A2413" t="s">
        <v>15</v>
      </c>
      <c r="B2413" t="s">
        <v>2264</v>
      </c>
      <c r="C2413">
        <v>81102</v>
      </c>
      <c r="F2413">
        <v>726105</v>
      </c>
    </row>
    <row r="2414" spans="1:6" x14ac:dyDescent="0.25">
      <c r="B2414" t="s">
        <v>2265</v>
      </c>
    </row>
    <row r="2415" spans="1:6" x14ac:dyDescent="0.25">
      <c r="A2415" t="s">
        <v>2</v>
      </c>
      <c r="B2415" t="s">
        <v>2266</v>
      </c>
      <c r="C2415">
        <v>81201</v>
      </c>
      <c r="F2415">
        <v>5515120</v>
      </c>
    </row>
    <row r="2416" spans="1:6" x14ac:dyDescent="0.25">
      <c r="A2416" t="s">
        <v>15</v>
      </c>
      <c r="B2416" t="s">
        <v>2267</v>
      </c>
      <c r="C2416">
        <v>81202</v>
      </c>
      <c r="F2416">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686DC-2AD2-44BD-88B3-F9B6FDAA44CF}">
  <dimension ref="A1:F2018"/>
  <sheetViews>
    <sheetView workbookViewId="0"/>
  </sheetViews>
  <sheetFormatPr defaultRowHeight="15" x14ac:dyDescent="0.25"/>
  <cols>
    <col min="1" max="1" width="13.140625" bestFit="1" customWidth="1"/>
    <col min="2" max="2" width="81.140625" bestFit="1" customWidth="1"/>
    <col min="3" max="3" width="12" bestFit="1" customWidth="1"/>
    <col min="4" max="4" width="10" bestFit="1" customWidth="1"/>
    <col min="5" max="5" width="13" bestFit="1" customWidth="1"/>
    <col min="6" max="6" width="10" bestFit="1" customWidth="1"/>
  </cols>
  <sheetData>
    <row r="1" spans="1:6" x14ac:dyDescent="0.25">
      <c r="A1" t="s">
        <v>1568</v>
      </c>
      <c r="B1" t="s">
        <v>1569</v>
      </c>
      <c r="C1" t="s">
        <v>1570</v>
      </c>
      <c r="D1" t="s">
        <v>1006</v>
      </c>
      <c r="E1" t="s">
        <v>2600</v>
      </c>
      <c r="F1" t="s">
        <v>2601</v>
      </c>
    </row>
    <row r="2" spans="1:6" x14ac:dyDescent="0.25">
      <c r="B2" t="s">
        <v>1573</v>
      </c>
    </row>
    <row r="3" spans="1:6" x14ac:dyDescent="0.25">
      <c r="B3" t="s">
        <v>1574</v>
      </c>
    </row>
    <row r="4" spans="1:6" x14ac:dyDescent="0.25">
      <c r="B4" t="s">
        <v>1575</v>
      </c>
    </row>
    <row r="5" spans="1:6" x14ac:dyDescent="0.25">
      <c r="A5" t="s">
        <v>2</v>
      </c>
      <c r="B5" t="s">
        <v>1576</v>
      </c>
      <c r="C5">
        <v>11101</v>
      </c>
      <c r="D5">
        <v>0</v>
      </c>
      <c r="E5">
        <v>0</v>
      </c>
      <c r="F5">
        <v>0</v>
      </c>
    </row>
    <row r="6" spans="1:6" x14ac:dyDescent="0.25">
      <c r="A6" t="s">
        <v>15</v>
      </c>
      <c r="B6" t="s">
        <v>1577</v>
      </c>
      <c r="C6">
        <v>11102</v>
      </c>
      <c r="D6">
        <v>0</v>
      </c>
      <c r="E6">
        <v>0</v>
      </c>
      <c r="F6">
        <v>0</v>
      </c>
    </row>
    <row r="7" spans="1:6" x14ac:dyDescent="0.25">
      <c r="A7" t="s">
        <v>16</v>
      </c>
      <c r="B7" t="s">
        <v>1578</v>
      </c>
      <c r="C7">
        <v>11103</v>
      </c>
      <c r="D7">
        <v>0</v>
      </c>
      <c r="E7">
        <v>0</v>
      </c>
      <c r="F7">
        <v>0</v>
      </c>
    </row>
    <row r="8" spans="1:6" x14ac:dyDescent="0.25">
      <c r="A8" t="s">
        <v>25</v>
      </c>
      <c r="B8" t="s">
        <v>1579</v>
      </c>
      <c r="C8">
        <v>11104</v>
      </c>
      <c r="D8">
        <v>0</v>
      </c>
      <c r="E8">
        <v>0</v>
      </c>
      <c r="F8">
        <v>0</v>
      </c>
    </row>
    <row r="9" spans="1:6" x14ac:dyDescent="0.25">
      <c r="A9" t="s">
        <v>26</v>
      </c>
      <c r="B9" t="s">
        <v>1580</v>
      </c>
      <c r="C9">
        <v>11105</v>
      </c>
      <c r="D9">
        <v>75608</v>
      </c>
      <c r="E9">
        <v>0</v>
      </c>
      <c r="F9">
        <v>75608</v>
      </c>
    </row>
    <row r="10" spans="1:6" x14ac:dyDescent="0.25">
      <c r="A10" t="s">
        <v>27</v>
      </c>
      <c r="B10" t="s">
        <v>1581</v>
      </c>
      <c r="C10">
        <v>11106</v>
      </c>
      <c r="D10">
        <v>0</v>
      </c>
      <c r="E10">
        <v>0</v>
      </c>
      <c r="F10">
        <v>0</v>
      </c>
    </row>
    <row r="11" spans="1:6" x14ac:dyDescent="0.25">
      <c r="A11" t="s">
        <v>531</v>
      </c>
      <c r="B11" t="s">
        <v>1582</v>
      </c>
      <c r="C11">
        <v>11107</v>
      </c>
      <c r="D11">
        <v>0</v>
      </c>
      <c r="E11">
        <v>0</v>
      </c>
      <c r="F11">
        <v>0</v>
      </c>
    </row>
    <row r="12" spans="1:6" x14ac:dyDescent="0.25">
      <c r="A12" t="s">
        <v>1583</v>
      </c>
      <c r="B12" t="s">
        <v>1584</v>
      </c>
      <c r="C12">
        <v>11108</v>
      </c>
      <c r="D12">
        <v>0</v>
      </c>
      <c r="E12">
        <v>0</v>
      </c>
      <c r="F12">
        <v>0</v>
      </c>
    </row>
    <row r="13" spans="1:6" x14ac:dyDescent="0.25">
      <c r="A13" t="s">
        <v>1585</v>
      </c>
      <c r="B13" t="s">
        <v>1586</v>
      </c>
      <c r="C13">
        <v>11109</v>
      </c>
      <c r="D13">
        <v>8179</v>
      </c>
      <c r="E13">
        <v>0</v>
      </c>
      <c r="F13">
        <v>8179</v>
      </c>
    </row>
    <row r="14" spans="1:6" x14ac:dyDescent="0.25">
      <c r="A14" t="s">
        <v>1587</v>
      </c>
      <c r="B14" t="s">
        <v>1588</v>
      </c>
      <c r="C14">
        <v>11110</v>
      </c>
      <c r="D14">
        <v>542172</v>
      </c>
      <c r="E14">
        <v>0</v>
      </c>
      <c r="F14">
        <v>542172</v>
      </c>
    </row>
    <row r="15" spans="1:6" x14ac:dyDescent="0.25">
      <c r="A15" t="s">
        <v>1589</v>
      </c>
      <c r="B15" t="s">
        <v>1590</v>
      </c>
      <c r="C15">
        <v>11111</v>
      </c>
      <c r="D15">
        <v>965109</v>
      </c>
      <c r="E15">
        <v>27696</v>
      </c>
      <c r="F15">
        <v>992805</v>
      </c>
    </row>
    <row r="16" spans="1:6" x14ac:dyDescent="0.25">
      <c r="A16" t="s">
        <v>1591</v>
      </c>
      <c r="B16" t="s">
        <v>1592</v>
      </c>
      <c r="C16">
        <v>11112</v>
      </c>
      <c r="D16">
        <v>9017855</v>
      </c>
      <c r="E16">
        <v>130545</v>
      </c>
      <c r="F16">
        <v>9148400</v>
      </c>
    </row>
    <row r="17" spans="1:6" x14ac:dyDescent="0.25">
      <c r="A17" t="s">
        <v>1593</v>
      </c>
      <c r="B17" t="s">
        <v>1594</v>
      </c>
      <c r="C17">
        <v>11113</v>
      </c>
      <c r="D17">
        <v>414</v>
      </c>
      <c r="E17">
        <v>0</v>
      </c>
      <c r="F17">
        <v>414</v>
      </c>
    </row>
    <row r="18" spans="1:6" x14ac:dyDescent="0.25">
      <c r="A18" t="s">
        <v>1595</v>
      </c>
      <c r="B18" t="s">
        <v>1596</v>
      </c>
      <c r="C18">
        <v>11114</v>
      </c>
      <c r="D18">
        <v>412034</v>
      </c>
      <c r="E18">
        <v>0</v>
      </c>
      <c r="F18">
        <v>412034</v>
      </c>
    </row>
    <row r="19" spans="1:6" x14ac:dyDescent="0.25">
      <c r="A19" t="s">
        <v>1597</v>
      </c>
      <c r="B19" t="s">
        <v>1598</v>
      </c>
      <c r="C19">
        <v>11115</v>
      </c>
      <c r="D19">
        <v>8074758</v>
      </c>
      <c r="E19">
        <v>4449</v>
      </c>
      <c r="F19">
        <v>8079207</v>
      </c>
    </row>
    <row r="20" spans="1:6" x14ac:dyDescent="0.25">
      <c r="A20" t="s">
        <v>1599</v>
      </c>
      <c r="B20" t="s">
        <v>1600</v>
      </c>
      <c r="C20">
        <v>11116</v>
      </c>
      <c r="D20">
        <v>0</v>
      </c>
      <c r="E20">
        <v>23139</v>
      </c>
      <c r="F20">
        <v>23139</v>
      </c>
    </row>
    <row r="21" spans="1:6" x14ac:dyDescent="0.25">
      <c r="A21" t="s">
        <v>1601</v>
      </c>
      <c r="B21" t="s">
        <v>1602</v>
      </c>
      <c r="C21">
        <v>11117</v>
      </c>
      <c r="D21">
        <v>0</v>
      </c>
      <c r="E21">
        <v>0</v>
      </c>
      <c r="F21">
        <v>0</v>
      </c>
    </row>
    <row r="22" spans="1:6" x14ac:dyDescent="0.25">
      <c r="A22" t="s">
        <v>1603</v>
      </c>
      <c r="B22" t="s">
        <v>1604</v>
      </c>
      <c r="C22">
        <v>11118</v>
      </c>
      <c r="D22">
        <v>924406</v>
      </c>
      <c r="E22">
        <v>130</v>
      </c>
      <c r="F22">
        <v>924536</v>
      </c>
    </row>
    <row r="23" spans="1:6" x14ac:dyDescent="0.25">
      <c r="A23" t="s">
        <v>1605</v>
      </c>
      <c r="B23" t="s">
        <v>1606</v>
      </c>
      <c r="C23">
        <v>11119</v>
      </c>
      <c r="D23">
        <v>0</v>
      </c>
      <c r="E23">
        <v>0</v>
      </c>
      <c r="F23">
        <v>0</v>
      </c>
    </row>
    <row r="24" spans="1:6" x14ac:dyDescent="0.25">
      <c r="A24" t="s">
        <v>1607</v>
      </c>
      <c r="B24" t="s">
        <v>1608</v>
      </c>
      <c r="C24">
        <v>11120</v>
      </c>
      <c r="D24">
        <v>0</v>
      </c>
      <c r="E24">
        <v>0</v>
      </c>
      <c r="F24">
        <v>0</v>
      </c>
    </row>
    <row r="25" spans="1:6" x14ac:dyDescent="0.25">
      <c r="B25" t="s">
        <v>1609</v>
      </c>
      <c r="D25">
        <v>20020535</v>
      </c>
      <c r="E25">
        <v>185959</v>
      </c>
      <c r="F25">
        <v>20206494</v>
      </c>
    </row>
    <row r="26" spans="1:6" x14ac:dyDescent="0.25">
      <c r="B26" t="s">
        <v>1656</v>
      </c>
    </row>
    <row r="27" spans="1:6" x14ac:dyDescent="0.25">
      <c r="A27" t="s">
        <v>2</v>
      </c>
      <c r="B27" t="s">
        <v>1611</v>
      </c>
      <c r="C27">
        <v>11201</v>
      </c>
      <c r="D27">
        <v>0</v>
      </c>
      <c r="E27">
        <v>0</v>
      </c>
      <c r="F27">
        <v>0</v>
      </c>
    </row>
    <row r="28" spans="1:6" x14ac:dyDescent="0.25">
      <c r="A28" t="s">
        <v>15</v>
      </c>
      <c r="B28" t="s">
        <v>1612</v>
      </c>
      <c r="C28">
        <v>11202</v>
      </c>
      <c r="D28">
        <v>0</v>
      </c>
      <c r="E28">
        <v>0</v>
      </c>
      <c r="F28">
        <v>0</v>
      </c>
    </row>
    <row r="29" spans="1:6" x14ac:dyDescent="0.25">
      <c r="A29" t="s">
        <v>16</v>
      </c>
      <c r="B29" t="s">
        <v>1613</v>
      </c>
      <c r="C29">
        <v>11203</v>
      </c>
      <c r="D29">
        <v>0</v>
      </c>
      <c r="E29">
        <v>0</v>
      </c>
      <c r="F29">
        <v>0</v>
      </c>
    </row>
    <row r="30" spans="1:6" x14ac:dyDescent="0.25">
      <c r="A30" t="s">
        <v>25</v>
      </c>
      <c r="B30" t="s">
        <v>1614</v>
      </c>
      <c r="C30">
        <v>11204</v>
      </c>
      <c r="D30">
        <v>0</v>
      </c>
      <c r="E30">
        <v>0</v>
      </c>
      <c r="F30">
        <v>0</v>
      </c>
    </row>
    <row r="31" spans="1:6" x14ac:dyDescent="0.25">
      <c r="A31" t="s">
        <v>26</v>
      </c>
      <c r="B31" t="s">
        <v>1615</v>
      </c>
      <c r="C31">
        <v>11205</v>
      </c>
      <c r="D31">
        <v>0</v>
      </c>
      <c r="E31">
        <v>0</v>
      </c>
      <c r="F31">
        <v>0</v>
      </c>
    </row>
    <row r="32" spans="1:6" x14ac:dyDescent="0.25">
      <c r="A32" t="s">
        <v>27</v>
      </c>
      <c r="B32" t="s">
        <v>1616</v>
      </c>
      <c r="C32">
        <v>11206</v>
      </c>
      <c r="D32">
        <v>0</v>
      </c>
      <c r="E32">
        <v>0</v>
      </c>
      <c r="F32">
        <v>0</v>
      </c>
    </row>
    <row r="33" spans="1:6" x14ac:dyDescent="0.25">
      <c r="A33" t="s">
        <v>531</v>
      </c>
      <c r="B33" t="s">
        <v>1617</v>
      </c>
      <c r="C33">
        <v>11207</v>
      </c>
      <c r="D33">
        <v>0</v>
      </c>
      <c r="E33">
        <v>0</v>
      </c>
      <c r="F33">
        <v>0</v>
      </c>
    </row>
    <row r="34" spans="1:6" x14ac:dyDescent="0.25">
      <c r="A34" t="s">
        <v>1583</v>
      </c>
      <c r="B34" t="s">
        <v>1618</v>
      </c>
      <c r="C34">
        <v>11208</v>
      </c>
      <c r="D34">
        <v>0</v>
      </c>
      <c r="E34">
        <v>0</v>
      </c>
      <c r="F34">
        <v>0</v>
      </c>
    </row>
    <row r="35" spans="1:6" x14ac:dyDescent="0.25">
      <c r="A35" t="s">
        <v>1585</v>
      </c>
      <c r="B35" t="s">
        <v>1619</v>
      </c>
      <c r="C35">
        <v>11209</v>
      </c>
      <c r="D35">
        <v>0</v>
      </c>
      <c r="E35">
        <v>0</v>
      </c>
      <c r="F35">
        <v>0</v>
      </c>
    </row>
    <row r="36" spans="1:6" x14ac:dyDescent="0.25">
      <c r="A36" t="s">
        <v>1587</v>
      </c>
      <c r="B36" t="s">
        <v>1620</v>
      </c>
      <c r="C36">
        <v>11210</v>
      </c>
      <c r="D36">
        <v>0</v>
      </c>
      <c r="E36">
        <v>0</v>
      </c>
      <c r="F36">
        <v>0</v>
      </c>
    </row>
    <row r="37" spans="1:6" x14ac:dyDescent="0.25">
      <c r="A37" t="s">
        <v>1589</v>
      </c>
      <c r="B37" t="s">
        <v>1621</v>
      </c>
      <c r="C37">
        <v>11211</v>
      </c>
      <c r="D37">
        <v>69025</v>
      </c>
      <c r="E37">
        <v>0</v>
      </c>
      <c r="F37">
        <v>69025</v>
      </c>
    </row>
    <row r="38" spans="1:6" x14ac:dyDescent="0.25">
      <c r="A38" t="s">
        <v>1591</v>
      </c>
      <c r="B38" t="s">
        <v>1622</v>
      </c>
      <c r="C38">
        <v>11212</v>
      </c>
      <c r="D38">
        <v>218153</v>
      </c>
      <c r="E38">
        <v>0</v>
      </c>
      <c r="F38">
        <v>218153</v>
      </c>
    </row>
    <row r="39" spans="1:6" x14ac:dyDescent="0.25">
      <c r="A39" t="s">
        <v>1593</v>
      </c>
      <c r="B39" t="s">
        <v>1623</v>
      </c>
      <c r="C39">
        <v>11213</v>
      </c>
      <c r="D39">
        <v>0</v>
      </c>
      <c r="E39">
        <v>0</v>
      </c>
      <c r="F39">
        <v>0</v>
      </c>
    </row>
    <row r="40" spans="1:6" x14ac:dyDescent="0.25">
      <c r="A40" t="s">
        <v>1595</v>
      </c>
      <c r="B40" t="s">
        <v>1624</v>
      </c>
      <c r="C40">
        <v>11214</v>
      </c>
      <c r="D40">
        <v>0</v>
      </c>
      <c r="E40">
        <v>0</v>
      </c>
      <c r="F40">
        <v>0</v>
      </c>
    </row>
    <row r="41" spans="1:6" x14ac:dyDescent="0.25">
      <c r="A41" t="s">
        <v>1597</v>
      </c>
      <c r="B41" t="s">
        <v>1625</v>
      </c>
      <c r="C41">
        <v>11215</v>
      </c>
      <c r="D41">
        <v>1494638</v>
      </c>
      <c r="E41">
        <v>4247</v>
      </c>
      <c r="F41">
        <v>1498885</v>
      </c>
    </row>
    <row r="42" spans="1:6" x14ac:dyDescent="0.25">
      <c r="A42" t="s">
        <v>1599</v>
      </c>
      <c r="B42" t="s">
        <v>1626</v>
      </c>
      <c r="C42">
        <v>11216</v>
      </c>
      <c r="D42">
        <v>0</v>
      </c>
      <c r="E42">
        <v>149448</v>
      </c>
      <c r="F42">
        <v>149448</v>
      </c>
    </row>
    <row r="43" spans="1:6" x14ac:dyDescent="0.25">
      <c r="A43" t="s">
        <v>1601</v>
      </c>
      <c r="B43" t="s">
        <v>1627</v>
      </c>
      <c r="C43">
        <v>11217</v>
      </c>
      <c r="D43">
        <v>0</v>
      </c>
      <c r="E43">
        <v>0</v>
      </c>
      <c r="F43">
        <v>0</v>
      </c>
    </row>
    <row r="44" spans="1:6" x14ac:dyDescent="0.25">
      <c r="A44" t="s">
        <v>1603</v>
      </c>
      <c r="B44" t="s">
        <v>1596</v>
      </c>
      <c r="C44">
        <v>11218</v>
      </c>
      <c r="D44">
        <v>0</v>
      </c>
      <c r="E44">
        <v>0</v>
      </c>
      <c r="F44">
        <v>0</v>
      </c>
    </row>
    <row r="45" spans="1:6" x14ac:dyDescent="0.25">
      <c r="A45" t="s">
        <v>1605</v>
      </c>
      <c r="B45" t="s">
        <v>1598</v>
      </c>
      <c r="C45">
        <v>11219</v>
      </c>
      <c r="D45">
        <v>0</v>
      </c>
      <c r="E45">
        <v>0</v>
      </c>
      <c r="F45">
        <v>0</v>
      </c>
    </row>
    <row r="46" spans="1:6" x14ac:dyDescent="0.25">
      <c r="A46" t="s">
        <v>1607</v>
      </c>
      <c r="B46" t="s">
        <v>1602</v>
      </c>
      <c r="C46">
        <v>11220</v>
      </c>
      <c r="D46">
        <v>0</v>
      </c>
      <c r="E46">
        <v>0</v>
      </c>
      <c r="F46">
        <v>0</v>
      </c>
    </row>
    <row r="47" spans="1:6" x14ac:dyDescent="0.25">
      <c r="B47" t="s">
        <v>1628</v>
      </c>
      <c r="D47">
        <v>1781816</v>
      </c>
      <c r="E47">
        <v>153695</v>
      </c>
      <c r="F47">
        <v>1935511</v>
      </c>
    </row>
    <row r="48" spans="1:6" x14ac:dyDescent="0.25">
      <c r="B48" t="s">
        <v>1629</v>
      </c>
    </row>
    <row r="49" spans="1:6" x14ac:dyDescent="0.25">
      <c r="A49" t="s">
        <v>2</v>
      </c>
      <c r="B49" t="s">
        <v>1627</v>
      </c>
      <c r="C49">
        <v>11301</v>
      </c>
      <c r="D49">
        <v>2607824</v>
      </c>
      <c r="E49">
        <v>0</v>
      </c>
      <c r="F49">
        <v>2607824</v>
      </c>
    </row>
    <row r="50" spans="1:6" x14ac:dyDescent="0.25">
      <c r="A50" t="s">
        <v>15</v>
      </c>
      <c r="B50" t="s">
        <v>1625</v>
      </c>
      <c r="C50">
        <v>11302</v>
      </c>
      <c r="D50">
        <v>5</v>
      </c>
      <c r="E50">
        <v>111</v>
      </c>
      <c r="F50">
        <v>116</v>
      </c>
    </row>
    <row r="51" spans="1:6" x14ac:dyDescent="0.25">
      <c r="A51" t="s">
        <v>16</v>
      </c>
      <c r="B51" t="s">
        <v>1626</v>
      </c>
      <c r="C51">
        <v>11303</v>
      </c>
      <c r="D51">
        <v>0</v>
      </c>
      <c r="E51">
        <v>2630</v>
      </c>
      <c r="F51">
        <v>2630</v>
      </c>
    </row>
    <row r="52" spans="1:6" x14ac:dyDescent="0.25">
      <c r="B52" t="s">
        <v>1630</v>
      </c>
      <c r="D52">
        <v>2607829</v>
      </c>
      <c r="E52">
        <v>2741</v>
      </c>
      <c r="F52">
        <v>2610570</v>
      </c>
    </row>
    <row r="53" spans="1:6" x14ac:dyDescent="0.25">
      <c r="B53" t="s">
        <v>1631</v>
      </c>
    </row>
    <row r="54" spans="1:6" x14ac:dyDescent="0.25">
      <c r="A54" t="s">
        <v>2</v>
      </c>
      <c r="B54" t="s">
        <v>1627</v>
      </c>
      <c r="C54">
        <v>11401</v>
      </c>
      <c r="D54">
        <v>0</v>
      </c>
      <c r="E54">
        <v>0</v>
      </c>
      <c r="F54">
        <v>0</v>
      </c>
    </row>
    <row r="55" spans="1:6" x14ac:dyDescent="0.25">
      <c r="A55" t="s">
        <v>15</v>
      </c>
      <c r="B55" t="s">
        <v>1625</v>
      </c>
      <c r="C55">
        <v>11402</v>
      </c>
      <c r="D55">
        <v>0</v>
      </c>
      <c r="E55">
        <v>0</v>
      </c>
      <c r="F55">
        <v>0</v>
      </c>
    </row>
    <row r="56" spans="1:6" x14ac:dyDescent="0.25">
      <c r="A56" t="s">
        <v>16</v>
      </c>
      <c r="B56" t="s">
        <v>1626</v>
      </c>
      <c r="C56">
        <v>11403</v>
      </c>
      <c r="D56">
        <v>0</v>
      </c>
      <c r="E56">
        <v>5474</v>
      </c>
      <c r="F56">
        <v>5474</v>
      </c>
    </row>
    <row r="57" spans="1:6" x14ac:dyDescent="0.25">
      <c r="B57" t="s">
        <v>1632</v>
      </c>
      <c r="D57">
        <v>0</v>
      </c>
      <c r="E57">
        <v>5474</v>
      </c>
      <c r="F57">
        <v>5474</v>
      </c>
    </row>
    <row r="58" spans="1:6" x14ac:dyDescent="0.25">
      <c r="B58" t="s">
        <v>1633</v>
      </c>
    </row>
    <row r="59" spans="1:6" x14ac:dyDescent="0.25">
      <c r="A59" t="s">
        <v>2</v>
      </c>
      <c r="B59" t="s">
        <v>1634</v>
      </c>
      <c r="C59">
        <v>11501</v>
      </c>
      <c r="D59">
        <v>0</v>
      </c>
      <c r="E59">
        <v>0</v>
      </c>
      <c r="F59">
        <v>0</v>
      </c>
    </row>
    <row r="60" spans="1:6" x14ac:dyDescent="0.25">
      <c r="A60" t="s">
        <v>15</v>
      </c>
      <c r="B60" t="s">
        <v>1635</v>
      </c>
      <c r="C60">
        <v>11502</v>
      </c>
      <c r="D60">
        <v>0</v>
      </c>
      <c r="E60">
        <v>0</v>
      </c>
      <c r="F60">
        <v>0</v>
      </c>
    </row>
    <row r="61" spans="1:6" x14ac:dyDescent="0.25">
      <c r="A61" t="s">
        <v>16</v>
      </c>
      <c r="B61" t="s">
        <v>1636</v>
      </c>
      <c r="C61">
        <v>11503</v>
      </c>
      <c r="D61">
        <v>0</v>
      </c>
      <c r="E61">
        <v>0</v>
      </c>
      <c r="F61">
        <v>0</v>
      </c>
    </row>
    <row r="62" spans="1:6" x14ac:dyDescent="0.25">
      <c r="A62" t="s">
        <v>25</v>
      </c>
      <c r="B62" t="s">
        <v>1637</v>
      </c>
      <c r="C62">
        <v>11504</v>
      </c>
      <c r="D62">
        <v>0</v>
      </c>
      <c r="E62">
        <v>0</v>
      </c>
      <c r="F62">
        <v>0</v>
      </c>
    </row>
    <row r="63" spans="1:6" x14ac:dyDescent="0.25">
      <c r="A63" t="s">
        <v>26</v>
      </c>
      <c r="B63" t="s">
        <v>1638</v>
      </c>
      <c r="C63">
        <v>11505</v>
      </c>
      <c r="D63">
        <v>0</v>
      </c>
      <c r="E63">
        <v>0</v>
      </c>
      <c r="F63">
        <v>0</v>
      </c>
    </row>
    <row r="64" spans="1:6" x14ac:dyDescent="0.25">
      <c r="A64" t="s">
        <v>27</v>
      </c>
      <c r="B64" t="s">
        <v>1639</v>
      </c>
      <c r="C64">
        <v>11506</v>
      </c>
      <c r="D64">
        <v>0</v>
      </c>
      <c r="E64">
        <v>0</v>
      </c>
      <c r="F64">
        <v>0</v>
      </c>
    </row>
    <row r="65" spans="1:6" x14ac:dyDescent="0.25">
      <c r="A65" t="s">
        <v>531</v>
      </c>
      <c r="B65" t="s">
        <v>1640</v>
      </c>
      <c r="C65">
        <v>11507</v>
      </c>
      <c r="D65">
        <v>0</v>
      </c>
      <c r="E65">
        <v>0</v>
      </c>
      <c r="F65">
        <v>0</v>
      </c>
    </row>
    <row r="66" spans="1:6" x14ac:dyDescent="0.25">
      <c r="A66" t="s">
        <v>1583</v>
      </c>
      <c r="B66" t="s">
        <v>1641</v>
      </c>
      <c r="C66">
        <v>11508</v>
      </c>
      <c r="D66">
        <v>0</v>
      </c>
      <c r="E66">
        <v>0</v>
      </c>
      <c r="F66">
        <v>0</v>
      </c>
    </row>
    <row r="67" spans="1:6" x14ac:dyDescent="0.25">
      <c r="B67" t="s">
        <v>1642</v>
      </c>
      <c r="D67">
        <v>0</v>
      </c>
      <c r="E67">
        <v>0</v>
      </c>
      <c r="F67">
        <v>0</v>
      </c>
    </row>
    <row r="68" spans="1:6" x14ac:dyDescent="0.25">
      <c r="B68" t="s">
        <v>1643</v>
      </c>
    </row>
    <row r="69" spans="1:6" x14ac:dyDescent="0.25">
      <c r="A69" t="s">
        <v>2</v>
      </c>
      <c r="B69" t="s">
        <v>1634</v>
      </c>
      <c r="C69">
        <v>11601</v>
      </c>
      <c r="D69">
        <v>1324768</v>
      </c>
      <c r="E69">
        <v>0</v>
      </c>
      <c r="F69">
        <v>1324768</v>
      </c>
    </row>
    <row r="70" spans="1:6" x14ac:dyDescent="0.25">
      <c r="A70" t="s">
        <v>15</v>
      </c>
      <c r="B70" t="s">
        <v>1635</v>
      </c>
      <c r="C70">
        <v>11602</v>
      </c>
      <c r="D70">
        <v>57716</v>
      </c>
      <c r="E70">
        <v>0</v>
      </c>
      <c r="F70">
        <v>57716</v>
      </c>
    </row>
    <row r="71" spans="1:6" x14ac:dyDescent="0.25">
      <c r="A71" t="s">
        <v>16</v>
      </c>
      <c r="B71" t="s">
        <v>1636</v>
      </c>
      <c r="C71">
        <v>11603</v>
      </c>
      <c r="D71">
        <v>3418</v>
      </c>
      <c r="E71">
        <v>0</v>
      </c>
      <c r="F71">
        <v>3418</v>
      </c>
    </row>
    <row r="72" spans="1:6" x14ac:dyDescent="0.25">
      <c r="A72" t="s">
        <v>25</v>
      </c>
      <c r="B72" t="s">
        <v>1637</v>
      </c>
      <c r="C72">
        <v>11604</v>
      </c>
      <c r="D72">
        <v>86241</v>
      </c>
      <c r="E72">
        <v>0</v>
      </c>
      <c r="F72">
        <v>86241</v>
      </c>
    </row>
    <row r="73" spans="1:6" x14ac:dyDescent="0.25">
      <c r="A73" t="s">
        <v>26</v>
      </c>
      <c r="B73" t="s">
        <v>1638</v>
      </c>
      <c r="C73">
        <v>11605</v>
      </c>
      <c r="D73">
        <v>938484</v>
      </c>
      <c r="E73">
        <v>0</v>
      </c>
      <c r="F73">
        <v>938484</v>
      </c>
    </row>
    <row r="74" spans="1:6" x14ac:dyDescent="0.25">
      <c r="A74" t="s">
        <v>27</v>
      </c>
      <c r="B74" t="s">
        <v>1639</v>
      </c>
      <c r="C74">
        <v>11606</v>
      </c>
      <c r="D74">
        <v>0</v>
      </c>
      <c r="E74">
        <v>0</v>
      </c>
      <c r="F74">
        <v>0</v>
      </c>
    </row>
    <row r="75" spans="1:6" x14ac:dyDescent="0.25">
      <c r="A75" t="s">
        <v>531</v>
      </c>
      <c r="B75" t="s">
        <v>1640</v>
      </c>
      <c r="C75">
        <v>11607</v>
      </c>
      <c r="D75">
        <v>0</v>
      </c>
      <c r="E75">
        <v>0</v>
      </c>
      <c r="F75">
        <v>0</v>
      </c>
    </row>
    <row r="76" spans="1:6" x14ac:dyDescent="0.25">
      <c r="A76" t="s">
        <v>1583</v>
      </c>
      <c r="B76" t="s">
        <v>1641</v>
      </c>
      <c r="C76">
        <v>11608</v>
      </c>
      <c r="D76">
        <v>3822596</v>
      </c>
      <c r="E76">
        <v>0</v>
      </c>
      <c r="F76">
        <v>3822596</v>
      </c>
    </row>
    <row r="77" spans="1:6" x14ac:dyDescent="0.25">
      <c r="B77" t="s">
        <v>1644</v>
      </c>
      <c r="D77">
        <v>6233223</v>
      </c>
      <c r="E77">
        <v>0</v>
      </c>
      <c r="F77">
        <v>6233223</v>
      </c>
    </row>
    <row r="78" spans="1:6" x14ac:dyDescent="0.25">
      <c r="B78" t="s">
        <v>1645</v>
      </c>
    </row>
    <row r="79" spans="1:6" x14ac:dyDescent="0.25">
      <c r="A79" t="s">
        <v>2</v>
      </c>
      <c r="B79" t="s">
        <v>1634</v>
      </c>
      <c r="C79">
        <v>11701</v>
      </c>
      <c r="D79">
        <v>588080</v>
      </c>
      <c r="E79">
        <v>0</v>
      </c>
      <c r="F79">
        <v>588080</v>
      </c>
    </row>
    <row r="80" spans="1:6" x14ac:dyDescent="0.25">
      <c r="A80" t="s">
        <v>15</v>
      </c>
      <c r="B80" t="s">
        <v>1635</v>
      </c>
      <c r="C80">
        <v>11702</v>
      </c>
      <c r="D80">
        <v>33820</v>
      </c>
      <c r="E80">
        <v>0</v>
      </c>
      <c r="F80">
        <v>33820</v>
      </c>
    </row>
    <row r="81" spans="1:6" x14ac:dyDescent="0.25">
      <c r="A81" t="s">
        <v>16</v>
      </c>
      <c r="B81" t="s">
        <v>1636</v>
      </c>
      <c r="C81">
        <v>11703</v>
      </c>
      <c r="D81">
        <v>0</v>
      </c>
      <c r="E81">
        <v>0</v>
      </c>
      <c r="F81">
        <v>0</v>
      </c>
    </row>
    <row r="82" spans="1:6" x14ac:dyDescent="0.25">
      <c r="A82" t="s">
        <v>25</v>
      </c>
      <c r="B82" t="s">
        <v>1637</v>
      </c>
      <c r="C82">
        <v>11704</v>
      </c>
      <c r="D82">
        <v>128051</v>
      </c>
      <c r="E82">
        <v>0</v>
      </c>
      <c r="F82">
        <v>128051</v>
      </c>
    </row>
    <row r="83" spans="1:6" x14ac:dyDescent="0.25">
      <c r="A83" t="s">
        <v>26</v>
      </c>
      <c r="B83" t="s">
        <v>1638</v>
      </c>
      <c r="C83">
        <v>11705</v>
      </c>
      <c r="D83">
        <v>321947</v>
      </c>
      <c r="E83">
        <v>0</v>
      </c>
      <c r="F83">
        <v>321947</v>
      </c>
    </row>
    <row r="84" spans="1:6" x14ac:dyDescent="0.25">
      <c r="A84" t="s">
        <v>27</v>
      </c>
      <c r="B84" t="s">
        <v>1639</v>
      </c>
      <c r="C84">
        <v>11706</v>
      </c>
      <c r="D84">
        <v>0</v>
      </c>
      <c r="E84">
        <v>0</v>
      </c>
      <c r="F84">
        <v>0</v>
      </c>
    </row>
    <row r="85" spans="1:6" x14ac:dyDescent="0.25">
      <c r="A85" t="s">
        <v>531</v>
      </c>
      <c r="B85" t="s">
        <v>1640</v>
      </c>
      <c r="C85">
        <v>11707</v>
      </c>
      <c r="D85">
        <v>0</v>
      </c>
      <c r="E85">
        <v>0</v>
      </c>
      <c r="F85">
        <v>0</v>
      </c>
    </row>
    <row r="86" spans="1:6" x14ac:dyDescent="0.25">
      <c r="A86" t="s">
        <v>1583</v>
      </c>
      <c r="B86" t="s">
        <v>1641</v>
      </c>
      <c r="C86">
        <v>11708</v>
      </c>
      <c r="D86">
        <v>277962</v>
      </c>
      <c r="E86">
        <v>0</v>
      </c>
      <c r="F86">
        <v>277962</v>
      </c>
    </row>
    <row r="87" spans="1:6" x14ac:dyDescent="0.25">
      <c r="B87" t="s">
        <v>1646</v>
      </c>
      <c r="D87">
        <v>1349860</v>
      </c>
      <c r="E87">
        <v>0</v>
      </c>
      <c r="F87">
        <v>1349860</v>
      </c>
    </row>
    <row r="88" spans="1:6" x14ac:dyDescent="0.25">
      <c r="B88" t="s">
        <v>1647</v>
      </c>
    </row>
    <row r="89" spans="1:6" x14ac:dyDescent="0.25">
      <c r="A89" t="s">
        <v>2</v>
      </c>
      <c r="B89" t="s">
        <v>1648</v>
      </c>
      <c r="C89">
        <v>11801</v>
      </c>
      <c r="D89">
        <v>0</v>
      </c>
      <c r="E89">
        <v>0</v>
      </c>
      <c r="F89">
        <v>0</v>
      </c>
    </row>
    <row r="90" spans="1:6" x14ac:dyDescent="0.25">
      <c r="A90" t="s">
        <v>15</v>
      </c>
      <c r="B90" t="s">
        <v>1649</v>
      </c>
      <c r="C90">
        <v>11802</v>
      </c>
      <c r="D90">
        <v>0</v>
      </c>
      <c r="E90">
        <v>0</v>
      </c>
      <c r="F90">
        <v>0</v>
      </c>
    </row>
    <row r="91" spans="1:6" x14ac:dyDescent="0.25">
      <c r="A91" t="s">
        <v>16</v>
      </c>
      <c r="B91" t="s">
        <v>1637</v>
      </c>
      <c r="C91">
        <v>11803</v>
      </c>
      <c r="D91">
        <v>508</v>
      </c>
      <c r="E91">
        <v>0</v>
      </c>
      <c r="F91">
        <v>508</v>
      </c>
    </row>
    <row r="92" spans="1:6" x14ac:dyDescent="0.25">
      <c r="A92" t="s">
        <v>25</v>
      </c>
      <c r="B92" t="s">
        <v>1638</v>
      </c>
      <c r="C92">
        <v>11804</v>
      </c>
      <c r="D92">
        <v>49917</v>
      </c>
      <c r="E92">
        <v>0</v>
      </c>
      <c r="F92">
        <v>49917</v>
      </c>
    </row>
    <row r="93" spans="1:6" x14ac:dyDescent="0.25">
      <c r="A93" t="s">
        <v>26</v>
      </c>
      <c r="B93" t="s">
        <v>1650</v>
      </c>
      <c r="C93">
        <v>11805</v>
      </c>
      <c r="D93">
        <v>0</v>
      </c>
      <c r="E93">
        <v>0</v>
      </c>
      <c r="F93">
        <v>0</v>
      </c>
    </row>
    <row r="94" spans="1:6" x14ac:dyDescent="0.25">
      <c r="A94" t="s">
        <v>27</v>
      </c>
      <c r="B94" t="s">
        <v>1651</v>
      </c>
      <c r="C94">
        <v>11806</v>
      </c>
      <c r="D94">
        <v>0</v>
      </c>
      <c r="E94">
        <v>0</v>
      </c>
      <c r="F94">
        <v>0</v>
      </c>
    </row>
    <row r="95" spans="1:6" x14ac:dyDescent="0.25">
      <c r="A95" t="s">
        <v>531</v>
      </c>
      <c r="B95" t="s">
        <v>1640</v>
      </c>
      <c r="C95">
        <v>11807</v>
      </c>
      <c r="D95">
        <v>0</v>
      </c>
      <c r="E95">
        <v>0</v>
      </c>
      <c r="F95">
        <v>0</v>
      </c>
    </row>
    <row r="96" spans="1:6" x14ac:dyDescent="0.25">
      <c r="A96" t="s">
        <v>1583</v>
      </c>
      <c r="B96" t="s">
        <v>1641</v>
      </c>
      <c r="C96">
        <v>11808</v>
      </c>
      <c r="D96">
        <v>0</v>
      </c>
      <c r="E96">
        <v>0</v>
      </c>
      <c r="F96">
        <v>0</v>
      </c>
    </row>
    <row r="97" spans="1:6" x14ac:dyDescent="0.25">
      <c r="B97" t="s">
        <v>1652</v>
      </c>
      <c r="D97">
        <v>50425</v>
      </c>
      <c r="E97">
        <v>0</v>
      </c>
      <c r="F97">
        <v>50425</v>
      </c>
    </row>
    <row r="98" spans="1:6" x14ac:dyDescent="0.25">
      <c r="B98" t="s">
        <v>1653</v>
      </c>
      <c r="D98">
        <v>32043688</v>
      </c>
      <c r="E98">
        <v>347869</v>
      </c>
      <c r="F98">
        <v>32391557</v>
      </c>
    </row>
    <row r="99" spans="1:6" x14ac:dyDescent="0.25">
      <c r="B99" t="s">
        <v>1654</v>
      </c>
    </row>
    <row r="100" spans="1:6" x14ac:dyDescent="0.25">
      <c r="B100" t="s">
        <v>1575</v>
      </c>
    </row>
    <row r="101" spans="1:6" x14ac:dyDescent="0.25">
      <c r="A101" t="s">
        <v>2</v>
      </c>
      <c r="B101" t="s">
        <v>1576</v>
      </c>
      <c r="C101">
        <v>12101</v>
      </c>
      <c r="D101">
        <v>0</v>
      </c>
      <c r="E101">
        <v>0</v>
      </c>
      <c r="F101">
        <v>0</v>
      </c>
    </row>
    <row r="102" spans="1:6" x14ac:dyDescent="0.25">
      <c r="A102" t="s">
        <v>15</v>
      </c>
      <c r="B102" t="s">
        <v>1577</v>
      </c>
      <c r="C102">
        <v>12102</v>
      </c>
      <c r="D102">
        <v>0</v>
      </c>
      <c r="E102">
        <v>0</v>
      </c>
      <c r="F102">
        <v>0</v>
      </c>
    </row>
    <row r="103" spans="1:6" x14ac:dyDescent="0.25">
      <c r="A103" t="s">
        <v>16</v>
      </c>
      <c r="B103" t="s">
        <v>1578</v>
      </c>
      <c r="C103">
        <v>12103</v>
      </c>
      <c r="D103">
        <v>0</v>
      </c>
      <c r="E103">
        <v>0</v>
      </c>
      <c r="F103">
        <v>0</v>
      </c>
    </row>
    <row r="104" spans="1:6" x14ac:dyDescent="0.25">
      <c r="A104" t="s">
        <v>25</v>
      </c>
      <c r="B104" t="s">
        <v>1579</v>
      </c>
      <c r="C104">
        <v>12104</v>
      </c>
      <c r="D104">
        <v>0</v>
      </c>
      <c r="E104">
        <v>0</v>
      </c>
      <c r="F104">
        <v>0</v>
      </c>
    </row>
    <row r="105" spans="1:6" x14ac:dyDescent="0.25">
      <c r="A105" t="s">
        <v>26</v>
      </c>
      <c r="B105" t="s">
        <v>1580</v>
      </c>
      <c r="C105">
        <v>12105</v>
      </c>
      <c r="D105">
        <v>0</v>
      </c>
      <c r="E105">
        <v>0</v>
      </c>
      <c r="F105">
        <v>0</v>
      </c>
    </row>
    <row r="106" spans="1:6" x14ac:dyDescent="0.25">
      <c r="A106" t="s">
        <v>27</v>
      </c>
      <c r="B106" t="s">
        <v>1581</v>
      </c>
      <c r="C106">
        <v>12106</v>
      </c>
      <c r="D106">
        <v>0</v>
      </c>
      <c r="E106">
        <v>0</v>
      </c>
      <c r="F106">
        <v>0</v>
      </c>
    </row>
    <row r="107" spans="1:6" x14ac:dyDescent="0.25">
      <c r="A107" t="s">
        <v>531</v>
      </c>
      <c r="B107" t="s">
        <v>1582</v>
      </c>
      <c r="C107">
        <v>12107</v>
      </c>
      <c r="D107">
        <v>0</v>
      </c>
      <c r="E107">
        <v>0</v>
      </c>
      <c r="F107">
        <v>0</v>
      </c>
    </row>
    <row r="108" spans="1:6" x14ac:dyDescent="0.25">
      <c r="A108" t="s">
        <v>1583</v>
      </c>
      <c r="B108" t="s">
        <v>1584</v>
      </c>
      <c r="C108">
        <v>12108</v>
      </c>
      <c r="D108">
        <v>0</v>
      </c>
      <c r="E108">
        <v>0</v>
      </c>
      <c r="F108">
        <v>0</v>
      </c>
    </row>
    <row r="109" spans="1:6" x14ac:dyDescent="0.25">
      <c r="A109" t="s">
        <v>1585</v>
      </c>
      <c r="B109" t="s">
        <v>1586</v>
      </c>
      <c r="C109">
        <v>12109</v>
      </c>
      <c r="D109">
        <v>0</v>
      </c>
      <c r="E109">
        <v>0</v>
      </c>
      <c r="F109">
        <v>0</v>
      </c>
    </row>
    <row r="110" spans="1:6" x14ac:dyDescent="0.25">
      <c r="A110" t="s">
        <v>1587</v>
      </c>
      <c r="B110" t="s">
        <v>1588</v>
      </c>
      <c r="C110">
        <v>12110</v>
      </c>
      <c r="D110">
        <v>0</v>
      </c>
      <c r="E110">
        <v>0</v>
      </c>
      <c r="F110">
        <v>0</v>
      </c>
    </row>
    <row r="111" spans="1:6" x14ac:dyDescent="0.25">
      <c r="A111" t="s">
        <v>1589</v>
      </c>
      <c r="B111" t="s">
        <v>1590</v>
      </c>
      <c r="C111">
        <v>12111</v>
      </c>
      <c r="D111">
        <v>0</v>
      </c>
      <c r="E111">
        <v>0</v>
      </c>
      <c r="F111">
        <v>0</v>
      </c>
    </row>
    <row r="112" spans="1:6" x14ac:dyDescent="0.25">
      <c r="A112" t="s">
        <v>1591</v>
      </c>
      <c r="B112" t="s">
        <v>1592</v>
      </c>
      <c r="C112">
        <v>12112</v>
      </c>
      <c r="D112">
        <v>325</v>
      </c>
      <c r="E112">
        <v>0</v>
      </c>
      <c r="F112">
        <v>325</v>
      </c>
    </row>
    <row r="113" spans="1:6" x14ac:dyDescent="0.25">
      <c r="A113" t="s">
        <v>1593</v>
      </c>
      <c r="B113" t="s">
        <v>1594</v>
      </c>
      <c r="C113">
        <v>12113</v>
      </c>
      <c r="D113">
        <v>0</v>
      </c>
      <c r="E113">
        <v>0</v>
      </c>
      <c r="F113">
        <v>0</v>
      </c>
    </row>
    <row r="114" spans="1:6" x14ac:dyDescent="0.25">
      <c r="A114" t="s">
        <v>1595</v>
      </c>
      <c r="B114" t="s">
        <v>1596</v>
      </c>
      <c r="C114">
        <v>12114</v>
      </c>
      <c r="D114">
        <v>227</v>
      </c>
      <c r="E114">
        <v>0</v>
      </c>
      <c r="F114">
        <v>227</v>
      </c>
    </row>
    <row r="115" spans="1:6" x14ac:dyDescent="0.25">
      <c r="A115" t="s">
        <v>1597</v>
      </c>
      <c r="B115" t="s">
        <v>1598</v>
      </c>
      <c r="C115">
        <v>12115</v>
      </c>
      <c r="D115">
        <v>0</v>
      </c>
      <c r="E115">
        <v>0</v>
      </c>
      <c r="F115">
        <v>0</v>
      </c>
    </row>
    <row r="116" spans="1:6" x14ac:dyDescent="0.25">
      <c r="A116" t="s">
        <v>1599</v>
      </c>
      <c r="B116" t="s">
        <v>1600</v>
      </c>
      <c r="C116">
        <v>12116</v>
      </c>
      <c r="D116">
        <v>0</v>
      </c>
      <c r="E116">
        <v>0</v>
      </c>
      <c r="F116">
        <v>0</v>
      </c>
    </row>
    <row r="117" spans="1:6" x14ac:dyDescent="0.25">
      <c r="A117" t="s">
        <v>1601</v>
      </c>
      <c r="B117" t="s">
        <v>1602</v>
      </c>
      <c r="C117">
        <v>12117</v>
      </c>
      <c r="D117">
        <v>0</v>
      </c>
      <c r="E117">
        <v>0</v>
      </c>
      <c r="F117">
        <v>0</v>
      </c>
    </row>
    <row r="118" spans="1:6" x14ac:dyDescent="0.25">
      <c r="A118" t="s">
        <v>1603</v>
      </c>
      <c r="B118" t="s">
        <v>1604</v>
      </c>
      <c r="C118">
        <v>12118</v>
      </c>
      <c r="D118">
        <v>0</v>
      </c>
      <c r="E118">
        <v>14369</v>
      </c>
      <c r="F118">
        <v>14369</v>
      </c>
    </row>
    <row r="119" spans="1:6" x14ac:dyDescent="0.25">
      <c r="A119" t="s">
        <v>1605</v>
      </c>
      <c r="B119" t="s">
        <v>1606</v>
      </c>
      <c r="C119">
        <v>12119</v>
      </c>
      <c r="D119">
        <v>0</v>
      </c>
      <c r="E119">
        <v>47567</v>
      </c>
      <c r="F119">
        <v>47567</v>
      </c>
    </row>
    <row r="120" spans="1:6" x14ac:dyDescent="0.25">
      <c r="A120" t="s">
        <v>1607</v>
      </c>
      <c r="B120" t="s">
        <v>1608</v>
      </c>
      <c r="C120">
        <v>12120</v>
      </c>
      <c r="D120">
        <v>0</v>
      </c>
      <c r="E120">
        <v>0</v>
      </c>
      <c r="F120">
        <v>0</v>
      </c>
    </row>
    <row r="121" spans="1:6" x14ac:dyDescent="0.25">
      <c r="B121" t="s">
        <v>1655</v>
      </c>
      <c r="D121">
        <v>552</v>
      </c>
      <c r="E121">
        <v>61936</v>
      </c>
      <c r="F121">
        <v>62488</v>
      </c>
    </row>
    <row r="122" spans="1:6" x14ac:dyDescent="0.25">
      <c r="B122" t="s">
        <v>1656</v>
      </c>
    </row>
    <row r="123" spans="1:6" x14ac:dyDescent="0.25">
      <c r="A123" t="s">
        <v>2</v>
      </c>
      <c r="B123" t="s">
        <v>1611</v>
      </c>
      <c r="C123">
        <v>12201</v>
      </c>
      <c r="D123">
        <v>0</v>
      </c>
      <c r="E123">
        <v>0</v>
      </c>
      <c r="F123">
        <v>0</v>
      </c>
    </row>
    <row r="124" spans="1:6" x14ac:dyDescent="0.25">
      <c r="A124" t="s">
        <v>15</v>
      </c>
      <c r="B124" t="s">
        <v>1612</v>
      </c>
      <c r="C124">
        <v>12202</v>
      </c>
      <c r="D124">
        <v>0</v>
      </c>
      <c r="E124">
        <v>0</v>
      </c>
      <c r="F124">
        <v>0</v>
      </c>
    </row>
    <row r="125" spans="1:6" x14ac:dyDescent="0.25">
      <c r="A125" t="s">
        <v>16</v>
      </c>
      <c r="B125" t="s">
        <v>1613</v>
      </c>
      <c r="C125">
        <v>12203</v>
      </c>
      <c r="D125">
        <v>0</v>
      </c>
      <c r="E125">
        <v>0</v>
      </c>
      <c r="F125">
        <v>0</v>
      </c>
    </row>
    <row r="126" spans="1:6" x14ac:dyDescent="0.25">
      <c r="A126" t="s">
        <v>25</v>
      </c>
      <c r="B126" t="s">
        <v>1614</v>
      </c>
      <c r="C126">
        <v>12204</v>
      </c>
      <c r="D126">
        <v>0</v>
      </c>
      <c r="E126">
        <v>0</v>
      </c>
      <c r="F126">
        <v>0</v>
      </c>
    </row>
    <row r="127" spans="1:6" x14ac:dyDescent="0.25">
      <c r="A127" t="s">
        <v>26</v>
      </c>
      <c r="B127" t="s">
        <v>1615</v>
      </c>
      <c r="C127">
        <v>12205</v>
      </c>
      <c r="D127">
        <v>0</v>
      </c>
      <c r="E127">
        <v>0</v>
      </c>
      <c r="F127">
        <v>0</v>
      </c>
    </row>
    <row r="128" spans="1:6" x14ac:dyDescent="0.25">
      <c r="A128" t="s">
        <v>27</v>
      </c>
      <c r="B128" t="s">
        <v>1616</v>
      </c>
      <c r="C128">
        <v>12206</v>
      </c>
      <c r="D128">
        <v>0</v>
      </c>
      <c r="E128">
        <v>0</v>
      </c>
      <c r="F128">
        <v>0</v>
      </c>
    </row>
    <row r="129" spans="1:6" x14ac:dyDescent="0.25">
      <c r="A129" t="s">
        <v>531</v>
      </c>
      <c r="B129" t="s">
        <v>1617</v>
      </c>
      <c r="C129">
        <v>12207</v>
      </c>
      <c r="D129">
        <v>0</v>
      </c>
      <c r="E129">
        <v>0</v>
      </c>
      <c r="F129">
        <v>0</v>
      </c>
    </row>
    <row r="130" spans="1:6" x14ac:dyDescent="0.25">
      <c r="A130" t="s">
        <v>1583</v>
      </c>
      <c r="B130" t="s">
        <v>1618</v>
      </c>
      <c r="C130">
        <v>12208</v>
      </c>
      <c r="D130">
        <v>0</v>
      </c>
      <c r="E130">
        <v>0</v>
      </c>
      <c r="F130">
        <v>0</v>
      </c>
    </row>
    <row r="131" spans="1:6" x14ac:dyDescent="0.25">
      <c r="A131" t="s">
        <v>1585</v>
      </c>
      <c r="B131" t="s">
        <v>1619</v>
      </c>
      <c r="C131">
        <v>12209</v>
      </c>
      <c r="D131">
        <v>0</v>
      </c>
      <c r="E131">
        <v>0</v>
      </c>
      <c r="F131">
        <v>0</v>
      </c>
    </row>
    <row r="132" spans="1:6" x14ac:dyDescent="0.25">
      <c r="A132" t="s">
        <v>1587</v>
      </c>
      <c r="B132" t="s">
        <v>1620</v>
      </c>
      <c r="C132">
        <v>12210</v>
      </c>
      <c r="D132">
        <v>0</v>
      </c>
      <c r="E132">
        <v>0</v>
      </c>
      <c r="F132">
        <v>0</v>
      </c>
    </row>
    <row r="133" spans="1:6" x14ac:dyDescent="0.25">
      <c r="A133" t="s">
        <v>1589</v>
      </c>
      <c r="B133" t="s">
        <v>1621</v>
      </c>
      <c r="C133">
        <v>12211</v>
      </c>
      <c r="D133">
        <v>0</v>
      </c>
      <c r="E133">
        <v>0</v>
      </c>
      <c r="F133">
        <v>0</v>
      </c>
    </row>
    <row r="134" spans="1:6" x14ac:dyDescent="0.25">
      <c r="A134" t="s">
        <v>1591</v>
      </c>
      <c r="B134" t="s">
        <v>1622</v>
      </c>
      <c r="C134">
        <v>12212</v>
      </c>
      <c r="D134">
        <v>0</v>
      </c>
      <c r="E134">
        <v>0</v>
      </c>
      <c r="F134">
        <v>0</v>
      </c>
    </row>
    <row r="135" spans="1:6" x14ac:dyDescent="0.25">
      <c r="A135" t="s">
        <v>1593</v>
      </c>
      <c r="B135" t="s">
        <v>1623</v>
      </c>
      <c r="C135">
        <v>12213</v>
      </c>
      <c r="D135">
        <v>0</v>
      </c>
      <c r="E135">
        <v>0</v>
      </c>
      <c r="F135">
        <v>0</v>
      </c>
    </row>
    <row r="136" spans="1:6" x14ac:dyDescent="0.25">
      <c r="A136" t="s">
        <v>1595</v>
      </c>
      <c r="B136" t="s">
        <v>1624</v>
      </c>
      <c r="C136">
        <v>12214</v>
      </c>
      <c r="D136">
        <v>0</v>
      </c>
      <c r="E136">
        <v>0</v>
      </c>
      <c r="F136">
        <v>0</v>
      </c>
    </row>
    <row r="137" spans="1:6" x14ac:dyDescent="0.25">
      <c r="A137" t="s">
        <v>1597</v>
      </c>
      <c r="B137" t="s">
        <v>1625</v>
      </c>
      <c r="C137">
        <v>12215</v>
      </c>
      <c r="D137">
        <v>0</v>
      </c>
      <c r="E137">
        <v>0</v>
      </c>
      <c r="F137">
        <v>0</v>
      </c>
    </row>
    <row r="138" spans="1:6" x14ac:dyDescent="0.25">
      <c r="A138" t="s">
        <v>1599</v>
      </c>
      <c r="B138" t="s">
        <v>1626</v>
      </c>
      <c r="C138">
        <v>12216</v>
      </c>
      <c r="D138">
        <v>0</v>
      </c>
      <c r="E138">
        <v>0</v>
      </c>
      <c r="F138">
        <v>0</v>
      </c>
    </row>
    <row r="139" spans="1:6" x14ac:dyDescent="0.25">
      <c r="A139" t="s">
        <v>1601</v>
      </c>
      <c r="B139" t="s">
        <v>1627</v>
      </c>
      <c r="C139">
        <v>12217</v>
      </c>
      <c r="D139">
        <v>0</v>
      </c>
      <c r="E139">
        <v>0</v>
      </c>
      <c r="F139">
        <v>0</v>
      </c>
    </row>
    <row r="140" spans="1:6" x14ac:dyDescent="0.25">
      <c r="A140" t="s">
        <v>1603</v>
      </c>
      <c r="B140" t="s">
        <v>1596</v>
      </c>
      <c r="C140">
        <v>12218</v>
      </c>
      <c r="D140">
        <v>0</v>
      </c>
      <c r="E140">
        <v>0</v>
      </c>
      <c r="F140">
        <v>0</v>
      </c>
    </row>
    <row r="141" spans="1:6" x14ac:dyDescent="0.25">
      <c r="A141" t="s">
        <v>1605</v>
      </c>
      <c r="B141" t="s">
        <v>1598</v>
      </c>
      <c r="C141">
        <v>12219</v>
      </c>
      <c r="D141">
        <v>0</v>
      </c>
      <c r="E141">
        <v>0</v>
      </c>
      <c r="F141">
        <v>0</v>
      </c>
    </row>
    <row r="142" spans="1:6" x14ac:dyDescent="0.25">
      <c r="A142" t="s">
        <v>1607</v>
      </c>
      <c r="B142" t="s">
        <v>1602</v>
      </c>
      <c r="C142">
        <v>12220</v>
      </c>
      <c r="D142">
        <v>0</v>
      </c>
      <c r="E142">
        <v>0</v>
      </c>
      <c r="F142">
        <v>0</v>
      </c>
    </row>
    <row r="143" spans="1:6" x14ac:dyDescent="0.25">
      <c r="B143" t="s">
        <v>1657</v>
      </c>
      <c r="D143">
        <v>0</v>
      </c>
      <c r="E143">
        <v>0</v>
      </c>
      <c r="F143">
        <v>0</v>
      </c>
    </row>
    <row r="144" spans="1:6" x14ac:dyDescent="0.25">
      <c r="B144" t="s">
        <v>1658</v>
      </c>
    </row>
    <row r="145" spans="1:6" x14ac:dyDescent="0.25">
      <c r="A145" t="s">
        <v>2</v>
      </c>
      <c r="B145" t="s">
        <v>1627</v>
      </c>
      <c r="C145">
        <v>12301</v>
      </c>
      <c r="D145">
        <v>0</v>
      </c>
      <c r="E145">
        <v>0</v>
      </c>
      <c r="F145">
        <v>0</v>
      </c>
    </row>
    <row r="146" spans="1:6" x14ac:dyDescent="0.25">
      <c r="A146" t="s">
        <v>15</v>
      </c>
      <c r="B146" t="s">
        <v>1625</v>
      </c>
      <c r="C146">
        <v>12302</v>
      </c>
      <c r="D146">
        <v>0</v>
      </c>
      <c r="E146">
        <v>0</v>
      </c>
      <c r="F146">
        <v>0</v>
      </c>
    </row>
    <row r="147" spans="1:6" x14ac:dyDescent="0.25">
      <c r="A147" t="s">
        <v>16</v>
      </c>
      <c r="B147" t="s">
        <v>1626</v>
      </c>
      <c r="C147">
        <v>12303</v>
      </c>
      <c r="D147">
        <v>0</v>
      </c>
      <c r="E147">
        <v>0</v>
      </c>
      <c r="F147">
        <v>0</v>
      </c>
    </row>
    <row r="148" spans="1:6" x14ac:dyDescent="0.25">
      <c r="B148" t="s">
        <v>1659</v>
      </c>
      <c r="D148">
        <v>0</v>
      </c>
      <c r="E148">
        <v>0</v>
      </c>
      <c r="F148">
        <v>0</v>
      </c>
    </row>
    <row r="149" spans="1:6" x14ac:dyDescent="0.25">
      <c r="B149" t="s">
        <v>1660</v>
      </c>
      <c r="D149">
        <v>552</v>
      </c>
      <c r="E149">
        <v>61936</v>
      </c>
      <c r="F149">
        <v>62488</v>
      </c>
    </row>
    <row r="150" spans="1:6" x14ac:dyDescent="0.25">
      <c r="B150" t="s">
        <v>1661</v>
      </c>
    </row>
    <row r="151" spans="1:6" x14ac:dyDescent="0.25">
      <c r="B151" t="s">
        <v>1575</v>
      </c>
    </row>
    <row r="152" spans="1:6" x14ac:dyDescent="0.25">
      <c r="A152" t="s">
        <v>2</v>
      </c>
      <c r="B152" t="s">
        <v>1576</v>
      </c>
      <c r="C152">
        <v>13101</v>
      </c>
      <c r="D152">
        <v>0</v>
      </c>
      <c r="E152">
        <v>0</v>
      </c>
      <c r="F152">
        <v>0</v>
      </c>
    </row>
    <row r="153" spans="1:6" x14ac:dyDescent="0.25">
      <c r="A153" t="s">
        <v>15</v>
      </c>
      <c r="B153" t="s">
        <v>1577</v>
      </c>
      <c r="C153">
        <v>13102</v>
      </c>
      <c r="D153">
        <v>0</v>
      </c>
      <c r="E153">
        <v>0</v>
      </c>
      <c r="F153">
        <v>0</v>
      </c>
    </row>
    <row r="154" spans="1:6" x14ac:dyDescent="0.25">
      <c r="A154" t="s">
        <v>16</v>
      </c>
      <c r="B154" t="s">
        <v>1578</v>
      </c>
      <c r="C154">
        <v>13103</v>
      </c>
      <c r="D154">
        <v>0</v>
      </c>
      <c r="E154">
        <v>0</v>
      </c>
      <c r="F154">
        <v>0</v>
      </c>
    </row>
    <row r="155" spans="1:6" x14ac:dyDescent="0.25">
      <c r="A155" t="s">
        <v>25</v>
      </c>
      <c r="B155" t="s">
        <v>1579</v>
      </c>
      <c r="C155">
        <v>13104</v>
      </c>
      <c r="D155">
        <v>0</v>
      </c>
      <c r="E155">
        <v>0</v>
      </c>
      <c r="F155">
        <v>0</v>
      </c>
    </row>
    <row r="156" spans="1:6" x14ac:dyDescent="0.25">
      <c r="A156" t="s">
        <v>26</v>
      </c>
      <c r="B156" t="s">
        <v>1580</v>
      </c>
      <c r="C156">
        <v>13105</v>
      </c>
      <c r="D156">
        <v>0</v>
      </c>
      <c r="E156">
        <v>0</v>
      </c>
      <c r="F156">
        <v>0</v>
      </c>
    </row>
    <row r="157" spans="1:6" x14ac:dyDescent="0.25">
      <c r="A157" t="s">
        <v>27</v>
      </c>
      <c r="B157" t="s">
        <v>1581</v>
      </c>
      <c r="C157">
        <v>13106</v>
      </c>
      <c r="D157">
        <v>0</v>
      </c>
      <c r="E157">
        <v>0</v>
      </c>
      <c r="F157">
        <v>0</v>
      </c>
    </row>
    <row r="158" spans="1:6" x14ac:dyDescent="0.25">
      <c r="A158" t="s">
        <v>531</v>
      </c>
      <c r="B158" t="s">
        <v>1582</v>
      </c>
      <c r="C158">
        <v>13107</v>
      </c>
      <c r="D158">
        <v>0</v>
      </c>
      <c r="E158">
        <v>0</v>
      </c>
      <c r="F158">
        <v>0</v>
      </c>
    </row>
    <row r="159" spans="1:6" x14ac:dyDescent="0.25">
      <c r="A159" t="s">
        <v>1583</v>
      </c>
      <c r="B159" t="s">
        <v>1584</v>
      </c>
      <c r="C159">
        <v>13108</v>
      </c>
      <c r="D159">
        <v>0</v>
      </c>
      <c r="E159">
        <v>0</v>
      </c>
      <c r="F159">
        <v>0</v>
      </c>
    </row>
    <row r="160" spans="1:6" x14ac:dyDescent="0.25">
      <c r="A160" t="s">
        <v>1585</v>
      </c>
      <c r="B160" t="s">
        <v>1586</v>
      </c>
      <c r="C160">
        <v>13109</v>
      </c>
      <c r="D160">
        <v>0</v>
      </c>
      <c r="E160">
        <v>0</v>
      </c>
      <c r="F160">
        <v>0</v>
      </c>
    </row>
    <row r="161" spans="1:6" x14ac:dyDescent="0.25">
      <c r="A161" t="s">
        <v>1587</v>
      </c>
      <c r="B161" t="s">
        <v>1588</v>
      </c>
      <c r="C161">
        <v>13110</v>
      </c>
      <c r="D161">
        <v>0</v>
      </c>
      <c r="E161">
        <v>0</v>
      </c>
      <c r="F161">
        <v>0</v>
      </c>
    </row>
    <row r="162" spans="1:6" x14ac:dyDescent="0.25">
      <c r="A162" t="s">
        <v>1589</v>
      </c>
      <c r="B162" t="s">
        <v>1590</v>
      </c>
      <c r="C162">
        <v>13111</v>
      </c>
      <c r="D162">
        <v>0</v>
      </c>
      <c r="E162">
        <v>0</v>
      </c>
      <c r="F162">
        <v>0</v>
      </c>
    </row>
    <row r="163" spans="1:6" x14ac:dyDescent="0.25">
      <c r="A163" t="s">
        <v>1591</v>
      </c>
      <c r="B163" t="s">
        <v>1592</v>
      </c>
      <c r="C163">
        <v>13112</v>
      </c>
      <c r="D163">
        <v>0</v>
      </c>
      <c r="E163">
        <v>0</v>
      </c>
      <c r="F163">
        <v>0</v>
      </c>
    </row>
    <row r="164" spans="1:6" x14ac:dyDescent="0.25">
      <c r="A164" t="s">
        <v>1593</v>
      </c>
      <c r="B164" t="s">
        <v>1594</v>
      </c>
      <c r="C164">
        <v>13113</v>
      </c>
      <c r="D164">
        <v>0</v>
      </c>
      <c r="E164">
        <v>0</v>
      </c>
      <c r="F164">
        <v>0</v>
      </c>
    </row>
    <row r="165" spans="1:6" x14ac:dyDescent="0.25">
      <c r="A165" t="s">
        <v>1595</v>
      </c>
      <c r="B165" t="s">
        <v>1596</v>
      </c>
      <c r="C165">
        <v>13114</v>
      </c>
      <c r="D165">
        <v>0</v>
      </c>
      <c r="E165">
        <v>0</v>
      </c>
      <c r="F165">
        <v>0</v>
      </c>
    </row>
    <row r="166" spans="1:6" x14ac:dyDescent="0.25">
      <c r="A166" t="s">
        <v>1597</v>
      </c>
      <c r="B166" t="s">
        <v>1598</v>
      </c>
      <c r="C166">
        <v>13115</v>
      </c>
      <c r="D166">
        <v>0</v>
      </c>
      <c r="E166">
        <v>0</v>
      </c>
      <c r="F166">
        <v>0</v>
      </c>
    </row>
    <row r="167" spans="1:6" x14ac:dyDescent="0.25">
      <c r="A167" t="s">
        <v>1599</v>
      </c>
      <c r="B167" t="s">
        <v>1600</v>
      </c>
      <c r="C167">
        <v>13116</v>
      </c>
      <c r="D167">
        <v>0</v>
      </c>
      <c r="E167">
        <v>0</v>
      </c>
      <c r="F167">
        <v>0</v>
      </c>
    </row>
    <row r="168" spans="1:6" x14ac:dyDescent="0.25">
      <c r="A168" t="s">
        <v>1601</v>
      </c>
      <c r="B168" t="s">
        <v>1602</v>
      </c>
      <c r="C168">
        <v>13117</v>
      </c>
      <c r="D168">
        <v>0</v>
      </c>
      <c r="E168">
        <v>0</v>
      </c>
      <c r="F168">
        <v>0</v>
      </c>
    </row>
    <row r="169" spans="1:6" x14ac:dyDescent="0.25">
      <c r="A169" t="s">
        <v>1603</v>
      </c>
      <c r="B169" t="s">
        <v>1604</v>
      </c>
      <c r="C169">
        <v>13118</v>
      </c>
      <c r="D169">
        <v>0</v>
      </c>
      <c r="E169">
        <v>0</v>
      </c>
      <c r="F169">
        <v>0</v>
      </c>
    </row>
    <row r="170" spans="1:6" x14ac:dyDescent="0.25">
      <c r="A170" t="s">
        <v>1605</v>
      </c>
      <c r="B170" t="s">
        <v>1606</v>
      </c>
      <c r="C170">
        <v>13119</v>
      </c>
      <c r="D170">
        <v>0</v>
      </c>
      <c r="E170">
        <v>0</v>
      </c>
      <c r="F170">
        <v>0</v>
      </c>
    </row>
    <row r="171" spans="1:6" x14ac:dyDescent="0.25">
      <c r="A171" t="s">
        <v>1607</v>
      </c>
      <c r="B171" t="s">
        <v>1608</v>
      </c>
      <c r="C171">
        <v>13120</v>
      </c>
      <c r="D171">
        <v>0</v>
      </c>
      <c r="E171">
        <v>0</v>
      </c>
      <c r="F171">
        <v>0</v>
      </c>
    </row>
    <row r="172" spans="1:6" x14ac:dyDescent="0.25">
      <c r="B172" t="s">
        <v>1662</v>
      </c>
      <c r="D172">
        <v>0</v>
      </c>
      <c r="E172">
        <v>0</v>
      </c>
      <c r="F172">
        <v>0</v>
      </c>
    </row>
    <row r="173" spans="1:6" x14ac:dyDescent="0.25">
      <c r="B173" t="s">
        <v>1656</v>
      </c>
    </row>
    <row r="174" spans="1:6" x14ac:dyDescent="0.25">
      <c r="A174" t="s">
        <v>2</v>
      </c>
      <c r="B174" t="s">
        <v>1611</v>
      </c>
      <c r="C174">
        <v>13201</v>
      </c>
      <c r="D174">
        <v>0</v>
      </c>
      <c r="E174">
        <v>0</v>
      </c>
      <c r="F174">
        <v>0</v>
      </c>
    </row>
    <row r="175" spans="1:6" x14ac:dyDescent="0.25">
      <c r="A175" t="s">
        <v>15</v>
      </c>
      <c r="B175" t="s">
        <v>1612</v>
      </c>
      <c r="C175">
        <v>13202</v>
      </c>
      <c r="D175">
        <v>0</v>
      </c>
      <c r="E175">
        <v>0</v>
      </c>
      <c r="F175">
        <v>0</v>
      </c>
    </row>
    <row r="176" spans="1:6" x14ac:dyDescent="0.25">
      <c r="A176" t="s">
        <v>16</v>
      </c>
      <c r="B176" t="s">
        <v>1613</v>
      </c>
      <c r="C176">
        <v>13203</v>
      </c>
      <c r="D176">
        <v>0</v>
      </c>
      <c r="E176">
        <v>0</v>
      </c>
      <c r="F176">
        <v>0</v>
      </c>
    </row>
    <row r="177" spans="1:6" x14ac:dyDescent="0.25">
      <c r="A177" t="s">
        <v>25</v>
      </c>
      <c r="B177" t="s">
        <v>1614</v>
      </c>
      <c r="C177">
        <v>13204</v>
      </c>
      <c r="D177">
        <v>0</v>
      </c>
      <c r="E177">
        <v>0</v>
      </c>
      <c r="F177">
        <v>0</v>
      </c>
    </row>
    <row r="178" spans="1:6" x14ac:dyDescent="0.25">
      <c r="A178" t="s">
        <v>26</v>
      </c>
      <c r="B178" t="s">
        <v>1615</v>
      </c>
      <c r="C178">
        <v>13205</v>
      </c>
      <c r="D178">
        <v>0</v>
      </c>
      <c r="E178">
        <v>0</v>
      </c>
      <c r="F178">
        <v>0</v>
      </c>
    </row>
    <row r="179" spans="1:6" x14ac:dyDescent="0.25">
      <c r="A179" t="s">
        <v>27</v>
      </c>
      <c r="B179" t="s">
        <v>1616</v>
      </c>
      <c r="C179">
        <v>13206</v>
      </c>
      <c r="D179">
        <v>0</v>
      </c>
      <c r="E179">
        <v>0</v>
      </c>
      <c r="F179">
        <v>0</v>
      </c>
    </row>
    <row r="180" spans="1:6" x14ac:dyDescent="0.25">
      <c r="A180" t="s">
        <v>531</v>
      </c>
      <c r="B180" t="s">
        <v>1617</v>
      </c>
      <c r="C180">
        <v>13207</v>
      </c>
      <c r="D180">
        <v>0</v>
      </c>
      <c r="E180">
        <v>0</v>
      </c>
      <c r="F180">
        <v>0</v>
      </c>
    </row>
    <row r="181" spans="1:6" x14ac:dyDescent="0.25">
      <c r="A181" t="s">
        <v>1583</v>
      </c>
      <c r="B181" t="s">
        <v>1618</v>
      </c>
      <c r="C181">
        <v>13208</v>
      </c>
      <c r="D181">
        <v>0</v>
      </c>
      <c r="E181">
        <v>0</v>
      </c>
      <c r="F181">
        <v>0</v>
      </c>
    </row>
    <row r="182" spans="1:6" x14ac:dyDescent="0.25">
      <c r="A182" t="s">
        <v>1585</v>
      </c>
      <c r="B182" t="s">
        <v>1619</v>
      </c>
      <c r="C182">
        <v>13209</v>
      </c>
      <c r="D182">
        <v>0</v>
      </c>
      <c r="E182">
        <v>0</v>
      </c>
      <c r="F182">
        <v>0</v>
      </c>
    </row>
    <row r="183" spans="1:6" x14ac:dyDescent="0.25">
      <c r="A183" t="s">
        <v>1587</v>
      </c>
      <c r="B183" t="s">
        <v>1620</v>
      </c>
      <c r="C183">
        <v>13210</v>
      </c>
      <c r="D183">
        <v>0</v>
      </c>
      <c r="E183">
        <v>0</v>
      </c>
      <c r="F183">
        <v>0</v>
      </c>
    </row>
    <row r="184" spans="1:6" x14ac:dyDescent="0.25">
      <c r="A184" t="s">
        <v>1589</v>
      </c>
      <c r="B184" t="s">
        <v>1621</v>
      </c>
      <c r="C184">
        <v>13211</v>
      </c>
      <c r="D184">
        <v>0</v>
      </c>
      <c r="E184">
        <v>0</v>
      </c>
      <c r="F184">
        <v>0</v>
      </c>
    </row>
    <row r="185" spans="1:6" x14ac:dyDescent="0.25">
      <c r="A185" t="s">
        <v>1591</v>
      </c>
      <c r="B185" t="s">
        <v>1622</v>
      </c>
      <c r="C185">
        <v>13212</v>
      </c>
      <c r="D185">
        <v>0</v>
      </c>
      <c r="E185">
        <v>0</v>
      </c>
      <c r="F185">
        <v>0</v>
      </c>
    </row>
    <row r="186" spans="1:6" x14ac:dyDescent="0.25">
      <c r="A186" t="s">
        <v>1593</v>
      </c>
      <c r="B186" t="s">
        <v>1623</v>
      </c>
      <c r="C186">
        <v>13213</v>
      </c>
      <c r="D186">
        <v>0</v>
      </c>
      <c r="E186">
        <v>0</v>
      </c>
      <c r="F186">
        <v>0</v>
      </c>
    </row>
    <row r="187" spans="1:6" x14ac:dyDescent="0.25">
      <c r="A187" t="s">
        <v>1595</v>
      </c>
      <c r="B187" t="s">
        <v>1624</v>
      </c>
      <c r="C187">
        <v>13214</v>
      </c>
      <c r="D187">
        <v>0</v>
      </c>
      <c r="E187">
        <v>0</v>
      </c>
      <c r="F187">
        <v>0</v>
      </c>
    </row>
    <row r="188" spans="1:6" x14ac:dyDescent="0.25">
      <c r="A188" t="s">
        <v>1597</v>
      </c>
      <c r="B188" t="s">
        <v>1625</v>
      </c>
      <c r="C188">
        <v>13215</v>
      </c>
      <c r="D188">
        <v>0</v>
      </c>
      <c r="E188">
        <v>0</v>
      </c>
      <c r="F188">
        <v>0</v>
      </c>
    </row>
    <row r="189" spans="1:6" x14ac:dyDescent="0.25">
      <c r="A189" t="s">
        <v>1599</v>
      </c>
      <c r="B189" t="s">
        <v>1626</v>
      </c>
      <c r="C189">
        <v>13216</v>
      </c>
      <c r="D189">
        <v>0</v>
      </c>
      <c r="E189">
        <v>0</v>
      </c>
      <c r="F189">
        <v>0</v>
      </c>
    </row>
    <row r="190" spans="1:6" x14ac:dyDescent="0.25">
      <c r="A190" t="s">
        <v>1601</v>
      </c>
      <c r="B190" t="s">
        <v>1627</v>
      </c>
      <c r="C190">
        <v>13217</v>
      </c>
      <c r="D190">
        <v>0</v>
      </c>
      <c r="E190">
        <v>0</v>
      </c>
      <c r="F190">
        <v>0</v>
      </c>
    </row>
    <row r="191" spans="1:6" x14ac:dyDescent="0.25">
      <c r="A191" t="s">
        <v>1603</v>
      </c>
      <c r="B191" t="s">
        <v>1596</v>
      </c>
      <c r="C191">
        <v>13218</v>
      </c>
      <c r="D191">
        <v>0</v>
      </c>
      <c r="E191">
        <v>0</v>
      </c>
      <c r="F191">
        <v>0</v>
      </c>
    </row>
    <row r="192" spans="1:6" x14ac:dyDescent="0.25">
      <c r="A192" t="s">
        <v>1605</v>
      </c>
      <c r="B192" t="s">
        <v>1598</v>
      </c>
      <c r="C192">
        <v>13219</v>
      </c>
      <c r="D192">
        <v>0</v>
      </c>
      <c r="E192">
        <v>0</v>
      </c>
      <c r="F192">
        <v>0</v>
      </c>
    </row>
    <row r="193" spans="1:6" x14ac:dyDescent="0.25">
      <c r="A193" t="s">
        <v>1607</v>
      </c>
      <c r="B193" t="s">
        <v>1602</v>
      </c>
      <c r="C193">
        <v>13220</v>
      </c>
      <c r="D193">
        <v>0</v>
      </c>
      <c r="E193">
        <v>0</v>
      </c>
      <c r="F193">
        <v>0</v>
      </c>
    </row>
    <row r="194" spans="1:6" x14ac:dyDescent="0.25">
      <c r="B194" t="s">
        <v>1663</v>
      </c>
      <c r="D194">
        <v>0</v>
      </c>
      <c r="E194">
        <v>0</v>
      </c>
      <c r="F194">
        <v>0</v>
      </c>
    </row>
    <row r="195" spans="1:6" x14ac:dyDescent="0.25">
      <c r="B195" t="s">
        <v>1629</v>
      </c>
    </row>
    <row r="196" spans="1:6" x14ac:dyDescent="0.25">
      <c r="A196" t="s">
        <v>2</v>
      </c>
      <c r="B196" t="s">
        <v>1627</v>
      </c>
      <c r="C196">
        <v>13301</v>
      </c>
      <c r="D196">
        <v>0</v>
      </c>
      <c r="E196">
        <v>0</v>
      </c>
      <c r="F196">
        <v>0</v>
      </c>
    </row>
    <row r="197" spans="1:6" x14ac:dyDescent="0.25">
      <c r="A197" t="s">
        <v>15</v>
      </c>
      <c r="B197" t="s">
        <v>1625</v>
      </c>
      <c r="C197">
        <v>13302</v>
      </c>
      <c r="D197">
        <v>0</v>
      </c>
      <c r="E197">
        <v>0</v>
      </c>
      <c r="F197">
        <v>0</v>
      </c>
    </row>
    <row r="198" spans="1:6" x14ac:dyDescent="0.25">
      <c r="A198" t="s">
        <v>16</v>
      </c>
      <c r="B198" t="s">
        <v>1626</v>
      </c>
      <c r="C198">
        <v>13303</v>
      </c>
      <c r="D198">
        <v>0</v>
      </c>
      <c r="E198">
        <v>0</v>
      </c>
      <c r="F198">
        <v>0</v>
      </c>
    </row>
    <row r="199" spans="1:6" x14ac:dyDescent="0.25">
      <c r="B199" t="s">
        <v>1664</v>
      </c>
      <c r="D199">
        <v>0</v>
      </c>
      <c r="E199">
        <v>0</v>
      </c>
      <c r="F199">
        <v>0</v>
      </c>
    </row>
    <row r="200" spans="1:6" x14ac:dyDescent="0.25">
      <c r="B200" t="s">
        <v>1631</v>
      </c>
    </row>
    <row r="201" spans="1:6" x14ac:dyDescent="0.25">
      <c r="A201" t="s">
        <v>2</v>
      </c>
      <c r="B201" t="s">
        <v>1627</v>
      </c>
      <c r="C201">
        <v>13401</v>
      </c>
      <c r="D201">
        <v>0</v>
      </c>
      <c r="E201">
        <v>0</v>
      </c>
      <c r="F201">
        <v>0</v>
      </c>
    </row>
    <row r="202" spans="1:6" x14ac:dyDescent="0.25">
      <c r="A202" t="s">
        <v>15</v>
      </c>
      <c r="B202" t="s">
        <v>1625</v>
      </c>
      <c r="C202">
        <v>13402</v>
      </c>
      <c r="D202">
        <v>0</v>
      </c>
      <c r="E202">
        <v>0</v>
      </c>
      <c r="F202">
        <v>0</v>
      </c>
    </row>
    <row r="203" spans="1:6" x14ac:dyDescent="0.25">
      <c r="A203" t="s">
        <v>16</v>
      </c>
      <c r="B203" t="s">
        <v>1626</v>
      </c>
      <c r="C203">
        <v>13403</v>
      </c>
      <c r="D203">
        <v>0</v>
      </c>
      <c r="E203">
        <v>0</v>
      </c>
      <c r="F203">
        <v>0</v>
      </c>
    </row>
    <row r="204" spans="1:6" x14ac:dyDescent="0.25">
      <c r="B204" t="s">
        <v>1665</v>
      </c>
      <c r="D204">
        <v>0</v>
      </c>
      <c r="E204">
        <v>0</v>
      </c>
      <c r="F204">
        <v>0</v>
      </c>
    </row>
    <row r="205" spans="1:6" x14ac:dyDescent="0.25">
      <c r="B205" t="s">
        <v>1633</v>
      </c>
    </row>
    <row r="206" spans="1:6" x14ac:dyDescent="0.25">
      <c r="A206" t="s">
        <v>2</v>
      </c>
      <c r="B206" t="s">
        <v>1634</v>
      </c>
      <c r="C206">
        <v>13501</v>
      </c>
      <c r="D206">
        <v>0</v>
      </c>
      <c r="E206">
        <v>0</v>
      </c>
      <c r="F206">
        <v>0</v>
      </c>
    </row>
    <row r="207" spans="1:6" x14ac:dyDescent="0.25">
      <c r="A207" t="s">
        <v>15</v>
      </c>
      <c r="B207" t="s">
        <v>1635</v>
      </c>
      <c r="C207">
        <v>13502</v>
      </c>
      <c r="D207">
        <v>0</v>
      </c>
      <c r="E207">
        <v>0</v>
      </c>
      <c r="F207">
        <v>0</v>
      </c>
    </row>
    <row r="208" spans="1:6" x14ac:dyDescent="0.25">
      <c r="A208" t="s">
        <v>16</v>
      </c>
      <c r="B208" t="s">
        <v>1636</v>
      </c>
      <c r="C208">
        <v>13503</v>
      </c>
      <c r="D208">
        <v>0</v>
      </c>
      <c r="E208">
        <v>0</v>
      </c>
      <c r="F208">
        <v>0</v>
      </c>
    </row>
    <row r="209" spans="1:6" x14ac:dyDescent="0.25">
      <c r="A209" t="s">
        <v>25</v>
      </c>
      <c r="B209" t="s">
        <v>1637</v>
      </c>
      <c r="C209">
        <v>13504</v>
      </c>
      <c r="D209">
        <v>0</v>
      </c>
      <c r="E209">
        <v>0</v>
      </c>
      <c r="F209">
        <v>0</v>
      </c>
    </row>
    <row r="210" spans="1:6" x14ac:dyDescent="0.25">
      <c r="A210" t="s">
        <v>26</v>
      </c>
      <c r="B210" t="s">
        <v>1638</v>
      </c>
      <c r="C210">
        <v>13505</v>
      </c>
      <c r="D210">
        <v>0</v>
      </c>
      <c r="E210">
        <v>0</v>
      </c>
      <c r="F210">
        <v>0</v>
      </c>
    </row>
    <row r="211" spans="1:6" x14ac:dyDescent="0.25">
      <c r="A211" t="s">
        <v>27</v>
      </c>
      <c r="B211" t="s">
        <v>1639</v>
      </c>
      <c r="C211">
        <v>13506</v>
      </c>
      <c r="D211">
        <v>0</v>
      </c>
      <c r="E211">
        <v>0</v>
      </c>
      <c r="F211">
        <v>0</v>
      </c>
    </row>
    <row r="212" spans="1:6" x14ac:dyDescent="0.25">
      <c r="A212" t="s">
        <v>531</v>
      </c>
      <c r="B212" t="s">
        <v>1640</v>
      </c>
      <c r="C212">
        <v>13507</v>
      </c>
      <c r="D212">
        <v>0</v>
      </c>
      <c r="E212">
        <v>0</v>
      </c>
      <c r="F212">
        <v>0</v>
      </c>
    </row>
    <row r="213" spans="1:6" x14ac:dyDescent="0.25">
      <c r="A213" t="s">
        <v>1583</v>
      </c>
      <c r="B213" t="s">
        <v>1641</v>
      </c>
      <c r="C213">
        <v>13508</v>
      </c>
      <c r="D213">
        <v>0</v>
      </c>
      <c r="E213">
        <v>0</v>
      </c>
      <c r="F213">
        <v>0</v>
      </c>
    </row>
    <row r="214" spans="1:6" x14ac:dyDescent="0.25">
      <c r="B214" t="s">
        <v>1666</v>
      </c>
      <c r="D214">
        <v>0</v>
      </c>
      <c r="E214">
        <v>0</v>
      </c>
      <c r="F214">
        <v>0</v>
      </c>
    </row>
    <row r="215" spans="1:6" x14ac:dyDescent="0.25">
      <c r="B215" t="s">
        <v>1643</v>
      </c>
    </row>
    <row r="216" spans="1:6" x14ac:dyDescent="0.25">
      <c r="A216" t="s">
        <v>2</v>
      </c>
      <c r="B216" t="s">
        <v>1634</v>
      </c>
      <c r="C216">
        <v>13601</v>
      </c>
      <c r="D216">
        <v>0</v>
      </c>
      <c r="E216">
        <v>0</v>
      </c>
      <c r="F216">
        <v>0</v>
      </c>
    </row>
    <row r="217" spans="1:6" x14ac:dyDescent="0.25">
      <c r="A217" t="s">
        <v>15</v>
      </c>
      <c r="B217" t="s">
        <v>1635</v>
      </c>
      <c r="C217">
        <v>13602</v>
      </c>
      <c r="D217">
        <v>0</v>
      </c>
      <c r="E217">
        <v>0</v>
      </c>
      <c r="F217">
        <v>0</v>
      </c>
    </row>
    <row r="218" spans="1:6" x14ac:dyDescent="0.25">
      <c r="A218" t="s">
        <v>16</v>
      </c>
      <c r="B218" t="s">
        <v>1636</v>
      </c>
      <c r="C218">
        <v>13603</v>
      </c>
      <c r="D218">
        <v>0</v>
      </c>
      <c r="E218">
        <v>0</v>
      </c>
      <c r="F218">
        <v>0</v>
      </c>
    </row>
    <row r="219" spans="1:6" x14ac:dyDescent="0.25">
      <c r="A219" t="s">
        <v>25</v>
      </c>
      <c r="B219" t="s">
        <v>1637</v>
      </c>
      <c r="C219">
        <v>13604</v>
      </c>
      <c r="D219">
        <v>0</v>
      </c>
      <c r="E219">
        <v>0</v>
      </c>
      <c r="F219">
        <v>0</v>
      </c>
    </row>
    <row r="220" spans="1:6" x14ac:dyDescent="0.25">
      <c r="A220" t="s">
        <v>26</v>
      </c>
      <c r="B220" t="s">
        <v>1638</v>
      </c>
      <c r="C220">
        <v>13605</v>
      </c>
      <c r="D220">
        <v>0</v>
      </c>
      <c r="E220">
        <v>0</v>
      </c>
      <c r="F220">
        <v>0</v>
      </c>
    </row>
    <row r="221" spans="1:6" x14ac:dyDescent="0.25">
      <c r="A221" t="s">
        <v>27</v>
      </c>
      <c r="B221" t="s">
        <v>1639</v>
      </c>
      <c r="C221">
        <v>13606</v>
      </c>
      <c r="D221">
        <v>0</v>
      </c>
      <c r="E221">
        <v>0</v>
      </c>
      <c r="F221">
        <v>0</v>
      </c>
    </row>
    <row r="222" spans="1:6" x14ac:dyDescent="0.25">
      <c r="A222" t="s">
        <v>531</v>
      </c>
      <c r="B222" t="s">
        <v>1640</v>
      </c>
      <c r="C222">
        <v>13607</v>
      </c>
      <c r="D222">
        <v>0</v>
      </c>
      <c r="E222">
        <v>0</v>
      </c>
      <c r="F222">
        <v>0</v>
      </c>
    </row>
    <row r="223" spans="1:6" x14ac:dyDescent="0.25">
      <c r="A223" t="s">
        <v>1583</v>
      </c>
      <c r="B223" t="s">
        <v>1641</v>
      </c>
      <c r="C223">
        <v>13608</v>
      </c>
      <c r="D223">
        <v>0</v>
      </c>
      <c r="E223">
        <v>0</v>
      </c>
      <c r="F223">
        <v>0</v>
      </c>
    </row>
    <row r="224" spans="1:6" x14ac:dyDescent="0.25">
      <c r="B224" t="s">
        <v>1667</v>
      </c>
      <c r="D224">
        <v>0</v>
      </c>
      <c r="E224">
        <v>0</v>
      </c>
      <c r="F224">
        <v>0</v>
      </c>
    </row>
    <row r="225" spans="1:6" x14ac:dyDescent="0.25">
      <c r="B225" t="s">
        <v>1645</v>
      </c>
    </row>
    <row r="226" spans="1:6" x14ac:dyDescent="0.25">
      <c r="A226" t="s">
        <v>2</v>
      </c>
      <c r="B226" t="s">
        <v>1634</v>
      </c>
      <c r="C226">
        <v>13701</v>
      </c>
      <c r="D226">
        <v>0</v>
      </c>
      <c r="E226">
        <v>0</v>
      </c>
      <c r="F226">
        <v>0</v>
      </c>
    </row>
    <row r="227" spans="1:6" x14ac:dyDescent="0.25">
      <c r="A227" t="s">
        <v>15</v>
      </c>
      <c r="B227" t="s">
        <v>1635</v>
      </c>
      <c r="C227">
        <v>13702</v>
      </c>
      <c r="D227">
        <v>0</v>
      </c>
      <c r="E227">
        <v>0</v>
      </c>
      <c r="F227">
        <v>0</v>
      </c>
    </row>
    <row r="228" spans="1:6" x14ac:dyDescent="0.25">
      <c r="A228" t="s">
        <v>16</v>
      </c>
      <c r="B228" t="s">
        <v>1636</v>
      </c>
      <c r="C228">
        <v>13703</v>
      </c>
      <c r="D228">
        <v>0</v>
      </c>
      <c r="E228">
        <v>0</v>
      </c>
      <c r="F228">
        <v>0</v>
      </c>
    </row>
    <row r="229" spans="1:6" x14ac:dyDescent="0.25">
      <c r="A229" t="s">
        <v>25</v>
      </c>
      <c r="B229" t="s">
        <v>1637</v>
      </c>
      <c r="C229">
        <v>13704</v>
      </c>
      <c r="D229">
        <v>0</v>
      </c>
      <c r="E229">
        <v>0</v>
      </c>
      <c r="F229">
        <v>0</v>
      </c>
    </row>
    <row r="230" spans="1:6" x14ac:dyDescent="0.25">
      <c r="A230" t="s">
        <v>26</v>
      </c>
      <c r="B230" t="s">
        <v>1638</v>
      </c>
      <c r="C230">
        <v>13705</v>
      </c>
      <c r="D230">
        <v>0</v>
      </c>
      <c r="E230">
        <v>0</v>
      </c>
      <c r="F230">
        <v>0</v>
      </c>
    </row>
    <row r="231" spans="1:6" x14ac:dyDescent="0.25">
      <c r="A231" t="s">
        <v>27</v>
      </c>
      <c r="B231" t="s">
        <v>1639</v>
      </c>
      <c r="C231">
        <v>13706</v>
      </c>
      <c r="D231">
        <v>0</v>
      </c>
      <c r="E231">
        <v>0</v>
      </c>
      <c r="F231">
        <v>0</v>
      </c>
    </row>
    <row r="232" spans="1:6" x14ac:dyDescent="0.25">
      <c r="A232" t="s">
        <v>531</v>
      </c>
      <c r="B232" t="s">
        <v>1640</v>
      </c>
      <c r="C232">
        <v>13707</v>
      </c>
      <c r="D232">
        <v>0</v>
      </c>
      <c r="E232">
        <v>0</v>
      </c>
      <c r="F232">
        <v>0</v>
      </c>
    </row>
    <row r="233" spans="1:6" x14ac:dyDescent="0.25">
      <c r="A233" t="s">
        <v>1583</v>
      </c>
      <c r="B233" t="s">
        <v>1641</v>
      </c>
      <c r="C233">
        <v>13708</v>
      </c>
      <c r="D233">
        <v>0</v>
      </c>
      <c r="E233">
        <v>0</v>
      </c>
      <c r="F233">
        <v>0</v>
      </c>
    </row>
    <row r="234" spans="1:6" x14ac:dyDescent="0.25">
      <c r="B234" t="s">
        <v>1668</v>
      </c>
      <c r="D234">
        <v>0</v>
      </c>
      <c r="E234">
        <v>0</v>
      </c>
      <c r="F234">
        <v>0</v>
      </c>
    </row>
    <row r="235" spans="1:6" x14ac:dyDescent="0.25">
      <c r="B235" t="s">
        <v>1647</v>
      </c>
    </row>
    <row r="236" spans="1:6" x14ac:dyDescent="0.25">
      <c r="A236" t="s">
        <v>2</v>
      </c>
      <c r="B236" t="s">
        <v>1648</v>
      </c>
      <c r="C236">
        <v>13801</v>
      </c>
      <c r="D236">
        <v>0</v>
      </c>
      <c r="E236">
        <v>0</v>
      </c>
      <c r="F236">
        <v>0</v>
      </c>
    </row>
    <row r="237" spans="1:6" x14ac:dyDescent="0.25">
      <c r="A237" t="s">
        <v>15</v>
      </c>
      <c r="B237" t="s">
        <v>1649</v>
      </c>
      <c r="C237">
        <v>13802</v>
      </c>
      <c r="D237">
        <v>0</v>
      </c>
      <c r="E237">
        <v>0</v>
      </c>
      <c r="F237">
        <v>0</v>
      </c>
    </row>
    <row r="238" spans="1:6" x14ac:dyDescent="0.25">
      <c r="A238" t="s">
        <v>16</v>
      </c>
      <c r="B238" t="s">
        <v>1637</v>
      </c>
      <c r="C238">
        <v>13803</v>
      </c>
      <c r="D238">
        <v>0</v>
      </c>
      <c r="E238">
        <v>0</v>
      </c>
      <c r="F238">
        <v>0</v>
      </c>
    </row>
    <row r="239" spans="1:6" x14ac:dyDescent="0.25">
      <c r="A239" t="s">
        <v>25</v>
      </c>
      <c r="B239" t="s">
        <v>1638</v>
      </c>
      <c r="C239">
        <v>13804</v>
      </c>
      <c r="D239">
        <v>0</v>
      </c>
      <c r="E239">
        <v>0</v>
      </c>
      <c r="F239">
        <v>0</v>
      </c>
    </row>
    <row r="240" spans="1:6" x14ac:dyDescent="0.25">
      <c r="A240" t="s">
        <v>26</v>
      </c>
      <c r="B240" t="s">
        <v>1650</v>
      </c>
      <c r="C240">
        <v>13805</v>
      </c>
      <c r="D240">
        <v>0</v>
      </c>
      <c r="E240">
        <v>0</v>
      </c>
      <c r="F240">
        <v>0</v>
      </c>
    </row>
    <row r="241" spans="1:6" x14ac:dyDescent="0.25">
      <c r="A241" t="s">
        <v>27</v>
      </c>
      <c r="B241" t="s">
        <v>1651</v>
      </c>
      <c r="C241">
        <v>13806</v>
      </c>
      <c r="D241">
        <v>0</v>
      </c>
      <c r="E241">
        <v>0</v>
      </c>
      <c r="F241">
        <v>0</v>
      </c>
    </row>
    <row r="242" spans="1:6" x14ac:dyDescent="0.25">
      <c r="A242" t="s">
        <v>531</v>
      </c>
      <c r="B242" t="s">
        <v>1640</v>
      </c>
      <c r="C242">
        <v>13807</v>
      </c>
      <c r="D242">
        <v>0</v>
      </c>
      <c r="E242">
        <v>0</v>
      </c>
      <c r="F242">
        <v>0</v>
      </c>
    </row>
    <row r="243" spans="1:6" x14ac:dyDescent="0.25">
      <c r="A243" t="s">
        <v>1583</v>
      </c>
      <c r="B243" t="s">
        <v>1641</v>
      </c>
      <c r="C243">
        <v>13808</v>
      </c>
      <c r="D243">
        <v>0</v>
      </c>
      <c r="E243">
        <v>0</v>
      </c>
      <c r="F243">
        <v>0</v>
      </c>
    </row>
    <row r="244" spans="1:6" x14ac:dyDescent="0.25">
      <c r="B244" t="s">
        <v>1669</v>
      </c>
      <c r="D244">
        <v>0</v>
      </c>
      <c r="E244">
        <v>0</v>
      </c>
      <c r="F244">
        <v>0</v>
      </c>
    </row>
    <row r="245" spans="1:6" x14ac:dyDescent="0.25">
      <c r="B245" t="s">
        <v>1670</v>
      </c>
      <c r="D245">
        <v>0</v>
      </c>
      <c r="E245">
        <v>0</v>
      </c>
      <c r="F245">
        <v>0</v>
      </c>
    </row>
    <row r="246" spans="1:6" x14ac:dyDescent="0.25">
      <c r="B246" t="s">
        <v>1671</v>
      </c>
    </row>
    <row r="247" spans="1:6" x14ac:dyDescent="0.25">
      <c r="B247" t="s">
        <v>1672</v>
      </c>
    </row>
    <row r="248" spans="1:6" x14ac:dyDescent="0.25">
      <c r="A248" t="s">
        <v>2</v>
      </c>
      <c r="B248" t="s">
        <v>1673</v>
      </c>
      <c r="C248">
        <v>14101</v>
      </c>
      <c r="D248">
        <v>0</v>
      </c>
      <c r="E248">
        <v>0</v>
      </c>
      <c r="F248">
        <v>0</v>
      </c>
    </row>
    <row r="249" spans="1:6" x14ac:dyDescent="0.25">
      <c r="A249" t="s">
        <v>15</v>
      </c>
      <c r="B249" t="s">
        <v>1674</v>
      </c>
      <c r="C249">
        <v>14102</v>
      </c>
      <c r="D249">
        <v>0</v>
      </c>
      <c r="E249">
        <v>0</v>
      </c>
      <c r="F249">
        <v>0</v>
      </c>
    </row>
    <row r="250" spans="1:6" x14ac:dyDescent="0.25">
      <c r="A250" t="s">
        <v>16</v>
      </c>
      <c r="B250" t="s">
        <v>1675</v>
      </c>
      <c r="C250">
        <v>14103</v>
      </c>
      <c r="D250">
        <v>0</v>
      </c>
      <c r="E250">
        <v>0</v>
      </c>
      <c r="F250">
        <v>0</v>
      </c>
    </row>
    <row r="251" spans="1:6" x14ac:dyDescent="0.25">
      <c r="A251" t="s">
        <v>25</v>
      </c>
      <c r="B251" t="s">
        <v>1676</v>
      </c>
      <c r="C251">
        <v>14104</v>
      </c>
      <c r="D251">
        <v>0</v>
      </c>
      <c r="E251">
        <v>0</v>
      </c>
      <c r="F251">
        <v>0</v>
      </c>
    </row>
    <row r="252" spans="1:6" x14ac:dyDescent="0.25">
      <c r="A252" t="s">
        <v>26</v>
      </c>
      <c r="B252" t="s">
        <v>1677</v>
      </c>
      <c r="C252">
        <v>14105</v>
      </c>
      <c r="D252">
        <v>0</v>
      </c>
      <c r="E252">
        <v>0</v>
      </c>
      <c r="F252">
        <v>0</v>
      </c>
    </row>
    <row r="253" spans="1:6" x14ac:dyDescent="0.25">
      <c r="B253" t="s">
        <v>1678</v>
      </c>
      <c r="D253">
        <v>0</v>
      </c>
      <c r="E253">
        <v>0</v>
      </c>
      <c r="F253">
        <v>0</v>
      </c>
    </row>
    <row r="254" spans="1:6" x14ac:dyDescent="0.25">
      <c r="B254" t="s">
        <v>1679</v>
      </c>
    </row>
    <row r="255" spans="1:6" x14ac:dyDescent="0.25">
      <c r="A255" t="s">
        <v>2</v>
      </c>
      <c r="B255" t="s">
        <v>1680</v>
      </c>
      <c r="C255">
        <v>14201</v>
      </c>
      <c r="D255">
        <v>0</v>
      </c>
      <c r="E255">
        <v>0</v>
      </c>
      <c r="F255">
        <v>0</v>
      </c>
    </row>
    <row r="256" spans="1:6" x14ac:dyDescent="0.25">
      <c r="A256" t="s">
        <v>15</v>
      </c>
      <c r="B256" t="s">
        <v>1681</v>
      </c>
      <c r="C256">
        <v>14202</v>
      </c>
      <c r="D256">
        <v>0</v>
      </c>
      <c r="E256">
        <v>0</v>
      </c>
      <c r="F256">
        <v>0</v>
      </c>
    </row>
    <row r="257" spans="1:6" x14ac:dyDescent="0.25">
      <c r="A257" t="s">
        <v>16</v>
      </c>
      <c r="B257" t="s">
        <v>1682</v>
      </c>
      <c r="C257">
        <v>14203</v>
      </c>
      <c r="D257">
        <v>0</v>
      </c>
      <c r="E257">
        <v>0</v>
      </c>
      <c r="F257">
        <v>0</v>
      </c>
    </row>
    <row r="258" spans="1:6" x14ac:dyDescent="0.25">
      <c r="A258" t="s">
        <v>25</v>
      </c>
      <c r="B258" t="s">
        <v>1683</v>
      </c>
      <c r="C258">
        <v>14204</v>
      </c>
      <c r="D258">
        <v>0</v>
      </c>
      <c r="E258">
        <v>0</v>
      </c>
      <c r="F258">
        <v>0</v>
      </c>
    </row>
    <row r="259" spans="1:6" x14ac:dyDescent="0.25">
      <c r="A259" t="s">
        <v>26</v>
      </c>
      <c r="B259" t="s">
        <v>1684</v>
      </c>
      <c r="C259">
        <v>14205</v>
      </c>
      <c r="D259">
        <v>0</v>
      </c>
      <c r="E259">
        <v>0</v>
      </c>
      <c r="F259">
        <v>0</v>
      </c>
    </row>
    <row r="260" spans="1:6" x14ac:dyDescent="0.25">
      <c r="A260" t="s">
        <v>27</v>
      </c>
      <c r="B260" t="s">
        <v>1685</v>
      </c>
      <c r="C260">
        <v>14206</v>
      </c>
      <c r="D260">
        <v>0</v>
      </c>
      <c r="E260">
        <v>0</v>
      </c>
      <c r="F260">
        <v>0</v>
      </c>
    </row>
    <row r="261" spans="1:6" x14ac:dyDescent="0.25">
      <c r="A261" t="s">
        <v>531</v>
      </c>
      <c r="B261" t="s">
        <v>1686</v>
      </c>
      <c r="C261">
        <v>14207</v>
      </c>
      <c r="D261">
        <v>0</v>
      </c>
      <c r="E261">
        <v>0</v>
      </c>
      <c r="F261">
        <v>0</v>
      </c>
    </row>
    <row r="262" spans="1:6" x14ac:dyDescent="0.25">
      <c r="A262" t="s">
        <v>1583</v>
      </c>
      <c r="B262" t="s">
        <v>1687</v>
      </c>
      <c r="C262">
        <v>14208</v>
      </c>
      <c r="D262">
        <v>0</v>
      </c>
      <c r="E262">
        <v>0</v>
      </c>
      <c r="F262">
        <v>0</v>
      </c>
    </row>
    <row r="263" spans="1:6" x14ac:dyDescent="0.25">
      <c r="A263" t="s">
        <v>1585</v>
      </c>
      <c r="B263" t="s">
        <v>1688</v>
      </c>
      <c r="C263">
        <v>14209</v>
      </c>
      <c r="D263">
        <v>0</v>
      </c>
      <c r="E263">
        <v>0</v>
      </c>
      <c r="F263">
        <v>0</v>
      </c>
    </row>
    <row r="264" spans="1:6" x14ac:dyDescent="0.25">
      <c r="A264" t="s">
        <v>1587</v>
      </c>
      <c r="B264" t="s">
        <v>1637</v>
      </c>
      <c r="C264">
        <v>14210</v>
      </c>
      <c r="D264">
        <v>0</v>
      </c>
      <c r="E264">
        <v>0</v>
      </c>
      <c r="F264">
        <v>0</v>
      </c>
    </row>
    <row r="265" spans="1:6" x14ac:dyDescent="0.25">
      <c r="A265" t="s">
        <v>1589</v>
      </c>
      <c r="B265" t="s">
        <v>1640</v>
      </c>
      <c r="C265">
        <v>14211</v>
      </c>
      <c r="D265">
        <v>0</v>
      </c>
      <c r="E265">
        <v>0</v>
      </c>
      <c r="F265">
        <v>0</v>
      </c>
    </row>
    <row r="266" spans="1:6" x14ac:dyDescent="0.25">
      <c r="A266" t="s">
        <v>1591</v>
      </c>
      <c r="B266" t="s">
        <v>1689</v>
      </c>
      <c r="C266">
        <v>14212</v>
      </c>
      <c r="D266">
        <v>0</v>
      </c>
      <c r="E266">
        <v>0</v>
      </c>
      <c r="F266">
        <v>0</v>
      </c>
    </row>
    <row r="267" spans="1:6" x14ac:dyDescent="0.25">
      <c r="A267" t="s">
        <v>1593</v>
      </c>
      <c r="B267" t="s">
        <v>1690</v>
      </c>
      <c r="C267">
        <v>14213</v>
      </c>
      <c r="D267">
        <v>0</v>
      </c>
      <c r="E267">
        <v>0</v>
      </c>
      <c r="F267">
        <v>0</v>
      </c>
    </row>
    <row r="268" spans="1:6" x14ac:dyDescent="0.25">
      <c r="B268" t="s">
        <v>1691</v>
      </c>
      <c r="D268">
        <v>0</v>
      </c>
      <c r="E268">
        <v>0</v>
      </c>
      <c r="F268">
        <v>0</v>
      </c>
    </row>
    <row r="269" spans="1:6" x14ac:dyDescent="0.25">
      <c r="B269" t="s">
        <v>1692</v>
      </c>
    </row>
    <row r="270" spans="1:6" x14ac:dyDescent="0.25">
      <c r="A270" t="s">
        <v>2</v>
      </c>
      <c r="B270" t="s">
        <v>1693</v>
      </c>
      <c r="C270">
        <v>14301</v>
      </c>
      <c r="D270">
        <v>0</v>
      </c>
      <c r="E270">
        <v>0</v>
      </c>
      <c r="F270">
        <v>0</v>
      </c>
    </row>
    <row r="271" spans="1:6" x14ac:dyDescent="0.25">
      <c r="A271" t="s">
        <v>15</v>
      </c>
      <c r="B271" t="s">
        <v>1694</v>
      </c>
      <c r="C271">
        <v>14302</v>
      </c>
      <c r="D271">
        <v>0</v>
      </c>
      <c r="E271">
        <v>0</v>
      </c>
      <c r="F271">
        <v>0</v>
      </c>
    </row>
    <row r="272" spans="1:6" x14ac:dyDescent="0.25">
      <c r="A272" t="s">
        <v>16</v>
      </c>
      <c r="B272" t="s">
        <v>1695</v>
      </c>
      <c r="C272">
        <v>14303</v>
      </c>
      <c r="D272">
        <v>0</v>
      </c>
      <c r="E272">
        <v>0</v>
      </c>
      <c r="F272">
        <v>0</v>
      </c>
    </row>
    <row r="273" spans="1:6" x14ac:dyDescent="0.25">
      <c r="A273" t="s">
        <v>25</v>
      </c>
      <c r="B273" t="s">
        <v>1696</v>
      </c>
      <c r="C273">
        <v>14304</v>
      </c>
      <c r="D273">
        <v>0</v>
      </c>
      <c r="E273">
        <v>0</v>
      </c>
      <c r="F273">
        <v>0</v>
      </c>
    </row>
    <row r="274" spans="1:6" x14ac:dyDescent="0.25">
      <c r="A274" t="s">
        <v>26</v>
      </c>
      <c r="B274" t="s">
        <v>1680</v>
      </c>
      <c r="C274">
        <v>14305</v>
      </c>
      <c r="D274">
        <v>0</v>
      </c>
      <c r="E274">
        <v>0</v>
      </c>
      <c r="F274">
        <v>0</v>
      </c>
    </row>
    <row r="275" spans="1:6" x14ac:dyDescent="0.25">
      <c r="A275" t="s">
        <v>27</v>
      </c>
      <c r="B275" t="s">
        <v>1681</v>
      </c>
      <c r="C275">
        <v>14306</v>
      </c>
      <c r="D275">
        <v>0</v>
      </c>
      <c r="E275">
        <v>0</v>
      </c>
      <c r="F275">
        <v>0</v>
      </c>
    </row>
    <row r="276" spans="1:6" x14ac:dyDescent="0.25">
      <c r="A276" t="s">
        <v>531</v>
      </c>
      <c r="B276" t="s">
        <v>1682</v>
      </c>
      <c r="C276">
        <v>14307</v>
      </c>
      <c r="D276">
        <v>0</v>
      </c>
      <c r="E276">
        <v>0</v>
      </c>
      <c r="F276">
        <v>0</v>
      </c>
    </row>
    <row r="277" spans="1:6" x14ac:dyDescent="0.25">
      <c r="A277" t="s">
        <v>1583</v>
      </c>
      <c r="B277" t="s">
        <v>1683</v>
      </c>
      <c r="C277">
        <v>14308</v>
      </c>
      <c r="D277">
        <v>0</v>
      </c>
      <c r="E277">
        <v>0</v>
      </c>
      <c r="F277">
        <v>0</v>
      </c>
    </row>
    <row r="278" spans="1:6" x14ac:dyDescent="0.25">
      <c r="A278" t="s">
        <v>1585</v>
      </c>
      <c r="B278" t="s">
        <v>1684</v>
      </c>
      <c r="C278">
        <v>14309</v>
      </c>
      <c r="D278">
        <v>0</v>
      </c>
      <c r="E278">
        <v>0</v>
      </c>
      <c r="F278">
        <v>0</v>
      </c>
    </row>
    <row r="279" spans="1:6" x14ac:dyDescent="0.25">
      <c r="A279" t="s">
        <v>1587</v>
      </c>
      <c r="B279" t="s">
        <v>1685</v>
      </c>
      <c r="C279">
        <v>14310</v>
      </c>
      <c r="D279">
        <v>0</v>
      </c>
      <c r="E279">
        <v>0</v>
      </c>
      <c r="F279">
        <v>0</v>
      </c>
    </row>
    <row r="280" spans="1:6" x14ac:dyDescent="0.25">
      <c r="A280" t="s">
        <v>1589</v>
      </c>
      <c r="B280" t="s">
        <v>1686</v>
      </c>
      <c r="C280">
        <v>14311</v>
      </c>
      <c r="D280">
        <v>0</v>
      </c>
      <c r="E280">
        <v>0</v>
      </c>
      <c r="F280">
        <v>0</v>
      </c>
    </row>
    <row r="281" spans="1:6" x14ac:dyDescent="0.25">
      <c r="A281" t="s">
        <v>1591</v>
      </c>
      <c r="B281" t="s">
        <v>1687</v>
      </c>
      <c r="C281">
        <v>14312</v>
      </c>
      <c r="D281">
        <v>0</v>
      </c>
      <c r="E281">
        <v>0</v>
      </c>
      <c r="F281">
        <v>0</v>
      </c>
    </row>
    <row r="282" spans="1:6" x14ac:dyDescent="0.25">
      <c r="A282" t="s">
        <v>1593</v>
      </c>
      <c r="B282" t="s">
        <v>1688</v>
      </c>
      <c r="C282">
        <v>14313</v>
      </c>
      <c r="D282">
        <v>0</v>
      </c>
      <c r="E282">
        <v>0</v>
      </c>
      <c r="F282">
        <v>0</v>
      </c>
    </row>
    <row r="283" spans="1:6" x14ac:dyDescent="0.25">
      <c r="A283" t="s">
        <v>1595</v>
      </c>
      <c r="B283" t="s">
        <v>1690</v>
      </c>
      <c r="C283">
        <v>14314</v>
      </c>
      <c r="D283">
        <v>0</v>
      </c>
      <c r="E283">
        <v>0</v>
      </c>
      <c r="F283">
        <v>0</v>
      </c>
    </row>
    <row r="284" spans="1:6" x14ac:dyDescent="0.25">
      <c r="A284" t="s">
        <v>1597</v>
      </c>
      <c r="B284" t="s">
        <v>1637</v>
      </c>
      <c r="C284">
        <v>14315</v>
      </c>
      <c r="D284">
        <v>0</v>
      </c>
      <c r="E284">
        <v>0</v>
      </c>
      <c r="F284">
        <v>0</v>
      </c>
    </row>
    <row r="285" spans="1:6" x14ac:dyDescent="0.25">
      <c r="A285" t="s">
        <v>1599</v>
      </c>
      <c r="B285" t="s">
        <v>1640</v>
      </c>
      <c r="C285">
        <v>14316</v>
      </c>
      <c r="D285">
        <v>0</v>
      </c>
      <c r="E285">
        <v>0</v>
      </c>
      <c r="F285">
        <v>0</v>
      </c>
    </row>
    <row r="286" spans="1:6" x14ac:dyDescent="0.25">
      <c r="A286" t="s">
        <v>1601</v>
      </c>
      <c r="B286" t="s">
        <v>1636</v>
      </c>
      <c r="C286">
        <v>14317</v>
      </c>
      <c r="D286">
        <v>0</v>
      </c>
      <c r="E286">
        <v>0</v>
      </c>
      <c r="F286">
        <v>0</v>
      </c>
    </row>
    <row r="287" spans="1:6" x14ac:dyDescent="0.25">
      <c r="A287" t="s">
        <v>1603</v>
      </c>
      <c r="B287" t="s">
        <v>1689</v>
      </c>
      <c r="C287">
        <v>14318</v>
      </c>
      <c r="D287">
        <v>0</v>
      </c>
      <c r="E287">
        <v>0</v>
      </c>
      <c r="F287">
        <v>0</v>
      </c>
    </row>
    <row r="288" spans="1:6" x14ac:dyDescent="0.25">
      <c r="B288" t="s">
        <v>1697</v>
      </c>
      <c r="D288">
        <v>0</v>
      </c>
      <c r="E288">
        <v>0</v>
      </c>
      <c r="F288">
        <v>0</v>
      </c>
    </row>
    <row r="289" spans="1:6" x14ac:dyDescent="0.25">
      <c r="B289" t="s">
        <v>1698</v>
      </c>
    </row>
    <row r="290" spans="1:6" x14ac:dyDescent="0.25">
      <c r="A290" t="s">
        <v>2</v>
      </c>
      <c r="B290" t="s">
        <v>1699</v>
      </c>
      <c r="C290">
        <v>14401</v>
      </c>
      <c r="D290">
        <v>0</v>
      </c>
      <c r="E290">
        <v>0</v>
      </c>
      <c r="F290">
        <v>0</v>
      </c>
    </row>
    <row r="291" spans="1:6" x14ac:dyDescent="0.25">
      <c r="A291" t="s">
        <v>15</v>
      </c>
      <c r="B291" t="s">
        <v>1694</v>
      </c>
      <c r="C291">
        <v>14402</v>
      </c>
      <c r="D291">
        <v>0</v>
      </c>
      <c r="E291">
        <v>0</v>
      </c>
      <c r="F291">
        <v>0</v>
      </c>
    </row>
    <row r="292" spans="1:6" x14ac:dyDescent="0.25">
      <c r="A292" t="s">
        <v>16</v>
      </c>
      <c r="B292" t="s">
        <v>1695</v>
      </c>
      <c r="C292">
        <v>14403</v>
      </c>
      <c r="D292">
        <v>0</v>
      </c>
      <c r="E292">
        <v>0</v>
      </c>
      <c r="F292">
        <v>0</v>
      </c>
    </row>
    <row r="293" spans="1:6" x14ac:dyDescent="0.25">
      <c r="A293" t="s">
        <v>25</v>
      </c>
      <c r="B293" t="s">
        <v>1696</v>
      </c>
      <c r="C293">
        <v>14404</v>
      </c>
      <c r="D293">
        <v>0</v>
      </c>
      <c r="E293">
        <v>0</v>
      </c>
      <c r="F293">
        <v>0</v>
      </c>
    </row>
    <row r="294" spans="1:6" x14ac:dyDescent="0.25">
      <c r="A294" t="s">
        <v>26</v>
      </c>
      <c r="B294" t="s">
        <v>1680</v>
      </c>
      <c r="C294">
        <v>14405</v>
      </c>
      <c r="D294">
        <v>0</v>
      </c>
      <c r="E294">
        <v>0</v>
      </c>
      <c r="F294">
        <v>0</v>
      </c>
    </row>
    <row r="295" spans="1:6" x14ac:dyDescent="0.25">
      <c r="A295" t="s">
        <v>27</v>
      </c>
      <c r="B295" t="s">
        <v>1681</v>
      </c>
      <c r="C295">
        <v>14406</v>
      </c>
      <c r="D295">
        <v>0</v>
      </c>
      <c r="E295">
        <v>0</v>
      </c>
      <c r="F295">
        <v>0</v>
      </c>
    </row>
    <row r="296" spans="1:6" x14ac:dyDescent="0.25">
      <c r="A296" t="s">
        <v>531</v>
      </c>
      <c r="B296" t="s">
        <v>1682</v>
      </c>
      <c r="C296">
        <v>14407</v>
      </c>
      <c r="D296">
        <v>0</v>
      </c>
      <c r="E296">
        <v>0</v>
      </c>
      <c r="F296">
        <v>0</v>
      </c>
    </row>
    <row r="297" spans="1:6" x14ac:dyDescent="0.25">
      <c r="A297" t="s">
        <v>1583</v>
      </c>
      <c r="B297" t="s">
        <v>1683</v>
      </c>
      <c r="C297">
        <v>14408</v>
      </c>
      <c r="D297">
        <v>0</v>
      </c>
      <c r="E297">
        <v>0</v>
      </c>
      <c r="F297">
        <v>0</v>
      </c>
    </row>
    <row r="298" spans="1:6" x14ac:dyDescent="0.25">
      <c r="A298" t="s">
        <v>1585</v>
      </c>
      <c r="B298" t="s">
        <v>1684</v>
      </c>
      <c r="C298">
        <v>14409</v>
      </c>
      <c r="D298">
        <v>0</v>
      </c>
      <c r="E298">
        <v>0</v>
      </c>
      <c r="F298">
        <v>0</v>
      </c>
    </row>
    <row r="299" spans="1:6" x14ac:dyDescent="0.25">
      <c r="A299" t="s">
        <v>1587</v>
      </c>
      <c r="B299" t="s">
        <v>1685</v>
      </c>
      <c r="C299">
        <v>14410</v>
      </c>
      <c r="D299">
        <v>0</v>
      </c>
      <c r="E299">
        <v>0</v>
      </c>
      <c r="F299">
        <v>0</v>
      </c>
    </row>
    <row r="300" spans="1:6" x14ac:dyDescent="0.25">
      <c r="A300" t="s">
        <v>1589</v>
      </c>
      <c r="B300" t="s">
        <v>1686</v>
      </c>
      <c r="C300">
        <v>14411</v>
      </c>
      <c r="D300">
        <v>0</v>
      </c>
      <c r="E300">
        <v>0</v>
      </c>
      <c r="F300">
        <v>0</v>
      </c>
    </row>
    <row r="301" spans="1:6" x14ac:dyDescent="0.25">
      <c r="A301" t="s">
        <v>1591</v>
      </c>
      <c r="B301" t="s">
        <v>1687</v>
      </c>
      <c r="C301">
        <v>14412</v>
      </c>
      <c r="D301">
        <v>0</v>
      </c>
      <c r="E301">
        <v>0</v>
      </c>
      <c r="F301">
        <v>0</v>
      </c>
    </row>
    <row r="302" spans="1:6" x14ac:dyDescent="0.25">
      <c r="A302" t="s">
        <v>1593</v>
      </c>
      <c r="B302" t="s">
        <v>1688</v>
      </c>
      <c r="C302">
        <v>14413</v>
      </c>
      <c r="D302">
        <v>0</v>
      </c>
      <c r="E302">
        <v>0</v>
      </c>
      <c r="F302">
        <v>0</v>
      </c>
    </row>
    <row r="303" spans="1:6" x14ac:dyDescent="0.25">
      <c r="A303" t="s">
        <v>1595</v>
      </c>
      <c r="B303" t="s">
        <v>1690</v>
      </c>
      <c r="C303">
        <v>14414</v>
      </c>
      <c r="D303">
        <v>0</v>
      </c>
      <c r="E303">
        <v>0</v>
      </c>
      <c r="F303">
        <v>0</v>
      </c>
    </row>
    <row r="304" spans="1:6" x14ac:dyDescent="0.25">
      <c r="A304" t="s">
        <v>1597</v>
      </c>
      <c r="B304" t="s">
        <v>1637</v>
      </c>
      <c r="C304">
        <v>14415</v>
      </c>
      <c r="D304">
        <v>0</v>
      </c>
      <c r="E304">
        <v>0</v>
      </c>
      <c r="F304">
        <v>0</v>
      </c>
    </row>
    <row r="305" spans="1:6" x14ac:dyDescent="0.25">
      <c r="A305" t="s">
        <v>1599</v>
      </c>
      <c r="B305" t="s">
        <v>1640</v>
      </c>
      <c r="C305">
        <v>14416</v>
      </c>
      <c r="D305">
        <v>0</v>
      </c>
      <c r="E305">
        <v>0</v>
      </c>
      <c r="F305">
        <v>0</v>
      </c>
    </row>
    <row r="306" spans="1:6" x14ac:dyDescent="0.25">
      <c r="A306" t="s">
        <v>1601</v>
      </c>
      <c r="B306" t="s">
        <v>1636</v>
      </c>
      <c r="C306">
        <v>14417</v>
      </c>
      <c r="D306">
        <v>0</v>
      </c>
      <c r="E306">
        <v>0</v>
      </c>
      <c r="F306">
        <v>0</v>
      </c>
    </row>
    <row r="307" spans="1:6" x14ac:dyDescent="0.25">
      <c r="A307" t="s">
        <v>1603</v>
      </c>
      <c r="B307" t="s">
        <v>1689</v>
      </c>
      <c r="C307">
        <v>14418</v>
      </c>
      <c r="D307">
        <v>0</v>
      </c>
      <c r="E307">
        <v>0</v>
      </c>
      <c r="F307">
        <v>0</v>
      </c>
    </row>
    <row r="308" spans="1:6" x14ac:dyDescent="0.25">
      <c r="B308" t="s">
        <v>1700</v>
      </c>
      <c r="D308">
        <v>0</v>
      </c>
      <c r="E308">
        <v>0</v>
      </c>
      <c r="F308">
        <v>0</v>
      </c>
    </row>
    <row r="309" spans="1:6" x14ac:dyDescent="0.25">
      <c r="B309" t="s">
        <v>1701</v>
      </c>
    </row>
    <row r="310" spans="1:6" x14ac:dyDescent="0.25">
      <c r="A310" t="s">
        <v>2</v>
      </c>
      <c r="B310" t="s">
        <v>1702</v>
      </c>
      <c r="C310">
        <v>14501</v>
      </c>
      <c r="D310">
        <v>0</v>
      </c>
      <c r="E310">
        <v>0</v>
      </c>
      <c r="F310">
        <v>0</v>
      </c>
    </row>
    <row r="311" spans="1:6" x14ac:dyDescent="0.25">
      <c r="A311" t="s">
        <v>15</v>
      </c>
      <c r="B311" t="s">
        <v>1703</v>
      </c>
      <c r="C311">
        <v>14502</v>
      </c>
      <c r="D311">
        <v>0</v>
      </c>
      <c r="E311">
        <v>0</v>
      </c>
      <c r="F311">
        <v>0</v>
      </c>
    </row>
    <row r="312" spans="1:6" x14ac:dyDescent="0.25">
      <c r="B312" t="s">
        <v>1704</v>
      </c>
      <c r="D312">
        <v>0</v>
      </c>
      <c r="E312">
        <v>0</v>
      </c>
      <c r="F312">
        <v>0</v>
      </c>
    </row>
    <row r="313" spans="1:6" x14ac:dyDescent="0.25">
      <c r="B313" t="s">
        <v>1705</v>
      </c>
    </row>
    <row r="314" spans="1:6" x14ac:dyDescent="0.25">
      <c r="A314" t="s">
        <v>2</v>
      </c>
      <c r="B314" t="s">
        <v>1702</v>
      </c>
      <c r="C314">
        <v>14601</v>
      </c>
      <c r="D314">
        <v>0</v>
      </c>
      <c r="E314">
        <v>0</v>
      </c>
      <c r="F314">
        <v>0</v>
      </c>
    </row>
    <row r="315" spans="1:6" x14ac:dyDescent="0.25">
      <c r="A315" t="s">
        <v>15</v>
      </c>
      <c r="B315" t="s">
        <v>1703</v>
      </c>
      <c r="C315">
        <v>14602</v>
      </c>
      <c r="D315">
        <v>0</v>
      </c>
      <c r="E315">
        <v>0</v>
      </c>
      <c r="F315">
        <v>0</v>
      </c>
    </row>
    <row r="316" spans="1:6" x14ac:dyDescent="0.25">
      <c r="B316" t="s">
        <v>1706</v>
      </c>
      <c r="D316">
        <v>0</v>
      </c>
      <c r="E316">
        <v>0</v>
      </c>
      <c r="F316">
        <v>0</v>
      </c>
    </row>
    <row r="317" spans="1:6" x14ac:dyDescent="0.25">
      <c r="B317" t="s">
        <v>1707</v>
      </c>
    </row>
    <row r="318" spans="1:6" x14ac:dyDescent="0.25">
      <c r="A318" t="s">
        <v>2</v>
      </c>
      <c r="B318" t="s">
        <v>1702</v>
      </c>
      <c r="C318">
        <v>14701</v>
      </c>
      <c r="D318">
        <v>0</v>
      </c>
      <c r="E318">
        <v>0</v>
      </c>
      <c r="F318">
        <v>0</v>
      </c>
    </row>
    <row r="319" spans="1:6" x14ac:dyDescent="0.25">
      <c r="A319" t="s">
        <v>15</v>
      </c>
      <c r="B319" t="s">
        <v>1703</v>
      </c>
      <c r="C319">
        <v>14702</v>
      </c>
      <c r="D319">
        <v>0</v>
      </c>
      <c r="E319">
        <v>0</v>
      </c>
      <c r="F319">
        <v>0</v>
      </c>
    </row>
    <row r="320" spans="1:6" x14ac:dyDescent="0.25">
      <c r="B320" t="s">
        <v>1708</v>
      </c>
      <c r="D320">
        <v>0</v>
      </c>
      <c r="E320">
        <v>0</v>
      </c>
      <c r="F320">
        <v>0</v>
      </c>
    </row>
    <row r="321" spans="1:6" x14ac:dyDescent="0.25">
      <c r="B321" t="s">
        <v>1709</v>
      </c>
    </row>
    <row r="322" spans="1:6" x14ac:dyDescent="0.25">
      <c r="A322" t="s">
        <v>2</v>
      </c>
      <c r="B322" t="s">
        <v>1710</v>
      </c>
      <c r="C322">
        <v>14801</v>
      </c>
      <c r="D322">
        <v>0</v>
      </c>
      <c r="E322">
        <v>0</v>
      </c>
      <c r="F322">
        <v>0</v>
      </c>
    </row>
    <row r="323" spans="1:6" x14ac:dyDescent="0.25">
      <c r="A323" t="s">
        <v>15</v>
      </c>
      <c r="B323" t="s">
        <v>1711</v>
      </c>
      <c r="C323">
        <v>14802</v>
      </c>
      <c r="D323">
        <v>0</v>
      </c>
      <c r="E323">
        <v>0</v>
      </c>
      <c r="F323">
        <v>0</v>
      </c>
    </row>
    <row r="324" spans="1:6" x14ac:dyDescent="0.25">
      <c r="A324" t="s">
        <v>16</v>
      </c>
      <c r="B324" t="s">
        <v>1712</v>
      </c>
      <c r="C324">
        <v>14803</v>
      </c>
      <c r="D324">
        <v>0</v>
      </c>
      <c r="E324">
        <v>0</v>
      </c>
      <c r="F324">
        <v>0</v>
      </c>
    </row>
    <row r="325" spans="1:6" x14ac:dyDescent="0.25">
      <c r="A325" t="s">
        <v>25</v>
      </c>
      <c r="B325" t="s">
        <v>1713</v>
      </c>
      <c r="C325">
        <v>14804</v>
      </c>
      <c r="D325">
        <v>0</v>
      </c>
      <c r="E325">
        <v>0</v>
      </c>
      <c r="F325">
        <v>0</v>
      </c>
    </row>
    <row r="326" spans="1:6" x14ac:dyDescent="0.25">
      <c r="A326" t="s">
        <v>26</v>
      </c>
      <c r="B326" t="s">
        <v>1714</v>
      </c>
      <c r="C326">
        <v>14805</v>
      </c>
      <c r="D326">
        <v>0</v>
      </c>
      <c r="E326">
        <v>0</v>
      </c>
      <c r="F326">
        <v>0</v>
      </c>
    </row>
    <row r="327" spans="1:6" x14ac:dyDescent="0.25">
      <c r="B327" t="s">
        <v>1715</v>
      </c>
      <c r="D327">
        <v>0</v>
      </c>
      <c r="E327">
        <v>0</v>
      </c>
      <c r="F327">
        <v>0</v>
      </c>
    </row>
    <row r="328" spans="1:6" x14ac:dyDescent="0.25">
      <c r="B328" t="s">
        <v>1716</v>
      </c>
      <c r="D328">
        <v>0</v>
      </c>
      <c r="E328">
        <v>0</v>
      </c>
      <c r="F328">
        <v>0</v>
      </c>
    </row>
    <row r="329" spans="1:6" x14ac:dyDescent="0.25">
      <c r="B329" t="s">
        <v>1717</v>
      </c>
    </row>
    <row r="330" spans="1:6" x14ac:dyDescent="0.25">
      <c r="B330" t="s">
        <v>1575</v>
      </c>
    </row>
    <row r="331" spans="1:6" x14ac:dyDescent="0.25">
      <c r="A331" t="s">
        <v>2</v>
      </c>
      <c r="B331" t="s">
        <v>1576</v>
      </c>
      <c r="C331">
        <v>15101</v>
      </c>
      <c r="D331">
        <v>0</v>
      </c>
      <c r="F331">
        <v>0</v>
      </c>
    </row>
    <row r="332" spans="1:6" x14ac:dyDescent="0.25">
      <c r="A332" t="s">
        <v>15</v>
      </c>
      <c r="B332" t="s">
        <v>1577</v>
      </c>
      <c r="C332">
        <v>15102</v>
      </c>
      <c r="D332">
        <v>128774</v>
      </c>
      <c r="F332">
        <v>128774</v>
      </c>
    </row>
    <row r="333" spans="1:6" x14ac:dyDescent="0.25">
      <c r="A333" t="s">
        <v>16</v>
      </c>
      <c r="B333" t="s">
        <v>1578</v>
      </c>
      <c r="C333">
        <v>15103</v>
      </c>
      <c r="D333">
        <v>0</v>
      </c>
      <c r="F333">
        <v>0</v>
      </c>
    </row>
    <row r="334" spans="1:6" x14ac:dyDescent="0.25">
      <c r="A334" t="s">
        <v>25</v>
      </c>
      <c r="B334" t="s">
        <v>1579</v>
      </c>
      <c r="C334">
        <v>15104</v>
      </c>
      <c r="D334">
        <v>0</v>
      </c>
      <c r="F334">
        <v>0</v>
      </c>
    </row>
    <row r="335" spans="1:6" x14ac:dyDescent="0.25">
      <c r="A335" t="s">
        <v>26</v>
      </c>
      <c r="B335" t="s">
        <v>1580</v>
      </c>
      <c r="C335">
        <v>15105</v>
      </c>
      <c r="D335">
        <v>62</v>
      </c>
      <c r="F335">
        <v>62</v>
      </c>
    </row>
    <row r="336" spans="1:6" x14ac:dyDescent="0.25">
      <c r="A336" t="s">
        <v>27</v>
      </c>
      <c r="B336" t="s">
        <v>1581</v>
      </c>
      <c r="C336">
        <v>15106</v>
      </c>
      <c r="D336">
        <v>0</v>
      </c>
      <c r="F336">
        <v>0</v>
      </c>
    </row>
    <row r="337" spans="1:6" x14ac:dyDescent="0.25">
      <c r="A337" t="s">
        <v>531</v>
      </c>
      <c r="B337" t="s">
        <v>1582</v>
      </c>
      <c r="C337">
        <v>15107</v>
      </c>
      <c r="D337">
        <v>0</v>
      </c>
      <c r="F337">
        <v>0</v>
      </c>
    </row>
    <row r="338" spans="1:6" x14ac:dyDescent="0.25">
      <c r="A338" t="s">
        <v>1583</v>
      </c>
      <c r="B338" t="s">
        <v>1584</v>
      </c>
      <c r="C338">
        <v>15108</v>
      </c>
      <c r="D338">
        <v>0</v>
      </c>
      <c r="F338">
        <v>0</v>
      </c>
    </row>
    <row r="339" spans="1:6" x14ac:dyDescent="0.25">
      <c r="A339" t="s">
        <v>1585</v>
      </c>
      <c r="B339" t="s">
        <v>1586</v>
      </c>
      <c r="C339">
        <v>15109</v>
      </c>
      <c r="D339">
        <v>121707</v>
      </c>
      <c r="F339">
        <v>121707</v>
      </c>
    </row>
    <row r="340" spans="1:6" x14ac:dyDescent="0.25">
      <c r="A340" t="s">
        <v>1587</v>
      </c>
      <c r="B340" t="s">
        <v>1588</v>
      </c>
      <c r="C340">
        <v>15110</v>
      </c>
      <c r="D340">
        <v>95118</v>
      </c>
      <c r="F340">
        <v>95118</v>
      </c>
    </row>
    <row r="341" spans="1:6" x14ac:dyDescent="0.25">
      <c r="A341" t="s">
        <v>1589</v>
      </c>
      <c r="B341" t="s">
        <v>1590</v>
      </c>
      <c r="C341">
        <v>15111</v>
      </c>
      <c r="D341">
        <v>892517</v>
      </c>
      <c r="F341">
        <v>892517</v>
      </c>
    </row>
    <row r="342" spans="1:6" x14ac:dyDescent="0.25">
      <c r="A342" t="s">
        <v>1591</v>
      </c>
      <c r="B342" t="s">
        <v>1592</v>
      </c>
      <c r="C342">
        <v>15112</v>
      </c>
      <c r="D342">
        <v>15992171</v>
      </c>
      <c r="F342">
        <v>15992171</v>
      </c>
    </row>
    <row r="343" spans="1:6" x14ac:dyDescent="0.25">
      <c r="A343" t="s">
        <v>1593</v>
      </c>
      <c r="B343" t="s">
        <v>1594</v>
      </c>
      <c r="C343">
        <v>15113</v>
      </c>
      <c r="D343">
        <v>3747</v>
      </c>
      <c r="F343">
        <v>3747</v>
      </c>
    </row>
    <row r="344" spans="1:6" x14ac:dyDescent="0.25">
      <c r="A344" t="s">
        <v>1595</v>
      </c>
      <c r="B344" t="s">
        <v>1596</v>
      </c>
      <c r="C344">
        <v>15114</v>
      </c>
      <c r="D344">
        <v>299640</v>
      </c>
      <c r="F344">
        <v>299640</v>
      </c>
    </row>
    <row r="345" spans="1:6" x14ac:dyDescent="0.25">
      <c r="A345" t="s">
        <v>1597</v>
      </c>
      <c r="B345" t="s">
        <v>1598</v>
      </c>
      <c r="C345">
        <v>15115</v>
      </c>
      <c r="D345">
        <v>4947772</v>
      </c>
      <c r="F345">
        <v>4947772</v>
      </c>
    </row>
    <row r="346" spans="1:6" x14ac:dyDescent="0.25">
      <c r="A346" t="s">
        <v>1599</v>
      </c>
      <c r="B346" t="s">
        <v>1600</v>
      </c>
      <c r="C346">
        <v>15116</v>
      </c>
      <c r="D346">
        <v>143673</v>
      </c>
      <c r="F346">
        <v>143673</v>
      </c>
    </row>
    <row r="347" spans="1:6" x14ac:dyDescent="0.25">
      <c r="A347" t="s">
        <v>1601</v>
      </c>
      <c r="B347" t="s">
        <v>1602</v>
      </c>
      <c r="C347">
        <v>15117</v>
      </c>
      <c r="D347">
        <v>0</v>
      </c>
      <c r="F347">
        <v>0</v>
      </c>
    </row>
    <row r="348" spans="1:6" x14ac:dyDescent="0.25">
      <c r="A348" t="s">
        <v>1603</v>
      </c>
      <c r="B348" t="s">
        <v>1604</v>
      </c>
      <c r="C348">
        <v>15118</v>
      </c>
      <c r="D348">
        <v>3133300</v>
      </c>
      <c r="F348">
        <v>3133300</v>
      </c>
    </row>
    <row r="349" spans="1:6" x14ac:dyDescent="0.25">
      <c r="A349" t="s">
        <v>1605</v>
      </c>
      <c r="B349" t="s">
        <v>1606</v>
      </c>
      <c r="C349">
        <v>15119</v>
      </c>
      <c r="D349">
        <v>0</v>
      </c>
      <c r="F349">
        <v>0</v>
      </c>
    </row>
    <row r="350" spans="1:6" x14ac:dyDescent="0.25">
      <c r="A350" t="s">
        <v>1607</v>
      </c>
      <c r="B350" t="s">
        <v>1608</v>
      </c>
      <c r="C350">
        <v>15120</v>
      </c>
      <c r="D350">
        <v>0</v>
      </c>
      <c r="F350">
        <v>0</v>
      </c>
    </row>
    <row r="351" spans="1:6" x14ac:dyDescent="0.25">
      <c r="B351" t="s">
        <v>1718</v>
      </c>
      <c r="D351">
        <v>25758481</v>
      </c>
      <c r="F351">
        <v>25758481</v>
      </c>
    </row>
    <row r="352" spans="1:6" x14ac:dyDescent="0.25">
      <c r="B352" t="s">
        <v>1656</v>
      </c>
    </row>
    <row r="353" spans="1:6" x14ac:dyDescent="0.25">
      <c r="A353" t="s">
        <v>2</v>
      </c>
      <c r="B353" t="s">
        <v>1611</v>
      </c>
      <c r="C353">
        <v>15201</v>
      </c>
      <c r="D353">
        <v>0</v>
      </c>
      <c r="F353">
        <v>0</v>
      </c>
    </row>
    <row r="354" spans="1:6" x14ac:dyDescent="0.25">
      <c r="A354" t="s">
        <v>15</v>
      </c>
      <c r="B354" t="s">
        <v>1612</v>
      </c>
      <c r="C354">
        <v>15202</v>
      </c>
      <c r="D354">
        <v>255148</v>
      </c>
      <c r="F354">
        <v>255148</v>
      </c>
    </row>
    <row r="355" spans="1:6" x14ac:dyDescent="0.25">
      <c r="A355" t="s">
        <v>16</v>
      </c>
      <c r="B355" t="s">
        <v>1613</v>
      </c>
      <c r="C355">
        <v>15203</v>
      </c>
      <c r="D355">
        <v>0</v>
      </c>
      <c r="F355">
        <v>0</v>
      </c>
    </row>
    <row r="356" spans="1:6" x14ac:dyDescent="0.25">
      <c r="A356" t="s">
        <v>25</v>
      </c>
      <c r="B356" t="s">
        <v>1614</v>
      </c>
      <c r="C356">
        <v>15204</v>
      </c>
      <c r="D356">
        <v>21740</v>
      </c>
      <c r="F356">
        <v>21740</v>
      </c>
    </row>
    <row r="357" spans="1:6" x14ac:dyDescent="0.25">
      <c r="A357" t="s">
        <v>26</v>
      </c>
      <c r="B357" t="s">
        <v>1615</v>
      </c>
      <c r="C357">
        <v>15205</v>
      </c>
      <c r="D357">
        <v>0</v>
      </c>
      <c r="F357">
        <v>0</v>
      </c>
    </row>
    <row r="358" spans="1:6" x14ac:dyDescent="0.25">
      <c r="A358" t="s">
        <v>27</v>
      </c>
      <c r="B358" t="s">
        <v>1616</v>
      </c>
      <c r="C358">
        <v>15206</v>
      </c>
      <c r="D358">
        <v>0</v>
      </c>
      <c r="F358">
        <v>0</v>
      </c>
    </row>
    <row r="359" spans="1:6" x14ac:dyDescent="0.25">
      <c r="A359" t="s">
        <v>531</v>
      </c>
      <c r="B359" t="s">
        <v>1617</v>
      </c>
      <c r="C359">
        <v>15207</v>
      </c>
      <c r="D359">
        <v>0</v>
      </c>
      <c r="F359">
        <v>0</v>
      </c>
    </row>
    <row r="360" spans="1:6" x14ac:dyDescent="0.25">
      <c r="A360" t="s">
        <v>1583</v>
      </c>
      <c r="B360" t="s">
        <v>1618</v>
      </c>
      <c r="C360">
        <v>15208</v>
      </c>
      <c r="D360">
        <v>0</v>
      </c>
      <c r="F360">
        <v>0</v>
      </c>
    </row>
    <row r="361" spans="1:6" x14ac:dyDescent="0.25">
      <c r="A361" t="s">
        <v>1585</v>
      </c>
      <c r="B361" t="s">
        <v>1619</v>
      </c>
      <c r="C361">
        <v>15209</v>
      </c>
      <c r="D361">
        <v>0</v>
      </c>
      <c r="F361">
        <v>0</v>
      </c>
    </row>
    <row r="362" spans="1:6" x14ac:dyDescent="0.25">
      <c r="A362" t="s">
        <v>1587</v>
      </c>
      <c r="B362" t="s">
        <v>1620</v>
      </c>
      <c r="C362">
        <v>15210</v>
      </c>
      <c r="D362">
        <v>0</v>
      </c>
      <c r="F362">
        <v>0</v>
      </c>
    </row>
    <row r="363" spans="1:6" x14ac:dyDescent="0.25">
      <c r="A363" t="s">
        <v>1589</v>
      </c>
      <c r="B363" t="s">
        <v>1621</v>
      </c>
      <c r="C363">
        <v>15211</v>
      </c>
      <c r="D363">
        <v>1636611</v>
      </c>
      <c r="F363">
        <v>1636611</v>
      </c>
    </row>
    <row r="364" spans="1:6" x14ac:dyDescent="0.25">
      <c r="A364" t="s">
        <v>1591</v>
      </c>
      <c r="B364" t="s">
        <v>1622</v>
      </c>
      <c r="C364">
        <v>15212</v>
      </c>
      <c r="D364">
        <v>14617918</v>
      </c>
      <c r="F364">
        <v>14617918</v>
      </c>
    </row>
    <row r="365" spans="1:6" x14ac:dyDescent="0.25">
      <c r="A365" t="s">
        <v>1593</v>
      </c>
      <c r="B365" t="s">
        <v>1623</v>
      </c>
      <c r="C365">
        <v>15213</v>
      </c>
      <c r="D365">
        <v>0</v>
      </c>
      <c r="F365">
        <v>0</v>
      </c>
    </row>
    <row r="366" spans="1:6" x14ac:dyDescent="0.25">
      <c r="A366" t="s">
        <v>1595</v>
      </c>
      <c r="B366" t="s">
        <v>1624</v>
      </c>
      <c r="C366">
        <v>15214</v>
      </c>
      <c r="D366">
        <v>0</v>
      </c>
      <c r="F366">
        <v>0</v>
      </c>
    </row>
    <row r="367" spans="1:6" x14ac:dyDescent="0.25">
      <c r="A367" t="s">
        <v>1597</v>
      </c>
      <c r="B367" t="s">
        <v>1625</v>
      </c>
      <c r="C367">
        <v>15215</v>
      </c>
      <c r="D367">
        <v>0</v>
      </c>
      <c r="F367">
        <v>0</v>
      </c>
    </row>
    <row r="368" spans="1:6" x14ac:dyDescent="0.25">
      <c r="A368" t="s">
        <v>1599</v>
      </c>
      <c r="B368" t="s">
        <v>1626</v>
      </c>
      <c r="C368">
        <v>15216</v>
      </c>
      <c r="D368">
        <v>0</v>
      </c>
      <c r="F368">
        <v>0</v>
      </c>
    </row>
    <row r="369" spans="1:6" x14ac:dyDescent="0.25">
      <c r="A369" t="s">
        <v>1601</v>
      </c>
      <c r="B369" t="s">
        <v>1627</v>
      </c>
      <c r="C369">
        <v>15217</v>
      </c>
      <c r="D369">
        <v>0</v>
      </c>
      <c r="F369">
        <v>0</v>
      </c>
    </row>
    <row r="370" spans="1:6" x14ac:dyDescent="0.25">
      <c r="A370" t="s">
        <v>1603</v>
      </c>
      <c r="B370" t="s">
        <v>1596</v>
      </c>
      <c r="C370">
        <v>15218</v>
      </c>
      <c r="D370">
        <v>66</v>
      </c>
      <c r="F370">
        <v>66</v>
      </c>
    </row>
    <row r="371" spans="1:6" x14ac:dyDescent="0.25">
      <c r="A371" t="s">
        <v>1605</v>
      </c>
      <c r="B371" t="s">
        <v>1598</v>
      </c>
      <c r="C371">
        <v>15219</v>
      </c>
      <c r="D371">
        <v>132263</v>
      </c>
      <c r="F371">
        <v>132263</v>
      </c>
    </row>
    <row r="372" spans="1:6" x14ac:dyDescent="0.25">
      <c r="A372" t="s">
        <v>1607</v>
      </c>
      <c r="B372" t="s">
        <v>1602</v>
      </c>
      <c r="C372">
        <v>15220</v>
      </c>
      <c r="D372">
        <v>0</v>
      </c>
      <c r="F372">
        <v>0</v>
      </c>
    </row>
    <row r="373" spans="1:6" x14ac:dyDescent="0.25">
      <c r="B373" t="s">
        <v>1719</v>
      </c>
      <c r="D373">
        <v>16663746</v>
      </c>
      <c r="F373">
        <v>16663746</v>
      </c>
    </row>
    <row r="374" spans="1:6" x14ac:dyDescent="0.25">
      <c r="B374" t="s">
        <v>1629</v>
      </c>
    </row>
    <row r="375" spans="1:6" x14ac:dyDescent="0.25">
      <c r="A375" t="s">
        <v>2</v>
      </c>
      <c r="B375" t="s">
        <v>1627</v>
      </c>
      <c r="C375">
        <v>15301</v>
      </c>
      <c r="D375">
        <v>0</v>
      </c>
      <c r="F375">
        <v>0</v>
      </c>
    </row>
    <row r="376" spans="1:6" x14ac:dyDescent="0.25">
      <c r="A376" t="s">
        <v>15</v>
      </c>
      <c r="B376" t="s">
        <v>1625</v>
      </c>
      <c r="C376">
        <v>15302</v>
      </c>
      <c r="D376">
        <v>34034</v>
      </c>
      <c r="F376">
        <v>34034</v>
      </c>
    </row>
    <row r="377" spans="1:6" x14ac:dyDescent="0.25">
      <c r="A377" t="s">
        <v>16</v>
      </c>
      <c r="B377" t="s">
        <v>1626</v>
      </c>
      <c r="C377">
        <v>15303</v>
      </c>
      <c r="D377">
        <v>0</v>
      </c>
      <c r="F377">
        <v>0</v>
      </c>
    </row>
    <row r="378" spans="1:6" x14ac:dyDescent="0.25">
      <c r="B378" t="s">
        <v>1720</v>
      </c>
      <c r="D378">
        <v>34034</v>
      </c>
      <c r="F378">
        <v>34034</v>
      </c>
    </row>
    <row r="379" spans="1:6" x14ac:dyDescent="0.25">
      <c r="B379" t="s">
        <v>1631</v>
      </c>
    </row>
    <row r="380" spans="1:6" x14ac:dyDescent="0.25">
      <c r="A380" t="s">
        <v>2</v>
      </c>
      <c r="B380" t="s">
        <v>1627</v>
      </c>
      <c r="C380">
        <v>15401</v>
      </c>
      <c r="D380">
        <v>0</v>
      </c>
      <c r="F380">
        <v>0</v>
      </c>
    </row>
    <row r="381" spans="1:6" x14ac:dyDescent="0.25">
      <c r="A381" t="s">
        <v>15</v>
      </c>
      <c r="B381" t="s">
        <v>1625</v>
      </c>
      <c r="C381">
        <v>15402</v>
      </c>
      <c r="D381">
        <v>0</v>
      </c>
      <c r="F381">
        <v>0</v>
      </c>
    </row>
    <row r="382" spans="1:6" x14ac:dyDescent="0.25">
      <c r="A382" t="s">
        <v>16</v>
      </c>
      <c r="B382" t="s">
        <v>1626</v>
      </c>
      <c r="C382">
        <v>15403</v>
      </c>
      <c r="D382">
        <v>0</v>
      </c>
      <c r="F382">
        <v>0</v>
      </c>
    </row>
    <row r="383" spans="1:6" x14ac:dyDescent="0.25">
      <c r="B383" t="s">
        <v>1721</v>
      </c>
      <c r="D383">
        <v>0</v>
      </c>
      <c r="F383">
        <v>0</v>
      </c>
    </row>
    <row r="384" spans="1:6" x14ac:dyDescent="0.25">
      <c r="B384" t="s">
        <v>1722</v>
      </c>
    </row>
    <row r="385" spans="1:6" x14ac:dyDescent="0.25">
      <c r="A385" t="s">
        <v>2</v>
      </c>
      <c r="B385" t="s">
        <v>1634</v>
      </c>
      <c r="C385">
        <v>15501</v>
      </c>
      <c r="D385">
        <v>0</v>
      </c>
      <c r="F385">
        <v>0</v>
      </c>
    </row>
    <row r="386" spans="1:6" x14ac:dyDescent="0.25">
      <c r="A386" t="s">
        <v>15</v>
      </c>
      <c r="B386" t="s">
        <v>1635</v>
      </c>
      <c r="C386">
        <v>15502</v>
      </c>
      <c r="D386">
        <v>0</v>
      </c>
      <c r="F386">
        <v>0</v>
      </c>
    </row>
    <row r="387" spans="1:6" x14ac:dyDescent="0.25">
      <c r="A387" t="s">
        <v>16</v>
      </c>
      <c r="B387" t="s">
        <v>1636</v>
      </c>
      <c r="C387">
        <v>15503</v>
      </c>
      <c r="D387">
        <v>0</v>
      </c>
      <c r="F387">
        <v>0</v>
      </c>
    </row>
    <row r="388" spans="1:6" x14ac:dyDescent="0.25">
      <c r="A388" t="s">
        <v>25</v>
      </c>
      <c r="B388" t="s">
        <v>1637</v>
      </c>
      <c r="C388">
        <v>15504</v>
      </c>
      <c r="D388">
        <v>684</v>
      </c>
      <c r="F388">
        <v>684</v>
      </c>
    </row>
    <row r="389" spans="1:6" x14ac:dyDescent="0.25">
      <c r="A389" t="s">
        <v>26</v>
      </c>
      <c r="B389" t="s">
        <v>1638</v>
      </c>
      <c r="C389">
        <v>15505</v>
      </c>
      <c r="D389">
        <v>0</v>
      </c>
      <c r="F389">
        <v>0</v>
      </c>
    </row>
    <row r="390" spans="1:6" x14ac:dyDescent="0.25">
      <c r="A390" t="s">
        <v>27</v>
      </c>
      <c r="B390" t="s">
        <v>1639</v>
      </c>
      <c r="C390">
        <v>15506</v>
      </c>
      <c r="D390">
        <v>0</v>
      </c>
      <c r="F390">
        <v>0</v>
      </c>
    </row>
    <row r="391" spans="1:6" x14ac:dyDescent="0.25">
      <c r="A391" t="s">
        <v>531</v>
      </c>
      <c r="B391" t="s">
        <v>1640</v>
      </c>
      <c r="C391">
        <v>15507</v>
      </c>
      <c r="D391">
        <v>0</v>
      </c>
      <c r="F391">
        <v>0</v>
      </c>
    </row>
    <row r="392" spans="1:6" x14ac:dyDescent="0.25">
      <c r="A392" t="s">
        <v>1583</v>
      </c>
      <c r="B392" t="s">
        <v>1641</v>
      </c>
      <c r="C392">
        <v>15508</v>
      </c>
      <c r="D392">
        <v>0</v>
      </c>
      <c r="F392">
        <v>0</v>
      </c>
    </row>
    <row r="393" spans="1:6" x14ac:dyDescent="0.25">
      <c r="B393" t="s">
        <v>1723</v>
      </c>
      <c r="D393">
        <v>684</v>
      </c>
      <c r="F393">
        <v>684</v>
      </c>
    </row>
    <row r="394" spans="1:6" x14ac:dyDescent="0.25">
      <c r="B394" t="s">
        <v>1724</v>
      </c>
    </row>
    <row r="395" spans="1:6" x14ac:dyDescent="0.25">
      <c r="A395" t="s">
        <v>2</v>
      </c>
      <c r="B395" t="s">
        <v>1634</v>
      </c>
      <c r="C395">
        <v>15601</v>
      </c>
      <c r="D395">
        <v>0</v>
      </c>
      <c r="F395">
        <v>0</v>
      </c>
    </row>
    <row r="396" spans="1:6" x14ac:dyDescent="0.25">
      <c r="A396" t="s">
        <v>15</v>
      </c>
      <c r="B396" t="s">
        <v>1635</v>
      </c>
      <c r="C396">
        <v>15602</v>
      </c>
      <c r="D396">
        <v>0</v>
      </c>
      <c r="F396">
        <v>0</v>
      </c>
    </row>
    <row r="397" spans="1:6" x14ac:dyDescent="0.25">
      <c r="A397" t="s">
        <v>16</v>
      </c>
      <c r="B397" t="s">
        <v>1636</v>
      </c>
      <c r="C397">
        <v>15603</v>
      </c>
      <c r="D397">
        <v>0</v>
      </c>
      <c r="F397">
        <v>0</v>
      </c>
    </row>
    <row r="398" spans="1:6" x14ac:dyDescent="0.25">
      <c r="A398" t="s">
        <v>25</v>
      </c>
      <c r="B398" t="s">
        <v>1637</v>
      </c>
      <c r="C398">
        <v>15604</v>
      </c>
      <c r="D398">
        <v>494</v>
      </c>
      <c r="F398">
        <v>494</v>
      </c>
    </row>
    <row r="399" spans="1:6" x14ac:dyDescent="0.25">
      <c r="A399" t="s">
        <v>26</v>
      </c>
      <c r="B399" t="s">
        <v>1638</v>
      </c>
      <c r="C399">
        <v>15605</v>
      </c>
      <c r="D399">
        <v>0</v>
      </c>
      <c r="F399">
        <v>0</v>
      </c>
    </row>
    <row r="400" spans="1:6" x14ac:dyDescent="0.25">
      <c r="A400" t="s">
        <v>27</v>
      </c>
      <c r="B400" t="s">
        <v>1639</v>
      </c>
      <c r="C400">
        <v>15606</v>
      </c>
      <c r="D400">
        <v>0</v>
      </c>
      <c r="F400">
        <v>0</v>
      </c>
    </row>
    <row r="401" spans="1:6" x14ac:dyDescent="0.25">
      <c r="A401" t="s">
        <v>531</v>
      </c>
      <c r="B401" t="s">
        <v>1640</v>
      </c>
      <c r="C401">
        <v>15607</v>
      </c>
      <c r="D401">
        <v>0</v>
      </c>
      <c r="F401">
        <v>0</v>
      </c>
    </row>
    <row r="402" spans="1:6" x14ac:dyDescent="0.25">
      <c r="A402" t="s">
        <v>1583</v>
      </c>
      <c r="B402" t="s">
        <v>1641</v>
      </c>
      <c r="C402">
        <v>15608</v>
      </c>
      <c r="D402">
        <v>68035</v>
      </c>
      <c r="F402">
        <v>68035</v>
      </c>
    </row>
    <row r="403" spans="1:6" x14ac:dyDescent="0.25">
      <c r="B403" t="s">
        <v>1725</v>
      </c>
      <c r="D403">
        <v>68529</v>
      </c>
      <c r="F403">
        <v>68529</v>
      </c>
    </row>
    <row r="404" spans="1:6" x14ac:dyDescent="0.25">
      <c r="B404" t="s">
        <v>1726</v>
      </c>
    </row>
    <row r="405" spans="1:6" x14ac:dyDescent="0.25">
      <c r="A405" t="s">
        <v>2</v>
      </c>
      <c r="B405" t="s">
        <v>1648</v>
      </c>
      <c r="C405">
        <v>15701</v>
      </c>
      <c r="D405">
        <v>0</v>
      </c>
      <c r="F405">
        <v>0</v>
      </c>
    </row>
    <row r="406" spans="1:6" x14ac:dyDescent="0.25">
      <c r="A406" t="s">
        <v>15</v>
      </c>
      <c r="B406" t="s">
        <v>1649</v>
      </c>
      <c r="C406">
        <v>15702</v>
      </c>
      <c r="D406">
        <v>0</v>
      </c>
      <c r="F406">
        <v>0</v>
      </c>
    </row>
    <row r="407" spans="1:6" x14ac:dyDescent="0.25">
      <c r="A407" t="s">
        <v>16</v>
      </c>
      <c r="B407" t="s">
        <v>1637</v>
      </c>
      <c r="C407">
        <v>15703</v>
      </c>
      <c r="D407">
        <v>0</v>
      </c>
      <c r="F407">
        <v>0</v>
      </c>
    </row>
    <row r="408" spans="1:6" x14ac:dyDescent="0.25">
      <c r="A408" t="s">
        <v>25</v>
      </c>
      <c r="B408" t="s">
        <v>1638</v>
      </c>
      <c r="C408">
        <v>15704</v>
      </c>
      <c r="D408">
        <v>322</v>
      </c>
      <c r="F408">
        <v>322</v>
      </c>
    </row>
    <row r="409" spans="1:6" x14ac:dyDescent="0.25">
      <c r="A409" t="s">
        <v>26</v>
      </c>
      <c r="B409" t="s">
        <v>1650</v>
      </c>
      <c r="C409">
        <v>15705</v>
      </c>
      <c r="D409">
        <v>0</v>
      </c>
      <c r="F409">
        <v>0</v>
      </c>
    </row>
    <row r="410" spans="1:6" x14ac:dyDescent="0.25">
      <c r="A410" t="s">
        <v>27</v>
      </c>
      <c r="B410" t="s">
        <v>1651</v>
      </c>
      <c r="C410">
        <v>15706</v>
      </c>
      <c r="D410">
        <v>0</v>
      </c>
      <c r="F410">
        <v>0</v>
      </c>
    </row>
    <row r="411" spans="1:6" x14ac:dyDescent="0.25">
      <c r="A411" t="s">
        <v>531</v>
      </c>
      <c r="B411" t="s">
        <v>1640</v>
      </c>
      <c r="C411">
        <v>15707</v>
      </c>
      <c r="D411">
        <v>0</v>
      </c>
      <c r="F411">
        <v>0</v>
      </c>
    </row>
    <row r="412" spans="1:6" x14ac:dyDescent="0.25">
      <c r="A412" t="s">
        <v>1583</v>
      </c>
      <c r="B412" t="s">
        <v>1641</v>
      </c>
      <c r="C412">
        <v>15708</v>
      </c>
      <c r="D412">
        <v>0</v>
      </c>
      <c r="F412">
        <v>0</v>
      </c>
    </row>
    <row r="413" spans="1:6" x14ac:dyDescent="0.25">
      <c r="B413" t="s">
        <v>1727</v>
      </c>
      <c r="D413">
        <v>322</v>
      </c>
      <c r="F413">
        <v>322</v>
      </c>
    </row>
    <row r="414" spans="1:6" x14ac:dyDescent="0.25">
      <c r="B414" t="s">
        <v>1728</v>
      </c>
      <c r="D414">
        <v>42525796</v>
      </c>
      <c r="F414">
        <v>42525796</v>
      </c>
    </row>
    <row r="415" spans="1:6" x14ac:dyDescent="0.25">
      <c r="B415" t="s">
        <v>1729</v>
      </c>
    </row>
    <row r="416" spans="1:6" x14ac:dyDescent="0.25">
      <c r="B416" t="s">
        <v>1730</v>
      </c>
    </row>
    <row r="417" spans="1:6" x14ac:dyDescent="0.25">
      <c r="A417" t="s">
        <v>2</v>
      </c>
      <c r="B417" t="s">
        <v>1710</v>
      </c>
      <c r="C417">
        <v>16101</v>
      </c>
      <c r="D417">
        <v>0</v>
      </c>
      <c r="E417">
        <v>0</v>
      </c>
      <c r="F417">
        <v>0</v>
      </c>
    </row>
    <row r="418" spans="1:6" x14ac:dyDescent="0.25">
      <c r="A418" t="s">
        <v>15</v>
      </c>
      <c r="B418" t="s">
        <v>1711</v>
      </c>
      <c r="C418">
        <v>16102</v>
      </c>
      <c r="D418">
        <v>0</v>
      </c>
      <c r="E418">
        <v>0</v>
      </c>
      <c r="F418">
        <v>0</v>
      </c>
    </row>
    <row r="419" spans="1:6" x14ac:dyDescent="0.25">
      <c r="A419" t="s">
        <v>16</v>
      </c>
      <c r="B419" t="s">
        <v>1712</v>
      </c>
      <c r="C419">
        <v>16103</v>
      </c>
      <c r="D419">
        <v>0</v>
      </c>
      <c r="E419">
        <v>0</v>
      </c>
      <c r="F419">
        <v>0</v>
      </c>
    </row>
    <row r="420" spans="1:6" x14ac:dyDescent="0.25">
      <c r="A420" t="s">
        <v>25</v>
      </c>
      <c r="B420" t="s">
        <v>1713</v>
      </c>
      <c r="C420">
        <v>16104</v>
      </c>
      <c r="D420">
        <v>0</v>
      </c>
      <c r="E420">
        <v>0</v>
      </c>
      <c r="F420">
        <v>0</v>
      </c>
    </row>
    <row r="421" spans="1:6" x14ac:dyDescent="0.25">
      <c r="A421" t="s">
        <v>26</v>
      </c>
      <c r="B421" t="s">
        <v>1714</v>
      </c>
      <c r="C421">
        <v>16105</v>
      </c>
      <c r="D421">
        <v>0</v>
      </c>
      <c r="E421">
        <v>0</v>
      </c>
      <c r="F421">
        <v>0</v>
      </c>
    </row>
    <row r="422" spans="1:6" x14ac:dyDescent="0.25">
      <c r="B422" t="s">
        <v>1731</v>
      </c>
      <c r="D422">
        <v>0</v>
      </c>
      <c r="E422">
        <v>0</v>
      </c>
      <c r="F422">
        <v>0</v>
      </c>
    </row>
    <row r="423" spans="1:6" x14ac:dyDescent="0.25">
      <c r="B423" t="s">
        <v>1732</v>
      </c>
      <c r="D423">
        <v>0</v>
      </c>
      <c r="E423">
        <v>0</v>
      </c>
      <c r="F423">
        <v>0</v>
      </c>
    </row>
    <row r="424" spans="1:6" x14ac:dyDescent="0.25">
      <c r="B424" t="s">
        <v>2268</v>
      </c>
      <c r="D424">
        <v>74570036</v>
      </c>
      <c r="E424">
        <v>409805</v>
      </c>
      <c r="F424">
        <v>74979841</v>
      </c>
    </row>
    <row r="425" spans="1:6" x14ac:dyDescent="0.25">
      <c r="B425" t="s">
        <v>1734</v>
      </c>
    </row>
    <row r="426" spans="1:6" x14ac:dyDescent="0.25">
      <c r="B426" t="s">
        <v>1735</v>
      </c>
    </row>
    <row r="427" spans="1:6" x14ac:dyDescent="0.25">
      <c r="B427" t="s">
        <v>1736</v>
      </c>
    </row>
    <row r="428" spans="1:6" x14ac:dyDescent="0.25">
      <c r="A428" t="s">
        <v>2</v>
      </c>
      <c r="B428" t="s">
        <v>1576</v>
      </c>
      <c r="C428">
        <v>21101</v>
      </c>
      <c r="D428">
        <v>0</v>
      </c>
      <c r="E428">
        <v>0</v>
      </c>
      <c r="F428">
        <v>0</v>
      </c>
    </row>
    <row r="429" spans="1:6" x14ac:dyDescent="0.25">
      <c r="A429" t="s">
        <v>15</v>
      </c>
      <c r="B429" t="s">
        <v>1577</v>
      </c>
      <c r="C429">
        <v>21102</v>
      </c>
      <c r="D429">
        <v>0</v>
      </c>
      <c r="E429">
        <v>0</v>
      </c>
      <c r="F429">
        <v>0</v>
      </c>
    </row>
    <row r="430" spans="1:6" x14ac:dyDescent="0.25">
      <c r="A430" t="s">
        <v>16</v>
      </c>
      <c r="B430" t="s">
        <v>1578</v>
      </c>
      <c r="C430">
        <v>21103</v>
      </c>
      <c r="D430">
        <v>0</v>
      </c>
      <c r="E430">
        <v>0</v>
      </c>
      <c r="F430">
        <v>0</v>
      </c>
    </row>
    <row r="431" spans="1:6" x14ac:dyDescent="0.25">
      <c r="A431" t="s">
        <v>25</v>
      </c>
      <c r="B431" t="s">
        <v>1579</v>
      </c>
      <c r="C431">
        <v>21104</v>
      </c>
      <c r="D431">
        <v>0</v>
      </c>
      <c r="E431">
        <v>0</v>
      </c>
      <c r="F431">
        <v>0</v>
      </c>
    </row>
    <row r="432" spans="1:6" x14ac:dyDescent="0.25">
      <c r="A432" t="s">
        <v>26</v>
      </c>
      <c r="B432" t="s">
        <v>1580</v>
      </c>
      <c r="C432">
        <v>21105</v>
      </c>
      <c r="D432">
        <v>0</v>
      </c>
      <c r="E432">
        <v>0</v>
      </c>
      <c r="F432">
        <v>0</v>
      </c>
    </row>
    <row r="433" spans="1:6" x14ac:dyDescent="0.25">
      <c r="A433" t="s">
        <v>27</v>
      </c>
      <c r="B433" t="s">
        <v>1581</v>
      </c>
      <c r="C433">
        <v>21106</v>
      </c>
      <c r="D433">
        <v>0</v>
      </c>
      <c r="E433">
        <v>0</v>
      </c>
      <c r="F433">
        <v>0</v>
      </c>
    </row>
    <row r="434" spans="1:6" x14ac:dyDescent="0.25">
      <c r="A434" t="s">
        <v>531</v>
      </c>
      <c r="B434" t="s">
        <v>1582</v>
      </c>
      <c r="C434">
        <v>21107</v>
      </c>
      <c r="D434">
        <v>0</v>
      </c>
      <c r="E434">
        <v>0</v>
      </c>
      <c r="F434">
        <v>0</v>
      </c>
    </row>
    <row r="435" spans="1:6" x14ac:dyDescent="0.25">
      <c r="A435" t="s">
        <v>1583</v>
      </c>
      <c r="B435" t="s">
        <v>1584</v>
      </c>
      <c r="C435">
        <v>21108</v>
      </c>
      <c r="D435">
        <v>0</v>
      </c>
      <c r="E435">
        <v>0</v>
      </c>
      <c r="F435">
        <v>0</v>
      </c>
    </row>
    <row r="436" spans="1:6" x14ac:dyDescent="0.25">
      <c r="A436" t="s">
        <v>1585</v>
      </c>
      <c r="B436" t="s">
        <v>1586</v>
      </c>
      <c r="C436">
        <v>21109</v>
      </c>
      <c r="D436">
        <v>0</v>
      </c>
      <c r="E436">
        <v>0</v>
      </c>
      <c r="F436">
        <v>0</v>
      </c>
    </row>
    <row r="437" spans="1:6" x14ac:dyDescent="0.25">
      <c r="A437" t="s">
        <v>1587</v>
      </c>
      <c r="B437" t="s">
        <v>1588</v>
      </c>
      <c r="C437">
        <v>21110</v>
      </c>
      <c r="D437">
        <v>0</v>
      </c>
      <c r="E437">
        <v>0</v>
      </c>
      <c r="F437">
        <v>0</v>
      </c>
    </row>
    <row r="438" spans="1:6" x14ac:dyDescent="0.25">
      <c r="A438" t="s">
        <v>1589</v>
      </c>
      <c r="B438" t="s">
        <v>1590</v>
      </c>
      <c r="C438">
        <v>21111</v>
      </c>
      <c r="D438">
        <v>0</v>
      </c>
      <c r="E438">
        <v>0</v>
      </c>
      <c r="F438">
        <v>0</v>
      </c>
    </row>
    <row r="439" spans="1:6" x14ac:dyDescent="0.25">
      <c r="A439" t="s">
        <v>1591</v>
      </c>
      <c r="B439" t="s">
        <v>1592</v>
      </c>
      <c r="C439">
        <v>21112</v>
      </c>
      <c r="D439">
        <v>202582</v>
      </c>
      <c r="E439">
        <v>0</v>
      </c>
      <c r="F439">
        <v>202582</v>
      </c>
    </row>
    <row r="440" spans="1:6" x14ac:dyDescent="0.25">
      <c r="A440" t="s">
        <v>1593</v>
      </c>
      <c r="B440" t="s">
        <v>1594</v>
      </c>
      <c r="C440">
        <v>21113</v>
      </c>
      <c r="D440">
        <v>29686</v>
      </c>
      <c r="E440">
        <v>0</v>
      </c>
      <c r="F440">
        <v>29686</v>
      </c>
    </row>
    <row r="441" spans="1:6" x14ac:dyDescent="0.25">
      <c r="A441" t="s">
        <v>1595</v>
      </c>
      <c r="B441" t="s">
        <v>1596</v>
      </c>
      <c r="C441">
        <v>21114</v>
      </c>
      <c r="D441">
        <v>1895</v>
      </c>
      <c r="E441">
        <v>0</v>
      </c>
      <c r="F441">
        <v>1895</v>
      </c>
    </row>
    <row r="442" spans="1:6" x14ac:dyDescent="0.25">
      <c r="A442" t="s">
        <v>1597</v>
      </c>
      <c r="B442" t="s">
        <v>1598</v>
      </c>
      <c r="C442">
        <v>21115</v>
      </c>
      <c r="D442">
        <v>12672</v>
      </c>
      <c r="E442">
        <v>0</v>
      </c>
      <c r="F442">
        <v>12672</v>
      </c>
    </row>
    <row r="443" spans="1:6" x14ac:dyDescent="0.25">
      <c r="A443" t="s">
        <v>1599</v>
      </c>
      <c r="B443" t="s">
        <v>1600</v>
      </c>
      <c r="C443">
        <v>21116</v>
      </c>
      <c r="D443">
        <v>0</v>
      </c>
      <c r="E443">
        <v>0</v>
      </c>
      <c r="F443">
        <v>0</v>
      </c>
    </row>
    <row r="444" spans="1:6" x14ac:dyDescent="0.25">
      <c r="A444" t="s">
        <v>1601</v>
      </c>
      <c r="B444" t="s">
        <v>1602</v>
      </c>
      <c r="C444">
        <v>21117</v>
      </c>
      <c r="D444">
        <v>0</v>
      </c>
      <c r="E444">
        <v>0</v>
      </c>
      <c r="F444">
        <v>0</v>
      </c>
    </row>
    <row r="445" spans="1:6" x14ac:dyDescent="0.25">
      <c r="A445" t="s">
        <v>1603</v>
      </c>
      <c r="B445" t="s">
        <v>1604</v>
      </c>
      <c r="C445">
        <v>21118</v>
      </c>
      <c r="D445">
        <v>0</v>
      </c>
      <c r="E445">
        <v>0</v>
      </c>
      <c r="F445">
        <v>0</v>
      </c>
    </row>
    <row r="446" spans="1:6" x14ac:dyDescent="0.25">
      <c r="A446" t="s">
        <v>1605</v>
      </c>
      <c r="B446" t="s">
        <v>1606</v>
      </c>
      <c r="C446">
        <v>21119</v>
      </c>
      <c r="D446">
        <v>0</v>
      </c>
      <c r="E446">
        <v>0</v>
      </c>
      <c r="F446">
        <v>0</v>
      </c>
    </row>
    <row r="447" spans="1:6" x14ac:dyDescent="0.25">
      <c r="A447" t="s">
        <v>1607</v>
      </c>
      <c r="B447" t="s">
        <v>1608</v>
      </c>
      <c r="C447">
        <v>21120</v>
      </c>
      <c r="D447">
        <v>0</v>
      </c>
      <c r="E447">
        <v>0</v>
      </c>
      <c r="F447">
        <v>0</v>
      </c>
    </row>
    <row r="448" spans="1:6" x14ac:dyDescent="0.25">
      <c r="B448" t="s">
        <v>1737</v>
      </c>
      <c r="D448">
        <v>246835</v>
      </c>
      <c r="E448">
        <v>0</v>
      </c>
      <c r="F448">
        <v>246835</v>
      </c>
    </row>
    <row r="449" spans="1:6" x14ac:dyDescent="0.25">
      <c r="B449" t="s">
        <v>1738</v>
      </c>
    </row>
    <row r="450" spans="1:6" x14ac:dyDescent="0.25">
      <c r="A450" t="s">
        <v>2</v>
      </c>
      <c r="B450" t="s">
        <v>1611</v>
      </c>
      <c r="C450">
        <v>21201</v>
      </c>
      <c r="D450">
        <v>0</v>
      </c>
      <c r="E450">
        <v>0</v>
      </c>
      <c r="F450">
        <v>0</v>
      </c>
    </row>
    <row r="451" spans="1:6" x14ac:dyDescent="0.25">
      <c r="A451" t="s">
        <v>15</v>
      </c>
      <c r="B451" t="s">
        <v>1612</v>
      </c>
      <c r="C451">
        <v>21202</v>
      </c>
      <c r="D451">
        <v>0</v>
      </c>
      <c r="E451">
        <v>0</v>
      </c>
      <c r="F451">
        <v>0</v>
      </c>
    </row>
    <row r="452" spans="1:6" x14ac:dyDescent="0.25">
      <c r="A452" t="s">
        <v>16</v>
      </c>
      <c r="B452" t="s">
        <v>1613</v>
      </c>
      <c r="C452">
        <v>21203</v>
      </c>
      <c r="D452">
        <v>0</v>
      </c>
      <c r="E452">
        <v>0</v>
      </c>
      <c r="F452">
        <v>0</v>
      </c>
    </row>
    <row r="453" spans="1:6" x14ac:dyDescent="0.25">
      <c r="A453" t="s">
        <v>25</v>
      </c>
      <c r="B453" t="s">
        <v>1614</v>
      </c>
      <c r="C453">
        <v>21204</v>
      </c>
      <c r="D453">
        <v>0</v>
      </c>
      <c r="E453">
        <v>0</v>
      </c>
      <c r="F453">
        <v>0</v>
      </c>
    </row>
    <row r="454" spans="1:6" x14ac:dyDescent="0.25">
      <c r="A454" t="s">
        <v>26</v>
      </c>
      <c r="B454" t="s">
        <v>1615</v>
      </c>
      <c r="C454">
        <v>21205</v>
      </c>
      <c r="D454">
        <v>0</v>
      </c>
      <c r="E454">
        <v>0</v>
      </c>
      <c r="F454">
        <v>0</v>
      </c>
    </row>
    <row r="455" spans="1:6" x14ac:dyDescent="0.25">
      <c r="A455" t="s">
        <v>27</v>
      </c>
      <c r="B455" t="s">
        <v>1616</v>
      </c>
      <c r="C455">
        <v>21206</v>
      </c>
      <c r="D455">
        <v>0</v>
      </c>
      <c r="E455">
        <v>0</v>
      </c>
      <c r="F455">
        <v>0</v>
      </c>
    </row>
    <row r="456" spans="1:6" x14ac:dyDescent="0.25">
      <c r="A456" t="s">
        <v>531</v>
      </c>
      <c r="B456" t="s">
        <v>1617</v>
      </c>
      <c r="C456">
        <v>21207</v>
      </c>
      <c r="D456">
        <v>0</v>
      </c>
      <c r="E456">
        <v>0</v>
      </c>
      <c r="F456">
        <v>0</v>
      </c>
    </row>
    <row r="457" spans="1:6" x14ac:dyDescent="0.25">
      <c r="A457" t="s">
        <v>1583</v>
      </c>
      <c r="B457" t="s">
        <v>1618</v>
      </c>
      <c r="C457">
        <v>21208</v>
      </c>
      <c r="D457">
        <v>0</v>
      </c>
      <c r="E457">
        <v>0</v>
      </c>
      <c r="F457">
        <v>0</v>
      </c>
    </row>
    <row r="458" spans="1:6" x14ac:dyDescent="0.25">
      <c r="A458" t="s">
        <v>1585</v>
      </c>
      <c r="B458" t="s">
        <v>1619</v>
      </c>
      <c r="C458">
        <v>21209</v>
      </c>
      <c r="D458">
        <v>0</v>
      </c>
      <c r="E458">
        <v>0</v>
      </c>
      <c r="F458">
        <v>0</v>
      </c>
    </row>
    <row r="459" spans="1:6" x14ac:dyDescent="0.25">
      <c r="A459" t="s">
        <v>1587</v>
      </c>
      <c r="B459" t="s">
        <v>1620</v>
      </c>
      <c r="C459">
        <v>21210</v>
      </c>
      <c r="D459">
        <v>0</v>
      </c>
      <c r="E459">
        <v>0</v>
      </c>
      <c r="F459">
        <v>0</v>
      </c>
    </row>
    <row r="460" spans="1:6" x14ac:dyDescent="0.25">
      <c r="A460" t="s">
        <v>1589</v>
      </c>
      <c r="B460" t="s">
        <v>1621</v>
      </c>
      <c r="C460">
        <v>21211</v>
      </c>
      <c r="D460">
        <v>0</v>
      </c>
      <c r="E460">
        <v>0</v>
      </c>
      <c r="F460">
        <v>0</v>
      </c>
    </row>
    <row r="461" spans="1:6" x14ac:dyDescent="0.25">
      <c r="A461" t="s">
        <v>1591</v>
      </c>
      <c r="B461" t="s">
        <v>1622</v>
      </c>
      <c r="C461">
        <v>21212</v>
      </c>
      <c r="D461">
        <v>0</v>
      </c>
      <c r="E461">
        <v>0</v>
      </c>
      <c r="F461">
        <v>0</v>
      </c>
    </row>
    <row r="462" spans="1:6" x14ac:dyDescent="0.25">
      <c r="A462" t="s">
        <v>1593</v>
      </c>
      <c r="B462" t="s">
        <v>1623</v>
      </c>
      <c r="C462">
        <v>21213</v>
      </c>
      <c r="D462">
        <v>0</v>
      </c>
      <c r="E462">
        <v>0</v>
      </c>
      <c r="F462">
        <v>0</v>
      </c>
    </row>
    <row r="463" spans="1:6" x14ac:dyDescent="0.25">
      <c r="A463" t="s">
        <v>1595</v>
      </c>
      <c r="B463" t="s">
        <v>1624</v>
      </c>
      <c r="C463">
        <v>21214</v>
      </c>
      <c r="D463">
        <v>0</v>
      </c>
      <c r="E463">
        <v>0</v>
      </c>
      <c r="F463">
        <v>0</v>
      </c>
    </row>
    <row r="464" spans="1:6" x14ac:dyDescent="0.25">
      <c r="A464" t="s">
        <v>1597</v>
      </c>
      <c r="B464" t="s">
        <v>1625</v>
      </c>
      <c r="C464">
        <v>21215</v>
      </c>
      <c r="D464">
        <v>0</v>
      </c>
      <c r="E464">
        <v>0</v>
      </c>
      <c r="F464">
        <v>0</v>
      </c>
    </row>
    <row r="465" spans="1:6" x14ac:dyDescent="0.25">
      <c r="A465" t="s">
        <v>1599</v>
      </c>
      <c r="B465" t="s">
        <v>1626</v>
      </c>
      <c r="C465">
        <v>21216</v>
      </c>
      <c r="D465">
        <v>0</v>
      </c>
      <c r="E465">
        <v>0</v>
      </c>
      <c r="F465">
        <v>0</v>
      </c>
    </row>
    <row r="466" spans="1:6" x14ac:dyDescent="0.25">
      <c r="A466" t="s">
        <v>1601</v>
      </c>
      <c r="B466" t="s">
        <v>1627</v>
      </c>
      <c r="C466">
        <v>21217</v>
      </c>
      <c r="D466">
        <v>0</v>
      </c>
      <c r="E466">
        <v>0</v>
      </c>
      <c r="F466">
        <v>0</v>
      </c>
    </row>
    <row r="467" spans="1:6" x14ac:dyDescent="0.25">
      <c r="A467" t="s">
        <v>1603</v>
      </c>
      <c r="B467" t="s">
        <v>1596</v>
      </c>
      <c r="C467">
        <v>21218</v>
      </c>
      <c r="D467">
        <v>0</v>
      </c>
      <c r="E467">
        <v>0</v>
      </c>
      <c r="F467">
        <v>0</v>
      </c>
    </row>
    <row r="468" spans="1:6" x14ac:dyDescent="0.25">
      <c r="A468" t="s">
        <v>1605</v>
      </c>
      <c r="B468" t="s">
        <v>1598</v>
      </c>
      <c r="C468">
        <v>21219</v>
      </c>
      <c r="D468">
        <v>0</v>
      </c>
      <c r="E468">
        <v>0</v>
      </c>
      <c r="F468">
        <v>0</v>
      </c>
    </row>
    <row r="469" spans="1:6" x14ac:dyDescent="0.25">
      <c r="A469" t="s">
        <v>1607</v>
      </c>
      <c r="B469" t="s">
        <v>1602</v>
      </c>
      <c r="C469">
        <v>21220</v>
      </c>
      <c r="D469">
        <v>0</v>
      </c>
      <c r="E469">
        <v>0</v>
      </c>
      <c r="F469">
        <v>0</v>
      </c>
    </row>
    <row r="470" spans="1:6" x14ac:dyDescent="0.25">
      <c r="B470" t="s">
        <v>1739</v>
      </c>
      <c r="D470">
        <v>0</v>
      </c>
      <c r="E470">
        <v>0</v>
      </c>
      <c r="F470">
        <v>0</v>
      </c>
    </row>
    <row r="471" spans="1:6" x14ac:dyDescent="0.25">
      <c r="B471" t="s">
        <v>1740</v>
      </c>
    </row>
    <row r="472" spans="1:6" x14ac:dyDescent="0.25">
      <c r="A472" t="s">
        <v>2</v>
      </c>
      <c r="B472" t="s">
        <v>1627</v>
      </c>
      <c r="C472">
        <v>21301</v>
      </c>
      <c r="D472">
        <v>0</v>
      </c>
      <c r="E472">
        <v>0</v>
      </c>
      <c r="F472">
        <v>0</v>
      </c>
    </row>
    <row r="473" spans="1:6" x14ac:dyDescent="0.25">
      <c r="A473" t="s">
        <v>15</v>
      </c>
      <c r="B473" t="s">
        <v>1625</v>
      </c>
      <c r="C473">
        <v>21302</v>
      </c>
      <c r="D473">
        <v>0</v>
      </c>
      <c r="E473">
        <v>0</v>
      </c>
      <c r="F473">
        <v>0</v>
      </c>
    </row>
    <row r="474" spans="1:6" x14ac:dyDescent="0.25">
      <c r="A474" t="s">
        <v>16</v>
      </c>
      <c r="B474" t="s">
        <v>1626</v>
      </c>
      <c r="C474">
        <v>21303</v>
      </c>
      <c r="D474">
        <v>0</v>
      </c>
      <c r="E474">
        <v>0</v>
      </c>
      <c r="F474">
        <v>0</v>
      </c>
    </row>
    <row r="475" spans="1:6" x14ac:dyDescent="0.25">
      <c r="B475" t="s">
        <v>1741</v>
      </c>
      <c r="D475">
        <v>0</v>
      </c>
      <c r="E475">
        <v>0</v>
      </c>
      <c r="F475">
        <v>0</v>
      </c>
    </row>
    <row r="476" spans="1:6" x14ac:dyDescent="0.25">
      <c r="B476" t="s">
        <v>1653</v>
      </c>
      <c r="D476">
        <v>246835</v>
      </c>
      <c r="E476">
        <v>0</v>
      </c>
      <c r="F476">
        <v>246835</v>
      </c>
    </row>
    <row r="477" spans="1:6" x14ac:dyDescent="0.25">
      <c r="B477" t="s">
        <v>1742</v>
      </c>
    </row>
    <row r="478" spans="1:6" x14ac:dyDescent="0.25">
      <c r="B478" t="s">
        <v>1743</v>
      </c>
    </row>
    <row r="479" spans="1:6" x14ac:dyDescent="0.25">
      <c r="A479" t="s">
        <v>2</v>
      </c>
      <c r="B479" t="s">
        <v>1634</v>
      </c>
      <c r="C479">
        <v>22101</v>
      </c>
      <c r="D479">
        <v>0</v>
      </c>
      <c r="F479">
        <v>0</v>
      </c>
    </row>
    <row r="480" spans="1:6" x14ac:dyDescent="0.25">
      <c r="A480" t="s">
        <v>15</v>
      </c>
      <c r="B480" t="s">
        <v>1635</v>
      </c>
      <c r="C480">
        <v>22102</v>
      </c>
      <c r="D480">
        <v>0</v>
      </c>
      <c r="F480">
        <v>0</v>
      </c>
    </row>
    <row r="481" spans="1:6" x14ac:dyDescent="0.25">
      <c r="A481" t="s">
        <v>16</v>
      </c>
      <c r="B481" t="s">
        <v>1636</v>
      </c>
      <c r="C481">
        <v>22103</v>
      </c>
      <c r="D481">
        <v>0</v>
      </c>
      <c r="F481">
        <v>0</v>
      </c>
    </row>
    <row r="482" spans="1:6" x14ac:dyDescent="0.25">
      <c r="A482" t="s">
        <v>25</v>
      </c>
      <c r="B482" t="s">
        <v>1637</v>
      </c>
      <c r="C482">
        <v>22104</v>
      </c>
      <c r="D482">
        <v>0</v>
      </c>
      <c r="F482">
        <v>0</v>
      </c>
    </row>
    <row r="483" spans="1:6" x14ac:dyDescent="0.25">
      <c r="A483" t="s">
        <v>26</v>
      </c>
      <c r="B483" t="s">
        <v>1638</v>
      </c>
      <c r="C483">
        <v>22105</v>
      </c>
      <c r="D483">
        <v>0</v>
      </c>
      <c r="F483">
        <v>0</v>
      </c>
    </row>
    <row r="484" spans="1:6" x14ac:dyDescent="0.25">
      <c r="A484" t="s">
        <v>27</v>
      </c>
      <c r="B484" t="s">
        <v>1639</v>
      </c>
      <c r="C484">
        <v>22106</v>
      </c>
      <c r="D484">
        <v>0</v>
      </c>
      <c r="F484">
        <v>0</v>
      </c>
    </row>
    <row r="485" spans="1:6" x14ac:dyDescent="0.25">
      <c r="A485" t="s">
        <v>531</v>
      </c>
      <c r="B485" t="s">
        <v>1640</v>
      </c>
      <c r="C485">
        <v>22107</v>
      </c>
      <c r="D485">
        <v>0</v>
      </c>
      <c r="F485">
        <v>0</v>
      </c>
    </row>
    <row r="486" spans="1:6" x14ac:dyDescent="0.25">
      <c r="A486" t="s">
        <v>1583</v>
      </c>
      <c r="B486" t="s">
        <v>1641</v>
      </c>
      <c r="C486">
        <v>22108</v>
      </c>
      <c r="D486">
        <v>0</v>
      </c>
      <c r="F486">
        <v>0</v>
      </c>
    </row>
    <row r="487" spans="1:6" x14ac:dyDescent="0.25">
      <c r="B487" t="s">
        <v>1744</v>
      </c>
      <c r="D487">
        <v>0</v>
      </c>
      <c r="F487">
        <v>0</v>
      </c>
    </row>
    <row r="488" spans="1:6" x14ac:dyDescent="0.25">
      <c r="B488" t="s">
        <v>2269</v>
      </c>
    </row>
    <row r="489" spans="1:6" x14ac:dyDescent="0.25">
      <c r="A489" t="s">
        <v>2</v>
      </c>
      <c r="B489" t="s">
        <v>1634</v>
      </c>
      <c r="C489">
        <v>22201</v>
      </c>
      <c r="D489">
        <v>0</v>
      </c>
      <c r="F489">
        <v>0</v>
      </c>
    </row>
    <row r="490" spans="1:6" x14ac:dyDescent="0.25">
      <c r="A490" t="s">
        <v>15</v>
      </c>
      <c r="B490" t="s">
        <v>1635</v>
      </c>
      <c r="C490">
        <v>22202</v>
      </c>
      <c r="D490">
        <v>0</v>
      </c>
      <c r="F490">
        <v>0</v>
      </c>
    </row>
    <row r="491" spans="1:6" x14ac:dyDescent="0.25">
      <c r="A491" t="s">
        <v>16</v>
      </c>
      <c r="B491" t="s">
        <v>1636</v>
      </c>
      <c r="C491">
        <v>22203</v>
      </c>
      <c r="D491">
        <v>0</v>
      </c>
      <c r="F491">
        <v>0</v>
      </c>
    </row>
    <row r="492" spans="1:6" x14ac:dyDescent="0.25">
      <c r="A492" t="s">
        <v>25</v>
      </c>
      <c r="B492" t="s">
        <v>1637</v>
      </c>
      <c r="C492">
        <v>22204</v>
      </c>
      <c r="D492">
        <v>0</v>
      </c>
      <c r="F492">
        <v>0</v>
      </c>
    </row>
    <row r="493" spans="1:6" x14ac:dyDescent="0.25">
      <c r="A493" t="s">
        <v>26</v>
      </c>
      <c r="B493" t="s">
        <v>1638</v>
      </c>
      <c r="C493">
        <v>22205</v>
      </c>
      <c r="D493">
        <v>0</v>
      </c>
      <c r="F493">
        <v>0</v>
      </c>
    </row>
    <row r="494" spans="1:6" x14ac:dyDescent="0.25">
      <c r="A494" t="s">
        <v>27</v>
      </c>
      <c r="B494" t="s">
        <v>1639</v>
      </c>
      <c r="C494">
        <v>22206</v>
      </c>
      <c r="D494">
        <v>0</v>
      </c>
      <c r="F494">
        <v>0</v>
      </c>
    </row>
    <row r="495" spans="1:6" x14ac:dyDescent="0.25">
      <c r="A495" t="s">
        <v>531</v>
      </c>
      <c r="B495" t="s">
        <v>1640</v>
      </c>
      <c r="C495">
        <v>22207</v>
      </c>
      <c r="D495">
        <v>0</v>
      </c>
      <c r="F495">
        <v>0</v>
      </c>
    </row>
    <row r="496" spans="1:6" x14ac:dyDescent="0.25">
      <c r="A496" t="s">
        <v>1583</v>
      </c>
      <c r="B496" t="s">
        <v>1641</v>
      </c>
      <c r="C496">
        <v>22208</v>
      </c>
      <c r="D496">
        <v>0</v>
      </c>
      <c r="F496">
        <v>0</v>
      </c>
    </row>
    <row r="497" spans="1:6" x14ac:dyDescent="0.25">
      <c r="B497" t="s">
        <v>1746</v>
      </c>
      <c r="D497">
        <v>0</v>
      </c>
      <c r="F497">
        <v>0</v>
      </c>
    </row>
    <row r="498" spans="1:6" x14ac:dyDescent="0.25">
      <c r="B498" t="s">
        <v>1747</v>
      </c>
    </row>
    <row r="499" spans="1:6" x14ac:dyDescent="0.25">
      <c r="A499" t="s">
        <v>2</v>
      </c>
      <c r="B499" t="s">
        <v>1634</v>
      </c>
      <c r="C499">
        <v>22301</v>
      </c>
      <c r="D499">
        <v>520952</v>
      </c>
      <c r="F499">
        <v>520952</v>
      </c>
    </row>
    <row r="500" spans="1:6" x14ac:dyDescent="0.25">
      <c r="A500" t="s">
        <v>15</v>
      </c>
      <c r="B500" t="s">
        <v>1635</v>
      </c>
      <c r="C500">
        <v>22302</v>
      </c>
      <c r="D500">
        <v>25381</v>
      </c>
      <c r="F500">
        <v>25381</v>
      </c>
    </row>
    <row r="501" spans="1:6" x14ac:dyDescent="0.25">
      <c r="A501" t="s">
        <v>16</v>
      </c>
      <c r="B501" t="s">
        <v>1636</v>
      </c>
      <c r="C501">
        <v>22303</v>
      </c>
      <c r="D501">
        <v>303</v>
      </c>
      <c r="F501">
        <v>303</v>
      </c>
    </row>
    <row r="502" spans="1:6" x14ac:dyDescent="0.25">
      <c r="A502" t="s">
        <v>25</v>
      </c>
      <c r="B502" t="s">
        <v>1637</v>
      </c>
      <c r="C502">
        <v>22304</v>
      </c>
      <c r="D502">
        <v>23778</v>
      </c>
      <c r="F502">
        <v>23778</v>
      </c>
    </row>
    <row r="503" spans="1:6" x14ac:dyDescent="0.25">
      <c r="A503" t="s">
        <v>26</v>
      </c>
      <c r="B503" t="s">
        <v>1638</v>
      </c>
      <c r="C503">
        <v>22305</v>
      </c>
      <c r="D503">
        <v>75828</v>
      </c>
      <c r="F503">
        <v>75828</v>
      </c>
    </row>
    <row r="504" spans="1:6" x14ac:dyDescent="0.25">
      <c r="A504" t="s">
        <v>27</v>
      </c>
      <c r="B504" t="s">
        <v>1639</v>
      </c>
      <c r="C504">
        <v>22306</v>
      </c>
      <c r="D504">
        <v>0</v>
      </c>
      <c r="F504">
        <v>0</v>
      </c>
    </row>
    <row r="505" spans="1:6" x14ac:dyDescent="0.25">
      <c r="A505" t="s">
        <v>531</v>
      </c>
      <c r="B505" t="s">
        <v>1640</v>
      </c>
      <c r="C505">
        <v>22307</v>
      </c>
      <c r="D505">
        <v>0</v>
      </c>
      <c r="F505">
        <v>0</v>
      </c>
    </row>
    <row r="506" spans="1:6" x14ac:dyDescent="0.25">
      <c r="A506" t="s">
        <v>1583</v>
      </c>
      <c r="B506" t="s">
        <v>1641</v>
      </c>
      <c r="C506">
        <v>22308</v>
      </c>
      <c r="D506">
        <v>103095</v>
      </c>
      <c r="F506">
        <v>103095</v>
      </c>
    </row>
    <row r="507" spans="1:6" x14ac:dyDescent="0.25">
      <c r="B507" t="s">
        <v>1748</v>
      </c>
      <c r="D507">
        <v>749337</v>
      </c>
      <c r="F507">
        <v>749337</v>
      </c>
    </row>
    <row r="508" spans="1:6" x14ac:dyDescent="0.25">
      <c r="B508" t="s">
        <v>1749</v>
      </c>
    </row>
    <row r="509" spans="1:6" x14ac:dyDescent="0.25">
      <c r="A509" t="s">
        <v>2</v>
      </c>
      <c r="B509" t="s">
        <v>1634</v>
      </c>
      <c r="C509">
        <v>22401</v>
      </c>
      <c r="D509">
        <v>0</v>
      </c>
      <c r="F509">
        <v>0</v>
      </c>
    </row>
    <row r="510" spans="1:6" x14ac:dyDescent="0.25">
      <c r="A510" t="s">
        <v>15</v>
      </c>
      <c r="B510" t="s">
        <v>1635</v>
      </c>
      <c r="C510">
        <v>22402</v>
      </c>
      <c r="D510">
        <v>0</v>
      </c>
      <c r="F510">
        <v>0</v>
      </c>
    </row>
    <row r="511" spans="1:6" x14ac:dyDescent="0.25">
      <c r="A511" t="s">
        <v>16</v>
      </c>
      <c r="B511" t="s">
        <v>1636</v>
      </c>
      <c r="C511">
        <v>22403</v>
      </c>
      <c r="D511">
        <v>0</v>
      </c>
      <c r="F511">
        <v>0</v>
      </c>
    </row>
    <row r="512" spans="1:6" x14ac:dyDescent="0.25">
      <c r="A512" t="s">
        <v>25</v>
      </c>
      <c r="B512" t="s">
        <v>1637</v>
      </c>
      <c r="C512">
        <v>22404</v>
      </c>
      <c r="D512">
        <v>0</v>
      </c>
      <c r="F512">
        <v>0</v>
      </c>
    </row>
    <row r="513" spans="1:6" x14ac:dyDescent="0.25">
      <c r="A513" t="s">
        <v>26</v>
      </c>
      <c r="B513" t="s">
        <v>1638</v>
      </c>
      <c r="C513">
        <v>22405</v>
      </c>
      <c r="D513">
        <v>45775</v>
      </c>
      <c r="F513">
        <v>45775</v>
      </c>
    </row>
    <row r="514" spans="1:6" x14ac:dyDescent="0.25">
      <c r="A514" t="s">
        <v>27</v>
      </c>
      <c r="B514" t="s">
        <v>1639</v>
      </c>
      <c r="C514">
        <v>22406</v>
      </c>
      <c r="D514">
        <v>0</v>
      </c>
      <c r="F514">
        <v>0</v>
      </c>
    </row>
    <row r="515" spans="1:6" x14ac:dyDescent="0.25">
      <c r="A515" t="s">
        <v>531</v>
      </c>
      <c r="B515" t="s">
        <v>1640</v>
      </c>
      <c r="C515">
        <v>22407</v>
      </c>
      <c r="D515">
        <v>0</v>
      </c>
      <c r="F515">
        <v>0</v>
      </c>
    </row>
    <row r="516" spans="1:6" x14ac:dyDescent="0.25">
      <c r="A516" t="s">
        <v>1583</v>
      </c>
      <c r="B516" t="s">
        <v>1641</v>
      </c>
      <c r="C516">
        <v>22408</v>
      </c>
      <c r="D516">
        <v>0</v>
      </c>
      <c r="F516">
        <v>0</v>
      </c>
    </row>
    <row r="517" spans="1:6" x14ac:dyDescent="0.25">
      <c r="B517" t="s">
        <v>1750</v>
      </c>
      <c r="D517">
        <v>45775</v>
      </c>
      <c r="F517">
        <v>45775</v>
      </c>
    </row>
    <row r="518" spans="1:6" x14ac:dyDescent="0.25">
      <c r="B518" t="s">
        <v>1751</v>
      </c>
    </row>
    <row r="519" spans="1:6" x14ac:dyDescent="0.25">
      <c r="A519" t="s">
        <v>2</v>
      </c>
      <c r="B519" t="s">
        <v>1648</v>
      </c>
      <c r="C519">
        <v>22501</v>
      </c>
      <c r="D519">
        <v>0</v>
      </c>
      <c r="F519">
        <v>0</v>
      </c>
    </row>
    <row r="520" spans="1:6" x14ac:dyDescent="0.25">
      <c r="A520" t="s">
        <v>15</v>
      </c>
      <c r="B520" t="s">
        <v>1649</v>
      </c>
      <c r="C520">
        <v>22502</v>
      </c>
      <c r="D520">
        <v>0</v>
      </c>
      <c r="F520">
        <v>0</v>
      </c>
    </row>
    <row r="521" spans="1:6" x14ac:dyDescent="0.25">
      <c r="A521" t="s">
        <v>16</v>
      </c>
      <c r="B521" t="s">
        <v>1637</v>
      </c>
      <c r="C521">
        <v>22503</v>
      </c>
      <c r="D521">
        <v>7740</v>
      </c>
      <c r="F521">
        <v>7740</v>
      </c>
    </row>
    <row r="522" spans="1:6" x14ac:dyDescent="0.25">
      <c r="A522" t="s">
        <v>25</v>
      </c>
      <c r="B522" t="s">
        <v>1638</v>
      </c>
      <c r="C522">
        <v>22504</v>
      </c>
      <c r="D522">
        <v>0</v>
      </c>
      <c r="F522">
        <v>0</v>
      </c>
    </row>
    <row r="523" spans="1:6" x14ac:dyDescent="0.25">
      <c r="A523" t="s">
        <v>26</v>
      </c>
      <c r="B523" t="s">
        <v>1650</v>
      </c>
      <c r="C523">
        <v>22505</v>
      </c>
      <c r="D523">
        <v>0</v>
      </c>
      <c r="F523">
        <v>0</v>
      </c>
    </row>
    <row r="524" spans="1:6" x14ac:dyDescent="0.25">
      <c r="A524" t="s">
        <v>27</v>
      </c>
      <c r="B524" t="s">
        <v>1651</v>
      </c>
      <c r="C524">
        <v>22506</v>
      </c>
      <c r="D524">
        <v>0</v>
      </c>
      <c r="F524">
        <v>0</v>
      </c>
    </row>
    <row r="525" spans="1:6" x14ac:dyDescent="0.25">
      <c r="A525" t="s">
        <v>531</v>
      </c>
      <c r="B525" t="s">
        <v>1640</v>
      </c>
      <c r="C525">
        <v>22507</v>
      </c>
      <c r="D525">
        <v>0</v>
      </c>
      <c r="F525">
        <v>0</v>
      </c>
    </row>
    <row r="526" spans="1:6" x14ac:dyDescent="0.25">
      <c r="A526" t="s">
        <v>1583</v>
      </c>
      <c r="B526" t="s">
        <v>1641</v>
      </c>
      <c r="C526">
        <v>22508</v>
      </c>
      <c r="D526">
        <v>0</v>
      </c>
      <c r="F526">
        <v>0</v>
      </c>
    </row>
    <row r="527" spans="1:6" x14ac:dyDescent="0.25">
      <c r="B527" t="s">
        <v>1752</v>
      </c>
      <c r="D527">
        <v>7740</v>
      </c>
      <c r="F527">
        <v>7740</v>
      </c>
    </row>
    <row r="528" spans="1:6" x14ac:dyDescent="0.25">
      <c r="B528" t="s">
        <v>1660</v>
      </c>
      <c r="D528">
        <v>802852</v>
      </c>
      <c r="F528">
        <v>802852</v>
      </c>
    </row>
    <row r="529" spans="1:6" x14ac:dyDescent="0.25">
      <c r="B529" t="s">
        <v>1753</v>
      </c>
    </row>
    <row r="530" spans="1:6" x14ac:dyDescent="0.25">
      <c r="B530" t="s">
        <v>1754</v>
      </c>
    </row>
    <row r="531" spans="1:6" x14ac:dyDescent="0.25">
      <c r="A531" t="s">
        <v>2</v>
      </c>
      <c r="B531" t="s">
        <v>1637</v>
      </c>
      <c r="C531">
        <v>23101</v>
      </c>
      <c r="D531">
        <v>127571</v>
      </c>
      <c r="F531">
        <v>127571</v>
      </c>
    </row>
    <row r="532" spans="1:6" x14ac:dyDescent="0.25">
      <c r="A532" t="s">
        <v>15</v>
      </c>
      <c r="B532" t="s">
        <v>1638</v>
      </c>
      <c r="C532">
        <v>23102</v>
      </c>
      <c r="D532">
        <v>157319</v>
      </c>
      <c r="F532">
        <v>157319</v>
      </c>
    </row>
    <row r="533" spans="1:6" x14ac:dyDescent="0.25">
      <c r="A533" t="s">
        <v>16</v>
      </c>
      <c r="B533" t="s">
        <v>1640</v>
      </c>
      <c r="C533">
        <v>23103</v>
      </c>
      <c r="D533">
        <v>0</v>
      </c>
      <c r="F533">
        <v>0</v>
      </c>
    </row>
    <row r="534" spans="1:6" x14ac:dyDescent="0.25">
      <c r="A534" t="s">
        <v>25</v>
      </c>
      <c r="B534" t="s">
        <v>1641</v>
      </c>
      <c r="C534">
        <v>23104</v>
      </c>
      <c r="D534">
        <v>0</v>
      </c>
      <c r="F534">
        <v>0</v>
      </c>
    </row>
    <row r="535" spans="1:6" x14ac:dyDescent="0.25">
      <c r="B535" t="s">
        <v>1755</v>
      </c>
      <c r="D535">
        <v>284890</v>
      </c>
      <c r="F535">
        <v>284890</v>
      </c>
    </row>
    <row r="536" spans="1:6" x14ac:dyDescent="0.25">
      <c r="B536" t="s">
        <v>2270</v>
      </c>
    </row>
    <row r="537" spans="1:6" x14ac:dyDescent="0.25">
      <c r="A537" t="s">
        <v>2</v>
      </c>
      <c r="B537" t="s">
        <v>1637</v>
      </c>
      <c r="C537">
        <v>23201</v>
      </c>
      <c r="D537">
        <v>594239</v>
      </c>
      <c r="F537">
        <v>594239</v>
      </c>
    </row>
    <row r="538" spans="1:6" x14ac:dyDescent="0.25">
      <c r="A538" t="s">
        <v>15</v>
      </c>
      <c r="B538" t="s">
        <v>1638</v>
      </c>
      <c r="C538">
        <v>23202</v>
      </c>
      <c r="D538">
        <v>390956</v>
      </c>
      <c r="F538">
        <v>390956</v>
      </c>
    </row>
    <row r="539" spans="1:6" x14ac:dyDescent="0.25">
      <c r="A539" t="s">
        <v>16</v>
      </c>
      <c r="B539" t="s">
        <v>1640</v>
      </c>
      <c r="C539">
        <v>23203</v>
      </c>
      <c r="D539">
        <v>108624</v>
      </c>
      <c r="F539">
        <v>108624</v>
      </c>
    </row>
    <row r="540" spans="1:6" x14ac:dyDescent="0.25">
      <c r="A540" t="s">
        <v>25</v>
      </c>
      <c r="B540" t="s">
        <v>1641</v>
      </c>
      <c r="C540">
        <v>23204</v>
      </c>
      <c r="D540">
        <v>0</v>
      </c>
      <c r="F540">
        <v>0</v>
      </c>
    </row>
    <row r="541" spans="1:6" x14ac:dyDescent="0.25">
      <c r="B541" t="s">
        <v>1757</v>
      </c>
      <c r="D541">
        <v>1093819</v>
      </c>
      <c r="F541">
        <v>1093819</v>
      </c>
    </row>
    <row r="542" spans="1:6" x14ac:dyDescent="0.25">
      <c r="B542" t="s">
        <v>1758</v>
      </c>
    </row>
    <row r="543" spans="1:6" x14ac:dyDescent="0.25">
      <c r="A543" t="s">
        <v>2</v>
      </c>
      <c r="B543" t="s">
        <v>1637</v>
      </c>
      <c r="C543">
        <v>23301</v>
      </c>
      <c r="D543">
        <v>0</v>
      </c>
      <c r="F543">
        <v>0</v>
      </c>
    </row>
    <row r="544" spans="1:6" x14ac:dyDescent="0.25">
      <c r="A544" t="s">
        <v>15</v>
      </c>
      <c r="B544" t="s">
        <v>1638</v>
      </c>
      <c r="C544">
        <v>23302</v>
      </c>
      <c r="D544">
        <v>15875472</v>
      </c>
      <c r="F544">
        <v>15875472</v>
      </c>
    </row>
    <row r="545" spans="1:6" x14ac:dyDescent="0.25">
      <c r="A545" t="s">
        <v>16</v>
      </c>
      <c r="B545" t="s">
        <v>1640</v>
      </c>
      <c r="C545">
        <v>23303</v>
      </c>
      <c r="D545">
        <v>0</v>
      </c>
      <c r="F545">
        <v>0</v>
      </c>
    </row>
    <row r="546" spans="1:6" x14ac:dyDescent="0.25">
      <c r="A546" t="s">
        <v>25</v>
      </c>
      <c r="B546" t="s">
        <v>1641</v>
      </c>
      <c r="C546">
        <v>23304</v>
      </c>
      <c r="D546">
        <v>0</v>
      </c>
      <c r="F546">
        <v>0</v>
      </c>
    </row>
    <row r="547" spans="1:6" x14ac:dyDescent="0.25">
      <c r="B547" t="s">
        <v>1759</v>
      </c>
      <c r="D547">
        <v>15875472</v>
      </c>
      <c r="F547">
        <v>15875472</v>
      </c>
    </row>
    <row r="548" spans="1:6" x14ac:dyDescent="0.25">
      <c r="B548" t="s">
        <v>1760</v>
      </c>
    </row>
    <row r="549" spans="1:6" x14ac:dyDescent="0.25">
      <c r="A549" t="s">
        <v>2</v>
      </c>
      <c r="B549" t="s">
        <v>1637</v>
      </c>
      <c r="C549">
        <v>23401</v>
      </c>
      <c r="D549">
        <v>0</v>
      </c>
      <c r="F549">
        <v>0</v>
      </c>
    </row>
    <row r="550" spans="1:6" x14ac:dyDescent="0.25">
      <c r="A550" t="s">
        <v>15</v>
      </c>
      <c r="B550" t="s">
        <v>1638</v>
      </c>
      <c r="C550">
        <v>23402</v>
      </c>
      <c r="D550">
        <v>4877</v>
      </c>
      <c r="F550">
        <v>4877</v>
      </c>
    </row>
    <row r="551" spans="1:6" x14ac:dyDescent="0.25">
      <c r="A551" t="s">
        <v>16</v>
      </c>
      <c r="B551" t="s">
        <v>1640</v>
      </c>
      <c r="C551">
        <v>23403</v>
      </c>
      <c r="D551">
        <v>0</v>
      </c>
      <c r="F551">
        <v>0</v>
      </c>
    </row>
    <row r="552" spans="1:6" x14ac:dyDescent="0.25">
      <c r="A552" t="s">
        <v>25</v>
      </c>
      <c r="B552" t="s">
        <v>1641</v>
      </c>
      <c r="C552">
        <v>23404</v>
      </c>
      <c r="D552">
        <v>0</v>
      </c>
      <c r="F552">
        <v>0</v>
      </c>
    </row>
    <row r="553" spans="1:6" x14ac:dyDescent="0.25">
      <c r="B553" t="s">
        <v>1761</v>
      </c>
      <c r="D553">
        <v>4877</v>
      </c>
      <c r="F553">
        <v>4877</v>
      </c>
    </row>
    <row r="554" spans="1:6" x14ac:dyDescent="0.25">
      <c r="B554" t="s">
        <v>1762</v>
      </c>
    </row>
    <row r="555" spans="1:6" x14ac:dyDescent="0.25">
      <c r="A555" t="s">
        <v>2</v>
      </c>
      <c r="B555" t="s">
        <v>1637</v>
      </c>
      <c r="C555">
        <v>23501</v>
      </c>
      <c r="D555">
        <v>29546</v>
      </c>
      <c r="E555">
        <v>0</v>
      </c>
      <c r="F555">
        <v>29546</v>
      </c>
    </row>
    <row r="556" spans="1:6" x14ac:dyDescent="0.25">
      <c r="A556" t="s">
        <v>15</v>
      </c>
      <c r="B556" t="s">
        <v>1763</v>
      </c>
      <c r="C556">
        <v>23502</v>
      </c>
      <c r="D556">
        <v>1590904</v>
      </c>
      <c r="E556">
        <v>0</v>
      </c>
      <c r="F556">
        <v>1590904</v>
      </c>
    </row>
    <row r="557" spans="1:6" x14ac:dyDescent="0.25">
      <c r="A557" t="s">
        <v>16</v>
      </c>
      <c r="B557" t="s">
        <v>1640</v>
      </c>
      <c r="C557">
        <v>23503</v>
      </c>
      <c r="D557">
        <v>28164</v>
      </c>
      <c r="E557">
        <v>0</v>
      </c>
      <c r="F557">
        <v>28164</v>
      </c>
    </row>
    <row r="558" spans="1:6" x14ac:dyDescent="0.25">
      <c r="A558" t="s">
        <v>25</v>
      </c>
      <c r="B558" t="s">
        <v>1764</v>
      </c>
      <c r="C558">
        <v>23504</v>
      </c>
      <c r="D558">
        <v>0</v>
      </c>
      <c r="E558">
        <v>0</v>
      </c>
      <c r="F558">
        <v>0</v>
      </c>
    </row>
    <row r="559" spans="1:6" x14ac:dyDescent="0.25">
      <c r="B559" t="s">
        <v>1765</v>
      </c>
      <c r="D559">
        <v>1648614</v>
      </c>
      <c r="E559">
        <v>0</v>
      </c>
      <c r="F559">
        <v>1648614</v>
      </c>
    </row>
    <row r="560" spans="1:6" x14ac:dyDescent="0.25">
      <c r="B560" t="s">
        <v>1766</v>
      </c>
    </row>
    <row r="561" spans="1:6" x14ac:dyDescent="0.25">
      <c r="A561" t="s">
        <v>2</v>
      </c>
      <c r="B561" t="s">
        <v>1637</v>
      </c>
      <c r="C561">
        <v>23601</v>
      </c>
      <c r="D561">
        <v>0</v>
      </c>
      <c r="E561">
        <v>0</v>
      </c>
      <c r="F561">
        <v>0</v>
      </c>
    </row>
    <row r="562" spans="1:6" x14ac:dyDescent="0.25">
      <c r="A562" t="s">
        <v>15</v>
      </c>
      <c r="B562" t="s">
        <v>1763</v>
      </c>
      <c r="C562">
        <v>23602</v>
      </c>
      <c r="D562">
        <v>0</v>
      </c>
      <c r="E562">
        <v>0</v>
      </c>
      <c r="F562">
        <v>0</v>
      </c>
    </row>
    <row r="563" spans="1:6" x14ac:dyDescent="0.25">
      <c r="A563" t="s">
        <v>16</v>
      </c>
      <c r="B563" t="s">
        <v>1640</v>
      </c>
      <c r="C563">
        <v>23603</v>
      </c>
      <c r="D563">
        <v>0</v>
      </c>
      <c r="E563">
        <v>0</v>
      </c>
      <c r="F563">
        <v>0</v>
      </c>
    </row>
    <row r="564" spans="1:6" x14ac:dyDescent="0.25">
      <c r="A564" t="s">
        <v>25</v>
      </c>
      <c r="B564" t="s">
        <v>1764</v>
      </c>
      <c r="C564">
        <v>23604</v>
      </c>
      <c r="D564">
        <v>0</v>
      </c>
      <c r="E564">
        <v>0</v>
      </c>
      <c r="F564">
        <v>0</v>
      </c>
    </row>
    <row r="565" spans="1:6" x14ac:dyDescent="0.25">
      <c r="B565" t="s">
        <v>1767</v>
      </c>
      <c r="D565">
        <v>0</v>
      </c>
      <c r="E565">
        <v>0</v>
      </c>
      <c r="F565">
        <v>0</v>
      </c>
    </row>
    <row r="566" spans="1:6" x14ac:dyDescent="0.25">
      <c r="B566" t="s">
        <v>1768</v>
      </c>
    </row>
    <row r="567" spans="1:6" x14ac:dyDescent="0.25">
      <c r="A567" t="s">
        <v>2</v>
      </c>
      <c r="B567" t="s">
        <v>1769</v>
      </c>
      <c r="C567">
        <v>23701</v>
      </c>
      <c r="D567">
        <v>0</v>
      </c>
      <c r="E567">
        <v>0</v>
      </c>
      <c r="F567">
        <v>0</v>
      </c>
    </row>
    <row r="568" spans="1:6" x14ac:dyDescent="0.25">
      <c r="A568" t="s">
        <v>15</v>
      </c>
      <c r="B568" t="s">
        <v>1770</v>
      </c>
      <c r="C568">
        <v>23702</v>
      </c>
      <c r="D568">
        <v>0</v>
      </c>
      <c r="E568">
        <v>0</v>
      </c>
      <c r="F568">
        <v>0</v>
      </c>
    </row>
    <row r="569" spans="1:6" x14ac:dyDescent="0.25">
      <c r="A569" t="s">
        <v>16</v>
      </c>
      <c r="B569" t="s">
        <v>1771</v>
      </c>
      <c r="C569">
        <v>23703</v>
      </c>
      <c r="D569">
        <v>0</v>
      </c>
      <c r="E569">
        <v>0</v>
      </c>
      <c r="F569">
        <v>0</v>
      </c>
    </row>
    <row r="570" spans="1:6" x14ac:dyDescent="0.25">
      <c r="A570" t="s">
        <v>25</v>
      </c>
      <c r="B570" t="s">
        <v>1772</v>
      </c>
      <c r="C570">
        <v>23704</v>
      </c>
      <c r="D570">
        <v>0</v>
      </c>
      <c r="E570">
        <v>0</v>
      </c>
      <c r="F570">
        <v>0</v>
      </c>
    </row>
    <row r="571" spans="1:6" x14ac:dyDescent="0.25">
      <c r="B571" t="s">
        <v>1773</v>
      </c>
      <c r="D571">
        <v>0</v>
      </c>
      <c r="E571">
        <v>0</v>
      </c>
      <c r="F571">
        <v>0</v>
      </c>
    </row>
    <row r="572" spans="1:6" x14ac:dyDescent="0.25">
      <c r="B572" t="s">
        <v>1774</v>
      </c>
    </row>
    <row r="573" spans="1:6" x14ac:dyDescent="0.25">
      <c r="A573" t="s">
        <v>2</v>
      </c>
      <c r="B573" t="s">
        <v>1769</v>
      </c>
      <c r="C573">
        <v>23801</v>
      </c>
      <c r="D573">
        <v>0</v>
      </c>
      <c r="E573">
        <v>0</v>
      </c>
      <c r="F573">
        <v>0</v>
      </c>
    </row>
    <row r="574" spans="1:6" x14ac:dyDescent="0.25">
      <c r="A574" t="s">
        <v>15</v>
      </c>
      <c r="B574" t="s">
        <v>1770</v>
      </c>
      <c r="C574">
        <v>23802</v>
      </c>
      <c r="D574">
        <v>0</v>
      </c>
      <c r="E574">
        <v>0</v>
      </c>
      <c r="F574">
        <v>0</v>
      </c>
    </row>
    <row r="575" spans="1:6" x14ac:dyDescent="0.25">
      <c r="A575" t="s">
        <v>16</v>
      </c>
      <c r="B575" t="s">
        <v>1771</v>
      </c>
      <c r="C575">
        <v>23803</v>
      </c>
      <c r="D575">
        <v>0</v>
      </c>
      <c r="E575">
        <v>0</v>
      </c>
      <c r="F575">
        <v>0</v>
      </c>
    </row>
    <row r="576" spans="1:6" x14ac:dyDescent="0.25">
      <c r="A576" t="s">
        <v>25</v>
      </c>
      <c r="B576" t="s">
        <v>1772</v>
      </c>
      <c r="C576">
        <v>23804</v>
      </c>
      <c r="D576">
        <v>0</v>
      </c>
      <c r="E576">
        <v>0</v>
      </c>
      <c r="F576">
        <v>0</v>
      </c>
    </row>
    <row r="577" spans="1:6" x14ac:dyDescent="0.25">
      <c r="B577" t="s">
        <v>1775</v>
      </c>
      <c r="D577">
        <v>0</v>
      </c>
      <c r="E577">
        <v>0</v>
      </c>
      <c r="F577">
        <v>0</v>
      </c>
    </row>
    <row r="578" spans="1:6" x14ac:dyDescent="0.25">
      <c r="B578" t="s">
        <v>1776</v>
      </c>
    </row>
    <row r="579" spans="1:6" x14ac:dyDescent="0.25">
      <c r="A579" t="s">
        <v>2</v>
      </c>
      <c r="B579" t="s">
        <v>1637</v>
      </c>
      <c r="C579">
        <v>23901</v>
      </c>
      <c r="D579">
        <v>0</v>
      </c>
      <c r="F579">
        <v>0</v>
      </c>
    </row>
    <row r="580" spans="1:6" x14ac:dyDescent="0.25">
      <c r="A580" t="s">
        <v>15</v>
      </c>
      <c r="B580" t="s">
        <v>1763</v>
      </c>
      <c r="C580">
        <v>23902</v>
      </c>
      <c r="D580">
        <v>0</v>
      </c>
      <c r="F580">
        <v>0</v>
      </c>
    </row>
    <row r="581" spans="1:6" x14ac:dyDescent="0.25">
      <c r="A581" t="s">
        <v>16</v>
      </c>
      <c r="B581" t="s">
        <v>1777</v>
      </c>
      <c r="C581">
        <v>23903</v>
      </c>
      <c r="D581">
        <v>0</v>
      </c>
      <c r="F581">
        <v>0</v>
      </c>
    </row>
    <row r="582" spans="1:6" x14ac:dyDescent="0.25">
      <c r="A582" t="s">
        <v>25</v>
      </c>
      <c r="B582" t="s">
        <v>1764</v>
      </c>
      <c r="C582">
        <v>23904</v>
      </c>
      <c r="D582">
        <v>0</v>
      </c>
      <c r="F582">
        <v>0</v>
      </c>
    </row>
    <row r="583" spans="1:6" x14ac:dyDescent="0.25">
      <c r="B583" t="s">
        <v>1778</v>
      </c>
      <c r="D583">
        <v>0</v>
      </c>
      <c r="F583">
        <v>0</v>
      </c>
    </row>
    <row r="584" spans="1:6" x14ac:dyDescent="0.25">
      <c r="B584" t="s">
        <v>1670</v>
      </c>
      <c r="D584">
        <v>18907672</v>
      </c>
      <c r="E584">
        <v>0</v>
      </c>
      <c r="F584">
        <v>18907672</v>
      </c>
    </row>
    <row r="585" spans="1:6" x14ac:dyDescent="0.25">
      <c r="B585" t="s">
        <v>1779</v>
      </c>
    </row>
    <row r="586" spans="1:6" x14ac:dyDescent="0.25">
      <c r="B586" t="s">
        <v>1672</v>
      </c>
    </row>
    <row r="587" spans="1:6" x14ac:dyDescent="0.25">
      <c r="A587" t="s">
        <v>2</v>
      </c>
      <c r="B587" t="s">
        <v>1673</v>
      </c>
      <c r="C587">
        <v>24101</v>
      </c>
      <c r="D587">
        <v>0</v>
      </c>
      <c r="E587">
        <v>0</v>
      </c>
      <c r="F587">
        <v>0</v>
      </c>
    </row>
    <row r="588" spans="1:6" x14ac:dyDescent="0.25">
      <c r="A588" t="s">
        <v>15</v>
      </c>
      <c r="B588" t="s">
        <v>1674</v>
      </c>
      <c r="C588">
        <v>24102</v>
      </c>
      <c r="D588">
        <v>0</v>
      </c>
      <c r="E588">
        <v>0</v>
      </c>
      <c r="F588">
        <v>0</v>
      </c>
    </row>
    <row r="589" spans="1:6" x14ac:dyDescent="0.25">
      <c r="A589" t="s">
        <v>16</v>
      </c>
      <c r="B589" t="s">
        <v>1675</v>
      </c>
      <c r="C589">
        <v>24103</v>
      </c>
      <c r="D589">
        <v>0</v>
      </c>
      <c r="E589">
        <v>0</v>
      </c>
      <c r="F589">
        <v>0</v>
      </c>
    </row>
    <row r="590" spans="1:6" x14ac:dyDescent="0.25">
      <c r="A590" t="s">
        <v>25</v>
      </c>
      <c r="B590" t="s">
        <v>1676</v>
      </c>
      <c r="C590">
        <v>24104</v>
      </c>
      <c r="D590">
        <v>0</v>
      </c>
      <c r="E590">
        <v>0</v>
      </c>
      <c r="F590">
        <v>0</v>
      </c>
    </row>
    <row r="591" spans="1:6" x14ac:dyDescent="0.25">
      <c r="A591" t="s">
        <v>26</v>
      </c>
      <c r="B591" t="s">
        <v>1677</v>
      </c>
      <c r="C591">
        <v>24105</v>
      </c>
      <c r="D591">
        <v>0</v>
      </c>
      <c r="E591">
        <v>0</v>
      </c>
      <c r="F591">
        <v>0</v>
      </c>
    </row>
    <row r="592" spans="1:6" x14ac:dyDescent="0.25">
      <c r="B592" t="s">
        <v>1780</v>
      </c>
      <c r="D592">
        <v>0</v>
      </c>
      <c r="E592">
        <v>0</v>
      </c>
      <c r="F592">
        <v>0</v>
      </c>
    </row>
    <row r="593" spans="1:6" x14ac:dyDescent="0.25">
      <c r="B593" t="s">
        <v>1781</v>
      </c>
    </row>
    <row r="594" spans="1:6" x14ac:dyDescent="0.25">
      <c r="A594" t="s">
        <v>2</v>
      </c>
      <c r="B594" t="s">
        <v>1693</v>
      </c>
      <c r="C594">
        <v>24201</v>
      </c>
      <c r="D594">
        <v>0</v>
      </c>
      <c r="E594">
        <v>0</v>
      </c>
      <c r="F594">
        <v>0</v>
      </c>
    </row>
    <row r="595" spans="1:6" x14ac:dyDescent="0.25">
      <c r="A595" t="s">
        <v>15</v>
      </c>
      <c r="B595" t="s">
        <v>1694</v>
      </c>
      <c r="C595">
        <v>24202</v>
      </c>
      <c r="D595">
        <v>0</v>
      </c>
      <c r="E595">
        <v>0</v>
      </c>
      <c r="F595">
        <v>0</v>
      </c>
    </row>
    <row r="596" spans="1:6" x14ac:dyDescent="0.25">
      <c r="A596" t="s">
        <v>16</v>
      </c>
      <c r="B596" t="s">
        <v>1695</v>
      </c>
      <c r="C596">
        <v>24203</v>
      </c>
      <c r="D596">
        <v>0</v>
      </c>
      <c r="E596">
        <v>0</v>
      </c>
      <c r="F596">
        <v>0</v>
      </c>
    </row>
    <row r="597" spans="1:6" x14ac:dyDescent="0.25">
      <c r="A597" t="s">
        <v>25</v>
      </c>
      <c r="B597" t="s">
        <v>1696</v>
      </c>
      <c r="C597">
        <v>24204</v>
      </c>
      <c r="D597">
        <v>0</v>
      </c>
      <c r="E597">
        <v>0</v>
      </c>
      <c r="F597">
        <v>0</v>
      </c>
    </row>
    <row r="598" spans="1:6" x14ac:dyDescent="0.25">
      <c r="A598" t="s">
        <v>26</v>
      </c>
      <c r="B598" t="s">
        <v>1680</v>
      </c>
      <c r="C598">
        <v>24205</v>
      </c>
      <c r="D598">
        <v>0</v>
      </c>
      <c r="E598">
        <v>0</v>
      </c>
      <c r="F598">
        <v>0</v>
      </c>
    </row>
    <row r="599" spans="1:6" x14ac:dyDescent="0.25">
      <c r="A599" t="s">
        <v>27</v>
      </c>
      <c r="B599" t="s">
        <v>1681</v>
      </c>
      <c r="C599">
        <v>24206</v>
      </c>
      <c r="D599">
        <v>0</v>
      </c>
      <c r="E599">
        <v>0</v>
      </c>
      <c r="F599">
        <v>0</v>
      </c>
    </row>
    <row r="600" spans="1:6" x14ac:dyDescent="0.25">
      <c r="A600" t="s">
        <v>531</v>
      </c>
      <c r="B600" t="s">
        <v>1682</v>
      </c>
      <c r="C600">
        <v>24207</v>
      </c>
      <c r="D600">
        <v>0</v>
      </c>
      <c r="E600">
        <v>0</v>
      </c>
      <c r="F600">
        <v>0</v>
      </c>
    </row>
    <row r="601" spans="1:6" x14ac:dyDescent="0.25">
      <c r="A601" t="s">
        <v>1583</v>
      </c>
      <c r="B601" t="s">
        <v>1683</v>
      </c>
      <c r="C601">
        <v>24208</v>
      </c>
      <c r="D601">
        <v>0</v>
      </c>
      <c r="E601">
        <v>0</v>
      </c>
      <c r="F601">
        <v>0</v>
      </c>
    </row>
    <row r="602" spans="1:6" x14ac:dyDescent="0.25">
      <c r="A602" t="s">
        <v>1585</v>
      </c>
      <c r="B602" t="s">
        <v>1684</v>
      </c>
      <c r="C602">
        <v>24209</v>
      </c>
      <c r="D602">
        <v>153</v>
      </c>
      <c r="E602">
        <v>0</v>
      </c>
      <c r="F602">
        <v>153</v>
      </c>
    </row>
    <row r="603" spans="1:6" x14ac:dyDescent="0.25">
      <c r="A603" t="s">
        <v>1587</v>
      </c>
      <c r="B603" t="s">
        <v>1685</v>
      </c>
      <c r="C603">
        <v>24210</v>
      </c>
      <c r="D603">
        <v>0</v>
      </c>
      <c r="E603">
        <v>0</v>
      </c>
      <c r="F603">
        <v>0</v>
      </c>
    </row>
    <row r="604" spans="1:6" x14ac:dyDescent="0.25">
      <c r="A604" t="s">
        <v>1589</v>
      </c>
      <c r="B604" t="s">
        <v>1686</v>
      </c>
      <c r="C604">
        <v>24211</v>
      </c>
      <c r="D604">
        <v>1</v>
      </c>
      <c r="E604">
        <v>0</v>
      </c>
      <c r="F604">
        <v>1</v>
      </c>
    </row>
    <row r="605" spans="1:6" x14ac:dyDescent="0.25">
      <c r="A605" t="s">
        <v>1591</v>
      </c>
      <c r="B605" t="s">
        <v>1687</v>
      </c>
      <c r="C605">
        <v>24212</v>
      </c>
      <c r="D605">
        <v>5157</v>
      </c>
      <c r="E605">
        <v>2106</v>
      </c>
      <c r="F605">
        <v>7263</v>
      </c>
    </row>
    <row r="606" spans="1:6" x14ac:dyDescent="0.25">
      <c r="A606" t="s">
        <v>1593</v>
      </c>
      <c r="B606" t="s">
        <v>1688</v>
      </c>
      <c r="C606">
        <v>24213</v>
      </c>
      <c r="D606">
        <v>65</v>
      </c>
      <c r="E606">
        <v>0</v>
      </c>
      <c r="F606">
        <v>65</v>
      </c>
    </row>
    <row r="607" spans="1:6" x14ac:dyDescent="0.25">
      <c r="A607" t="s">
        <v>1595</v>
      </c>
      <c r="B607" t="s">
        <v>1690</v>
      </c>
      <c r="C607">
        <v>24214</v>
      </c>
      <c r="D607">
        <v>526</v>
      </c>
      <c r="E607">
        <v>0</v>
      </c>
      <c r="F607">
        <v>526</v>
      </c>
    </row>
    <row r="608" spans="1:6" x14ac:dyDescent="0.25">
      <c r="A608" t="s">
        <v>1597</v>
      </c>
      <c r="B608" t="s">
        <v>1637</v>
      </c>
      <c r="C608">
        <v>24215</v>
      </c>
      <c r="D608">
        <v>0</v>
      </c>
      <c r="E608">
        <v>0</v>
      </c>
      <c r="F608">
        <v>0</v>
      </c>
    </row>
    <row r="609" spans="1:6" x14ac:dyDescent="0.25">
      <c r="A609" t="s">
        <v>1599</v>
      </c>
      <c r="B609" t="s">
        <v>1640</v>
      </c>
      <c r="C609">
        <v>24216</v>
      </c>
      <c r="D609">
        <v>0</v>
      </c>
      <c r="E609">
        <v>0</v>
      </c>
      <c r="F609">
        <v>0</v>
      </c>
    </row>
    <row r="610" spans="1:6" x14ac:dyDescent="0.25">
      <c r="A610" t="s">
        <v>1601</v>
      </c>
      <c r="B610" t="s">
        <v>1636</v>
      </c>
      <c r="C610">
        <v>24217</v>
      </c>
      <c r="D610">
        <v>0</v>
      </c>
      <c r="E610">
        <v>0</v>
      </c>
      <c r="F610">
        <v>0</v>
      </c>
    </row>
    <row r="611" spans="1:6" x14ac:dyDescent="0.25">
      <c r="A611" t="s">
        <v>1603</v>
      </c>
      <c r="B611" t="s">
        <v>1689</v>
      </c>
      <c r="C611">
        <v>24218</v>
      </c>
      <c r="D611">
        <v>51</v>
      </c>
      <c r="E611">
        <v>0</v>
      </c>
      <c r="F611">
        <v>51</v>
      </c>
    </row>
    <row r="612" spans="1:6" x14ac:dyDescent="0.25">
      <c r="B612" t="s">
        <v>1782</v>
      </c>
      <c r="D612">
        <v>5953</v>
      </c>
      <c r="E612">
        <v>2106</v>
      </c>
      <c r="F612">
        <v>8059</v>
      </c>
    </row>
    <row r="613" spans="1:6" x14ac:dyDescent="0.25">
      <c r="B613" t="s">
        <v>1783</v>
      </c>
    </row>
    <row r="614" spans="1:6" x14ac:dyDescent="0.25">
      <c r="A614" t="s">
        <v>2</v>
      </c>
      <c r="B614" t="s">
        <v>1699</v>
      </c>
      <c r="C614">
        <v>24301</v>
      </c>
      <c r="D614">
        <v>0</v>
      </c>
      <c r="E614">
        <v>0</v>
      </c>
      <c r="F614">
        <v>0</v>
      </c>
    </row>
    <row r="615" spans="1:6" x14ac:dyDescent="0.25">
      <c r="A615" t="s">
        <v>15</v>
      </c>
      <c r="B615" t="s">
        <v>1694</v>
      </c>
      <c r="C615">
        <v>24302</v>
      </c>
      <c r="D615">
        <v>0</v>
      </c>
      <c r="E615">
        <v>0</v>
      </c>
      <c r="F615">
        <v>0</v>
      </c>
    </row>
    <row r="616" spans="1:6" x14ac:dyDescent="0.25">
      <c r="A616" t="s">
        <v>16</v>
      </c>
      <c r="B616" t="s">
        <v>1695</v>
      </c>
      <c r="C616">
        <v>24303</v>
      </c>
      <c r="D616">
        <v>0</v>
      </c>
      <c r="E616">
        <v>0</v>
      </c>
      <c r="F616">
        <v>0</v>
      </c>
    </row>
    <row r="617" spans="1:6" x14ac:dyDescent="0.25">
      <c r="A617" t="s">
        <v>25</v>
      </c>
      <c r="B617" t="s">
        <v>1696</v>
      </c>
      <c r="C617">
        <v>24304</v>
      </c>
      <c r="D617">
        <v>0</v>
      </c>
      <c r="E617">
        <v>0</v>
      </c>
      <c r="F617">
        <v>0</v>
      </c>
    </row>
    <row r="618" spans="1:6" x14ac:dyDescent="0.25">
      <c r="A618" t="s">
        <v>26</v>
      </c>
      <c r="B618" t="s">
        <v>1680</v>
      </c>
      <c r="C618">
        <v>24305</v>
      </c>
      <c r="D618">
        <v>0</v>
      </c>
      <c r="E618">
        <v>0</v>
      </c>
      <c r="F618">
        <v>0</v>
      </c>
    </row>
    <row r="619" spans="1:6" x14ac:dyDescent="0.25">
      <c r="A619" t="s">
        <v>27</v>
      </c>
      <c r="B619" t="s">
        <v>1681</v>
      </c>
      <c r="C619">
        <v>24306</v>
      </c>
      <c r="D619">
        <v>0</v>
      </c>
      <c r="E619">
        <v>0</v>
      </c>
      <c r="F619">
        <v>0</v>
      </c>
    </row>
    <row r="620" spans="1:6" x14ac:dyDescent="0.25">
      <c r="A620" t="s">
        <v>531</v>
      </c>
      <c r="B620" t="s">
        <v>1682</v>
      </c>
      <c r="C620">
        <v>24307</v>
      </c>
      <c r="D620">
        <v>0</v>
      </c>
      <c r="E620">
        <v>0</v>
      </c>
      <c r="F620">
        <v>0</v>
      </c>
    </row>
    <row r="621" spans="1:6" x14ac:dyDescent="0.25">
      <c r="A621" t="s">
        <v>1583</v>
      </c>
      <c r="B621" t="s">
        <v>1683</v>
      </c>
      <c r="C621">
        <v>24308</v>
      </c>
      <c r="D621">
        <v>0</v>
      </c>
      <c r="E621">
        <v>0</v>
      </c>
      <c r="F621">
        <v>0</v>
      </c>
    </row>
    <row r="622" spans="1:6" x14ac:dyDescent="0.25">
      <c r="A622" t="s">
        <v>1585</v>
      </c>
      <c r="B622" t="s">
        <v>1684</v>
      </c>
      <c r="C622">
        <v>24309</v>
      </c>
      <c r="D622">
        <v>0</v>
      </c>
      <c r="E622">
        <v>0</v>
      </c>
      <c r="F622">
        <v>0</v>
      </c>
    </row>
    <row r="623" spans="1:6" x14ac:dyDescent="0.25">
      <c r="A623" t="s">
        <v>1587</v>
      </c>
      <c r="B623" t="s">
        <v>1685</v>
      </c>
      <c r="C623">
        <v>24310</v>
      </c>
      <c r="D623">
        <v>0</v>
      </c>
      <c r="E623">
        <v>0</v>
      </c>
      <c r="F623">
        <v>0</v>
      </c>
    </row>
    <row r="624" spans="1:6" x14ac:dyDescent="0.25">
      <c r="A624" t="s">
        <v>1589</v>
      </c>
      <c r="B624" t="s">
        <v>1686</v>
      </c>
      <c r="C624">
        <v>24311</v>
      </c>
      <c r="D624">
        <v>0</v>
      </c>
      <c r="E624">
        <v>0</v>
      </c>
      <c r="F624">
        <v>0</v>
      </c>
    </row>
    <row r="625" spans="1:6" x14ac:dyDescent="0.25">
      <c r="A625" t="s">
        <v>1591</v>
      </c>
      <c r="B625" t="s">
        <v>1687</v>
      </c>
      <c r="C625">
        <v>24312</v>
      </c>
      <c r="D625">
        <v>0</v>
      </c>
      <c r="E625">
        <v>0</v>
      </c>
      <c r="F625">
        <v>0</v>
      </c>
    </row>
    <row r="626" spans="1:6" x14ac:dyDescent="0.25">
      <c r="A626" t="s">
        <v>1593</v>
      </c>
      <c r="B626" t="s">
        <v>1688</v>
      </c>
      <c r="C626">
        <v>24313</v>
      </c>
      <c r="D626">
        <v>0</v>
      </c>
      <c r="E626">
        <v>0</v>
      </c>
      <c r="F626">
        <v>0</v>
      </c>
    </row>
    <row r="627" spans="1:6" x14ac:dyDescent="0.25">
      <c r="A627" t="s">
        <v>1595</v>
      </c>
      <c r="B627" t="s">
        <v>1690</v>
      </c>
      <c r="C627">
        <v>24314</v>
      </c>
      <c r="D627">
        <v>0</v>
      </c>
      <c r="E627">
        <v>0</v>
      </c>
      <c r="F627">
        <v>0</v>
      </c>
    </row>
    <row r="628" spans="1:6" x14ac:dyDescent="0.25">
      <c r="A628" t="s">
        <v>1597</v>
      </c>
      <c r="B628" t="s">
        <v>1637</v>
      </c>
      <c r="C628">
        <v>24315</v>
      </c>
      <c r="D628">
        <v>0</v>
      </c>
      <c r="E628">
        <v>0</v>
      </c>
      <c r="F628">
        <v>0</v>
      </c>
    </row>
    <row r="629" spans="1:6" x14ac:dyDescent="0.25">
      <c r="A629" t="s">
        <v>1599</v>
      </c>
      <c r="B629" t="s">
        <v>1640</v>
      </c>
      <c r="C629">
        <v>24316</v>
      </c>
      <c r="D629">
        <v>0</v>
      </c>
      <c r="E629">
        <v>0</v>
      </c>
      <c r="F629">
        <v>0</v>
      </c>
    </row>
    <row r="630" spans="1:6" x14ac:dyDescent="0.25">
      <c r="A630" t="s">
        <v>1601</v>
      </c>
      <c r="B630" t="s">
        <v>1636</v>
      </c>
      <c r="C630">
        <v>24317</v>
      </c>
      <c r="D630">
        <v>0</v>
      </c>
      <c r="E630">
        <v>0</v>
      </c>
      <c r="F630">
        <v>0</v>
      </c>
    </row>
    <row r="631" spans="1:6" x14ac:dyDescent="0.25">
      <c r="A631" t="s">
        <v>1603</v>
      </c>
      <c r="B631" t="s">
        <v>1689</v>
      </c>
      <c r="C631">
        <v>24318</v>
      </c>
      <c r="D631">
        <v>0</v>
      </c>
      <c r="E631">
        <v>0</v>
      </c>
      <c r="F631">
        <v>0</v>
      </c>
    </row>
    <row r="632" spans="1:6" x14ac:dyDescent="0.25">
      <c r="B632" t="s">
        <v>1784</v>
      </c>
      <c r="D632">
        <v>0</v>
      </c>
      <c r="E632">
        <v>0</v>
      </c>
      <c r="F632">
        <v>0</v>
      </c>
    </row>
    <row r="633" spans="1:6" x14ac:dyDescent="0.25">
      <c r="B633" t="s">
        <v>1785</v>
      </c>
    </row>
    <row r="634" spans="1:6" x14ac:dyDescent="0.25">
      <c r="A634" t="s">
        <v>2</v>
      </c>
      <c r="B634" t="s">
        <v>1702</v>
      </c>
      <c r="C634">
        <v>24401</v>
      </c>
      <c r="D634">
        <v>131776</v>
      </c>
      <c r="E634">
        <v>4778</v>
      </c>
      <c r="F634">
        <v>136554</v>
      </c>
    </row>
    <row r="635" spans="1:6" x14ac:dyDescent="0.25">
      <c r="A635" t="s">
        <v>15</v>
      </c>
      <c r="B635" t="s">
        <v>1703</v>
      </c>
      <c r="C635">
        <v>24402</v>
      </c>
      <c r="D635">
        <v>1555</v>
      </c>
      <c r="E635">
        <v>1</v>
      </c>
      <c r="F635">
        <v>1556</v>
      </c>
    </row>
    <row r="636" spans="1:6" x14ac:dyDescent="0.25">
      <c r="B636" t="s">
        <v>1786</v>
      </c>
      <c r="D636">
        <v>133331</v>
      </c>
      <c r="E636">
        <v>4779</v>
      </c>
      <c r="F636">
        <v>138110</v>
      </c>
    </row>
    <row r="637" spans="1:6" x14ac:dyDescent="0.25">
      <c r="B637" t="s">
        <v>1787</v>
      </c>
    </row>
    <row r="638" spans="1:6" x14ac:dyDescent="0.25">
      <c r="A638" t="s">
        <v>2</v>
      </c>
      <c r="B638" t="s">
        <v>1702</v>
      </c>
      <c r="C638">
        <v>24501</v>
      </c>
      <c r="D638">
        <v>0</v>
      </c>
      <c r="E638">
        <v>0</v>
      </c>
      <c r="F638">
        <v>0</v>
      </c>
    </row>
    <row r="639" spans="1:6" x14ac:dyDescent="0.25">
      <c r="A639" t="s">
        <v>15</v>
      </c>
      <c r="B639" t="s">
        <v>1703</v>
      </c>
      <c r="C639">
        <v>24502</v>
      </c>
      <c r="D639">
        <v>0</v>
      </c>
      <c r="E639">
        <v>0</v>
      </c>
      <c r="F639">
        <v>0</v>
      </c>
    </row>
    <row r="640" spans="1:6" x14ac:dyDescent="0.25">
      <c r="B640" t="s">
        <v>1788</v>
      </c>
      <c r="D640">
        <v>0</v>
      </c>
      <c r="E640">
        <v>0</v>
      </c>
      <c r="F640">
        <v>0</v>
      </c>
    </row>
    <row r="641" spans="1:6" x14ac:dyDescent="0.25">
      <c r="B641" t="s">
        <v>1789</v>
      </c>
    </row>
    <row r="642" spans="1:6" x14ac:dyDescent="0.25">
      <c r="A642" t="s">
        <v>2</v>
      </c>
      <c r="B642" t="s">
        <v>1710</v>
      </c>
      <c r="C642">
        <v>24601</v>
      </c>
      <c r="D642">
        <v>0</v>
      </c>
      <c r="E642">
        <v>0</v>
      </c>
      <c r="F642">
        <v>0</v>
      </c>
    </row>
    <row r="643" spans="1:6" x14ac:dyDescent="0.25">
      <c r="A643" t="s">
        <v>15</v>
      </c>
      <c r="B643" t="s">
        <v>1711</v>
      </c>
      <c r="C643">
        <v>24602</v>
      </c>
      <c r="D643">
        <v>0</v>
      </c>
      <c r="E643">
        <v>0</v>
      </c>
      <c r="F643">
        <v>0</v>
      </c>
    </row>
    <row r="644" spans="1:6" x14ac:dyDescent="0.25">
      <c r="A644" t="s">
        <v>16</v>
      </c>
      <c r="B644" t="s">
        <v>1712</v>
      </c>
      <c r="C644">
        <v>24603</v>
      </c>
      <c r="D644">
        <v>430</v>
      </c>
      <c r="E644">
        <v>0</v>
      </c>
      <c r="F644">
        <v>430</v>
      </c>
    </row>
    <row r="645" spans="1:6" x14ac:dyDescent="0.25">
      <c r="A645" t="s">
        <v>25</v>
      </c>
      <c r="B645" t="s">
        <v>1713</v>
      </c>
      <c r="C645">
        <v>24604</v>
      </c>
      <c r="D645">
        <v>846</v>
      </c>
      <c r="E645">
        <v>0</v>
      </c>
      <c r="F645">
        <v>846</v>
      </c>
    </row>
    <row r="646" spans="1:6" x14ac:dyDescent="0.25">
      <c r="A646" t="s">
        <v>26</v>
      </c>
      <c r="B646" t="s">
        <v>1714</v>
      </c>
      <c r="C646">
        <v>24605</v>
      </c>
      <c r="D646">
        <v>0</v>
      </c>
      <c r="E646">
        <v>0</v>
      </c>
      <c r="F646">
        <v>0</v>
      </c>
    </row>
    <row r="647" spans="1:6" x14ac:dyDescent="0.25">
      <c r="B647" t="s">
        <v>1790</v>
      </c>
      <c r="D647">
        <v>1276</v>
      </c>
      <c r="E647">
        <v>0</v>
      </c>
      <c r="F647">
        <v>1276</v>
      </c>
    </row>
    <row r="648" spans="1:6" x14ac:dyDescent="0.25">
      <c r="B648" t="s">
        <v>1716</v>
      </c>
      <c r="D648">
        <v>140560</v>
      </c>
      <c r="E648">
        <v>6885</v>
      </c>
      <c r="F648">
        <v>147445</v>
      </c>
    </row>
    <row r="649" spans="1:6" x14ac:dyDescent="0.25">
      <c r="B649" t="s">
        <v>1791</v>
      </c>
    </row>
    <row r="650" spans="1:6" x14ac:dyDescent="0.25">
      <c r="B650" t="s">
        <v>1792</v>
      </c>
    </row>
    <row r="651" spans="1:6" x14ac:dyDescent="0.25">
      <c r="A651" t="s">
        <v>2</v>
      </c>
      <c r="B651" t="s">
        <v>1793</v>
      </c>
      <c r="C651">
        <v>25101</v>
      </c>
      <c r="D651">
        <v>495005</v>
      </c>
      <c r="F651">
        <v>495005</v>
      </c>
    </row>
    <row r="652" spans="1:6" x14ac:dyDescent="0.25">
      <c r="A652" t="s">
        <v>15</v>
      </c>
      <c r="B652" t="s">
        <v>1794</v>
      </c>
      <c r="C652">
        <v>25102</v>
      </c>
      <c r="D652">
        <v>0</v>
      </c>
      <c r="F652">
        <v>0</v>
      </c>
    </row>
    <row r="653" spans="1:6" x14ac:dyDescent="0.25">
      <c r="A653" t="s">
        <v>16</v>
      </c>
      <c r="B653" t="s">
        <v>1795</v>
      </c>
      <c r="C653">
        <v>25103</v>
      </c>
      <c r="D653">
        <v>0</v>
      </c>
      <c r="F653">
        <v>0</v>
      </c>
    </row>
    <row r="654" spans="1:6" x14ac:dyDescent="0.25">
      <c r="A654" t="s">
        <v>25</v>
      </c>
      <c r="B654" t="s">
        <v>1796</v>
      </c>
      <c r="C654">
        <v>25104</v>
      </c>
      <c r="D654">
        <v>3186812</v>
      </c>
      <c r="F654">
        <v>3186812</v>
      </c>
    </row>
    <row r="655" spans="1:6" x14ac:dyDescent="0.25">
      <c r="A655" t="s">
        <v>26</v>
      </c>
      <c r="B655" t="s">
        <v>1797</v>
      </c>
      <c r="C655">
        <v>25105</v>
      </c>
      <c r="D655">
        <v>0</v>
      </c>
      <c r="F655">
        <v>0</v>
      </c>
    </row>
    <row r="656" spans="1:6" x14ac:dyDescent="0.25">
      <c r="B656" t="s">
        <v>1798</v>
      </c>
      <c r="D656">
        <v>3681817</v>
      </c>
      <c r="F656">
        <v>3681817</v>
      </c>
    </row>
    <row r="657" spans="1:6" x14ac:dyDescent="0.25">
      <c r="B657" t="s">
        <v>1799</v>
      </c>
    </row>
    <row r="658" spans="1:6" x14ac:dyDescent="0.25">
      <c r="A658" t="s">
        <v>2</v>
      </c>
      <c r="B658" t="s">
        <v>1793</v>
      </c>
      <c r="C658">
        <v>25201</v>
      </c>
      <c r="D658">
        <v>0</v>
      </c>
      <c r="F658">
        <v>0</v>
      </c>
    </row>
    <row r="659" spans="1:6" x14ac:dyDescent="0.25">
      <c r="A659" t="s">
        <v>15</v>
      </c>
      <c r="B659" t="s">
        <v>1794</v>
      </c>
      <c r="C659">
        <v>25202</v>
      </c>
      <c r="D659">
        <v>0</v>
      </c>
      <c r="F659">
        <v>0</v>
      </c>
    </row>
    <row r="660" spans="1:6" x14ac:dyDescent="0.25">
      <c r="A660" t="s">
        <v>16</v>
      </c>
      <c r="B660" t="s">
        <v>1795</v>
      </c>
      <c r="C660">
        <v>25203</v>
      </c>
      <c r="D660">
        <v>0</v>
      </c>
      <c r="F660">
        <v>0</v>
      </c>
    </row>
    <row r="661" spans="1:6" x14ac:dyDescent="0.25">
      <c r="A661" t="s">
        <v>25</v>
      </c>
      <c r="B661" t="s">
        <v>1796</v>
      </c>
      <c r="C661">
        <v>25204</v>
      </c>
      <c r="D661">
        <v>0</v>
      </c>
      <c r="F661">
        <v>0</v>
      </c>
    </row>
    <row r="662" spans="1:6" x14ac:dyDescent="0.25">
      <c r="A662" t="s">
        <v>26</v>
      </c>
      <c r="B662" t="s">
        <v>1797</v>
      </c>
      <c r="C662">
        <v>25205</v>
      </c>
      <c r="D662">
        <v>0</v>
      </c>
      <c r="F662">
        <v>0</v>
      </c>
    </row>
    <row r="663" spans="1:6" x14ac:dyDescent="0.25">
      <c r="B663" t="s">
        <v>1800</v>
      </c>
      <c r="D663">
        <v>0</v>
      </c>
      <c r="F663">
        <v>0</v>
      </c>
    </row>
    <row r="664" spans="1:6" x14ac:dyDescent="0.25">
      <c r="B664" t="s">
        <v>1801</v>
      </c>
    </row>
    <row r="665" spans="1:6" x14ac:dyDescent="0.25">
      <c r="A665" t="s">
        <v>2</v>
      </c>
      <c r="B665" t="s">
        <v>1793</v>
      </c>
      <c r="C665">
        <v>25301</v>
      </c>
      <c r="D665">
        <v>5831</v>
      </c>
      <c r="F665">
        <v>5831</v>
      </c>
    </row>
    <row r="666" spans="1:6" x14ac:dyDescent="0.25">
      <c r="A666" t="s">
        <v>15</v>
      </c>
      <c r="B666" t="s">
        <v>1794</v>
      </c>
      <c r="C666">
        <v>25302</v>
      </c>
      <c r="D666">
        <v>0</v>
      </c>
      <c r="F666">
        <v>0</v>
      </c>
    </row>
    <row r="667" spans="1:6" x14ac:dyDescent="0.25">
      <c r="A667" t="s">
        <v>16</v>
      </c>
      <c r="B667" t="s">
        <v>1795</v>
      </c>
      <c r="C667">
        <v>25303</v>
      </c>
      <c r="D667">
        <v>0</v>
      </c>
      <c r="F667">
        <v>0</v>
      </c>
    </row>
    <row r="668" spans="1:6" x14ac:dyDescent="0.25">
      <c r="A668" t="s">
        <v>25</v>
      </c>
      <c r="B668" t="s">
        <v>1796</v>
      </c>
      <c r="C668">
        <v>25304</v>
      </c>
      <c r="D668">
        <v>0</v>
      </c>
      <c r="F668">
        <v>0</v>
      </c>
    </row>
    <row r="669" spans="1:6" x14ac:dyDescent="0.25">
      <c r="A669" t="s">
        <v>26</v>
      </c>
      <c r="B669" t="s">
        <v>1797</v>
      </c>
      <c r="C669">
        <v>25305</v>
      </c>
      <c r="D669">
        <v>0</v>
      </c>
      <c r="F669">
        <v>0</v>
      </c>
    </row>
    <row r="670" spans="1:6" x14ac:dyDescent="0.25">
      <c r="B670" t="s">
        <v>1802</v>
      </c>
      <c r="D670">
        <v>5831</v>
      </c>
      <c r="F670">
        <v>5831</v>
      </c>
    </row>
    <row r="671" spans="1:6" x14ac:dyDescent="0.25">
      <c r="B671" t="s">
        <v>1803</v>
      </c>
    </row>
    <row r="672" spans="1:6" x14ac:dyDescent="0.25">
      <c r="A672" t="s">
        <v>2</v>
      </c>
      <c r="B672" t="s">
        <v>1793</v>
      </c>
      <c r="C672">
        <v>25401</v>
      </c>
      <c r="D672">
        <v>0</v>
      </c>
      <c r="F672">
        <v>0</v>
      </c>
    </row>
    <row r="673" spans="1:6" x14ac:dyDescent="0.25">
      <c r="A673" t="s">
        <v>15</v>
      </c>
      <c r="B673" t="s">
        <v>1794</v>
      </c>
      <c r="C673">
        <v>25402</v>
      </c>
      <c r="D673">
        <v>0</v>
      </c>
      <c r="F673">
        <v>0</v>
      </c>
    </row>
    <row r="674" spans="1:6" x14ac:dyDescent="0.25">
      <c r="A674" t="s">
        <v>16</v>
      </c>
      <c r="B674" t="s">
        <v>1795</v>
      </c>
      <c r="C674">
        <v>25403</v>
      </c>
      <c r="D674">
        <v>0</v>
      </c>
      <c r="F674">
        <v>0</v>
      </c>
    </row>
    <row r="675" spans="1:6" x14ac:dyDescent="0.25">
      <c r="A675" t="s">
        <v>25</v>
      </c>
      <c r="B675" t="s">
        <v>1796</v>
      </c>
      <c r="C675">
        <v>25404</v>
      </c>
      <c r="D675">
        <v>0</v>
      </c>
      <c r="F675">
        <v>0</v>
      </c>
    </row>
    <row r="676" spans="1:6" x14ac:dyDescent="0.25">
      <c r="A676" t="s">
        <v>26</v>
      </c>
      <c r="B676" t="s">
        <v>1797</v>
      </c>
      <c r="C676">
        <v>25405</v>
      </c>
      <c r="D676">
        <v>0</v>
      </c>
      <c r="F676">
        <v>0</v>
      </c>
    </row>
    <row r="677" spans="1:6" x14ac:dyDescent="0.25">
      <c r="B677" t="s">
        <v>1804</v>
      </c>
      <c r="D677">
        <v>0</v>
      </c>
      <c r="F677">
        <v>0</v>
      </c>
    </row>
    <row r="678" spans="1:6" x14ac:dyDescent="0.25">
      <c r="B678" t="s">
        <v>1805</v>
      </c>
    </row>
    <row r="679" spans="1:6" x14ac:dyDescent="0.25">
      <c r="A679" t="s">
        <v>2</v>
      </c>
      <c r="B679" t="s">
        <v>1793</v>
      </c>
      <c r="C679">
        <v>25501</v>
      </c>
      <c r="D679">
        <v>9331</v>
      </c>
      <c r="F679">
        <v>9331</v>
      </c>
    </row>
    <row r="680" spans="1:6" x14ac:dyDescent="0.25">
      <c r="A680" t="s">
        <v>15</v>
      </c>
      <c r="B680" t="s">
        <v>1794</v>
      </c>
      <c r="C680">
        <v>25502</v>
      </c>
      <c r="D680">
        <v>0</v>
      </c>
      <c r="F680">
        <v>0</v>
      </c>
    </row>
    <row r="681" spans="1:6" x14ac:dyDescent="0.25">
      <c r="A681" t="s">
        <v>16</v>
      </c>
      <c r="B681" t="s">
        <v>1795</v>
      </c>
      <c r="C681">
        <v>25503</v>
      </c>
      <c r="D681">
        <v>0</v>
      </c>
      <c r="F681">
        <v>0</v>
      </c>
    </row>
    <row r="682" spans="1:6" x14ac:dyDescent="0.25">
      <c r="A682" t="s">
        <v>25</v>
      </c>
      <c r="B682" t="s">
        <v>1796</v>
      </c>
      <c r="C682">
        <v>25504</v>
      </c>
      <c r="D682">
        <v>0</v>
      </c>
      <c r="F682">
        <v>0</v>
      </c>
    </row>
    <row r="683" spans="1:6" x14ac:dyDescent="0.25">
      <c r="A683" t="s">
        <v>26</v>
      </c>
      <c r="B683" t="s">
        <v>1797</v>
      </c>
      <c r="C683">
        <v>25505</v>
      </c>
      <c r="D683">
        <v>0</v>
      </c>
      <c r="F683">
        <v>0</v>
      </c>
    </row>
    <row r="684" spans="1:6" x14ac:dyDescent="0.25">
      <c r="B684" t="s">
        <v>1806</v>
      </c>
      <c r="D684">
        <v>9331</v>
      </c>
      <c r="F684">
        <v>9331</v>
      </c>
    </row>
    <row r="685" spans="1:6" x14ac:dyDescent="0.25">
      <c r="B685" t="s">
        <v>2271</v>
      </c>
    </row>
    <row r="686" spans="1:6" x14ac:dyDescent="0.25">
      <c r="A686" t="s">
        <v>2</v>
      </c>
      <c r="B686" t="s">
        <v>1808</v>
      </c>
      <c r="C686">
        <v>25601</v>
      </c>
      <c r="D686">
        <v>3027</v>
      </c>
      <c r="F686">
        <v>3027</v>
      </c>
    </row>
    <row r="687" spans="1:6" x14ac:dyDescent="0.25">
      <c r="B687" t="s">
        <v>1728</v>
      </c>
      <c r="D687">
        <v>3700006</v>
      </c>
      <c r="F687">
        <v>3700006</v>
      </c>
    </row>
    <row r="688" spans="1:6" x14ac:dyDescent="0.25">
      <c r="B688" t="s">
        <v>1809</v>
      </c>
    </row>
    <row r="689" spans="1:6" x14ac:dyDescent="0.25">
      <c r="B689" t="s">
        <v>1810</v>
      </c>
    </row>
    <row r="690" spans="1:6" x14ac:dyDescent="0.25">
      <c r="A690" t="s">
        <v>2</v>
      </c>
      <c r="B690" t="s">
        <v>1811</v>
      </c>
      <c r="C690">
        <v>26101</v>
      </c>
      <c r="D690">
        <v>134518</v>
      </c>
      <c r="F690">
        <v>134518</v>
      </c>
    </row>
    <row r="691" spans="1:6" x14ac:dyDescent="0.25">
      <c r="A691" t="s">
        <v>15</v>
      </c>
      <c r="B691" t="s">
        <v>1008</v>
      </c>
      <c r="C691">
        <v>26102</v>
      </c>
      <c r="D691">
        <v>70387</v>
      </c>
      <c r="F691">
        <v>70387</v>
      </c>
    </row>
    <row r="692" spans="1:6" x14ac:dyDescent="0.25">
      <c r="A692" t="s">
        <v>16</v>
      </c>
      <c r="B692" t="s">
        <v>1812</v>
      </c>
      <c r="C692">
        <v>26103</v>
      </c>
      <c r="D692">
        <v>2711</v>
      </c>
      <c r="F692">
        <v>2711</v>
      </c>
    </row>
    <row r="693" spans="1:6" x14ac:dyDescent="0.25">
      <c r="A693" t="s">
        <v>25</v>
      </c>
      <c r="B693" t="s">
        <v>1813</v>
      </c>
      <c r="C693">
        <v>26104</v>
      </c>
      <c r="D693">
        <v>3731</v>
      </c>
      <c r="F693">
        <v>3731</v>
      </c>
    </row>
    <row r="694" spans="1:6" x14ac:dyDescent="0.25">
      <c r="A694" t="s">
        <v>26</v>
      </c>
      <c r="B694" t="s">
        <v>1814</v>
      </c>
      <c r="C694">
        <v>26105</v>
      </c>
      <c r="D694">
        <v>0</v>
      </c>
      <c r="F694">
        <v>0</v>
      </c>
    </row>
    <row r="695" spans="1:6" x14ac:dyDescent="0.25">
      <c r="A695" t="s">
        <v>27</v>
      </c>
      <c r="B695" t="s">
        <v>1815</v>
      </c>
      <c r="C695">
        <v>26106</v>
      </c>
      <c r="D695">
        <v>2746</v>
      </c>
      <c r="F695">
        <v>2746</v>
      </c>
    </row>
    <row r="696" spans="1:6" x14ac:dyDescent="0.25">
      <c r="B696" t="s">
        <v>1816</v>
      </c>
      <c r="D696">
        <v>214093</v>
      </c>
      <c r="F696">
        <v>214093</v>
      </c>
    </row>
    <row r="697" spans="1:6" x14ac:dyDescent="0.25">
      <c r="B697" t="s">
        <v>1817</v>
      </c>
    </row>
    <row r="698" spans="1:6" x14ac:dyDescent="0.25">
      <c r="A698" t="s">
        <v>2</v>
      </c>
      <c r="B698" t="s">
        <v>1811</v>
      </c>
      <c r="C698">
        <v>26201</v>
      </c>
      <c r="D698">
        <v>2794497</v>
      </c>
      <c r="F698">
        <v>2794497</v>
      </c>
    </row>
    <row r="699" spans="1:6" x14ac:dyDescent="0.25">
      <c r="A699" t="s">
        <v>15</v>
      </c>
      <c r="B699" t="s">
        <v>1008</v>
      </c>
      <c r="C699">
        <v>26202</v>
      </c>
      <c r="D699">
        <v>1082079</v>
      </c>
      <c r="F699">
        <v>1082079</v>
      </c>
    </row>
    <row r="700" spans="1:6" x14ac:dyDescent="0.25">
      <c r="A700" t="s">
        <v>16</v>
      </c>
      <c r="B700" t="s">
        <v>1812</v>
      </c>
      <c r="C700">
        <v>26203</v>
      </c>
      <c r="D700">
        <v>2232</v>
      </c>
      <c r="F700">
        <v>2232</v>
      </c>
    </row>
    <row r="701" spans="1:6" x14ac:dyDescent="0.25">
      <c r="A701" t="s">
        <v>25</v>
      </c>
      <c r="B701" t="s">
        <v>1813</v>
      </c>
      <c r="C701">
        <v>26204</v>
      </c>
      <c r="D701">
        <v>306526</v>
      </c>
      <c r="F701">
        <v>306526</v>
      </c>
    </row>
    <row r="702" spans="1:6" x14ac:dyDescent="0.25">
      <c r="A702" t="s">
        <v>26</v>
      </c>
      <c r="B702" t="s">
        <v>1814</v>
      </c>
      <c r="C702">
        <v>26205</v>
      </c>
      <c r="D702">
        <v>0</v>
      </c>
      <c r="F702">
        <v>0</v>
      </c>
    </row>
    <row r="703" spans="1:6" x14ac:dyDescent="0.25">
      <c r="A703" t="s">
        <v>27</v>
      </c>
      <c r="B703" t="s">
        <v>1815</v>
      </c>
      <c r="C703">
        <v>26206</v>
      </c>
      <c r="D703">
        <v>6178</v>
      </c>
      <c r="F703">
        <v>6178</v>
      </c>
    </row>
    <row r="704" spans="1:6" x14ac:dyDescent="0.25">
      <c r="B704" t="s">
        <v>1818</v>
      </c>
      <c r="D704">
        <v>4191512</v>
      </c>
      <c r="F704">
        <v>4191512</v>
      </c>
    </row>
    <row r="705" spans="1:6" x14ac:dyDescent="0.25">
      <c r="B705" t="s">
        <v>2272</v>
      </c>
    </row>
    <row r="706" spans="1:6" x14ac:dyDescent="0.25">
      <c r="A706" t="s">
        <v>2</v>
      </c>
      <c r="B706" t="s">
        <v>1820</v>
      </c>
      <c r="C706">
        <v>26301</v>
      </c>
      <c r="D706">
        <v>97164619</v>
      </c>
      <c r="F706">
        <v>97164619</v>
      </c>
    </row>
    <row r="707" spans="1:6" x14ac:dyDescent="0.25">
      <c r="A707" t="s">
        <v>15</v>
      </c>
      <c r="B707" t="s">
        <v>1821</v>
      </c>
      <c r="C707">
        <v>26302</v>
      </c>
      <c r="D707">
        <v>16931376</v>
      </c>
      <c r="F707">
        <v>16931376</v>
      </c>
    </row>
    <row r="708" spans="1:6" x14ac:dyDescent="0.25">
      <c r="A708" t="s">
        <v>16</v>
      </c>
      <c r="B708" t="s">
        <v>1822</v>
      </c>
      <c r="C708">
        <v>26303</v>
      </c>
      <c r="D708">
        <v>360172</v>
      </c>
      <c r="F708">
        <v>360172</v>
      </c>
    </row>
    <row r="709" spans="1:6" x14ac:dyDescent="0.25">
      <c r="A709" t="s">
        <v>25</v>
      </c>
      <c r="B709" t="s">
        <v>1823</v>
      </c>
      <c r="C709">
        <v>26304</v>
      </c>
      <c r="D709">
        <v>882476</v>
      </c>
      <c r="F709">
        <v>882476</v>
      </c>
    </row>
    <row r="710" spans="1:6" x14ac:dyDescent="0.25">
      <c r="A710" t="s">
        <v>26</v>
      </c>
      <c r="B710" t="s">
        <v>1824</v>
      </c>
      <c r="C710">
        <v>26305</v>
      </c>
      <c r="D710">
        <v>3434</v>
      </c>
      <c r="F710">
        <v>3434</v>
      </c>
    </row>
    <row r="711" spans="1:6" x14ac:dyDescent="0.25">
      <c r="A711" t="s">
        <v>27</v>
      </c>
      <c r="B711" t="s">
        <v>1825</v>
      </c>
      <c r="C711">
        <v>26306</v>
      </c>
      <c r="D711">
        <v>1441340</v>
      </c>
      <c r="F711">
        <v>1441340</v>
      </c>
    </row>
    <row r="712" spans="1:6" x14ac:dyDescent="0.25">
      <c r="B712" t="s">
        <v>1826</v>
      </c>
      <c r="D712">
        <v>116783417</v>
      </c>
      <c r="F712">
        <v>116783417</v>
      </c>
    </row>
    <row r="713" spans="1:6" x14ac:dyDescent="0.25">
      <c r="B713" t="s">
        <v>1827</v>
      </c>
    </row>
    <row r="714" spans="1:6" x14ac:dyDescent="0.25">
      <c r="A714" t="s">
        <v>2</v>
      </c>
      <c r="B714" t="s">
        <v>1828</v>
      </c>
      <c r="C714">
        <v>26401</v>
      </c>
      <c r="D714">
        <v>42964</v>
      </c>
      <c r="F714">
        <v>42964</v>
      </c>
    </row>
    <row r="715" spans="1:6" x14ac:dyDescent="0.25">
      <c r="A715" t="s">
        <v>15</v>
      </c>
      <c r="B715" t="s">
        <v>1829</v>
      </c>
      <c r="C715">
        <v>26402</v>
      </c>
      <c r="D715">
        <v>24639</v>
      </c>
      <c r="F715">
        <v>24639</v>
      </c>
    </row>
    <row r="716" spans="1:6" x14ac:dyDescent="0.25">
      <c r="A716" t="s">
        <v>16</v>
      </c>
      <c r="B716" t="s">
        <v>1830</v>
      </c>
      <c r="C716">
        <v>26403</v>
      </c>
      <c r="D716">
        <v>10675</v>
      </c>
      <c r="F716">
        <v>10675</v>
      </c>
    </row>
    <row r="717" spans="1:6" x14ac:dyDescent="0.25">
      <c r="A717" t="s">
        <v>25</v>
      </c>
      <c r="B717" t="s">
        <v>1831</v>
      </c>
      <c r="C717">
        <v>26404</v>
      </c>
      <c r="D717">
        <v>2354</v>
      </c>
      <c r="F717">
        <v>2354</v>
      </c>
    </row>
    <row r="718" spans="1:6" x14ac:dyDescent="0.25">
      <c r="A718" t="s">
        <v>26</v>
      </c>
      <c r="B718" t="s">
        <v>1832</v>
      </c>
      <c r="C718">
        <v>26405</v>
      </c>
      <c r="D718">
        <v>0</v>
      </c>
      <c r="F718">
        <v>0</v>
      </c>
    </row>
    <row r="719" spans="1:6" x14ac:dyDescent="0.25">
      <c r="B719" t="s">
        <v>1833</v>
      </c>
      <c r="D719">
        <v>80632</v>
      </c>
      <c r="F719">
        <v>80632</v>
      </c>
    </row>
    <row r="720" spans="1:6" x14ac:dyDescent="0.25">
      <c r="B720" t="s">
        <v>2273</v>
      </c>
    </row>
    <row r="721" spans="1:6" x14ac:dyDescent="0.25">
      <c r="A721" t="s">
        <v>2</v>
      </c>
      <c r="B721" t="s">
        <v>1828</v>
      </c>
      <c r="C721">
        <v>26501</v>
      </c>
      <c r="D721">
        <v>1647030</v>
      </c>
      <c r="F721">
        <v>1647030</v>
      </c>
    </row>
    <row r="722" spans="1:6" x14ac:dyDescent="0.25">
      <c r="A722" t="s">
        <v>15</v>
      </c>
      <c r="B722" t="s">
        <v>1829</v>
      </c>
      <c r="C722">
        <v>26502</v>
      </c>
      <c r="D722">
        <v>569207</v>
      </c>
      <c r="F722">
        <v>569207</v>
      </c>
    </row>
    <row r="723" spans="1:6" x14ac:dyDescent="0.25">
      <c r="A723" t="s">
        <v>16</v>
      </c>
      <c r="B723" t="s">
        <v>1830</v>
      </c>
      <c r="C723">
        <v>26503</v>
      </c>
      <c r="D723">
        <v>782806</v>
      </c>
      <c r="F723">
        <v>782806</v>
      </c>
    </row>
    <row r="724" spans="1:6" x14ac:dyDescent="0.25">
      <c r="A724" t="s">
        <v>25</v>
      </c>
      <c r="B724" t="s">
        <v>1831</v>
      </c>
      <c r="C724">
        <v>26504</v>
      </c>
      <c r="D724">
        <v>427883</v>
      </c>
      <c r="F724">
        <v>427883</v>
      </c>
    </row>
    <row r="725" spans="1:6" x14ac:dyDescent="0.25">
      <c r="A725" t="s">
        <v>26</v>
      </c>
      <c r="B725" t="s">
        <v>1832</v>
      </c>
      <c r="C725">
        <v>26505</v>
      </c>
      <c r="D725">
        <v>0</v>
      </c>
      <c r="F725">
        <v>0</v>
      </c>
    </row>
    <row r="726" spans="1:6" x14ac:dyDescent="0.25">
      <c r="B726" t="s">
        <v>1835</v>
      </c>
      <c r="D726">
        <v>3426926</v>
      </c>
      <c r="F726">
        <v>3426926</v>
      </c>
    </row>
    <row r="727" spans="1:6" x14ac:dyDescent="0.25">
      <c r="B727" t="s">
        <v>1732</v>
      </c>
      <c r="D727">
        <v>124696580</v>
      </c>
      <c r="F727">
        <v>124696580</v>
      </c>
    </row>
    <row r="728" spans="1:6" x14ac:dyDescent="0.25">
      <c r="B728" t="s">
        <v>1836</v>
      </c>
    </row>
    <row r="729" spans="1:6" x14ac:dyDescent="0.25">
      <c r="B729" t="s">
        <v>1385</v>
      </c>
    </row>
    <row r="730" spans="1:6" x14ac:dyDescent="0.25">
      <c r="A730" t="s">
        <v>2</v>
      </c>
      <c r="B730" t="s">
        <v>1837</v>
      </c>
      <c r="C730">
        <v>27101</v>
      </c>
      <c r="D730">
        <v>0</v>
      </c>
      <c r="E730">
        <v>0</v>
      </c>
      <c r="F730">
        <v>0</v>
      </c>
    </row>
    <row r="731" spans="1:6" x14ac:dyDescent="0.25">
      <c r="A731" t="s">
        <v>15</v>
      </c>
      <c r="B731" t="s">
        <v>1838</v>
      </c>
      <c r="C731">
        <v>27102</v>
      </c>
      <c r="D731">
        <v>124967</v>
      </c>
      <c r="E731">
        <v>720</v>
      </c>
      <c r="F731">
        <v>125687</v>
      </c>
    </row>
    <row r="732" spans="1:6" x14ac:dyDescent="0.25">
      <c r="A732" t="s">
        <v>16</v>
      </c>
      <c r="B732" t="s">
        <v>1689</v>
      </c>
      <c r="C732">
        <v>27103</v>
      </c>
      <c r="D732">
        <v>80710</v>
      </c>
      <c r="E732">
        <v>17</v>
      </c>
      <c r="F732">
        <v>80727</v>
      </c>
    </row>
    <row r="733" spans="1:6" x14ac:dyDescent="0.25">
      <c r="A733" t="s">
        <v>25</v>
      </c>
      <c r="B733" t="s">
        <v>1839</v>
      </c>
      <c r="C733">
        <v>27104</v>
      </c>
      <c r="D733">
        <v>21500</v>
      </c>
      <c r="E733">
        <v>148</v>
      </c>
      <c r="F733">
        <v>21648</v>
      </c>
    </row>
    <row r="734" spans="1:6" x14ac:dyDescent="0.25">
      <c r="B734" t="s">
        <v>1840</v>
      </c>
      <c r="D734">
        <v>227177</v>
      </c>
      <c r="E734">
        <v>885</v>
      </c>
      <c r="F734">
        <v>228062</v>
      </c>
    </row>
    <row r="735" spans="1:6" x14ac:dyDescent="0.25">
      <c r="B735" t="s">
        <v>1386</v>
      </c>
    </row>
    <row r="736" spans="1:6" x14ac:dyDescent="0.25">
      <c r="A736" t="s">
        <v>2</v>
      </c>
      <c r="B736" t="s">
        <v>1837</v>
      </c>
      <c r="C736">
        <v>27201</v>
      </c>
      <c r="D736">
        <v>0</v>
      </c>
      <c r="E736">
        <v>0</v>
      </c>
      <c r="F736">
        <v>0</v>
      </c>
    </row>
    <row r="737" spans="1:6" x14ac:dyDescent="0.25">
      <c r="A737" t="s">
        <v>15</v>
      </c>
      <c r="B737" t="s">
        <v>1838</v>
      </c>
      <c r="C737">
        <v>27202</v>
      </c>
      <c r="D737">
        <v>432685</v>
      </c>
      <c r="E737">
        <v>16202</v>
      </c>
      <c r="F737">
        <v>448887</v>
      </c>
    </row>
    <row r="738" spans="1:6" x14ac:dyDescent="0.25">
      <c r="A738" t="s">
        <v>16</v>
      </c>
      <c r="B738" t="s">
        <v>1689</v>
      </c>
      <c r="C738">
        <v>27203</v>
      </c>
      <c r="D738">
        <v>201770</v>
      </c>
      <c r="E738">
        <v>269</v>
      </c>
      <c r="F738">
        <v>202039</v>
      </c>
    </row>
    <row r="739" spans="1:6" x14ac:dyDescent="0.25">
      <c r="A739" t="s">
        <v>25</v>
      </c>
      <c r="B739" t="s">
        <v>1839</v>
      </c>
      <c r="C739">
        <v>27204</v>
      </c>
      <c r="D739">
        <v>2360661</v>
      </c>
      <c r="E739">
        <v>67738</v>
      </c>
      <c r="F739">
        <v>2428399</v>
      </c>
    </row>
    <row r="740" spans="1:6" x14ac:dyDescent="0.25">
      <c r="B740" t="s">
        <v>1841</v>
      </c>
      <c r="D740">
        <v>2995116</v>
      </c>
      <c r="E740">
        <v>84209</v>
      </c>
      <c r="F740">
        <v>3079325</v>
      </c>
    </row>
    <row r="741" spans="1:6" x14ac:dyDescent="0.25">
      <c r="B741" t="s">
        <v>1387</v>
      </c>
    </row>
    <row r="742" spans="1:6" x14ac:dyDescent="0.25">
      <c r="A742" t="s">
        <v>2</v>
      </c>
      <c r="B742" t="s">
        <v>1842</v>
      </c>
      <c r="C742">
        <v>27301</v>
      </c>
      <c r="D742">
        <v>0</v>
      </c>
      <c r="E742">
        <v>3614</v>
      </c>
      <c r="F742">
        <v>3614</v>
      </c>
    </row>
    <row r="743" spans="1:6" x14ac:dyDescent="0.25">
      <c r="A743" t="s">
        <v>15</v>
      </c>
      <c r="B743" t="s">
        <v>1843</v>
      </c>
      <c r="C743">
        <v>27302</v>
      </c>
      <c r="D743">
        <v>0</v>
      </c>
      <c r="E743">
        <v>0</v>
      </c>
      <c r="F743">
        <v>0</v>
      </c>
    </row>
    <row r="744" spans="1:6" x14ac:dyDescent="0.25">
      <c r="A744" t="s">
        <v>16</v>
      </c>
      <c r="B744" t="s">
        <v>1844</v>
      </c>
      <c r="C744">
        <v>27303</v>
      </c>
      <c r="D744">
        <v>0</v>
      </c>
      <c r="E744">
        <v>0</v>
      </c>
      <c r="F744">
        <v>0</v>
      </c>
    </row>
    <row r="745" spans="1:6" x14ac:dyDescent="0.25">
      <c r="A745" t="s">
        <v>25</v>
      </c>
      <c r="B745" t="s">
        <v>1845</v>
      </c>
      <c r="C745">
        <v>27304</v>
      </c>
      <c r="D745">
        <v>20258</v>
      </c>
      <c r="E745">
        <v>17782</v>
      </c>
      <c r="F745">
        <v>38040</v>
      </c>
    </row>
    <row r="746" spans="1:6" x14ac:dyDescent="0.25">
      <c r="B746" t="s">
        <v>1846</v>
      </c>
      <c r="D746">
        <v>20258</v>
      </c>
      <c r="E746">
        <v>21396</v>
      </c>
      <c r="F746">
        <v>41654</v>
      </c>
    </row>
    <row r="747" spans="1:6" x14ac:dyDescent="0.25">
      <c r="B747" t="s">
        <v>1388</v>
      </c>
    </row>
    <row r="748" spans="1:6" x14ac:dyDescent="0.25">
      <c r="A748" t="s">
        <v>2</v>
      </c>
      <c r="B748" t="s">
        <v>1847</v>
      </c>
      <c r="C748">
        <v>27401</v>
      </c>
      <c r="D748">
        <v>0</v>
      </c>
      <c r="E748">
        <v>0</v>
      </c>
      <c r="F748">
        <v>0</v>
      </c>
    </row>
    <row r="749" spans="1:6" x14ac:dyDescent="0.25">
      <c r="A749" t="s">
        <v>15</v>
      </c>
      <c r="B749" t="s">
        <v>1848</v>
      </c>
      <c r="C749">
        <v>27402</v>
      </c>
      <c r="D749">
        <v>335975</v>
      </c>
      <c r="E749">
        <v>14103</v>
      </c>
      <c r="F749">
        <v>350078</v>
      </c>
    </row>
    <row r="750" spans="1:6" x14ac:dyDescent="0.25">
      <c r="A750" t="s">
        <v>16</v>
      </c>
      <c r="B750" t="s">
        <v>1849</v>
      </c>
      <c r="C750">
        <v>27403</v>
      </c>
      <c r="D750">
        <v>148165</v>
      </c>
      <c r="E750">
        <v>137</v>
      </c>
      <c r="F750">
        <v>148302</v>
      </c>
    </row>
    <row r="751" spans="1:6" x14ac:dyDescent="0.25">
      <c r="A751" t="s">
        <v>25</v>
      </c>
      <c r="B751" t="s">
        <v>1850</v>
      </c>
      <c r="C751">
        <v>27404</v>
      </c>
      <c r="D751">
        <v>152581</v>
      </c>
      <c r="E751">
        <v>13914</v>
      </c>
      <c r="F751">
        <v>166495</v>
      </c>
    </row>
    <row r="752" spans="1:6" x14ac:dyDescent="0.25">
      <c r="A752" t="s">
        <v>26</v>
      </c>
      <c r="B752" t="s">
        <v>1851</v>
      </c>
      <c r="C752">
        <v>27405</v>
      </c>
      <c r="D752">
        <v>0</v>
      </c>
      <c r="E752">
        <v>0</v>
      </c>
      <c r="F752">
        <v>0</v>
      </c>
    </row>
    <row r="753" spans="1:6" x14ac:dyDescent="0.25">
      <c r="A753" t="s">
        <v>27</v>
      </c>
      <c r="B753" t="s">
        <v>1852</v>
      </c>
      <c r="C753">
        <v>27406</v>
      </c>
      <c r="D753">
        <v>0</v>
      </c>
      <c r="E753">
        <v>0</v>
      </c>
      <c r="F753">
        <v>0</v>
      </c>
    </row>
    <row r="754" spans="1:6" x14ac:dyDescent="0.25">
      <c r="A754" t="s">
        <v>531</v>
      </c>
      <c r="B754" t="s">
        <v>1853</v>
      </c>
      <c r="C754">
        <v>27407</v>
      </c>
      <c r="D754">
        <v>0</v>
      </c>
      <c r="E754">
        <v>0</v>
      </c>
      <c r="F754">
        <v>0</v>
      </c>
    </row>
    <row r="755" spans="1:6" x14ac:dyDescent="0.25">
      <c r="A755" t="s">
        <v>1583</v>
      </c>
      <c r="B755" t="s">
        <v>1854</v>
      </c>
      <c r="C755">
        <v>27408</v>
      </c>
      <c r="D755">
        <v>124594</v>
      </c>
      <c r="E755">
        <v>14983</v>
      </c>
      <c r="F755">
        <v>139577</v>
      </c>
    </row>
    <row r="756" spans="1:6" x14ac:dyDescent="0.25">
      <c r="A756" t="s">
        <v>1585</v>
      </c>
      <c r="B756" t="s">
        <v>1855</v>
      </c>
      <c r="C756">
        <v>27409</v>
      </c>
      <c r="D756">
        <v>133855</v>
      </c>
      <c r="E756">
        <v>16054</v>
      </c>
      <c r="F756">
        <v>149909</v>
      </c>
    </row>
    <row r="757" spans="1:6" x14ac:dyDescent="0.25">
      <c r="B757" t="s">
        <v>1856</v>
      </c>
      <c r="D757">
        <v>895170</v>
      </c>
      <c r="E757">
        <v>59191</v>
      </c>
      <c r="F757">
        <v>954361</v>
      </c>
    </row>
    <row r="758" spans="1:6" x14ac:dyDescent="0.25">
      <c r="B758" t="s">
        <v>1857</v>
      </c>
    </row>
    <row r="759" spans="1:6" x14ac:dyDescent="0.25">
      <c r="A759" t="s">
        <v>2</v>
      </c>
      <c r="B759" t="s">
        <v>1842</v>
      </c>
      <c r="C759">
        <v>27501</v>
      </c>
      <c r="D759">
        <v>0</v>
      </c>
      <c r="E759">
        <v>0</v>
      </c>
      <c r="F759">
        <v>0</v>
      </c>
    </row>
    <row r="760" spans="1:6" x14ac:dyDescent="0.25">
      <c r="A760" t="s">
        <v>15</v>
      </c>
      <c r="B760" t="s">
        <v>1843</v>
      </c>
      <c r="C760">
        <v>27502</v>
      </c>
      <c r="D760">
        <v>933903</v>
      </c>
      <c r="E760">
        <v>567</v>
      </c>
      <c r="F760">
        <v>934470</v>
      </c>
    </row>
    <row r="761" spans="1:6" x14ac:dyDescent="0.25">
      <c r="A761" t="s">
        <v>16</v>
      </c>
      <c r="B761" t="s">
        <v>1844</v>
      </c>
      <c r="C761">
        <v>27503</v>
      </c>
      <c r="D761">
        <v>129</v>
      </c>
      <c r="E761">
        <v>0</v>
      </c>
      <c r="F761">
        <v>129</v>
      </c>
    </row>
    <row r="762" spans="1:6" x14ac:dyDescent="0.25">
      <c r="A762" t="s">
        <v>25</v>
      </c>
      <c r="B762" t="s">
        <v>1845</v>
      </c>
      <c r="C762">
        <v>27504</v>
      </c>
      <c r="D762">
        <v>0</v>
      </c>
      <c r="E762">
        <v>0</v>
      </c>
      <c r="F762">
        <v>0</v>
      </c>
    </row>
    <row r="763" spans="1:6" x14ac:dyDescent="0.25">
      <c r="B763" t="s">
        <v>1858</v>
      </c>
      <c r="D763">
        <v>934032</v>
      </c>
      <c r="E763">
        <v>567</v>
      </c>
      <c r="F763">
        <v>934599</v>
      </c>
    </row>
    <row r="764" spans="1:6" x14ac:dyDescent="0.25">
      <c r="B764" t="s">
        <v>1390</v>
      </c>
    </row>
    <row r="765" spans="1:6" x14ac:dyDescent="0.25">
      <c r="A765" t="s">
        <v>2</v>
      </c>
      <c r="B765" t="s">
        <v>1859</v>
      </c>
      <c r="C765">
        <v>27601</v>
      </c>
      <c r="D765">
        <v>6295</v>
      </c>
      <c r="E765">
        <v>0</v>
      </c>
      <c r="F765">
        <v>6295</v>
      </c>
    </row>
    <row r="766" spans="1:6" x14ac:dyDescent="0.25">
      <c r="A766" t="s">
        <v>15</v>
      </c>
      <c r="B766" t="s">
        <v>1860</v>
      </c>
      <c r="C766">
        <v>27602</v>
      </c>
      <c r="D766">
        <v>208167</v>
      </c>
      <c r="E766">
        <v>0</v>
      </c>
      <c r="F766">
        <v>208167</v>
      </c>
    </row>
    <row r="767" spans="1:6" x14ac:dyDescent="0.25">
      <c r="A767" t="s">
        <v>16</v>
      </c>
      <c r="B767" t="s">
        <v>1596</v>
      </c>
      <c r="C767">
        <v>27603</v>
      </c>
      <c r="D767">
        <v>1</v>
      </c>
      <c r="E767">
        <v>0</v>
      </c>
      <c r="F767">
        <v>1</v>
      </c>
    </row>
    <row r="768" spans="1:6" x14ac:dyDescent="0.25">
      <c r="A768" t="s">
        <v>25</v>
      </c>
      <c r="B768" t="s">
        <v>1861</v>
      </c>
      <c r="C768">
        <v>27604</v>
      </c>
      <c r="D768">
        <v>1796</v>
      </c>
      <c r="E768">
        <v>0</v>
      </c>
      <c r="F768">
        <v>1796</v>
      </c>
    </row>
    <row r="769" spans="1:6" x14ac:dyDescent="0.25">
      <c r="B769" t="s">
        <v>1862</v>
      </c>
      <c r="D769">
        <v>216259</v>
      </c>
      <c r="E769">
        <v>0</v>
      </c>
      <c r="F769">
        <v>216259</v>
      </c>
    </row>
    <row r="770" spans="1:6" x14ac:dyDescent="0.25">
      <c r="B770" t="s">
        <v>1391</v>
      </c>
    </row>
    <row r="771" spans="1:6" x14ac:dyDescent="0.25">
      <c r="A771" t="s">
        <v>2</v>
      </c>
      <c r="B771" t="s">
        <v>1837</v>
      </c>
      <c r="C771">
        <v>27701</v>
      </c>
      <c r="D771">
        <v>0</v>
      </c>
      <c r="E771">
        <v>0</v>
      </c>
      <c r="F771">
        <v>0</v>
      </c>
    </row>
    <row r="772" spans="1:6" x14ac:dyDescent="0.25">
      <c r="A772" t="s">
        <v>15</v>
      </c>
      <c r="B772" t="s">
        <v>1838</v>
      </c>
      <c r="C772">
        <v>27702</v>
      </c>
      <c r="D772">
        <v>0</v>
      </c>
      <c r="E772">
        <v>0</v>
      </c>
      <c r="F772">
        <v>0</v>
      </c>
    </row>
    <row r="773" spans="1:6" x14ac:dyDescent="0.25">
      <c r="A773" t="s">
        <v>16</v>
      </c>
      <c r="B773" t="s">
        <v>1689</v>
      </c>
      <c r="C773">
        <v>27703</v>
      </c>
      <c r="D773">
        <v>0</v>
      </c>
      <c r="E773">
        <v>0</v>
      </c>
      <c r="F773">
        <v>0</v>
      </c>
    </row>
    <row r="774" spans="1:6" x14ac:dyDescent="0.25">
      <c r="A774" t="s">
        <v>25</v>
      </c>
      <c r="B774" t="s">
        <v>1839</v>
      </c>
      <c r="C774">
        <v>27704</v>
      </c>
      <c r="D774">
        <v>71</v>
      </c>
      <c r="E774">
        <v>0</v>
      </c>
      <c r="F774">
        <v>71</v>
      </c>
    </row>
    <row r="775" spans="1:6" x14ac:dyDescent="0.25">
      <c r="B775" t="s">
        <v>1863</v>
      </c>
      <c r="D775">
        <v>71</v>
      </c>
      <c r="E775">
        <v>0</v>
      </c>
      <c r="F775">
        <v>71</v>
      </c>
    </row>
    <row r="776" spans="1:6" x14ac:dyDescent="0.25">
      <c r="B776" t="s">
        <v>1392</v>
      </c>
    </row>
    <row r="777" spans="1:6" x14ac:dyDescent="0.25">
      <c r="A777" t="s">
        <v>2</v>
      </c>
      <c r="B777" t="s">
        <v>1859</v>
      </c>
      <c r="C777">
        <v>27801</v>
      </c>
      <c r="D777">
        <v>0</v>
      </c>
      <c r="E777">
        <v>0</v>
      </c>
      <c r="F777">
        <v>0</v>
      </c>
    </row>
    <row r="778" spans="1:6" x14ac:dyDescent="0.25">
      <c r="A778" t="s">
        <v>15</v>
      </c>
      <c r="B778" t="s">
        <v>1860</v>
      </c>
      <c r="C778">
        <v>27802</v>
      </c>
      <c r="D778">
        <v>225961</v>
      </c>
      <c r="E778">
        <v>3935</v>
      </c>
      <c r="F778">
        <v>229896</v>
      </c>
    </row>
    <row r="779" spans="1:6" x14ac:dyDescent="0.25">
      <c r="A779" t="s">
        <v>16</v>
      </c>
      <c r="B779" t="s">
        <v>1596</v>
      </c>
      <c r="C779">
        <v>27803</v>
      </c>
      <c r="D779">
        <v>5461</v>
      </c>
      <c r="E779">
        <v>0</v>
      </c>
      <c r="F779">
        <v>5461</v>
      </c>
    </row>
    <row r="780" spans="1:6" x14ac:dyDescent="0.25">
      <c r="A780" t="s">
        <v>25</v>
      </c>
      <c r="B780" t="s">
        <v>1861</v>
      </c>
      <c r="C780">
        <v>27804</v>
      </c>
      <c r="D780">
        <v>0</v>
      </c>
      <c r="E780">
        <v>0</v>
      </c>
      <c r="F780">
        <v>0</v>
      </c>
    </row>
    <row r="781" spans="1:6" x14ac:dyDescent="0.25">
      <c r="B781" t="s">
        <v>1864</v>
      </c>
      <c r="D781">
        <v>231422</v>
      </c>
      <c r="E781">
        <v>3935</v>
      </c>
      <c r="F781">
        <v>235357</v>
      </c>
    </row>
    <row r="782" spans="1:6" x14ac:dyDescent="0.25">
      <c r="B782" t="s">
        <v>1393</v>
      </c>
    </row>
    <row r="783" spans="1:6" x14ac:dyDescent="0.25">
      <c r="A783" t="s">
        <v>2</v>
      </c>
      <c r="B783" t="s">
        <v>1842</v>
      </c>
      <c r="C783">
        <v>27901</v>
      </c>
      <c r="D783">
        <v>27</v>
      </c>
      <c r="E783">
        <v>40792</v>
      </c>
      <c r="F783">
        <v>40819</v>
      </c>
    </row>
    <row r="784" spans="1:6" x14ac:dyDescent="0.25">
      <c r="A784" t="s">
        <v>15</v>
      </c>
      <c r="B784" t="s">
        <v>1843</v>
      </c>
      <c r="C784">
        <v>27902</v>
      </c>
      <c r="D784">
        <v>56510</v>
      </c>
      <c r="E784">
        <v>2</v>
      </c>
      <c r="F784">
        <v>56512</v>
      </c>
    </row>
    <row r="785" spans="1:6" x14ac:dyDescent="0.25">
      <c r="A785" t="s">
        <v>16</v>
      </c>
      <c r="B785" t="s">
        <v>1844</v>
      </c>
      <c r="C785">
        <v>27903</v>
      </c>
      <c r="D785">
        <v>20922</v>
      </c>
      <c r="E785">
        <v>3</v>
      </c>
      <c r="F785">
        <v>20925</v>
      </c>
    </row>
    <row r="786" spans="1:6" x14ac:dyDescent="0.25">
      <c r="A786" t="s">
        <v>25</v>
      </c>
      <c r="B786" t="s">
        <v>1845</v>
      </c>
      <c r="C786">
        <v>27904</v>
      </c>
      <c r="D786">
        <v>8881</v>
      </c>
      <c r="E786">
        <v>0</v>
      </c>
      <c r="F786">
        <v>8881</v>
      </c>
    </row>
    <row r="787" spans="1:6" x14ac:dyDescent="0.25">
      <c r="B787" t="s">
        <v>1865</v>
      </c>
      <c r="D787">
        <v>86340</v>
      </c>
      <c r="E787">
        <v>40797</v>
      </c>
      <c r="F787">
        <v>127137</v>
      </c>
    </row>
    <row r="788" spans="1:6" x14ac:dyDescent="0.25">
      <c r="B788" t="s">
        <v>1866</v>
      </c>
      <c r="D788">
        <v>5605845</v>
      </c>
      <c r="E788">
        <v>210980</v>
      </c>
      <c r="F788">
        <v>5816825</v>
      </c>
    </row>
    <row r="789" spans="1:6" x14ac:dyDescent="0.25">
      <c r="B789" t="s">
        <v>1867</v>
      </c>
    </row>
    <row r="790" spans="1:6" x14ac:dyDescent="0.25">
      <c r="B790" t="s">
        <v>1868</v>
      </c>
    </row>
    <row r="791" spans="1:6" x14ac:dyDescent="0.25">
      <c r="A791" t="s">
        <v>2</v>
      </c>
      <c r="B791" t="s">
        <v>1869</v>
      </c>
      <c r="C791">
        <v>28101</v>
      </c>
      <c r="D791">
        <v>1627429</v>
      </c>
      <c r="F791">
        <v>1627429</v>
      </c>
    </row>
    <row r="792" spans="1:6" x14ac:dyDescent="0.25">
      <c r="A792" t="s">
        <v>15</v>
      </c>
      <c r="B792" t="s">
        <v>1870</v>
      </c>
      <c r="C792">
        <v>28102</v>
      </c>
      <c r="D792">
        <v>0</v>
      </c>
      <c r="F792">
        <v>0</v>
      </c>
    </row>
    <row r="793" spans="1:6" x14ac:dyDescent="0.25">
      <c r="A793" t="s">
        <v>16</v>
      </c>
      <c r="B793" t="s">
        <v>1871</v>
      </c>
      <c r="C793">
        <v>28103</v>
      </c>
      <c r="D793">
        <v>727</v>
      </c>
      <c r="F793">
        <v>727</v>
      </c>
    </row>
    <row r="794" spans="1:6" x14ac:dyDescent="0.25">
      <c r="A794" t="s">
        <v>25</v>
      </c>
      <c r="B794" t="s">
        <v>1872</v>
      </c>
      <c r="C794">
        <v>28104</v>
      </c>
      <c r="D794">
        <v>0</v>
      </c>
      <c r="F794">
        <v>0</v>
      </c>
    </row>
    <row r="795" spans="1:6" x14ac:dyDescent="0.25">
      <c r="B795" t="s">
        <v>1873</v>
      </c>
      <c r="D795">
        <v>1628156</v>
      </c>
      <c r="F795">
        <v>1628156</v>
      </c>
    </row>
    <row r="796" spans="1:6" x14ac:dyDescent="0.25">
      <c r="B796" t="s">
        <v>1874</v>
      </c>
    </row>
    <row r="797" spans="1:6" x14ac:dyDescent="0.25">
      <c r="A797" t="s">
        <v>2</v>
      </c>
      <c r="B797" t="s">
        <v>1875</v>
      </c>
      <c r="C797">
        <v>28201</v>
      </c>
      <c r="D797">
        <v>392709</v>
      </c>
      <c r="F797">
        <v>392709</v>
      </c>
    </row>
    <row r="798" spans="1:6" x14ac:dyDescent="0.25">
      <c r="A798" t="s">
        <v>15</v>
      </c>
      <c r="B798" t="s">
        <v>1876</v>
      </c>
      <c r="C798">
        <v>28202</v>
      </c>
      <c r="D798">
        <v>8895494</v>
      </c>
      <c r="F798">
        <v>8895494</v>
      </c>
    </row>
    <row r="799" spans="1:6" x14ac:dyDescent="0.25">
      <c r="A799" t="s">
        <v>16</v>
      </c>
      <c r="B799" t="s">
        <v>1877</v>
      </c>
      <c r="C799">
        <v>28203</v>
      </c>
      <c r="D799">
        <v>0</v>
      </c>
      <c r="F799">
        <v>0</v>
      </c>
    </row>
    <row r="800" spans="1:6" x14ac:dyDescent="0.25">
      <c r="A800" t="s">
        <v>25</v>
      </c>
      <c r="B800" t="s">
        <v>1878</v>
      </c>
      <c r="C800">
        <v>28204</v>
      </c>
      <c r="D800">
        <v>2905408</v>
      </c>
      <c r="F800">
        <v>2905408</v>
      </c>
    </row>
    <row r="801" spans="1:6" x14ac:dyDescent="0.25">
      <c r="B801" t="s">
        <v>1879</v>
      </c>
      <c r="D801">
        <v>12193611</v>
      </c>
      <c r="F801">
        <v>12193611</v>
      </c>
    </row>
    <row r="802" spans="1:6" x14ac:dyDescent="0.25">
      <c r="B802" t="s">
        <v>1880</v>
      </c>
    </row>
    <row r="803" spans="1:6" x14ac:dyDescent="0.25">
      <c r="A803" t="s">
        <v>2</v>
      </c>
      <c r="B803" t="s">
        <v>1881</v>
      </c>
      <c r="C803">
        <v>28301</v>
      </c>
      <c r="D803">
        <v>7671</v>
      </c>
      <c r="E803">
        <v>0</v>
      </c>
      <c r="F803">
        <v>7671</v>
      </c>
    </row>
    <row r="804" spans="1:6" x14ac:dyDescent="0.25">
      <c r="A804" t="s">
        <v>15</v>
      </c>
      <c r="B804" t="s">
        <v>1882</v>
      </c>
      <c r="C804">
        <v>28302</v>
      </c>
      <c r="D804">
        <v>34750</v>
      </c>
      <c r="E804">
        <v>0</v>
      </c>
      <c r="F804">
        <v>34750</v>
      </c>
    </row>
    <row r="805" spans="1:6" x14ac:dyDescent="0.25">
      <c r="A805" t="s">
        <v>16</v>
      </c>
      <c r="B805" t="s">
        <v>1883</v>
      </c>
      <c r="C805">
        <v>28303</v>
      </c>
      <c r="D805">
        <v>0</v>
      </c>
      <c r="E805">
        <v>0</v>
      </c>
      <c r="F805">
        <v>0</v>
      </c>
    </row>
    <row r="806" spans="1:6" x14ac:dyDescent="0.25">
      <c r="B806" t="s">
        <v>1884</v>
      </c>
      <c r="D806">
        <v>42421</v>
      </c>
      <c r="E806">
        <v>0</v>
      </c>
      <c r="F806">
        <v>42421</v>
      </c>
    </row>
    <row r="807" spans="1:6" x14ac:dyDescent="0.25">
      <c r="B807" t="s">
        <v>1885</v>
      </c>
    </row>
    <row r="808" spans="1:6" x14ac:dyDescent="0.25">
      <c r="A808" t="s">
        <v>2</v>
      </c>
      <c r="B808" t="s">
        <v>1886</v>
      </c>
      <c r="C808">
        <v>28401</v>
      </c>
      <c r="D808">
        <v>614004</v>
      </c>
      <c r="E808">
        <v>32</v>
      </c>
      <c r="F808">
        <v>614036</v>
      </c>
    </row>
    <row r="809" spans="1:6" x14ac:dyDescent="0.25">
      <c r="A809" t="s">
        <v>15</v>
      </c>
      <c r="B809" t="s">
        <v>1887</v>
      </c>
      <c r="C809">
        <v>28402</v>
      </c>
      <c r="D809">
        <v>5166</v>
      </c>
      <c r="E809">
        <v>249</v>
      </c>
      <c r="F809">
        <v>5415</v>
      </c>
    </row>
    <row r="810" spans="1:6" x14ac:dyDescent="0.25">
      <c r="B810" t="s">
        <v>1888</v>
      </c>
      <c r="D810">
        <v>619170</v>
      </c>
      <c r="E810">
        <v>281</v>
      </c>
      <c r="F810">
        <v>619451</v>
      </c>
    </row>
    <row r="811" spans="1:6" x14ac:dyDescent="0.25">
      <c r="B811" t="s">
        <v>1889</v>
      </c>
    </row>
    <row r="812" spans="1:6" x14ac:dyDescent="0.25">
      <c r="A812" t="s">
        <v>2</v>
      </c>
      <c r="B812" t="s">
        <v>1890</v>
      </c>
      <c r="C812">
        <v>28501</v>
      </c>
      <c r="D812">
        <v>0</v>
      </c>
      <c r="F812">
        <v>0</v>
      </c>
    </row>
    <row r="813" spans="1:6" x14ac:dyDescent="0.25">
      <c r="A813" t="s">
        <v>15</v>
      </c>
      <c r="B813" t="s">
        <v>1891</v>
      </c>
      <c r="C813">
        <v>28502</v>
      </c>
      <c r="D813">
        <v>0</v>
      </c>
      <c r="E813">
        <v>0</v>
      </c>
      <c r="F813">
        <v>0</v>
      </c>
    </row>
    <row r="814" spans="1:6" x14ac:dyDescent="0.25">
      <c r="A814" t="s">
        <v>16</v>
      </c>
      <c r="B814" t="s">
        <v>1892</v>
      </c>
      <c r="C814">
        <v>28503</v>
      </c>
      <c r="D814">
        <v>0</v>
      </c>
      <c r="F814">
        <v>0</v>
      </c>
    </row>
    <row r="815" spans="1:6" x14ac:dyDescent="0.25">
      <c r="A815" t="s">
        <v>25</v>
      </c>
      <c r="B815" t="s">
        <v>1893</v>
      </c>
      <c r="C815">
        <v>28504</v>
      </c>
      <c r="D815">
        <v>48697</v>
      </c>
      <c r="F815">
        <v>48697</v>
      </c>
    </row>
    <row r="816" spans="1:6" x14ac:dyDescent="0.25">
      <c r="B816" t="s">
        <v>1894</v>
      </c>
      <c r="D816">
        <v>48697</v>
      </c>
      <c r="E816">
        <v>0</v>
      </c>
      <c r="F816">
        <v>48697</v>
      </c>
    </row>
    <row r="817" spans="1:6" x14ac:dyDescent="0.25">
      <c r="B817" t="s">
        <v>1895</v>
      </c>
    </row>
    <row r="818" spans="1:6" x14ac:dyDescent="0.25">
      <c r="A818" t="s">
        <v>2</v>
      </c>
      <c r="B818" t="s">
        <v>1896</v>
      </c>
      <c r="C818">
        <v>28601</v>
      </c>
      <c r="D818">
        <v>10453</v>
      </c>
      <c r="F818">
        <v>10453</v>
      </c>
    </row>
    <row r="819" spans="1:6" x14ac:dyDescent="0.25">
      <c r="A819" t="s">
        <v>15</v>
      </c>
      <c r="B819" t="s">
        <v>1897</v>
      </c>
      <c r="C819">
        <v>28602</v>
      </c>
      <c r="D819">
        <v>6535</v>
      </c>
      <c r="F819">
        <v>6535</v>
      </c>
    </row>
    <row r="820" spans="1:6" x14ac:dyDescent="0.25">
      <c r="B820" t="s">
        <v>1898</v>
      </c>
      <c r="D820">
        <v>16988</v>
      </c>
      <c r="F820">
        <v>16988</v>
      </c>
    </row>
    <row r="821" spans="1:6" x14ac:dyDescent="0.25">
      <c r="B821" t="s">
        <v>1899</v>
      </c>
    </row>
    <row r="822" spans="1:6" x14ac:dyDescent="0.25">
      <c r="A822" t="s">
        <v>2</v>
      </c>
      <c r="B822" t="s">
        <v>1900</v>
      </c>
      <c r="C822">
        <v>28701</v>
      </c>
      <c r="D822">
        <v>0</v>
      </c>
      <c r="F822">
        <v>0</v>
      </c>
    </row>
    <row r="823" spans="1:6" x14ac:dyDescent="0.25">
      <c r="A823" t="s">
        <v>15</v>
      </c>
      <c r="B823" t="s">
        <v>1901</v>
      </c>
      <c r="C823">
        <v>28702</v>
      </c>
      <c r="D823">
        <v>0</v>
      </c>
      <c r="F823">
        <v>0</v>
      </c>
    </row>
    <row r="824" spans="1:6" x14ac:dyDescent="0.25">
      <c r="A824" t="s">
        <v>16</v>
      </c>
      <c r="B824" t="s">
        <v>1902</v>
      </c>
      <c r="C824">
        <v>28703</v>
      </c>
      <c r="D824">
        <v>0</v>
      </c>
      <c r="F824">
        <v>0</v>
      </c>
    </row>
    <row r="825" spans="1:6" x14ac:dyDescent="0.25">
      <c r="A825" t="s">
        <v>25</v>
      </c>
      <c r="B825" t="s">
        <v>1903</v>
      </c>
      <c r="C825">
        <v>28704</v>
      </c>
      <c r="D825">
        <v>0</v>
      </c>
      <c r="F825">
        <v>0</v>
      </c>
    </row>
    <row r="826" spans="1:6" x14ac:dyDescent="0.25">
      <c r="B826" t="s">
        <v>1904</v>
      </c>
      <c r="D826">
        <v>0</v>
      </c>
      <c r="F826">
        <v>0</v>
      </c>
    </row>
    <row r="827" spans="1:6" x14ac:dyDescent="0.25">
      <c r="B827" t="s">
        <v>1905</v>
      </c>
    </row>
    <row r="828" spans="1:6" x14ac:dyDescent="0.25">
      <c r="A828" t="s">
        <v>2</v>
      </c>
      <c r="B828" t="s">
        <v>1906</v>
      </c>
      <c r="C828">
        <v>28801</v>
      </c>
      <c r="D828">
        <v>527347</v>
      </c>
      <c r="E828">
        <v>0</v>
      </c>
      <c r="F828">
        <v>527347</v>
      </c>
    </row>
    <row r="829" spans="1:6" x14ac:dyDescent="0.25">
      <c r="A829" t="s">
        <v>15</v>
      </c>
      <c r="B829" t="s">
        <v>1907</v>
      </c>
      <c r="C829">
        <v>28802</v>
      </c>
      <c r="D829">
        <v>267195</v>
      </c>
      <c r="E829">
        <v>148</v>
      </c>
      <c r="F829">
        <v>267343</v>
      </c>
    </row>
    <row r="830" spans="1:6" x14ac:dyDescent="0.25">
      <c r="A830" t="s">
        <v>16</v>
      </c>
      <c r="B830" t="s">
        <v>1908</v>
      </c>
      <c r="C830">
        <v>28803</v>
      </c>
      <c r="D830">
        <v>0</v>
      </c>
      <c r="E830">
        <v>0</v>
      </c>
      <c r="F830">
        <v>0</v>
      </c>
    </row>
    <row r="831" spans="1:6" x14ac:dyDescent="0.25">
      <c r="B831" t="s">
        <v>1909</v>
      </c>
      <c r="D831">
        <v>794542</v>
      </c>
      <c r="E831">
        <v>148</v>
      </c>
      <c r="F831">
        <v>794690</v>
      </c>
    </row>
    <row r="832" spans="1:6" x14ac:dyDescent="0.25">
      <c r="B832" t="s">
        <v>1910</v>
      </c>
      <c r="D832">
        <v>15343585</v>
      </c>
      <c r="E832">
        <v>429</v>
      </c>
      <c r="F832">
        <v>15344014</v>
      </c>
    </row>
    <row r="833" spans="1:6" x14ac:dyDescent="0.25">
      <c r="B833" t="s">
        <v>1911</v>
      </c>
    </row>
    <row r="834" spans="1:6" x14ac:dyDescent="0.25">
      <c r="B834" t="s">
        <v>1912</v>
      </c>
    </row>
    <row r="835" spans="1:6" x14ac:dyDescent="0.25">
      <c r="A835" t="s">
        <v>2</v>
      </c>
      <c r="B835" t="s">
        <v>1913</v>
      </c>
      <c r="C835">
        <v>29101</v>
      </c>
      <c r="D835">
        <v>19429</v>
      </c>
      <c r="F835">
        <v>19429</v>
      </c>
    </row>
    <row r="836" spans="1:6" x14ac:dyDescent="0.25">
      <c r="A836" t="s">
        <v>15</v>
      </c>
      <c r="B836" t="s">
        <v>1914</v>
      </c>
      <c r="C836">
        <v>29102</v>
      </c>
      <c r="D836">
        <v>0</v>
      </c>
      <c r="F836">
        <v>0</v>
      </c>
    </row>
    <row r="837" spans="1:6" x14ac:dyDescent="0.25">
      <c r="A837" t="s">
        <v>16</v>
      </c>
      <c r="B837" t="s">
        <v>1915</v>
      </c>
      <c r="C837">
        <v>29103</v>
      </c>
      <c r="D837">
        <v>181024</v>
      </c>
      <c r="F837">
        <v>181024</v>
      </c>
    </row>
    <row r="838" spans="1:6" x14ac:dyDescent="0.25">
      <c r="A838" t="s">
        <v>25</v>
      </c>
      <c r="B838" t="s">
        <v>1916</v>
      </c>
      <c r="C838">
        <v>29104</v>
      </c>
      <c r="D838">
        <v>0</v>
      </c>
      <c r="F838">
        <v>0</v>
      </c>
    </row>
    <row r="839" spans="1:6" x14ac:dyDescent="0.25">
      <c r="A839" t="s">
        <v>26</v>
      </c>
      <c r="B839" t="s">
        <v>1917</v>
      </c>
      <c r="C839">
        <v>29105</v>
      </c>
      <c r="D839">
        <v>0</v>
      </c>
      <c r="F839">
        <v>0</v>
      </c>
    </row>
    <row r="840" spans="1:6" x14ac:dyDescent="0.25">
      <c r="A840" t="s">
        <v>27</v>
      </c>
      <c r="B840" t="s">
        <v>1918</v>
      </c>
      <c r="C840">
        <v>29106</v>
      </c>
      <c r="D840">
        <v>0</v>
      </c>
      <c r="F840">
        <v>0</v>
      </c>
    </row>
    <row r="841" spans="1:6" x14ac:dyDescent="0.25">
      <c r="A841" t="s">
        <v>531</v>
      </c>
      <c r="B841" t="s">
        <v>1919</v>
      </c>
      <c r="C841">
        <v>29107</v>
      </c>
      <c r="D841">
        <v>0</v>
      </c>
      <c r="F841">
        <v>0</v>
      </c>
    </row>
    <row r="842" spans="1:6" x14ac:dyDescent="0.25">
      <c r="B842" t="s">
        <v>1920</v>
      </c>
      <c r="D842">
        <v>200453</v>
      </c>
      <c r="F842">
        <v>200453</v>
      </c>
    </row>
    <row r="843" spans="1:6" x14ac:dyDescent="0.25">
      <c r="B843" t="s">
        <v>1921</v>
      </c>
    </row>
    <row r="844" spans="1:6" x14ac:dyDescent="0.25">
      <c r="A844" t="s">
        <v>2</v>
      </c>
      <c r="B844" t="s">
        <v>1922</v>
      </c>
      <c r="C844">
        <v>29201</v>
      </c>
      <c r="D844">
        <v>0</v>
      </c>
      <c r="E844">
        <v>0</v>
      </c>
      <c r="F844">
        <v>0</v>
      </c>
    </row>
    <row r="845" spans="1:6" x14ac:dyDescent="0.25">
      <c r="A845" t="s">
        <v>15</v>
      </c>
      <c r="B845" t="s">
        <v>1923</v>
      </c>
      <c r="C845">
        <v>29202</v>
      </c>
      <c r="D845">
        <v>0</v>
      </c>
      <c r="E845">
        <v>0</v>
      </c>
      <c r="F845">
        <v>0</v>
      </c>
    </row>
    <row r="846" spans="1:6" x14ac:dyDescent="0.25">
      <c r="A846" t="s">
        <v>16</v>
      </c>
      <c r="B846" t="s">
        <v>1924</v>
      </c>
      <c r="C846">
        <v>29203</v>
      </c>
      <c r="D846">
        <v>0</v>
      </c>
      <c r="E846">
        <v>0</v>
      </c>
      <c r="F846">
        <v>0</v>
      </c>
    </row>
    <row r="847" spans="1:6" x14ac:dyDescent="0.25">
      <c r="A847" t="s">
        <v>25</v>
      </c>
      <c r="B847" t="s">
        <v>1925</v>
      </c>
      <c r="C847">
        <v>29204</v>
      </c>
      <c r="D847">
        <v>0</v>
      </c>
      <c r="E847">
        <v>0</v>
      </c>
      <c r="F847">
        <v>0</v>
      </c>
    </row>
    <row r="848" spans="1:6" x14ac:dyDescent="0.25">
      <c r="A848" t="s">
        <v>26</v>
      </c>
      <c r="B848" t="s">
        <v>1926</v>
      </c>
      <c r="C848">
        <v>29205</v>
      </c>
      <c r="D848">
        <v>5776</v>
      </c>
      <c r="E848">
        <v>0</v>
      </c>
      <c r="F848">
        <v>5776</v>
      </c>
    </row>
    <row r="849" spans="1:6" x14ac:dyDescent="0.25">
      <c r="A849" t="s">
        <v>27</v>
      </c>
      <c r="B849" t="s">
        <v>1927</v>
      </c>
      <c r="C849">
        <v>29206</v>
      </c>
      <c r="D849">
        <v>0</v>
      </c>
      <c r="E849">
        <v>0</v>
      </c>
      <c r="F849">
        <v>0</v>
      </c>
    </row>
    <row r="850" spans="1:6" x14ac:dyDescent="0.25">
      <c r="A850" t="s">
        <v>531</v>
      </c>
      <c r="B850" t="s">
        <v>1928</v>
      </c>
      <c r="C850">
        <v>29207</v>
      </c>
      <c r="D850">
        <v>0</v>
      </c>
      <c r="E850">
        <v>0</v>
      </c>
      <c r="F850">
        <v>0</v>
      </c>
    </row>
    <row r="851" spans="1:6" x14ac:dyDescent="0.25">
      <c r="A851" t="s">
        <v>1583</v>
      </c>
      <c r="B851" t="s">
        <v>1929</v>
      </c>
      <c r="C851">
        <v>29208</v>
      </c>
      <c r="D851">
        <v>0</v>
      </c>
      <c r="E851">
        <v>0</v>
      </c>
      <c r="F851">
        <v>0</v>
      </c>
    </row>
    <row r="852" spans="1:6" x14ac:dyDescent="0.25">
      <c r="B852" t="s">
        <v>1930</v>
      </c>
      <c r="D852">
        <v>5776</v>
      </c>
      <c r="E852">
        <v>0</v>
      </c>
      <c r="F852">
        <v>5776</v>
      </c>
    </row>
    <row r="853" spans="1:6" x14ac:dyDescent="0.25">
      <c r="B853" t="s">
        <v>1931</v>
      </c>
    </row>
    <row r="854" spans="1:6" x14ac:dyDescent="0.25">
      <c r="A854" t="s">
        <v>2</v>
      </c>
      <c r="B854" t="s">
        <v>1932</v>
      </c>
      <c r="C854">
        <v>29301</v>
      </c>
      <c r="D854">
        <v>0</v>
      </c>
      <c r="F854">
        <v>0</v>
      </c>
    </row>
    <row r="855" spans="1:6" x14ac:dyDescent="0.25">
      <c r="A855" t="s">
        <v>15</v>
      </c>
      <c r="B855" t="s">
        <v>1933</v>
      </c>
      <c r="C855">
        <v>29302</v>
      </c>
      <c r="D855">
        <v>111</v>
      </c>
      <c r="F855">
        <v>111</v>
      </c>
    </row>
    <row r="856" spans="1:6" x14ac:dyDescent="0.25">
      <c r="A856" t="s">
        <v>16</v>
      </c>
      <c r="B856" t="s">
        <v>1934</v>
      </c>
      <c r="C856">
        <v>29303</v>
      </c>
      <c r="D856">
        <v>0</v>
      </c>
      <c r="F856">
        <v>0</v>
      </c>
    </row>
    <row r="857" spans="1:6" x14ac:dyDescent="0.25">
      <c r="A857" t="s">
        <v>25</v>
      </c>
      <c r="B857" t="s">
        <v>1935</v>
      </c>
      <c r="C857">
        <v>29304</v>
      </c>
      <c r="D857">
        <v>0</v>
      </c>
      <c r="F857">
        <v>0</v>
      </c>
    </row>
    <row r="858" spans="1:6" x14ac:dyDescent="0.25">
      <c r="B858" t="s">
        <v>1936</v>
      </c>
      <c r="D858">
        <v>111</v>
      </c>
      <c r="F858">
        <v>111</v>
      </c>
    </row>
    <row r="859" spans="1:6" x14ac:dyDescent="0.25">
      <c r="B859" t="s">
        <v>1937</v>
      </c>
    </row>
    <row r="860" spans="1:6" x14ac:dyDescent="0.25">
      <c r="A860" t="s">
        <v>2</v>
      </c>
      <c r="B860" t="s">
        <v>1938</v>
      </c>
      <c r="C860">
        <v>29401</v>
      </c>
      <c r="D860">
        <v>35</v>
      </c>
      <c r="E860">
        <v>0</v>
      </c>
      <c r="F860">
        <v>35</v>
      </c>
    </row>
    <row r="861" spans="1:6" x14ac:dyDescent="0.25">
      <c r="A861" t="s">
        <v>15</v>
      </c>
      <c r="B861" t="s">
        <v>1939</v>
      </c>
      <c r="C861">
        <v>29402</v>
      </c>
      <c r="D861">
        <v>1183</v>
      </c>
      <c r="E861">
        <v>0</v>
      </c>
      <c r="F861">
        <v>1183</v>
      </c>
    </row>
    <row r="862" spans="1:6" x14ac:dyDescent="0.25">
      <c r="A862" t="s">
        <v>16</v>
      </c>
      <c r="B862" t="s">
        <v>1940</v>
      </c>
      <c r="C862">
        <v>29403</v>
      </c>
      <c r="D862">
        <v>2095</v>
      </c>
      <c r="E862">
        <v>0</v>
      </c>
      <c r="F862">
        <v>2095</v>
      </c>
    </row>
    <row r="863" spans="1:6" x14ac:dyDescent="0.25">
      <c r="A863" t="s">
        <v>25</v>
      </c>
      <c r="B863" t="s">
        <v>1941</v>
      </c>
      <c r="C863">
        <v>29404</v>
      </c>
      <c r="D863">
        <v>0</v>
      </c>
      <c r="E863">
        <v>0</v>
      </c>
      <c r="F863">
        <v>0</v>
      </c>
    </row>
    <row r="864" spans="1:6" x14ac:dyDescent="0.25">
      <c r="A864" t="s">
        <v>26</v>
      </c>
      <c r="B864" t="s">
        <v>1942</v>
      </c>
      <c r="C864">
        <v>29405</v>
      </c>
      <c r="D864">
        <v>4560</v>
      </c>
      <c r="E864">
        <v>0</v>
      </c>
      <c r="F864">
        <v>4560</v>
      </c>
    </row>
    <row r="865" spans="1:6" x14ac:dyDescent="0.25">
      <c r="A865" t="s">
        <v>27</v>
      </c>
      <c r="B865" t="s">
        <v>1943</v>
      </c>
      <c r="C865">
        <v>29406</v>
      </c>
      <c r="D865">
        <v>13649</v>
      </c>
      <c r="E865">
        <v>1415</v>
      </c>
      <c r="F865">
        <v>15064</v>
      </c>
    </row>
    <row r="866" spans="1:6" x14ac:dyDescent="0.25">
      <c r="A866" t="s">
        <v>531</v>
      </c>
      <c r="B866" t="s">
        <v>1944</v>
      </c>
      <c r="C866">
        <v>29407</v>
      </c>
      <c r="D866">
        <v>0</v>
      </c>
      <c r="E866">
        <v>0</v>
      </c>
      <c r="F866">
        <v>0</v>
      </c>
    </row>
    <row r="867" spans="1:6" x14ac:dyDescent="0.25">
      <c r="B867" t="s">
        <v>1945</v>
      </c>
      <c r="D867">
        <v>21522</v>
      </c>
      <c r="E867">
        <v>1415</v>
      </c>
      <c r="F867">
        <v>22937</v>
      </c>
    </row>
    <row r="868" spans="1:6" x14ac:dyDescent="0.25">
      <c r="B868" t="s">
        <v>1946</v>
      </c>
      <c r="D868">
        <v>227862</v>
      </c>
      <c r="E868">
        <v>1415</v>
      </c>
      <c r="F868">
        <v>229277</v>
      </c>
    </row>
    <row r="869" spans="1:6" x14ac:dyDescent="0.25">
      <c r="B869" t="s">
        <v>2274</v>
      </c>
      <c r="D869">
        <v>169671797</v>
      </c>
      <c r="E869">
        <v>219709</v>
      </c>
      <c r="F869">
        <v>169891506</v>
      </c>
    </row>
    <row r="870" spans="1:6" x14ac:dyDescent="0.25">
      <c r="B870" t="s">
        <v>1948</v>
      </c>
      <c r="D870">
        <v>244241833</v>
      </c>
      <c r="E870">
        <v>629514</v>
      </c>
      <c r="F870">
        <v>244871347</v>
      </c>
    </row>
    <row r="871" spans="1:6" x14ac:dyDescent="0.25">
      <c r="B871" t="s">
        <v>1949</v>
      </c>
    </row>
    <row r="872" spans="1:6" x14ac:dyDescent="0.25">
      <c r="B872" t="s">
        <v>1950</v>
      </c>
    </row>
    <row r="873" spans="1:6" x14ac:dyDescent="0.25">
      <c r="B873" t="s">
        <v>1672</v>
      </c>
    </row>
    <row r="874" spans="1:6" x14ac:dyDescent="0.25">
      <c r="A874" t="s">
        <v>2</v>
      </c>
      <c r="B874" t="s">
        <v>1673</v>
      </c>
      <c r="C874">
        <v>31101</v>
      </c>
      <c r="D874">
        <v>9203</v>
      </c>
      <c r="E874">
        <v>0</v>
      </c>
      <c r="F874">
        <v>9203</v>
      </c>
    </row>
    <row r="875" spans="1:6" x14ac:dyDescent="0.25">
      <c r="A875" t="s">
        <v>15</v>
      </c>
      <c r="B875" t="s">
        <v>1674</v>
      </c>
      <c r="C875">
        <v>31102</v>
      </c>
      <c r="D875">
        <v>10821</v>
      </c>
      <c r="E875">
        <v>2292</v>
      </c>
      <c r="F875">
        <v>13113</v>
      </c>
    </row>
    <row r="876" spans="1:6" x14ac:dyDescent="0.25">
      <c r="A876" t="s">
        <v>16</v>
      </c>
      <c r="B876" t="s">
        <v>1675</v>
      </c>
      <c r="C876">
        <v>31103</v>
      </c>
      <c r="D876">
        <v>2578</v>
      </c>
      <c r="E876">
        <v>1259</v>
      </c>
      <c r="F876">
        <v>3837</v>
      </c>
    </row>
    <row r="877" spans="1:6" x14ac:dyDescent="0.25">
      <c r="A877" t="s">
        <v>25</v>
      </c>
      <c r="B877" t="s">
        <v>1676</v>
      </c>
      <c r="C877">
        <v>31104</v>
      </c>
      <c r="D877">
        <v>0</v>
      </c>
      <c r="E877">
        <v>0</v>
      </c>
      <c r="F877">
        <v>0</v>
      </c>
    </row>
    <row r="878" spans="1:6" x14ac:dyDescent="0.25">
      <c r="A878" t="s">
        <v>26</v>
      </c>
      <c r="B878" t="s">
        <v>1677</v>
      </c>
      <c r="C878">
        <v>31105</v>
      </c>
      <c r="D878">
        <v>0</v>
      </c>
      <c r="E878">
        <v>0</v>
      </c>
      <c r="F878">
        <v>0</v>
      </c>
    </row>
    <row r="879" spans="1:6" x14ac:dyDescent="0.25">
      <c r="B879" t="s">
        <v>1951</v>
      </c>
      <c r="D879">
        <v>22602</v>
      </c>
      <c r="E879">
        <v>3551</v>
      </c>
      <c r="F879">
        <v>26153</v>
      </c>
    </row>
    <row r="880" spans="1:6" x14ac:dyDescent="0.25">
      <c r="B880" t="s">
        <v>1679</v>
      </c>
    </row>
    <row r="881" spans="1:6" x14ac:dyDescent="0.25">
      <c r="A881" t="s">
        <v>2</v>
      </c>
      <c r="B881" t="s">
        <v>1680</v>
      </c>
      <c r="C881">
        <v>31201</v>
      </c>
      <c r="D881">
        <v>0</v>
      </c>
      <c r="E881">
        <v>0</v>
      </c>
      <c r="F881">
        <v>0</v>
      </c>
    </row>
    <row r="882" spans="1:6" x14ac:dyDescent="0.25">
      <c r="A882" t="s">
        <v>15</v>
      </c>
      <c r="B882" t="s">
        <v>1681</v>
      </c>
      <c r="C882">
        <v>31202</v>
      </c>
      <c r="D882">
        <v>0</v>
      </c>
      <c r="E882">
        <v>0</v>
      </c>
      <c r="F882">
        <v>0</v>
      </c>
    </row>
    <row r="883" spans="1:6" x14ac:dyDescent="0.25">
      <c r="A883" t="s">
        <v>16</v>
      </c>
      <c r="B883" t="s">
        <v>1682</v>
      </c>
      <c r="C883">
        <v>31203</v>
      </c>
      <c r="D883">
        <v>324</v>
      </c>
      <c r="E883">
        <v>0</v>
      </c>
      <c r="F883">
        <v>324</v>
      </c>
    </row>
    <row r="884" spans="1:6" x14ac:dyDescent="0.25">
      <c r="A884" t="s">
        <v>25</v>
      </c>
      <c r="B884" t="s">
        <v>1683</v>
      </c>
      <c r="C884">
        <v>31204</v>
      </c>
      <c r="D884">
        <v>0</v>
      </c>
      <c r="E884">
        <v>0</v>
      </c>
      <c r="F884">
        <v>0</v>
      </c>
    </row>
    <row r="885" spans="1:6" x14ac:dyDescent="0.25">
      <c r="A885" t="s">
        <v>26</v>
      </c>
      <c r="B885" t="s">
        <v>1684</v>
      </c>
      <c r="C885">
        <v>31205</v>
      </c>
      <c r="D885">
        <v>4698</v>
      </c>
      <c r="E885">
        <v>0</v>
      </c>
      <c r="F885">
        <v>4698</v>
      </c>
    </row>
    <row r="886" spans="1:6" x14ac:dyDescent="0.25">
      <c r="A886" t="s">
        <v>27</v>
      </c>
      <c r="B886" t="s">
        <v>1685</v>
      </c>
      <c r="C886">
        <v>31206</v>
      </c>
      <c r="D886">
        <v>1503</v>
      </c>
      <c r="E886">
        <v>0</v>
      </c>
      <c r="F886">
        <v>1503</v>
      </c>
    </row>
    <row r="887" spans="1:6" x14ac:dyDescent="0.25">
      <c r="A887" t="s">
        <v>531</v>
      </c>
      <c r="B887" t="s">
        <v>1686</v>
      </c>
      <c r="C887">
        <v>31207</v>
      </c>
      <c r="D887">
        <v>45669</v>
      </c>
      <c r="E887">
        <v>0</v>
      </c>
      <c r="F887">
        <v>45669</v>
      </c>
    </row>
    <row r="888" spans="1:6" x14ac:dyDescent="0.25">
      <c r="A888" t="s">
        <v>1583</v>
      </c>
      <c r="B888" t="s">
        <v>1687</v>
      </c>
      <c r="C888">
        <v>31208</v>
      </c>
      <c r="D888">
        <v>53449</v>
      </c>
      <c r="E888">
        <v>11</v>
      </c>
      <c r="F888">
        <v>53460</v>
      </c>
    </row>
    <row r="889" spans="1:6" x14ac:dyDescent="0.25">
      <c r="A889" t="s">
        <v>1585</v>
      </c>
      <c r="B889" t="s">
        <v>1688</v>
      </c>
      <c r="C889">
        <v>31209</v>
      </c>
      <c r="D889">
        <v>15283</v>
      </c>
      <c r="E889">
        <v>0</v>
      </c>
      <c r="F889">
        <v>15283</v>
      </c>
    </row>
    <row r="890" spans="1:6" x14ac:dyDescent="0.25">
      <c r="A890" t="s">
        <v>1587</v>
      </c>
      <c r="B890" t="s">
        <v>1637</v>
      </c>
      <c r="C890">
        <v>31210</v>
      </c>
      <c r="D890">
        <v>0</v>
      </c>
      <c r="E890">
        <v>0</v>
      </c>
      <c r="F890">
        <v>0</v>
      </c>
    </row>
    <row r="891" spans="1:6" x14ac:dyDescent="0.25">
      <c r="A891" t="s">
        <v>1589</v>
      </c>
      <c r="B891" t="s">
        <v>1640</v>
      </c>
      <c r="C891">
        <v>31211</v>
      </c>
      <c r="D891">
        <v>0</v>
      </c>
      <c r="E891">
        <v>0</v>
      </c>
      <c r="F891">
        <v>0</v>
      </c>
    </row>
    <row r="892" spans="1:6" x14ac:dyDescent="0.25">
      <c r="A892" t="s">
        <v>1591</v>
      </c>
      <c r="B892" t="s">
        <v>1689</v>
      </c>
      <c r="C892">
        <v>31212</v>
      </c>
      <c r="D892">
        <v>1632</v>
      </c>
      <c r="E892">
        <v>0</v>
      </c>
      <c r="F892">
        <v>1632</v>
      </c>
    </row>
    <row r="893" spans="1:6" x14ac:dyDescent="0.25">
      <c r="A893" t="s">
        <v>1593</v>
      </c>
      <c r="B893" t="s">
        <v>1690</v>
      </c>
      <c r="C893">
        <v>31213</v>
      </c>
      <c r="D893">
        <v>0</v>
      </c>
      <c r="E893">
        <v>0</v>
      </c>
      <c r="F893">
        <v>0</v>
      </c>
    </row>
    <row r="894" spans="1:6" x14ac:dyDescent="0.25">
      <c r="B894" t="s">
        <v>1952</v>
      </c>
      <c r="D894">
        <v>122558</v>
      </c>
      <c r="E894">
        <v>11</v>
      </c>
      <c r="F894">
        <v>122569</v>
      </c>
    </row>
    <row r="895" spans="1:6" x14ac:dyDescent="0.25">
      <c r="B895" t="s">
        <v>1692</v>
      </c>
    </row>
    <row r="896" spans="1:6" x14ac:dyDescent="0.25">
      <c r="A896" t="s">
        <v>2</v>
      </c>
      <c r="B896" t="s">
        <v>1693</v>
      </c>
      <c r="C896">
        <v>31301</v>
      </c>
      <c r="D896">
        <v>0</v>
      </c>
      <c r="E896">
        <v>0</v>
      </c>
      <c r="F896">
        <v>0</v>
      </c>
    </row>
    <row r="897" spans="1:6" x14ac:dyDescent="0.25">
      <c r="A897" t="s">
        <v>15</v>
      </c>
      <c r="B897" t="s">
        <v>1694</v>
      </c>
      <c r="C897">
        <v>31302</v>
      </c>
      <c r="D897">
        <v>2906088</v>
      </c>
      <c r="E897">
        <v>0</v>
      </c>
      <c r="F897">
        <v>2906088</v>
      </c>
    </row>
    <row r="898" spans="1:6" x14ac:dyDescent="0.25">
      <c r="A898" t="s">
        <v>16</v>
      </c>
      <c r="B898" t="s">
        <v>1695</v>
      </c>
      <c r="C898">
        <v>31303</v>
      </c>
      <c r="D898">
        <v>0</v>
      </c>
      <c r="E898">
        <v>0</v>
      </c>
      <c r="F898">
        <v>0</v>
      </c>
    </row>
    <row r="899" spans="1:6" x14ac:dyDescent="0.25">
      <c r="A899" t="s">
        <v>25</v>
      </c>
      <c r="B899" t="s">
        <v>1696</v>
      </c>
      <c r="C899">
        <v>31304</v>
      </c>
      <c r="D899">
        <v>0</v>
      </c>
      <c r="E899">
        <v>0</v>
      </c>
      <c r="F899">
        <v>0</v>
      </c>
    </row>
    <row r="900" spans="1:6" x14ac:dyDescent="0.25">
      <c r="A900" t="s">
        <v>26</v>
      </c>
      <c r="B900" t="s">
        <v>1680</v>
      </c>
      <c r="C900">
        <v>31305</v>
      </c>
      <c r="D900">
        <v>0</v>
      </c>
      <c r="E900">
        <v>0</v>
      </c>
      <c r="F900">
        <v>0</v>
      </c>
    </row>
    <row r="901" spans="1:6" x14ac:dyDescent="0.25">
      <c r="A901" t="s">
        <v>27</v>
      </c>
      <c r="B901" t="s">
        <v>1681</v>
      </c>
      <c r="C901">
        <v>31306</v>
      </c>
      <c r="D901">
        <v>0</v>
      </c>
      <c r="E901">
        <v>0</v>
      </c>
      <c r="F901">
        <v>0</v>
      </c>
    </row>
    <row r="902" spans="1:6" x14ac:dyDescent="0.25">
      <c r="A902" t="s">
        <v>531</v>
      </c>
      <c r="B902" t="s">
        <v>1682</v>
      </c>
      <c r="C902">
        <v>31307</v>
      </c>
      <c r="D902">
        <v>449959</v>
      </c>
      <c r="E902">
        <v>0</v>
      </c>
      <c r="F902">
        <v>449959</v>
      </c>
    </row>
    <row r="903" spans="1:6" x14ac:dyDescent="0.25">
      <c r="A903" t="s">
        <v>1583</v>
      </c>
      <c r="B903" t="s">
        <v>1683</v>
      </c>
      <c r="C903">
        <v>31308</v>
      </c>
      <c r="D903">
        <v>1740</v>
      </c>
      <c r="E903">
        <v>0</v>
      </c>
      <c r="F903">
        <v>1740</v>
      </c>
    </row>
    <row r="904" spans="1:6" x14ac:dyDescent="0.25">
      <c r="A904" t="s">
        <v>1585</v>
      </c>
      <c r="B904" t="s">
        <v>1684</v>
      </c>
      <c r="C904">
        <v>31309</v>
      </c>
      <c r="D904">
        <v>253897</v>
      </c>
      <c r="E904">
        <v>0</v>
      </c>
      <c r="F904">
        <v>253897</v>
      </c>
    </row>
    <row r="905" spans="1:6" x14ac:dyDescent="0.25">
      <c r="A905" t="s">
        <v>1587</v>
      </c>
      <c r="B905" t="s">
        <v>1685</v>
      </c>
      <c r="C905">
        <v>31310</v>
      </c>
      <c r="D905">
        <v>258574</v>
      </c>
      <c r="E905">
        <v>0</v>
      </c>
      <c r="F905">
        <v>258574</v>
      </c>
    </row>
    <row r="906" spans="1:6" x14ac:dyDescent="0.25">
      <c r="A906" t="s">
        <v>1589</v>
      </c>
      <c r="B906" t="s">
        <v>1686</v>
      </c>
      <c r="C906">
        <v>31311</v>
      </c>
      <c r="D906">
        <v>294290</v>
      </c>
      <c r="E906">
        <v>553</v>
      </c>
      <c r="F906">
        <v>294843</v>
      </c>
    </row>
    <row r="907" spans="1:6" x14ac:dyDescent="0.25">
      <c r="A907" t="s">
        <v>1591</v>
      </c>
      <c r="B907" t="s">
        <v>1687</v>
      </c>
      <c r="C907">
        <v>31312</v>
      </c>
      <c r="D907">
        <v>2398367</v>
      </c>
      <c r="E907">
        <v>51315</v>
      </c>
      <c r="F907">
        <v>2449682</v>
      </c>
    </row>
    <row r="908" spans="1:6" x14ac:dyDescent="0.25">
      <c r="A908" t="s">
        <v>1593</v>
      </c>
      <c r="B908" t="s">
        <v>1688</v>
      </c>
      <c r="C908">
        <v>31313</v>
      </c>
      <c r="D908">
        <v>3118563</v>
      </c>
      <c r="E908">
        <v>4</v>
      </c>
      <c r="F908">
        <v>3118567</v>
      </c>
    </row>
    <row r="909" spans="1:6" x14ac:dyDescent="0.25">
      <c r="A909" t="s">
        <v>1595</v>
      </c>
      <c r="B909" t="s">
        <v>1690</v>
      </c>
      <c r="C909">
        <v>31314</v>
      </c>
      <c r="D909">
        <v>7716</v>
      </c>
      <c r="E909">
        <v>4039671</v>
      </c>
      <c r="F909">
        <v>4047387</v>
      </c>
    </row>
    <row r="910" spans="1:6" x14ac:dyDescent="0.25">
      <c r="A910" t="s">
        <v>1597</v>
      </c>
      <c r="B910" t="s">
        <v>1637</v>
      </c>
      <c r="C910">
        <v>31315</v>
      </c>
      <c r="D910">
        <v>0</v>
      </c>
      <c r="E910">
        <v>0</v>
      </c>
      <c r="F910">
        <v>0</v>
      </c>
    </row>
    <row r="911" spans="1:6" x14ac:dyDescent="0.25">
      <c r="A911" t="s">
        <v>1599</v>
      </c>
      <c r="B911" t="s">
        <v>1640</v>
      </c>
      <c r="C911">
        <v>31316</v>
      </c>
      <c r="D911">
        <v>0</v>
      </c>
      <c r="E911">
        <v>0</v>
      </c>
      <c r="F911">
        <v>0</v>
      </c>
    </row>
    <row r="912" spans="1:6" x14ac:dyDescent="0.25">
      <c r="A912" t="s">
        <v>1601</v>
      </c>
      <c r="B912" t="s">
        <v>1636</v>
      </c>
      <c r="C912">
        <v>31317</v>
      </c>
      <c r="D912">
        <v>0</v>
      </c>
      <c r="E912">
        <v>0</v>
      </c>
      <c r="F912">
        <v>0</v>
      </c>
    </row>
    <row r="913" spans="1:6" x14ac:dyDescent="0.25">
      <c r="A913" t="s">
        <v>1603</v>
      </c>
      <c r="B913" t="s">
        <v>1689</v>
      </c>
      <c r="C913">
        <v>31318</v>
      </c>
      <c r="D913">
        <v>0</v>
      </c>
      <c r="E913">
        <v>0</v>
      </c>
      <c r="F913">
        <v>0</v>
      </c>
    </row>
    <row r="914" spans="1:6" x14ac:dyDescent="0.25">
      <c r="B914" t="s">
        <v>1953</v>
      </c>
      <c r="D914">
        <v>9689194</v>
      </c>
      <c r="E914">
        <v>4091543</v>
      </c>
      <c r="F914">
        <v>13780737</v>
      </c>
    </row>
    <row r="915" spans="1:6" x14ac:dyDescent="0.25">
      <c r="B915" t="s">
        <v>1698</v>
      </c>
    </row>
    <row r="916" spans="1:6" x14ac:dyDescent="0.25">
      <c r="A916" t="s">
        <v>2</v>
      </c>
      <c r="B916" t="s">
        <v>1699</v>
      </c>
      <c r="C916">
        <v>31401</v>
      </c>
      <c r="D916">
        <v>0</v>
      </c>
      <c r="E916">
        <v>0</v>
      </c>
      <c r="F916">
        <v>0</v>
      </c>
    </row>
    <row r="917" spans="1:6" x14ac:dyDescent="0.25">
      <c r="A917" t="s">
        <v>15</v>
      </c>
      <c r="B917" t="s">
        <v>1694</v>
      </c>
      <c r="C917">
        <v>31402</v>
      </c>
      <c r="D917">
        <v>0</v>
      </c>
      <c r="E917">
        <v>0</v>
      </c>
      <c r="F917">
        <v>0</v>
      </c>
    </row>
    <row r="918" spans="1:6" x14ac:dyDescent="0.25">
      <c r="A918" t="s">
        <v>16</v>
      </c>
      <c r="B918" t="s">
        <v>1695</v>
      </c>
      <c r="C918">
        <v>31403</v>
      </c>
      <c r="D918">
        <v>0</v>
      </c>
      <c r="E918">
        <v>0</v>
      </c>
      <c r="F918">
        <v>0</v>
      </c>
    </row>
    <row r="919" spans="1:6" x14ac:dyDescent="0.25">
      <c r="A919" t="s">
        <v>25</v>
      </c>
      <c r="B919" t="s">
        <v>1696</v>
      </c>
      <c r="C919">
        <v>31404</v>
      </c>
      <c r="D919">
        <v>0</v>
      </c>
      <c r="E919">
        <v>0</v>
      </c>
      <c r="F919">
        <v>0</v>
      </c>
    </row>
    <row r="920" spans="1:6" x14ac:dyDescent="0.25">
      <c r="A920" t="s">
        <v>26</v>
      </c>
      <c r="B920" t="s">
        <v>1680</v>
      </c>
      <c r="C920">
        <v>31405</v>
      </c>
      <c r="D920">
        <v>0</v>
      </c>
      <c r="E920">
        <v>0</v>
      </c>
      <c r="F920">
        <v>0</v>
      </c>
    </row>
    <row r="921" spans="1:6" x14ac:dyDescent="0.25">
      <c r="A921" t="s">
        <v>27</v>
      </c>
      <c r="B921" t="s">
        <v>1681</v>
      </c>
      <c r="C921">
        <v>31406</v>
      </c>
      <c r="D921">
        <v>0</v>
      </c>
      <c r="E921">
        <v>0</v>
      </c>
      <c r="F921">
        <v>0</v>
      </c>
    </row>
    <row r="922" spans="1:6" x14ac:dyDescent="0.25">
      <c r="A922" t="s">
        <v>531</v>
      </c>
      <c r="B922" t="s">
        <v>1682</v>
      </c>
      <c r="C922">
        <v>31407</v>
      </c>
      <c r="D922">
        <v>121075</v>
      </c>
      <c r="E922">
        <v>0</v>
      </c>
      <c r="F922">
        <v>121075</v>
      </c>
    </row>
    <row r="923" spans="1:6" x14ac:dyDescent="0.25">
      <c r="A923" t="s">
        <v>1583</v>
      </c>
      <c r="B923" t="s">
        <v>1683</v>
      </c>
      <c r="C923">
        <v>31408</v>
      </c>
      <c r="D923">
        <v>0</v>
      </c>
      <c r="E923">
        <v>0</v>
      </c>
      <c r="F923">
        <v>0</v>
      </c>
    </row>
    <row r="924" spans="1:6" x14ac:dyDescent="0.25">
      <c r="A924" t="s">
        <v>1585</v>
      </c>
      <c r="B924" t="s">
        <v>1684</v>
      </c>
      <c r="C924">
        <v>31409</v>
      </c>
      <c r="D924">
        <v>0</v>
      </c>
      <c r="E924">
        <v>0</v>
      </c>
      <c r="F924">
        <v>0</v>
      </c>
    </row>
    <row r="925" spans="1:6" x14ac:dyDescent="0.25">
      <c r="A925" t="s">
        <v>1587</v>
      </c>
      <c r="B925" t="s">
        <v>1685</v>
      </c>
      <c r="C925">
        <v>31410</v>
      </c>
      <c r="D925">
        <v>0</v>
      </c>
      <c r="E925">
        <v>0</v>
      </c>
      <c r="F925">
        <v>0</v>
      </c>
    </row>
    <row r="926" spans="1:6" x14ac:dyDescent="0.25">
      <c r="A926" t="s">
        <v>1589</v>
      </c>
      <c r="B926" t="s">
        <v>1686</v>
      </c>
      <c r="C926">
        <v>31411</v>
      </c>
      <c r="D926">
        <v>3394</v>
      </c>
      <c r="E926">
        <v>0</v>
      </c>
      <c r="F926">
        <v>3394</v>
      </c>
    </row>
    <row r="927" spans="1:6" x14ac:dyDescent="0.25">
      <c r="A927" t="s">
        <v>1591</v>
      </c>
      <c r="B927" t="s">
        <v>1687</v>
      </c>
      <c r="C927">
        <v>31412</v>
      </c>
      <c r="D927">
        <v>0</v>
      </c>
      <c r="E927">
        <v>0</v>
      </c>
      <c r="F927">
        <v>0</v>
      </c>
    </row>
    <row r="928" spans="1:6" x14ac:dyDescent="0.25">
      <c r="A928" t="s">
        <v>1593</v>
      </c>
      <c r="B928" t="s">
        <v>1688</v>
      </c>
      <c r="C928">
        <v>31413</v>
      </c>
      <c r="D928">
        <v>0</v>
      </c>
      <c r="E928">
        <v>0</v>
      </c>
      <c r="F928">
        <v>0</v>
      </c>
    </row>
    <row r="929" spans="1:6" x14ac:dyDescent="0.25">
      <c r="A929" t="s">
        <v>1595</v>
      </c>
      <c r="B929" t="s">
        <v>1690</v>
      </c>
      <c r="C929">
        <v>31414</v>
      </c>
      <c r="D929">
        <v>0</v>
      </c>
      <c r="E929">
        <v>0</v>
      </c>
      <c r="F929">
        <v>0</v>
      </c>
    </row>
    <row r="930" spans="1:6" x14ac:dyDescent="0.25">
      <c r="A930" t="s">
        <v>1597</v>
      </c>
      <c r="B930" t="s">
        <v>1637</v>
      </c>
      <c r="C930">
        <v>31415</v>
      </c>
      <c r="D930">
        <v>196650</v>
      </c>
      <c r="E930">
        <v>52340</v>
      </c>
      <c r="F930">
        <v>248990</v>
      </c>
    </row>
    <row r="931" spans="1:6" x14ac:dyDescent="0.25">
      <c r="A931" t="s">
        <v>1599</v>
      </c>
      <c r="B931" t="s">
        <v>1640</v>
      </c>
      <c r="C931">
        <v>31416</v>
      </c>
      <c r="D931">
        <v>59</v>
      </c>
      <c r="E931">
        <v>0</v>
      </c>
      <c r="F931">
        <v>59</v>
      </c>
    </row>
    <row r="932" spans="1:6" x14ac:dyDescent="0.25">
      <c r="A932" t="s">
        <v>1601</v>
      </c>
      <c r="B932" t="s">
        <v>1636</v>
      </c>
      <c r="C932">
        <v>31417</v>
      </c>
      <c r="D932">
        <v>254240</v>
      </c>
      <c r="E932">
        <v>0</v>
      </c>
      <c r="F932">
        <v>254240</v>
      </c>
    </row>
    <row r="933" spans="1:6" x14ac:dyDescent="0.25">
      <c r="A933" t="s">
        <v>1603</v>
      </c>
      <c r="B933" t="s">
        <v>1689</v>
      </c>
      <c r="C933">
        <v>31418</v>
      </c>
      <c r="D933">
        <v>15905</v>
      </c>
      <c r="E933">
        <v>0</v>
      </c>
      <c r="F933">
        <v>15905</v>
      </c>
    </row>
    <row r="934" spans="1:6" x14ac:dyDescent="0.25">
      <c r="B934" t="s">
        <v>1954</v>
      </c>
      <c r="D934">
        <v>591323</v>
      </c>
      <c r="E934">
        <v>52340</v>
      </c>
      <c r="F934">
        <v>643663</v>
      </c>
    </row>
    <row r="935" spans="1:6" x14ac:dyDescent="0.25">
      <c r="B935" t="s">
        <v>1701</v>
      </c>
    </row>
    <row r="936" spans="1:6" x14ac:dyDescent="0.25">
      <c r="A936" t="s">
        <v>2</v>
      </c>
      <c r="B936" t="s">
        <v>1702</v>
      </c>
      <c r="C936">
        <v>31501</v>
      </c>
      <c r="D936">
        <v>13653</v>
      </c>
      <c r="E936">
        <v>0</v>
      </c>
      <c r="F936">
        <v>13653</v>
      </c>
    </row>
    <row r="937" spans="1:6" x14ac:dyDescent="0.25">
      <c r="A937" t="s">
        <v>15</v>
      </c>
      <c r="B937" t="s">
        <v>1703</v>
      </c>
      <c r="C937">
        <v>31502</v>
      </c>
      <c r="D937">
        <v>47</v>
      </c>
      <c r="E937">
        <v>0</v>
      </c>
      <c r="F937">
        <v>47</v>
      </c>
    </row>
    <row r="938" spans="1:6" x14ac:dyDescent="0.25">
      <c r="B938" t="s">
        <v>1955</v>
      </c>
      <c r="D938">
        <v>13700</v>
      </c>
      <c r="E938">
        <v>0</v>
      </c>
      <c r="F938">
        <v>13700</v>
      </c>
    </row>
    <row r="939" spans="1:6" x14ac:dyDescent="0.25">
      <c r="B939" t="s">
        <v>1705</v>
      </c>
    </row>
    <row r="940" spans="1:6" x14ac:dyDescent="0.25">
      <c r="A940" t="s">
        <v>2</v>
      </c>
      <c r="B940" t="s">
        <v>1702</v>
      </c>
      <c r="C940">
        <v>31601</v>
      </c>
      <c r="D940">
        <v>6811552</v>
      </c>
      <c r="E940">
        <v>118519</v>
      </c>
      <c r="F940">
        <v>6930071</v>
      </c>
    </row>
    <row r="941" spans="1:6" x14ac:dyDescent="0.25">
      <c r="A941" t="s">
        <v>15</v>
      </c>
      <c r="B941" t="s">
        <v>1703</v>
      </c>
      <c r="C941">
        <v>31602</v>
      </c>
      <c r="D941">
        <v>10051</v>
      </c>
      <c r="E941">
        <v>339</v>
      </c>
      <c r="F941">
        <v>10390</v>
      </c>
    </row>
    <row r="942" spans="1:6" x14ac:dyDescent="0.25">
      <c r="B942" t="s">
        <v>1956</v>
      </c>
      <c r="D942">
        <v>6821603</v>
      </c>
      <c r="E942">
        <v>118858</v>
      </c>
      <c r="F942">
        <v>6940461</v>
      </c>
    </row>
    <row r="943" spans="1:6" x14ac:dyDescent="0.25">
      <c r="B943" t="s">
        <v>1707</v>
      </c>
    </row>
    <row r="944" spans="1:6" x14ac:dyDescent="0.25">
      <c r="A944" t="s">
        <v>2</v>
      </c>
      <c r="B944" t="s">
        <v>1702</v>
      </c>
      <c r="C944">
        <v>31701</v>
      </c>
      <c r="D944">
        <v>0</v>
      </c>
      <c r="E944">
        <v>0</v>
      </c>
      <c r="F944">
        <v>0</v>
      </c>
    </row>
    <row r="945" spans="1:6" x14ac:dyDescent="0.25">
      <c r="A945" t="s">
        <v>15</v>
      </c>
      <c r="B945" t="s">
        <v>1703</v>
      </c>
      <c r="C945">
        <v>31702</v>
      </c>
      <c r="D945">
        <v>0</v>
      </c>
      <c r="E945">
        <v>0</v>
      </c>
      <c r="F945">
        <v>0</v>
      </c>
    </row>
    <row r="946" spans="1:6" x14ac:dyDescent="0.25">
      <c r="B946" t="s">
        <v>1957</v>
      </c>
      <c r="D946">
        <v>0</v>
      </c>
      <c r="E946">
        <v>0</v>
      </c>
      <c r="F946">
        <v>0</v>
      </c>
    </row>
    <row r="947" spans="1:6" x14ac:dyDescent="0.25">
      <c r="B947" t="s">
        <v>1709</v>
      </c>
    </row>
    <row r="948" spans="1:6" x14ac:dyDescent="0.25">
      <c r="A948" t="s">
        <v>2</v>
      </c>
      <c r="B948" t="s">
        <v>1710</v>
      </c>
      <c r="C948">
        <v>31801</v>
      </c>
      <c r="D948">
        <v>0</v>
      </c>
      <c r="E948">
        <v>0</v>
      </c>
      <c r="F948">
        <v>0</v>
      </c>
    </row>
    <row r="949" spans="1:6" x14ac:dyDescent="0.25">
      <c r="A949" t="s">
        <v>15</v>
      </c>
      <c r="B949" t="s">
        <v>1711</v>
      </c>
      <c r="C949">
        <v>31802</v>
      </c>
      <c r="D949">
        <v>0</v>
      </c>
      <c r="E949">
        <v>0</v>
      </c>
      <c r="F949">
        <v>0</v>
      </c>
    </row>
    <row r="950" spans="1:6" x14ac:dyDescent="0.25">
      <c r="A950" t="s">
        <v>16</v>
      </c>
      <c r="B950" t="s">
        <v>1712</v>
      </c>
      <c r="C950">
        <v>31803</v>
      </c>
      <c r="D950">
        <v>192256</v>
      </c>
      <c r="E950">
        <v>0</v>
      </c>
      <c r="F950">
        <v>192256</v>
      </c>
    </row>
    <row r="951" spans="1:6" x14ac:dyDescent="0.25">
      <c r="A951" t="s">
        <v>25</v>
      </c>
      <c r="B951" t="s">
        <v>1713</v>
      </c>
      <c r="C951">
        <v>31804</v>
      </c>
      <c r="D951">
        <v>91803</v>
      </c>
      <c r="E951">
        <v>0</v>
      </c>
      <c r="F951">
        <v>91803</v>
      </c>
    </row>
    <row r="952" spans="1:6" x14ac:dyDescent="0.25">
      <c r="A952" t="s">
        <v>26</v>
      </c>
      <c r="B952" t="s">
        <v>1714</v>
      </c>
      <c r="C952">
        <v>31805</v>
      </c>
      <c r="D952">
        <v>0</v>
      </c>
      <c r="E952">
        <v>0</v>
      </c>
      <c r="F952">
        <v>0</v>
      </c>
    </row>
    <row r="953" spans="1:6" x14ac:dyDescent="0.25">
      <c r="B953" t="s">
        <v>1958</v>
      </c>
      <c r="D953">
        <v>284059</v>
      </c>
      <c r="E953">
        <v>0</v>
      </c>
      <c r="F953">
        <v>284059</v>
      </c>
    </row>
    <row r="954" spans="1:6" x14ac:dyDescent="0.25">
      <c r="B954" t="s">
        <v>1959</v>
      </c>
    </row>
    <row r="955" spans="1:6" x14ac:dyDescent="0.25">
      <c r="A955" t="s">
        <v>2</v>
      </c>
      <c r="B955" t="s">
        <v>1960</v>
      </c>
      <c r="C955">
        <v>31901</v>
      </c>
      <c r="D955">
        <v>0</v>
      </c>
      <c r="E955">
        <v>1172</v>
      </c>
      <c r="F955">
        <v>1172</v>
      </c>
    </row>
    <row r="956" spans="1:6" x14ac:dyDescent="0.25">
      <c r="A956" t="s">
        <v>15</v>
      </c>
      <c r="B956" t="s">
        <v>1961</v>
      </c>
      <c r="C956">
        <v>31902</v>
      </c>
      <c r="D956">
        <v>0</v>
      </c>
      <c r="E956">
        <v>0</v>
      </c>
      <c r="F956">
        <v>0</v>
      </c>
    </row>
    <row r="957" spans="1:6" x14ac:dyDescent="0.25">
      <c r="A957" t="s">
        <v>16</v>
      </c>
      <c r="B957" t="s">
        <v>1962</v>
      </c>
      <c r="C957">
        <v>31903</v>
      </c>
      <c r="D957">
        <v>0</v>
      </c>
      <c r="E957">
        <v>0</v>
      </c>
      <c r="F957">
        <v>0</v>
      </c>
    </row>
    <row r="958" spans="1:6" x14ac:dyDescent="0.25">
      <c r="B958" t="s">
        <v>1963</v>
      </c>
      <c r="D958">
        <v>0</v>
      </c>
      <c r="E958">
        <v>1172</v>
      </c>
      <c r="F958">
        <v>1172</v>
      </c>
    </row>
    <row r="959" spans="1:6" x14ac:dyDescent="0.25">
      <c r="B959" t="s">
        <v>1653</v>
      </c>
      <c r="D959">
        <v>17545039</v>
      </c>
      <c r="E959">
        <v>4267475</v>
      </c>
      <c r="F959">
        <v>21812514</v>
      </c>
    </row>
    <row r="960" spans="1:6" x14ac:dyDescent="0.25">
      <c r="B960" t="s">
        <v>1964</v>
      </c>
    </row>
    <row r="961" spans="1:6" x14ac:dyDescent="0.25">
      <c r="B961" t="s">
        <v>1672</v>
      </c>
    </row>
    <row r="962" spans="1:6" x14ac:dyDescent="0.25">
      <c r="A962" t="s">
        <v>2</v>
      </c>
      <c r="B962" t="s">
        <v>1673</v>
      </c>
      <c r="C962">
        <v>32101</v>
      </c>
      <c r="D962">
        <v>0</v>
      </c>
      <c r="E962">
        <v>0</v>
      </c>
      <c r="F962">
        <v>0</v>
      </c>
    </row>
    <row r="963" spans="1:6" x14ac:dyDescent="0.25">
      <c r="A963" t="s">
        <v>15</v>
      </c>
      <c r="B963" t="s">
        <v>1674</v>
      </c>
      <c r="C963">
        <v>32102</v>
      </c>
      <c r="D963">
        <v>0</v>
      </c>
      <c r="E963">
        <v>0</v>
      </c>
      <c r="F963">
        <v>0</v>
      </c>
    </row>
    <row r="964" spans="1:6" x14ac:dyDescent="0.25">
      <c r="A964" t="s">
        <v>16</v>
      </c>
      <c r="B964" t="s">
        <v>1675</v>
      </c>
      <c r="C964">
        <v>32103</v>
      </c>
      <c r="D964">
        <v>0</v>
      </c>
      <c r="E964">
        <v>0</v>
      </c>
      <c r="F964">
        <v>0</v>
      </c>
    </row>
    <row r="965" spans="1:6" x14ac:dyDescent="0.25">
      <c r="A965" t="s">
        <v>25</v>
      </c>
      <c r="B965" t="s">
        <v>1676</v>
      </c>
      <c r="C965">
        <v>32104</v>
      </c>
      <c r="D965">
        <v>0</v>
      </c>
      <c r="E965">
        <v>0</v>
      </c>
      <c r="F965">
        <v>0</v>
      </c>
    </row>
    <row r="966" spans="1:6" x14ac:dyDescent="0.25">
      <c r="A966" t="s">
        <v>26</v>
      </c>
      <c r="B966" t="s">
        <v>1677</v>
      </c>
      <c r="C966">
        <v>32105</v>
      </c>
      <c r="D966">
        <v>0</v>
      </c>
      <c r="E966">
        <v>0</v>
      </c>
      <c r="F966">
        <v>0</v>
      </c>
    </row>
    <row r="967" spans="1:6" x14ac:dyDescent="0.25">
      <c r="B967" t="s">
        <v>1965</v>
      </c>
      <c r="D967">
        <v>0</v>
      </c>
      <c r="E967">
        <v>0</v>
      </c>
      <c r="F967">
        <v>0</v>
      </c>
    </row>
    <row r="968" spans="1:6" x14ac:dyDescent="0.25">
      <c r="B968" t="s">
        <v>1781</v>
      </c>
    </row>
    <row r="969" spans="1:6" x14ac:dyDescent="0.25">
      <c r="A969" t="s">
        <v>2</v>
      </c>
      <c r="B969" t="s">
        <v>1693</v>
      </c>
      <c r="C969">
        <v>32201</v>
      </c>
      <c r="D969">
        <v>0</v>
      </c>
      <c r="E969">
        <v>0</v>
      </c>
      <c r="F969">
        <v>0</v>
      </c>
    </row>
    <row r="970" spans="1:6" x14ac:dyDescent="0.25">
      <c r="A970" t="s">
        <v>15</v>
      </c>
      <c r="B970" t="s">
        <v>1694</v>
      </c>
      <c r="C970">
        <v>32202</v>
      </c>
      <c r="D970">
        <v>0</v>
      </c>
      <c r="E970">
        <v>0</v>
      </c>
      <c r="F970">
        <v>0</v>
      </c>
    </row>
    <row r="971" spans="1:6" x14ac:dyDescent="0.25">
      <c r="A971" t="s">
        <v>16</v>
      </c>
      <c r="B971" t="s">
        <v>1695</v>
      </c>
      <c r="C971">
        <v>32203</v>
      </c>
      <c r="D971">
        <v>0</v>
      </c>
      <c r="E971">
        <v>0</v>
      </c>
      <c r="F971">
        <v>0</v>
      </c>
    </row>
    <row r="972" spans="1:6" x14ac:dyDescent="0.25">
      <c r="A972" t="s">
        <v>25</v>
      </c>
      <c r="B972" t="s">
        <v>1696</v>
      </c>
      <c r="C972">
        <v>32204</v>
      </c>
      <c r="D972">
        <v>0</v>
      </c>
      <c r="E972">
        <v>0</v>
      </c>
      <c r="F972">
        <v>0</v>
      </c>
    </row>
    <row r="973" spans="1:6" x14ac:dyDescent="0.25">
      <c r="A973" t="s">
        <v>26</v>
      </c>
      <c r="B973" t="s">
        <v>1680</v>
      </c>
      <c r="C973">
        <v>32205</v>
      </c>
      <c r="D973">
        <v>0</v>
      </c>
      <c r="E973">
        <v>0</v>
      </c>
      <c r="F973">
        <v>0</v>
      </c>
    </row>
    <row r="974" spans="1:6" x14ac:dyDescent="0.25">
      <c r="A974" t="s">
        <v>27</v>
      </c>
      <c r="B974" t="s">
        <v>1681</v>
      </c>
      <c r="C974">
        <v>32206</v>
      </c>
      <c r="D974">
        <v>0</v>
      </c>
      <c r="E974">
        <v>0</v>
      </c>
      <c r="F974">
        <v>0</v>
      </c>
    </row>
    <row r="975" spans="1:6" x14ac:dyDescent="0.25">
      <c r="A975" t="s">
        <v>531</v>
      </c>
      <c r="B975" t="s">
        <v>1682</v>
      </c>
      <c r="C975">
        <v>32207</v>
      </c>
      <c r="D975">
        <v>0</v>
      </c>
      <c r="E975">
        <v>0</v>
      </c>
      <c r="F975">
        <v>0</v>
      </c>
    </row>
    <row r="976" spans="1:6" x14ac:dyDescent="0.25">
      <c r="A976" t="s">
        <v>1583</v>
      </c>
      <c r="B976" t="s">
        <v>1683</v>
      </c>
      <c r="C976">
        <v>32208</v>
      </c>
      <c r="D976">
        <v>0</v>
      </c>
      <c r="E976">
        <v>0</v>
      </c>
      <c r="F976">
        <v>0</v>
      </c>
    </row>
    <row r="977" spans="1:6" x14ac:dyDescent="0.25">
      <c r="A977" t="s">
        <v>1585</v>
      </c>
      <c r="B977" t="s">
        <v>1684</v>
      </c>
      <c r="C977">
        <v>32209</v>
      </c>
      <c r="D977">
        <v>0</v>
      </c>
      <c r="E977">
        <v>0</v>
      </c>
      <c r="F977">
        <v>0</v>
      </c>
    </row>
    <row r="978" spans="1:6" x14ac:dyDescent="0.25">
      <c r="A978" t="s">
        <v>1587</v>
      </c>
      <c r="B978" t="s">
        <v>1685</v>
      </c>
      <c r="C978">
        <v>32210</v>
      </c>
      <c r="D978">
        <v>0</v>
      </c>
      <c r="E978">
        <v>0</v>
      </c>
      <c r="F978">
        <v>0</v>
      </c>
    </row>
    <row r="979" spans="1:6" x14ac:dyDescent="0.25">
      <c r="A979" t="s">
        <v>1589</v>
      </c>
      <c r="B979" t="s">
        <v>1686</v>
      </c>
      <c r="C979">
        <v>32211</v>
      </c>
      <c r="D979">
        <v>0</v>
      </c>
      <c r="E979">
        <v>0</v>
      </c>
      <c r="F979">
        <v>0</v>
      </c>
    </row>
    <row r="980" spans="1:6" x14ac:dyDescent="0.25">
      <c r="A980" t="s">
        <v>1591</v>
      </c>
      <c r="B980" t="s">
        <v>1687</v>
      </c>
      <c r="C980">
        <v>32212</v>
      </c>
      <c r="D980">
        <v>0</v>
      </c>
      <c r="E980">
        <v>0</v>
      </c>
      <c r="F980">
        <v>0</v>
      </c>
    </row>
    <row r="981" spans="1:6" x14ac:dyDescent="0.25">
      <c r="A981" t="s">
        <v>1593</v>
      </c>
      <c r="B981" t="s">
        <v>1688</v>
      </c>
      <c r="C981">
        <v>32213</v>
      </c>
      <c r="D981">
        <v>0</v>
      </c>
      <c r="E981">
        <v>0</v>
      </c>
      <c r="F981">
        <v>0</v>
      </c>
    </row>
    <row r="982" spans="1:6" x14ac:dyDescent="0.25">
      <c r="A982" t="s">
        <v>1595</v>
      </c>
      <c r="B982" t="s">
        <v>1690</v>
      </c>
      <c r="C982">
        <v>32214</v>
      </c>
      <c r="D982">
        <v>0</v>
      </c>
      <c r="E982">
        <v>0</v>
      </c>
      <c r="F982">
        <v>0</v>
      </c>
    </row>
    <row r="983" spans="1:6" x14ac:dyDescent="0.25">
      <c r="A983" t="s">
        <v>1597</v>
      </c>
      <c r="B983" t="s">
        <v>1637</v>
      </c>
      <c r="C983">
        <v>32215</v>
      </c>
      <c r="D983">
        <v>0</v>
      </c>
      <c r="E983">
        <v>0</v>
      </c>
      <c r="F983">
        <v>0</v>
      </c>
    </row>
    <row r="984" spans="1:6" x14ac:dyDescent="0.25">
      <c r="A984" t="s">
        <v>1599</v>
      </c>
      <c r="B984" t="s">
        <v>1640</v>
      </c>
      <c r="C984">
        <v>32216</v>
      </c>
      <c r="D984">
        <v>0</v>
      </c>
      <c r="E984">
        <v>0</v>
      </c>
      <c r="F984">
        <v>0</v>
      </c>
    </row>
    <row r="985" spans="1:6" x14ac:dyDescent="0.25">
      <c r="A985" t="s">
        <v>1601</v>
      </c>
      <c r="B985" t="s">
        <v>1636</v>
      </c>
      <c r="C985">
        <v>32217</v>
      </c>
      <c r="D985">
        <v>0</v>
      </c>
      <c r="E985">
        <v>0</v>
      </c>
      <c r="F985">
        <v>0</v>
      </c>
    </row>
    <row r="986" spans="1:6" x14ac:dyDescent="0.25">
      <c r="A986" t="s">
        <v>1603</v>
      </c>
      <c r="B986" t="s">
        <v>1689</v>
      </c>
      <c r="C986">
        <v>32218</v>
      </c>
      <c r="D986">
        <v>0</v>
      </c>
      <c r="E986">
        <v>0</v>
      </c>
      <c r="F986">
        <v>0</v>
      </c>
    </row>
    <row r="987" spans="1:6" x14ac:dyDescent="0.25">
      <c r="B987" t="s">
        <v>1966</v>
      </c>
      <c r="D987">
        <v>0</v>
      </c>
      <c r="E987">
        <v>0</v>
      </c>
      <c r="F987">
        <v>0</v>
      </c>
    </row>
    <row r="988" spans="1:6" x14ac:dyDescent="0.25">
      <c r="B988" t="s">
        <v>1783</v>
      </c>
    </row>
    <row r="989" spans="1:6" x14ac:dyDescent="0.25">
      <c r="A989" t="s">
        <v>2</v>
      </c>
      <c r="B989" t="s">
        <v>1699</v>
      </c>
      <c r="C989">
        <v>32301</v>
      </c>
      <c r="D989">
        <v>0</v>
      </c>
      <c r="E989">
        <v>0</v>
      </c>
      <c r="F989">
        <v>0</v>
      </c>
    </row>
    <row r="990" spans="1:6" x14ac:dyDescent="0.25">
      <c r="A990" t="s">
        <v>15</v>
      </c>
      <c r="B990" t="s">
        <v>1694</v>
      </c>
      <c r="C990">
        <v>32302</v>
      </c>
      <c r="D990">
        <v>0</v>
      </c>
      <c r="E990">
        <v>0</v>
      </c>
      <c r="F990">
        <v>0</v>
      </c>
    </row>
    <row r="991" spans="1:6" x14ac:dyDescent="0.25">
      <c r="A991" t="s">
        <v>16</v>
      </c>
      <c r="B991" t="s">
        <v>1695</v>
      </c>
      <c r="C991">
        <v>32303</v>
      </c>
      <c r="D991">
        <v>0</v>
      </c>
      <c r="E991">
        <v>0</v>
      </c>
      <c r="F991">
        <v>0</v>
      </c>
    </row>
    <row r="992" spans="1:6" x14ac:dyDescent="0.25">
      <c r="A992" t="s">
        <v>25</v>
      </c>
      <c r="B992" t="s">
        <v>1696</v>
      </c>
      <c r="C992">
        <v>32304</v>
      </c>
      <c r="D992">
        <v>0</v>
      </c>
      <c r="E992">
        <v>0</v>
      </c>
      <c r="F992">
        <v>0</v>
      </c>
    </row>
    <row r="993" spans="1:6" x14ac:dyDescent="0.25">
      <c r="A993" t="s">
        <v>26</v>
      </c>
      <c r="B993" t="s">
        <v>1680</v>
      </c>
      <c r="C993">
        <v>32305</v>
      </c>
      <c r="D993">
        <v>0</v>
      </c>
      <c r="E993">
        <v>0</v>
      </c>
      <c r="F993">
        <v>0</v>
      </c>
    </row>
    <row r="994" spans="1:6" x14ac:dyDescent="0.25">
      <c r="A994" t="s">
        <v>27</v>
      </c>
      <c r="B994" t="s">
        <v>1681</v>
      </c>
      <c r="C994">
        <v>32306</v>
      </c>
      <c r="D994">
        <v>0</v>
      </c>
      <c r="E994">
        <v>0</v>
      </c>
      <c r="F994">
        <v>0</v>
      </c>
    </row>
    <row r="995" spans="1:6" x14ac:dyDescent="0.25">
      <c r="A995" t="s">
        <v>531</v>
      </c>
      <c r="B995" t="s">
        <v>1682</v>
      </c>
      <c r="C995">
        <v>32307</v>
      </c>
      <c r="D995">
        <v>0</v>
      </c>
      <c r="E995">
        <v>0</v>
      </c>
      <c r="F995">
        <v>0</v>
      </c>
    </row>
    <row r="996" spans="1:6" x14ac:dyDescent="0.25">
      <c r="A996" t="s">
        <v>1583</v>
      </c>
      <c r="B996" t="s">
        <v>1683</v>
      </c>
      <c r="C996">
        <v>32308</v>
      </c>
      <c r="D996">
        <v>0</v>
      </c>
      <c r="E996">
        <v>0</v>
      </c>
      <c r="F996">
        <v>0</v>
      </c>
    </row>
    <row r="997" spans="1:6" x14ac:dyDescent="0.25">
      <c r="A997" t="s">
        <v>1585</v>
      </c>
      <c r="B997" t="s">
        <v>1684</v>
      </c>
      <c r="C997">
        <v>32309</v>
      </c>
      <c r="D997">
        <v>0</v>
      </c>
      <c r="E997">
        <v>0</v>
      </c>
      <c r="F997">
        <v>0</v>
      </c>
    </row>
    <row r="998" spans="1:6" x14ac:dyDescent="0.25">
      <c r="A998" t="s">
        <v>1587</v>
      </c>
      <c r="B998" t="s">
        <v>1685</v>
      </c>
      <c r="C998">
        <v>32310</v>
      </c>
      <c r="D998">
        <v>0</v>
      </c>
      <c r="E998">
        <v>0</v>
      </c>
      <c r="F998">
        <v>0</v>
      </c>
    </row>
    <row r="999" spans="1:6" x14ac:dyDescent="0.25">
      <c r="A999" t="s">
        <v>1589</v>
      </c>
      <c r="B999" t="s">
        <v>1686</v>
      </c>
      <c r="C999">
        <v>32311</v>
      </c>
      <c r="D999">
        <v>63</v>
      </c>
      <c r="E999">
        <v>0</v>
      </c>
      <c r="F999">
        <v>63</v>
      </c>
    </row>
    <row r="1000" spans="1:6" x14ac:dyDescent="0.25">
      <c r="A1000" t="s">
        <v>1591</v>
      </c>
      <c r="B1000" t="s">
        <v>1687</v>
      </c>
      <c r="C1000">
        <v>32312</v>
      </c>
      <c r="D1000">
        <v>0</v>
      </c>
      <c r="E1000">
        <v>0</v>
      </c>
      <c r="F1000">
        <v>0</v>
      </c>
    </row>
    <row r="1001" spans="1:6" x14ac:dyDescent="0.25">
      <c r="A1001" t="s">
        <v>1593</v>
      </c>
      <c r="B1001" t="s">
        <v>1688</v>
      </c>
      <c r="C1001">
        <v>32313</v>
      </c>
      <c r="D1001">
        <v>0</v>
      </c>
      <c r="E1001">
        <v>0</v>
      </c>
      <c r="F1001">
        <v>0</v>
      </c>
    </row>
    <row r="1002" spans="1:6" x14ac:dyDescent="0.25">
      <c r="A1002" t="s">
        <v>1595</v>
      </c>
      <c r="B1002" t="s">
        <v>1690</v>
      </c>
      <c r="C1002">
        <v>32314</v>
      </c>
      <c r="D1002">
        <v>0</v>
      </c>
      <c r="E1002">
        <v>0</v>
      </c>
      <c r="F1002">
        <v>0</v>
      </c>
    </row>
    <row r="1003" spans="1:6" x14ac:dyDescent="0.25">
      <c r="A1003" t="s">
        <v>1597</v>
      </c>
      <c r="B1003" t="s">
        <v>1637</v>
      </c>
      <c r="C1003">
        <v>32315</v>
      </c>
      <c r="D1003">
        <v>6677</v>
      </c>
      <c r="E1003">
        <v>0</v>
      </c>
      <c r="F1003">
        <v>6677</v>
      </c>
    </row>
    <row r="1004" spans="1:6" x14ac:dyDescent="0.25">
      <c r="A1004" t="s">
        <v>1599</v>
      </c>
      <c r="B1004" t="s">
        <v>1640</v>
      </c>
      <c r="C1004">
        <v>32316</v>
      </c>
      <c r="D1004">
        <v>0</v>
      </c>
      <c r="E1004">
        <v>0</v>
      </c>
      <c r="F1004">
        <v>0</v>
      </c>
    </row>
    <row r="1005" spans="1:6" x14ac:dyDescent="0.25">
      <c r="A1005" t="s">
        <v>1601</v>
      </c>
      <c r="B1005" t="s">
        <v>1636</v>
      </c>
      <c r="C1005">
        <v>32317</v>
      </c>
      <c r="D1005">
        <v>0</v>
      </c>
      <c r="E1005">
        <v>0</v>
      </c>
      <c r="F1005">
        <v>0</v>
      </c>
    </row>
    <row r="1006" spans="1:6" x14ac:dyDescent="0.25">
      <c r="A1006" t="s">
        <v>1603</v>
      </c>
      <c r="B1006" t="s">
        <v>1689</v>
      </c>
      <c r="C1006">
        <v>32318</v>
      </c>
      <c r="D1006">
        <v>0</v>
      </c>
      <c r="E1006">
        <v>0</v>
      </c>
      <c r="F1006">
        <v>0</v>
      </c>
    </row>
    <row r="1007" spans="1:6" x14ac:dyDescent="0.25">
      <c r="B1007" t="s">
        <v>1967</v>
      </c>
      <c r="D1007">
        <v>6740</v>
      </c>
      <c r="E1007">
        <v>0</v>
      </c>
      <c r="F1007">
        <v>6740</v>
      </c>
    </row>
    <row r="1008" spans="1:6" x14ac:dyDescent="0.25">
      <c r="B1008" t="s">
        <v>1785</v>
      </c>
    </row>
    <row r="1009" spans="1:6" x14ac:dyDescent="0.25">
      <c r="A1009" t="s">
        <v>2</v>
      </c>
      <c r="B1009" t="s">
        <v>1702</v>
      </c>
      <c r="C1009">
        <v>32401</v>
      </c>
      <c r="D1009">
        <v>0</v>
      </c>
      <c r="E1009">
        <v>0</v>
      </c>
      <c r="F1009">
        <v>0</v>
      </c>
    </row>
    <row r="1010" spans="1:6" x14ac:dyDescent="0.25">
      <c r="A1010" t="s">
        <v>15</v>
      </c>
      <c r="B1010" t="s">
        <v>1703</v>
      </c>
      <c r="C1010">
        <v>32402</v>
      </c>
      <c r="D1010">
        <v>0</v>
      </c>
      <c r="E1010">
        <v>0</v>
      </c>
      <c r="F1010">
        <v>0</v>
      </c>
    </row>
    <row r="1011" spans="1:6" x14ac:dyDescent="0.25">
      <c r="B1011" t="s">
        <v>1968</v>
      </c>
      <c r="D1011">
        <v>0</v>
      </c>
      <c r="E1011">
        <v>0</v>
      </c>
      <c r="F1011">
        <v>0</v>
      </c>
    </row>
    <row r="1012" spans="1:6" x14ac:dyDescent="0.25">
      <c r="B1012" t="s">
        <v>1787</v>
      </c>
    </row>
    <row r="1013" spans="1:6" x14ac:dyDescent="0.25">
      <c r="A1013" t="s">
        <v>2</v>
      </c>
      <c r="B1013" t="s">
        <v>1702</v>
      </c>
      <c r="C1013">
        <v>32501</v>
      </c>
      <c r="D1013">
        <v>0</v>
      </c>
      <c r="E1013">
        <v>0</v>
      </c>
      <c r="F1013">
        <v>0</v>
      </c>
    </row>
    <row r="1014" spans="1:6" x14ac:dyDescent="0.25">
      <c r="A1014" t="s">
        <v>15</v>
      </c>
      <c r="B1014" t="s">
        <v>1703</v>
      </c>
      <c r="C1014">
        <v>32502</v>
      </c>
      <c r="D1014">
        <v>0</v>
      </c>
      <c r="E1014">
        <v>0</v>
      </c>
      <c r="F1014">
        <v>0</v>
      </c>
    </row>
    <row r="1015" spans="1:6" x14ac:dyDescent="0.25">
      <c r="B1015" t="s">
        <v>1969</v>
      </c>
      <c r="D1015">
        <v>0</v>
      </c>
      <c r="E1015">
        <v>0</v>
      </c>
      <c r="F1015">
        <v>0</v>
      </c>
    </row>
    <row r="1016" spans="1:6" x14ac:dyDescent="0.25">
      <c r="B1016" t="s">
        <v>1789</v>
      </c>
    </row>
    <row r="1017" spans="1:6" x14ac:dyDescent="0.25">
      <c r="A1017" t="s">
        <v>2</v>
      </c>
      <c r="B1017" t="s">
        <v>1710</v>
      </c>
      <c r="C1017">
        <v>32601</v>
      </c>
      <c r="D1017">
        <v>0</v>
      </c>
      <c r="E1017">
        <v>0</v>
      </c>
      <c r="F1017">
        <v>0</v>
      </c>
    </row>
    <row r="1018" spans="1:6" x14ac:dyDescent="0.25">
      <c r="A1018" t="s">
        <v>15</v>
      </c>
      <c r="B1018" t="s">
        <v>1711</v>
      </c>
      <c r="C1018">
        <v>32602</v>
      </c>
      <c r="D1018">
        <v>0</v>
      </c>
      <c r="E1018">
        <v>0</v>
      </c>
      <c r="F1018">
        <v>0</v>
      </c>
    </row>
    <row r="1019" spans="1:6" x14ac:dyDescent="0.25">
      <c r="A1019" t="s">
        <v>16</v>
      </c>
      <c r="B1019" t="s">
        <v>1712</v>
      </c>
      <c r="C1019">
        <v>32603</v>
      </c>
      <c r="D1019">
        <v>0</v>
      </c>
      <c r="E1019">
        <v>0</v>
      </c>
      <c r="F1019">
        <v>0</v>
      </c>
    </row>
    <row r="1020" spans="1:6" x14ac:dyDescent="0.25">
      <c r="A1020" t="s">
        <v>25</v>
      </c>
      <c r="B1020" t="s">
        <v>1713</v>
      </c>
      <c r="C1020">
        <v>32604</v>
      </c>
      <c r="D1020">
        <v>0</v>
      </c>
      <c r="E1020">
        <v>0</v>
      </c>
      <c r="F1020">
        <v>0</v>
      </c>
    </row>
    <row r="1021" spans="1:6" x14ac:dyDescent="0.25">
      <c r="A1021" t="s">
        <v>26</v>
      </c>
      <c r="B1021" t="s">
        <v>1714</v>
      </c>
      <c r="C1021">
        <v>32605</v>
      </c>
      <c r="D1021">
        <v>0</v>
      </c>
      <c r="E1021">
        <v>0</v>
      </c>
      <c r="F1021">
        <v>0</v>
      </c>
    </row>
    <row r="1022" spans="1:6" x14ac:dyDescent="0.25">
      <c r="B1022" t="s">
        <v>1970</v>
      </c>
      <c r="D1022">
        <v>0</v>
      </c>
      <c r="E1022">
        <v>0</v>
      </c>
      <c r="F1022">
        <v>0</v>
      </c>
    </row>
    <row r="1023" spans="1:6" x14ac:dyDescent="0.25">
      <c r="B1023" t="s">
        <v>1660</v>
      </c>
      <c r="D1023">
        <v>6740</v>
      </c>
      <c r="E1023">
        <v>0</v>
      </c>
      <c r="F1023">
        <v>6740</v>
      </c>
    </row>
    <row r="1024" spans="1:6" x14ac:dyDescent="0.25">
      <c r="B1024" t="s">
        <v>1971</v>
      </c>
    </row>
    <row r="1025" spans="1:6" x14ac:dyDescent="0.25">
      <c r="B1025" t="s">
        <v>1575</v>
      </c>
    </row>
    <row r="1026" spans="1:6" x14ac:dyDescent="0.25">
      <c r="A1026" t="s">
        <v>2</v>
      </c>
      <c r="B1026" t="s">
        <v>1576</v>
      </c>
      <c r="C1026">
        <v>33101</v>
      </c>
      <c r="D1026">
        <v>0</v>
      </c>
      <c r="E1026">
        <v>0</v>
      </c>
      <c r="F1026">
        <v>0</v>
      </c>
    </row>
    <row r="1027" spans="1:6" x14ac:dyDescent="0.25">
      <c r="A1027" t="s">
        <v>15</v>
      </c>
      <c r="B1027" t="s">
        <v>1577</v>
      </c>
      <c r="C1027">
        <v>33102</v>
      </c>
      <c r="D1027">
        <v>0</v>
      </c>
      <c r="E1027">
        <v>0</v>
      </c>
      <c r="F1027">
        <v>0</v>
      </c>
    </row>
    <row r="1028" spans="1:6" x14ac:dyDescent="0.25">
      <c r="A1028" t="s">
        <v>16</v>
      </c>
      <c r="B1028" t="s">
        <v>1578</v>
      </c>
      <c r="C1028">
        <v>33103</v>
      </c>
      <c r="D1028">
        <v>0</v>
      </c>
      <c r="E1028">
        <v>0</v>
      </c>
      <c r="F1028">
        <v>0</v>
      </c>
    </row>
    <row r="1029" spans="1:6" x14ac:dyDescent="0.25">
      <c r="A1029" t="s">
        <v>25</v>
      </c>
      <c r="B1029" t="s">
        <v>1579</v>
      </c>
      <c r="C1029">
        <v>33104</v>
      </c>
      <c r="D1029">
        <v>0</v>
      </c>
      <c r="E1029">
        <v>0</v>
      </c>
      <c r="F1029">
        <v>0</v>
      </c>
    </row>
    <row r="1030" spans="1:6" x14ac:dyDescent="0.25">
      <c r="A1030" t="s">
        <v>26</v>
      </c>
      <c r="B1030" t="s">
        <v>1580</v>
      </c>
      <c r="C1030">
        <v>33105</v>
      </c>
      <c r="D1030">
        <v>0</v>
      </c>
      <c r="E1030">
        <v>0</v>
      </c>
      <c r="F1030">
        <v>0</v>
      </c>
    </row>
    <row r="1031" spans="1:6" x14ac:dyDescent="0.25">
      <c r="A1031" t="s">
        <v>27</v>
      </c>
      <c r="B1031" t="s">
        <v>1581</v>
      </c>
      <c r="C1031">
        <v>33106</v>
      </c>
      <c r="D1031">
        <v>0</v>
      </c>
      <c r="E1031">
        <v>0</v>
      </c>
      <c r="F1031">
        <v>0</v>
      </c>
    </row>
    <row r="1032" spans="1:6" x14ac:dyDescent="0.25">
      <c r="A1032" t="s">
        <v>531</v>
      </c>
      <c r="B1032" t="s">
        <v>1582</v>
      </c>
      <c r="C1032">
        <v>33107</v>
      </c>
      <c r="D1032">
        <v>0</v>
      </c>
      <c r="E1032">
        <v>0</v>
      </c>
      <c r="F1032">
        <v>0</v>
      </c>
    </row>
    <row r="1033" spans="1:6" x14ac:dyDescent="0.25">
      <c r="A1033" t="s">
        <v>1583</v>
      </c>
      <c r="B1033" t="s">
        <v>1584</v>
      </c>
      <c r="C1033">
        <v>33108</v>
      </c>
      <c r="D1033">
        <v>0</v>
      </c>
      <c r="E1033">
        <v>0</v>
      </c>
      <c r="F1033">
        <v>0</v>
      </c>
    </row>
    <row r="1034" spans="1:6" x14ac:dyDescent="0.25">
      <c r="A1034" t="s">
        <v>1585</v>
      </c>
      <c r="B1034" t="s">
        <v>1586</v>
      </c>
      <c r="C1034">
        <v>33109</v>
      </c>
      <c r="D1034">
        <v>0</v>
      </c>
      <c r="E1034">
        <v>0</v>
      </c>
      <c r="F1034">
        <v>0</v>
      </c>
    </row>
    <row r="1035" spans="1:6" x14ac:dyDescent="0.25">
      <c r="A1035" t="s">
        <v>1587</v>
      </c>
      <c r="B1035" t="s">
        <v>1588</v>
      </c>
      <c r="C1035">
        <v>33110</v>
      </c>
      <c r="D1035">
        <v>0</v>
      </c>
      <c r="E1035">
        <v>0</v>
      </c>
      <c r="F1035">
        <v>0</v>
      </c>
    </row>
    <row r="1036" spans="1:6" x14ac:dyDescent="0.25">
      <c r="A1036" t="s">
        <v>1589</v>
      </c>
      <c r="B1036" t="s">
        <v>1590</v>
      </c>
      <c r="C1036">
        <v>33111</v>
      </c>
      <c r="D1036">
        <v>0</v>
      </c>
      <c r="E1036">
        <v>0</v>
      </c>
      <c r="F1036">
        <v>0</v>
      </c>
    </row>
    <row r="1037" spans="1:6" x14ac:dyDescent="0.25">
      <c r="A1037" t="s">
        <v>1591</v>
      </c>
      <c r="B1037" t="s">
        <v>1592</v>
      </c>
      <c r="C1037">
        <v>33112</v>
      </c>
      <c r="D1037">
        <v>0</v>
      </c>
      <c r="E1037">
        <v>0</v>
      </c>
      <c r="F1037">
        <v>0</v>
      </c>
    </row>
    <row r="1038" spans="1:6" x14ac:dyDescent="0.25">
      <c r="A1038" t="s">
        <v>1593</v>
      </c>
      <c r="B1038" t="s">
        <v>1594</v>
      </c>
      <c r="C1038">
        <v>33113</v>
      </c>
      <c r="D1038">
        <v>0</v>
      </c>
      <c r="E1038">
        <v>0</v>
      </c>
      <c r="F1038">
        <v>0</v>
      </c>
    </row>
    <row r="1039" spans="1:6" x14ac:dyDescent="0.25">
      <c r="A1039" t="s">
        <v>1595</v>
      </c>
      <c r="B1039" t="s">
        <v>1596</v>
      </c>
      <c r="C1039">
        <v>33114</v>
      </c>
      <c r="D1039">
        <v>0</v>
      </c>
      <c r="E1039">
        <v>0</v>
      </c>
      <c r="F1039">
        <v>0</v>
      </c>
    </row>
    <row r="1040" spans="1:6" x14ac:dyDescent="0.25">
      <c r="A1040" t="s">
        <v>1597</v>
      </c>
      <c r="B1040" t="s">
        <v>1598</v>
      </c>
      <c r="C1040">
        <v>33115</v>
      </c>
      <c r="D1040">
        <v>1584</v>
      </c>
      <c r="E1040">
        <v>0</v>
      </c>
      <c r="F1040">
        <v>1584</v>
      </c>
    </row>
    <row r="1041" spans="1:6" x14ac:dyDescent="0.25">
      <c r="A1041" t="s">
        <v>1599</v>
      </c>
      <c r="B1041" t="s">
        <v>1600</v>
      </c>
      <c r="C1041">
        <v>33116</v>
      </c>
      <c r="D1041">
        <v>0</v>
      </c>
      <c r="E1041">
        <v>0</v>
      </c>
      <c r="F1041">
        <v>0</v>
      </c>
    </row>
    <row r="1042" spans="1:6" x14ac:dyDescent="0.25">
      <c r="A1042" t="s">
        <v>1601</v>
      </c>
      <c r="B1042" t="s">
        <v>1602</v>
      </c>
      <c r="C1042">
        <v>33117</v>
      </c>
      <c r="D1042">
        <v>0</v>
      </c>
      <c r="E1042">
        <v>0</v>
      </c>
      <c r="F1042">
        <v>0</v>
      </c>
    </row>
    <row r="1043" spans="1:6" x14ac:dyDescent="0.25">
      <c r="A1043" t="s">
        <v>1603</v>
      </c>
      <c r="B1043" t="s">
        <v>1604</v>
      </c>
      <c r="C1043">
        <v>33118</v>
      </c>
      <c r="D1043">
        <v>0</v>
      </c>
      <c r="E1043">
        <v>0</v>
      </c>
      <c r="F1043">
        <v>0</v>
      </c>
    </row>
    <row r="1044" spans="1:6" x14ac:dyDescent="0.25">
      <c r="A1044" t="s">
        <v>1605</v>
      </c>
      <c r="B1044" t="s">
        <v>1606</v>
      </c>
      <c r="C1044">
        <v>33119</v>
      </c>
      <c r="D1044">
        <v>0</v>
      </c>
      <c r="E1044">
        <v>0</v>
      </c>
      <c r="F1044">
        <v>0</v>
      </c>
    </row>
    <row r="1045" spans="1:6" x14ac:dyDescent="0.25">
      <c r="A1045" t="s">
        <v>1607</v>
      </c>
      <c r="B1045" t="s">
        <v>1608</v>
      </c>
      <c r="C1045">
        <v>33120</v>
      </c>
      <c r="D1045">
        <v>0</v>
      </c>
      <c r="E1045">
        <v>0</v>
      </c>
      <c r="F1045">
        <v>0</v>
      </c>
    </row>
    <row r="1046" spans="1:6" x14ac:dyDescent="0.25">
      <c r="B1046" t="s">
        <v>1972</v>
      </c>
      <c r="D1046">
        <v>1584</v>
      </c>
      <c r="E1046">
        <v>0</v>
      </c>
      <c r="F1046">
        <v>1584</v>
      </c>
    </row>
    <row r="1047" spans="1:6" x14ac:dyDescent="0.25">
      <c r="B1047" t="s">
        <v>1656</v>
      </c>
    </row>
    <row r="1048" spans="1:6" x14ac:dyDescent="0.25">
      <c r="A1048" t="s">
        <v>2</v>
      </c>
      <c r="B1048" t="s">
        <v>1611</v>
      </c>
      <c r="C1048">
        <v>33201</v>
      </c>
      <c r="D1048">
        <v>0</v>
      </c>
      <c r="E1048">
        <v>0</v>
      </c>
      <c r="F1048">
        <v>0</v>
      </c>
    </row>
    <row r="1049" spans="1:6" x14ac:dyDescent="0.25">
      <c r="A1049" t="s">
        <v>15</v>
      </c>
      <c r="B1049" t="s">
        <v>1973</v>
      </c>
      <c r="C1049">
        <v>33202</v>
      </c>
      <c r="D1049">
        <v>0</v>
      </c>
      <c r="E1049">
        <v>0</v>
      </c>
      <c r="F1049">
        <v>0</v>
      </c>
    </row>
    <row r="1050" spans="1:6" x14ac:dyDescent="0.25">
      <c r="A1050" t="s">
        <v>16</v>
      </c>
      <c r="B1050" t="s">
        <v>1613</v>
      </c>
      <c r="C1050">
        <v>33203</v>
      </c>
      <c r="D1050">
        <v>0</v>
      </c>
      <c r="E1050">
        <v>0</v>
      </c>
      <c r="F1050">
        <v>0</v>
      </c>
    </row>
    <row r="1051" spans="1:6" x14ac:dyDescent="0.25">
      <c r="A1051" t="s">
        <v>25</v>
      </c>
      <c r="B1051" t="s">
        <v>1614</v>
      </c>
      <c r="C1051">
        <v>33204</v>
      </c>
      <c r="D1051">
        <v>0</v>
      </c>
      <c r="E1051">
        <v>0</v>
      </c>
      <c r="F1051">
        <v>0</v>
      </c>
    </row>
    <row r="1052" spans="1:6" x14ac:dyDescent="0.25">
      <c r="A1052" t="s">
        <v>26</v>
      </c>
      <c r="B1052" t="s">
        <v>1615</v>
      </c>
      <c r="C1052">
        <v>33205</v>
      </c>
      <c r="D1052">
        <v>0</v>
      </c>
      <c r="E1052">
        <v>0</v>
      </c>
      <c r="F1052">
        <v>0</v>
      </c>
    </row>
    <row r="1053" spans="1:6" x14ac:dyDescent="0.25">
      <c r="A1053" t="s">
        <v>27</v>
      </c>
      <c r="B1053" t="s">
        <v>1616</v>
      </c>
      <c r="C1053">
        <v>33206</v>
      </c>
      <c r="D1053">
        <v>0</v>
      </c>
      <c r="E1053">
        <v>0</v>
      </c>
      <c r="F1053">
        <v>0</v>
      </c>
    </row>
    <row r="1054" spans="1:6" x14ac:dyDescent="0.25">
      <c r="A1054" t="s">
        <v>531</v>
      </c>
      <c r="B1054" t="s">
        <v>1617</v>
      </c>
      <c r="C1054">
        <v>33207</v>
      </c>
      <c r="D1054">
        <v>0</v>
      </c>
      <c r="E1054">
        <v>0</v>
      </c>
      <c r="F1054">
        <v>0</v>
      </c>
    </row>
    <row r="1055" spans="1:6" x14ac:dyDescent="0.25">
      <c r="A1055" t="s">
        <v>1583</v>
      </c>
      <c r="B1055" t="s">
        <v>1618</v>
      </c>
      <c r="C1055">
        <v>33208</v>
      </c>
      <c r="D1055">
        <v>0</v>
      </c>
      <c r="E1055">
        <v>0</v>
      </c>
      <c r="F1055">
        <v>0</v>
      </c>
    </row>
    <row r="1056" spans="1:6" x14ac:dyDescent="0.25">
      <c r="A1056" t="s">
        <v>1585</v>
      </c>
      <c r="B1056" t="s">
        <v>1619</v>
      </c>
      <c r="C1056">
        <v>33209</v>
      </c>
      <c r="D1056">
        <v>0</v>
      </c>
      <c r="E1056">
        <v>0</v>
      </c>
      <c r="F1056">
        <v>0</v>
      </c>
    </row>
    <row r="1057" spans="1:6" x14ac:dyDescent="0.25">
      <c r="A1057" t="s">
        <v>1587</v>
      </c>
      <c r="B1057" t="s">
        <v>1620</v>
      </c>
      <c r="C1057">
        <v>33210</v>
      </c>
      <c r="D1057">
        <v>0</v>
      </c>
      <c r="E1057">
        <v>0</v>
      </c>
      <c r="F1057">
        <v>0</v>
      </c>
    </row>
    <row r="1058" spans="1:6" x14ac:dyDescent="0.25">
      <c r="A1058" t="s">
        <v>1589</v>
      </c>
      <c r="B1058" t="s">
        <v>1621</v>
      </c>
      <c r="C1058">
        <v>33211</v>
      </c>
      <c r="D1058">
        <v>195</v>
      </c>
      <c r="E1058">
        <v>0</v>
      </c>
      <c r="F1058">
        <v>195</v>
      </c>
    </row>
    <row r="1059" spans="1:6" x14ac:dyDescent="0.25">
      <c r="A1059" t="s">
        <v>1591</v>
      </c>
      <c r="B1059" t="s">
        <v>1622</v>
      </c>
      <c r="C1059">
        <v>33212</v>
      </c>
      <c r="D1059">
        <v>0</v>
      </c>
      <c r="E1059">
        <v>0</v>
      </c>
      <c r="F1059">
        <v>0</v>
      </c>
    </row>
    <row r="1060" spans="1:6" x14ac:dyDescent="0.25">
      <c r="A1060" t="s">
        <v>1593</v>
      </c>
      <c r="B1060" t="s">
        <v>1623</v>
      </c>
      <c r="C1060">
        <v>33213</v>
      </c>
      <c r="D1060">
        <v>0</v>
      </c>
      <c r="E1060">
        <v>0</v>
      </c>
      <c r="F1060">
        <v>0</v>
      </c>
    </row>
    <row r="1061" spans="1:6" x14ac:dyDescent="0.25">
      <c r="A1061" t="s">
        <v>1595</v>
      </c>
      <c r="B1061" t="s">
        <v>1624</v>
      </c>
      <c r="C1061">
        <v>33214</v>
      </c>
      <c r="D1061">
        <v>0</v>
      </c>
      <c r="E1061">
        <v>0</v>
      </c>
      <c r="F1061">
        <v>0</v>
      </c>
    </row>
    <row r="1062" spans="1:6" x14ac:dyDescent="0.25">
      <c r="A1062" t="s">
        <v>1597</v>
      </c>
      <c r="B1062" t="s">
        <v>1625</v>
      </c>
      <c r="C1062">
        <v>33215</v>
      </c>
      <c r="D1062">
        <v>15132</v>
      </c>
      <c r="E1062">
        <v>0</v>
      </c>
      <c r="F1062">
        <v>15132</v>
      </c>
    </row>
    <row r="1063" spans="1:6" x14ac:dyDescent="0.25">
      <c r="A1063" t="s">
        <v>1599</v>
      </c>
      <c r="B1063" t="s">
        <v>1626</v>
      </c>
      <c r="C1063">
        <v>33216</v>
      </c>
      <c r="D1063">
        <v>0</v>
      </c>
      <c r="E1063">
        <v>0</v>
      </c>
      <c r="F1063">
        <v>0</v>
      </c>
    </row>
    <row r="1064" spans="1:6" x14ac:dyDescent="0.25">
      <c r="A1064" t="s">
        <v>1601</v>
      </c>
      <c r="B1064" t="s">
        <v>1627</v>
      </c>
      <c r="C1064">
        <v>33217</v>
      </c>
      <c r="D1064">
        <v>0</v>
      </c>
      <c r="E1064">
        <v>0</v>
      </c>
      <c r="F1064">
        <v>0</v>
      </c>
    </row>
    <row r="1065" spans="1:6" x14ac:dyDescent="0.25">
      <c r="A1065" t="s">
        <v>1603</v>
      </c>
      <c r="B1065" t="s">
        <v>1596</v>
      </c>
      <c r="C1065">
        <v>33218</v>
      </c>
      <c r="D1065">
        <v>0</v>
      </c>
      <c r="E1065">
        <v>0</v>
      </c>
      <c r="F1065">
        <v>0</v>
      </c>
    </row>
    <row r="1066" spans="1:6" x14ac:dyDescent="0.25">
      <c r="A1066" t="s">
        <v>1605</v>
      </c>
      <c r="B1066" t="s">
        <v>1598</v>
      </c>
      <c r="C1066">
        <v>33219</v>
      </c>
      <c r="D1066">
        <v>0</v>
      </c>
      <c r="E1066">
        <v>0</v>
      </c>
      <c r="F1066">
        <v>0</v>
      </c>
    </row>
    <row r="1067" spans="1:6" x14ac:dyDescent="0.25">
      <c r="A1067" t="s">
        <v>1607</v>
      </c>
      <c r="B1067" t="s">
        <v>1602</v>
      </c>
      <c r="C1067">
        <v>33220</v>
      </c>
      <c r="D1067">
        <v>0</v>
      </c>
      <c r="E1067">
        <v>0</v>
      </c>
      <c r="F1067">
        <v>0</v>
      </c>
    </row>
    <row r="1068" spans="1:6" x14ac:dyDescent="0.25">
      <c r="B1068" t="s">
        <v>1974</v>
      </c>
      <c r="D1068">
        <v>15327</v>
      </c>
      <c r="E1068">
        <v>0</v>
      </c>
      <c r="F1068">
        <v>15327</v>
      </c>
    </row>
    <row r="1069" spans="1:6" x14ac:dyDescent="0.25">
      <c r="B1069" t="s">
        <v>1629</v>
      </c>
    </row>
    <row r="1070" spans="1:6" x14ac:dyDescent="0.25">
      <c r="A1070" t="s">
        <v>2</v>
      </c>
      <c r="B1070" t="s">
        <v>1627</v>
      </c>
      <c r="C1070">
        <v>33301</v>
      </c>
      <c r="D1070">
        <v>0</v>
      </c>
      <c r="E1070">
        <v>0</v>
      </c>
      <c r="F1070">
        <v>0</v>
      </c>
    </row>
    <row r="1071" spans="1:6" x14ac:dyDescent="0.25">
      <c r="A1071" t="s">
        <v>15</v>
      </c>
      <c r="B1071" t="s">
        <v>1625</v>
      </c>
      <c r="C1071">
        <v>33302</v>
      </c>
      <c r="D1071">
        <v>0</v>
      </c>
      <c r="E1071">
        <v>0</v>
      </c>
      <c r="F1071">
        <v>0</v>
      </c>
    </row>
    <row r="1072" spans="1:6" x14ac:dyDescent="0.25">
      <c r="A1072" t="s">
        <v>16</v>
      </c>
      <c r="B1072" t="s">
        <v>1626</v>
      </c>
      <c r="C1072">
        <v>33303</v>
      </c>
      <c r="D1072">
        <v>0</v>
      </c>
      <c r="E1072">
        <v>0</v>
      </c>
      <c r="F1072">
        <v>0</v>
      </c>
    </row>
    <row r="1073" spans="1:6" x14ac:dyDescent="0.25">
      <c r="B1073" t="s">
        <v>1975</v>
      </c>
      <c r="D1073">
        <v>0</v>
      </c>
      <c r="E1073">
        <v>0</v>
      </c>
      <c r="F1073">
        <v>0</v>
      </c>
    </row>
    <row r="1074" spans="1:6" x14ac:dyDescent="0.25">
      <c r="B1074" t="s">
        <v>1631</v>
      </c>
    </row>
    <row r="1075" spans="1:6" x14ac:dyDescent="0.25">
      <c r="A1075" t="s">
        <v>2</v>
      </c>
      <c r="B1075" t="s">
        <v>1627</v>
      </c>
      <c r="C1075">
        <v>33401</v>
      </c>
      <c r="D1075">
        <v>0</v>
      </c>
      <c r="E1075">
        <v>0</v>
      </c>
      <c r="F1075">
        <v>0</v>
      </c>
    </row>
    <row r="1076" spans="1:6" x14ac:dyDescent="0.25">
      <c r="A1076" t="s">
        <v>15</v>
      </c>
      <c r="B1076" t="s">
        <v>1625</v>
      </c>
      <c r="C1076">
        <v>33402</v>
      </c>
      <c r="D1076">
        <v>0</v>
      </c>
      <c r="E1076">
        <v>0</v>
      </c>
      <c r="F1076">
        <v>0</v>
      </c>
    </row>
    <row r="1077" spans="1:6" x14ac:dyDescent="0.25">
      <c r="A1077" t="s">
        <v>16</v>
      </c>
      <c r="B1077" t="s">
        <v>1626</v>
      </c>
      <c r="C1077">
        <v>33403</v>
      </c>
      <c r="D1077">
        <v>0</v>
      </c>
      <c r="E1077">
        <v>0</v>
      </c>
      <c r="F1077">
        <v>0</v>
      </c>
    </row>
    <row r="1078" spans="1:6" x14ac:dyDescent="0.25">
      <c r="B1078" t="s">
        <v>1976</v>
      </c>
      <c r="D1078">
        <v>0</v>
      </c>
      <c r="E1078">
        <v>0</v>
      </c>
      <c r="F1078">
        <v>0</v>
      </c>
    </row>
    <row r="1079" spans="1:6" x14ac:dyDescent="0.25">
      <c r="B1079" t="s">
        <v>1633</v>
      </c>
    </row>
    <row r="1080" spans="1:6" x14ac:dyDescent="0.25">
      <c r="A1080" t="s">
        <v>2</v>
      </c>
      <c r="B1080" t="s">
        <v>1634</v>
      </c>
      <c r="C1080">
        <v>33501</v>
      </c>
      <c r="D1080">
        <v>0</v>
      </c>
      <c r="E1080">
        <v>0</v>
      </c>
      <c r="F1080">
        <v>0</v>
      </c>
    </row>
    <row r="1081" spans="1:6" x14ac:dyDescent="0.25">
      <c r="A1081" t="s">
        <v>15</v>
      </c>
      <c r="B1081" t="s">
        <v>1635</v>
      </c>
      <c r="C1081">
        <v>33502</v>
      </c>
      <c r="D1081">
        <v>0</v>
      </c>
      <c r="E1081">
        <v>0</v>
      </c>
      <c r="F1081">
        <v>0</v>
      </c>
    </row>
    <row r="1082" spans="1:6" x14ac:dyDescent="0.25">
      <c r="A1082" t="s">
        <v>16</v>
      </c>
      <c r="B1082" t="s">
        <v>1636</v>
      </c>
      <c r="C1082">
        <v>33503</v>
      </c>
      <c r="D1082">
        <v>0</v>
      </c>
      <c r="E1082">
        <v>0</v>
      </c>
      <c r="F1082">
        <v>0</v>
      </c>
    </row>
    <row r="1083" spans="1:6" x14ac:dyDescent="0.25">
      <c r="A1083" t="s">
        <v>25</v>
      </c>
      <c r="B1083" t="s">
        <v>1637</v>
      </c>
      <c r="C1083">
        <v>33504</v>
      </c>
      <c r="D1083">
        <v>0</v>
      </c>
      <c r="E1083">
        <v>0</v>
      </c>
      <c r="F1083">
        <v>0</v>
      </c>
    </row>
    <row r="1084" spans="1:6" x14ac:dyDescent="0.25">
      <c r="A1084" t="s">
        <v>26</v>
      </c>
      <c r="B1084" t="s">
        <v>1638</v>
      </c>
      <c r="C1084">
        <v>33505</v>
      </c>
      <c r="D1084">
        <v>0</v>
      </c>
      <c r="E1084">
        <v>0</v>
      </c>
      <c r="F1084">
        <v>0</v>
      </c>
    </row>
    <row r="1085" spans="1:6" x14ac:dyDescent="0.25">
      <c r="A1085" t="s">
        <v>27</v>
      </c>
      <c r="B1085" t="s">
        <v>1639</v>
      </c>
      <c r="C1085">
        <v>33506</v>
      </c>
      <c r="D1085">
        <v>0</v>
      </c>
      <c r="E1085">
        <v>0</v>
      </c>
      <c r="F1085">
        <v>0</v>
      </c>
    </row>
    <row r="1086" spans="1:6" x14ac:dyDescent="0.25">
      <c r="A1086" t="s">
        <v>531</v>
      </c>
      <c r="B1086" t="s">
        <v>1640</v>
      </c>
      <c r="C1086">
        <v>33507</v>
      </c>
      <c r="D1086">
        <v>0</v>
      </c>
      <c r="E1086">
        <v>0</v>
      </c>
      <c r="F1086">
        <v>0</v>
      </c>
    </row>
    <row r="1087" spans="1:6" x14ac:dyDescent="0.25">
      <c r="A1087" t="s">
        <v>1583</v>
      </c>
      <c r="B1087" t="s">
        <v>1641</v>
      </c>
      <c r="C1087">
        <v>33508</v>
      </c>
      <c r="D1087">
        <v>0</v>
      </c>
      <c r="E1087">
        <v>0</v>
      </c>
      <c r="F1087">
        <v>0</v>
      </c>
    </row>
    <row r="1088" spans="1:6" x14ac:dyDescent="0.25">
      <c r="B1088" t="s">
        <v>1977</v>
      </c>
      <c r="D1088">
        <v>0</v>
      </c>
      <c r="E1088">
        <v>0</v>
      </c>
      <c r="F1088">
        <v>0</v>
      </c>
    </row>
    <row r="1089" spans="1:6" x14ac:dyDescent="0.25">
      <c r="B1089" t="s">
        <v>1643</v>
      </c>
    </row>
    <row r="1090" spans="1:6" x14ac:dyDescent="0.25">
      <c r="A1090" t="s">
        <v>2</v>
      </c>
      <c r="B1090" t="s">
        <v>1634</v>
      </c>
      <c r="C1090">
        <v>33601</v>
      </c>
      <c r="D1090">
        <v>0</v>
      </c>
      <c r="E1090">
        <v>0</v>
      </c>
      <c r="F1090">
        <v>0</v>
      </c>
    </row>
    <row r="1091" spans="1:6" x14ac:dyDescent="0.25">
      <c r="A1091" t="s">
        <v>15</v>
      </c>
      <c r="B1091" t="s">
        <v>1635</v>
      </c>
      <c r="C1091">
        <v>33602</v>
      </c>
      <c r="D1091">
        <v>0</v>
      </c>
      <c r="E1091">
        <v>0</v>
      </c>
      <c r="F1091">
        <v>0</v>
      </c>
    </row>
    <row r="1092" spans="1:6" x14ac:dyDescent="0.25">
      <c r="A1092" t="s">
        <v>16</v>
      </c>
      <c r="B1092" t="s">
        <v>1636</v>
      </c>
      <c r="C1092">
        <v>33603</v>
      </c>
      <c r="D1092">
        <v>0</v>
      </c>
      <c r="E1092">
        <v>0</v>
      </c>
      <c r="F1092">
        <v>0</v>
      </c>
    </row>
    <row r="1093" spans="1:6" x14ac:dyDescent="0.25">
      <c r="A1093" t="s">
        <v>25</v>
      </c>
      <c r="B1093" t="s">
        <v>1637</v>
      </c>
      <c r="C1093">
        <v>33604</v>
      </c>
      <c r="D1093">
        <v>0</v>
      </c>
      <c r="E1093">
        <v>0</v>
      </c>
      <c r="F1093">
        <v>0</v>
      </c>
    </row>
    <row r="1094" spans="1:6" x14ac:dyDescent="0.25">
      <c r="A1094" t="s">
        <v>26</v>
      </c>
      <c r="B1094" t="s">
        <v>1638</v>
      </c>
      <c r="C1094">
        <v>33605</v>
      </c>
      <c r="D1094">
        <v>0</v>
      </c>
      <c r="E1094">
        <v>0</v>
      </c>
      <c r="F1094">
        <v>0</v>
      </c>
    </row>
    <row r="1095" spans="1:6" x14ac:dyDescent="0.25">
      <c r="A1095" t="s">
        <v>27</v>
      </c>
      <c r="B1095" t="s">
        <v>1639</v>
      </c>
      <c r="C1095">
        <v>33606</v>
      </c>
      <c r="D1095">
        <v>0</v>
      </c>
      <c r="E1095">
        <v>0</v>
      </c>
      <c r="F1095">
        <v>0</v>
      </c>
    </row>
    <row r="1096" spans="1:6" x14ac:dyDescent="0.25">
      <c r="A1096" t="s">
        <v>531</v>
      </c>
      <c r="B1096" t="s">
        <v>1640</v>
      </c>
      <c r="C1096">
        <v>33607</v>
      </c>
      <c r="D1096">
        <v>0</v>
      </c>
      <c r="E1096">
        <v>0</v>
      </c>
      <c r="F1096">
        <v>0</v>
      </c>
    </row>
    <row r="1097" spans="1:6" x14ac:dyDescent="0.25">
      <c r="A1097" t="s">
        <v>1583</v>
      </c>
      <c r="B1097" t="s">
        <v>1641</v>
      </c>
      <c r="C1097">
        <v>33608</v>
      </c>
      <c r="D1097">
        <v>0</v>
      </c>
      <c r="E1097">
        <v>0</v>
      </c>
      <c r="F1097">
        <v>0</v>
      </c>
    </row>
    <row r="1098" spans="1:6" x14ac:dyDescent="0.25">
      <c r="B1098" t="s">
        <v>1978</v>
      </c>
      <c r="D1098">
        <v>0</v>
      </c>
      <c r="E1098">
        <v>0</v>
      </c>
      <c r="F1098">
        <v>0</v>
      </c>
    </row>
    <row r="1099" spans="1:6" x14ac:dyDescent="0.25">
      <c r="B1099" t="s">
        <v>1645</v>
      </c>
    </row>
    <row r="1100" spans="1:6" x14ac:dyDescent="0.25">
      <c r="A1100" t="s">
        <v>2</v>
      </c>
      <c r="B1100" t="s">
        <v>1634</v>
      </c>
      <c r="C1100">
        <v>33701</v>
      </c>
      <c r="D1100">
        <v>0</v>
      </c>
      <c r="E1100">
        <v>0</v>
      </c>
      <c r="F1100">
        <v>0</v>
      </c>
    </row>
    <row r="1101" spans="1:6" x14ac:dyDescent="0.25">
      <c r="A1101" t="s">
        <v>15</v>
      </c>
      <c r="B1101" t="s">
        <v>1635</v>
      </c>
      <c r="C1101">
        <v>33702</v>
      </c>
      <c r="D1101">
        <v>0</v>
      </c>
      <c r="E1101">
        <v>0</v>
      </c>
      <c r="F1101">
        <v>0</v>
      </c>
    </row>
    <row r="1102" spans="1:6" x14ac:dyDescent="0.25">
      <c r="A1102" t="s">
        <v>16</v>
      </c>
      <c r="B1102" t="s">
        <v>1636</v>
      </c>
      <c r="C1102">
        <v>33703</v>
      </c>
      <c r="D1102">
        <v>0</v>
      </c>
      <c r="E1102">
        <v>0</v>
      </c>
      <c r="F1102">
        <v>0</v>
      </c>
    </row>
    <row r="1103" spans="1:6" x14ac:dyDescent="0.25">
      <c r="A1103" t="s">
        <v>25</v>
      </c>
      <c r="B1103" t="s">
        <v>1637</v>
      </c>
      <c r="C1103">
        <v>33704</v>
      </c>
      <c r="D1103">
        <v>0</v>
      </c>
      <c r="E1103">
        <v>0</v>
      </c>
      <c r="F1103">
        <v>0</v>
      </c>
    </row>
    <row r="1104" spans="1:6" x14ac:dyDescent="0.25">
      <c r="A1104" t="s">
        <v>26</v>
      </c>
      <c r="B1104" t="s">
        <v>1638</v>
      </c>
      <c r="C1104">
        <v>33705</v>
      </c>
      <c r="D1104">
        <v>0</v>
      </c>
      <c r="E1104">
        <v>0</v>
      </c>
      <c r="F1104">
        <v>0</v>
      </c>
    </row>
    <row r="1105" spans="1:6" x14ac:dyDescent="0.25">
      <c r="A1105" t="s">
        <v>27</v>
      </c>
      <c r="B1105" t="s">
        <v>1639</v>
      </c>
      <c r="C1105">
        <v>33706</v>
      </c>
      <c r="D1105">
        <v>0</v>
      </c>
      <c r="E1105">
        <v>0</v>
      </c>
      <c r="F1105">
        <v>0</v>
      </c>
    </row>
    <row r="1106" spans="1:6" x14ac:dyDescent="0.25">
      <c r="A1106" t="s">
        <v>531</v>
      </c>
      <c r="B1106" t="s">
        <v>1640</v>
      </c>
      <c r="C1106">
        <v>33707</v>
      </c>
      <c r="D1106">
        <v>0</v>
      </c>
      <c r="E1106">
        <v>0</v>
      </c>
      <c r="F1106">
        <v>0</v>
      </c>
    </row>
    <row r="1107" spans="1:6" x14ac:dyDescent="0.25">
      <c r="A1107" t="s">
        <v>1583</v>
      </c>
      <c r="B1107" t="s">
        <v>1641</v>
      </c>
      <c r="C1107">
        <v>33708</v>
      </c>
      <c r="D1107">
        <v>0</v>
      </c>
      <c r="E1107">
        <v>0</v>
      </c>
      <c r="F1107">
        <v>0</v>
      </c>
    </row>
    <row r="1108" spans="1:6" x14ac:dyDescent="0.25">
      <c r="B1108" t="s">
        <v>1979</v>
      </c>
      <c r="D1108">
        <v>0</v>
      </c>
      <c r="E1108">
        <v>0</v>
      </c>
      <c r="F1108">
        <v>0</v>
      </c>
    </row>
    <row r="1109" spans="1:6" x14ac:dyDescent="0.25">
      <c r="B1109" t="s">
        <v>1647</v>
      </c>
    </row>
    <row r="1110" spans="1:6" x14ac:dyDescent="0.25">
      <c r="A1110" t="s">
        <v>2</v>
      </c>
      <c r="B1110" t="s">
        <v>1648</v>
      </c>
      <c r="C1110">
        <v>33801</v>
      </c>
      <c r="D1110">
        <v>0</v>
      </c>
      <c r="E1110">
        <v>0</v>
      </c>
      <c r="F1110">
        <v>0</v>
      </c>
    </row>
    <row r="1111" spans="1:6" x14ac:dyDescent="0.25">
      <c r="A1111" t="s">
        <v>15</v>
      </c>
      <c r="B1111" t="s">
        <v>1649</v>
      </c>
      <c r="C1111">
        <v>33802</v>
      </c>
      <c r="D1111">
        <v>0</v>
      </c>
      <c r="E1111">
        <v>0</v>
      </c>
      <c r="F1111">
        <v>0</v>
      </c>
    </row>
    <row r="1112" spans="1:6" x14ac:dyDescent="0.25">
      <c r="A1112" t="s">
        <v>16</v>
      </c>
      <c r="B1112" t="s">
        <v>1637</v>
      </c>
      <c r="C1112">
        <v>33803</v>
      </c>
      <c r="D1112">
        <v>0</v>
      </c>
      <c r="E1112">
        <v>0</v>
      </c>
      <c r="F1112">
        <v>0</v>
      </c>
    </row>
    <row r="1113" spans="1:6" x14ac:dyDescent="0.25">
      <c r="A1113" t="s">
        <v>25</v>
      </c>
      <c r="B1113" t="s">
        <v>1638</v>
      </c>
      <c r="C1113">
        <v>33804</v>
      </c>
      <c r="D1113">
        <v>0</v>
      </c>
      <c r="E1113">
        <v>0</v>
      </c>
      <c r="F1113">
        <v>0</v>
      </c>
    </row>
    <row r="1114" spans="1:6" x14ac:dyDescent="0.25">
      <c r="A1114" t="s">
        <v>26</v>
      </c>
      <c r="B1114" t="s">
        <v>1650</v>
      </c>
      <c r="C1114">
        <v>33805</v>
      </c>
      <c r="D1114">
        <v>0</v>
      </c>
      <c r="E1114">
        <v>0</v>
      </c>
      <c r="F1114">
        <v>0</v>
      </c>
    </row>
    <row r="1115" spans="1:6" x14ac:dyDescent="0.25">
      <c r="A1115" t="s">
        <v>27</v>
      </c>
      <c r="B1115" t="s">
        <v>1651</v>
      </c>
      <c r="C1115">
        <v>33806</v>
      </c>
      <c r="D1115">
        <v>0</v>
      </c>
      <c r="E1115">
        <v>0</v>
      </c>
      <c r="F1115">
        <v>0</v>
      </c>
    </row>
    <row r="1116" spans="1:6" x14ac:dyDescent="0.25">
      <c r="A1116" t="s">
        <v>531</v>
      </c>
      <c r="B1116" t="s">
        <v>1640</v>
      </c>
      <c r="C1116">
        <v>33807</v>
      </c>
      <c r="D1116">
        <v>0</v>
      </c>
      <c r="E1116">
        <v>0</v>
      </c>
      <c r="F1116">
        <v>0</v>
      </c>
    </row>
    <row r="1117" spans="1:6" x14ac:dyDescent="0.25">
      <c r="A1117" t="s">
        <v>1583</v>
      </c>
      <c r="B1117" t="s">
        <v>1641</v>
      </c>
      <c r="C1117">
        <v>33808</v>
      </c>
      <c r="D1117">
        <v>0</v>
      </c>
      <c r="E1117">
        <v>0</v>
      </c>
      <c r="F1117">
        <v>0</v>
      </c>
    </row>
    <row r="1118" spans="1:6" x14ac:dyDescent="0.25">
      <c r="B1118" t="s">
        <v>1980</v>
      </c>
      <c r="D1118">
        <v>0</v>
      </c>
      <c r="E1118">
        <v>0</v>
      </c>
      <c r="F1118">
        <v>0</v>
      </c>
    </row>
    <row r="1119" spans="1:6" x14ac:dyDescent="0.25">
      <c r="B1119" t="s">
        <v>1670</v>
      </c>
      <c r="D1119">
        <v>16911</v>
      </c>
      <c r="E1119">
        <v>0</v>
      </c>
      <c r="F1119">
        <v>16911</v>
      </c>
    </row>
    <row r="1120" spans="1:6" x14ac:dyDescent="0.25">
      <c r="B1120" t="s">
        <v>1981</v>
      </c>
    </row>
    <row r="1121" spans="1:6" x14ac:dyDescent="0.25">
      <c r="B1121" t="s">
        <v>1575</v>
      </c>
    </row>
    <row r="1122" spans="1:6" x14ac:dyDescent="0.25">
      <c r="A1122" t="s">
        <v>2</v>
      </c>
      <c r="B1122" t="s">
        <v>1576</v>
      </c>
      <c r="C1122">
        <v>34101</v>
      </c>
      <c r="D1122">
        <v>0</v>
      </c>
      <c r="E1122">
        <v>0</v>
      </c>
      <c r="F1122">
        <v>0</v>
      </c>
    </row>
    <row r="1123" spans="1:6" x14ac:dyDescent="0.25">
      <c r="A1123" t="s">
        <v>15</v>
      </c>
      <c r="B1123" t="s">
        <v>1577</v>
      </c>
      <c r="C1123">
        <v>34102</v>
      </c>
      <c r="D1123">
        <v>0</v>
      </c>
      <c r="E1123">
        <v>0</v>
      </c>
      <c r="F1123">
        <v>0</v>
      </c>
    </row>
    <row r="1124" spans="1:6" x14ac:dyDescent="0.25">
      <c r="A1124" t="s">
        <v>16</v>
      </c>
      <c r="B1124" t="s">
        <v>1578</v>
      </c>
      <c r="C1124">
        <v>34103</v>
      </c>
      <c r="D1124">
        <v>0</v>
      </c>
      <c r="E1124">
        <v>0</v>
      </c>
      <c r="F1124">
        <v>0</v>
      </c>
    </row>
    <row r="1125" spans="1:6" x14ac:dyDescent="0.25">
      <c r="A1125" t="s">
        <v>25</v>
      </c>
      <c r="B1125" t="s">
        <v>1579</v>
      </c>
      <c r="C1125">
        <v>34104</v>
      </c>
      <c r="D1125">
        <v>0</v>
      </c>
      <c r="E1125">
        <v>0</v>
      </c>
      <c r="F1125">
        <v>0</v>
      </c>
    </row>
    <row r="1126" spans="1:6" x14ac:dyDescent="0.25">
      <c r="A1126" t="s">
        <v>26</v>
      </c>
      <c r="B1126" t="s">
        <v>1580</v>
      </c>
      <c r="C1126">
        <v>34105</v>
      </c>
      <c r="D1126">
        <v>0</v>
      </c>
      <c r="E1126">
        <v>0</v>
      </c>
      <c r="F1126">
        <v>0</v>
      </c>
    </row>
    <row r="1127" spans="1:6" x14ac:dyDescent="0.25">
      <c r="A1127" t="s">
        <v>27</v>
      </c>
      <c r="B1127" t="s">
        <v>1581</v>
      </c>
      <c r="C1127">
        <v>34106</v>
      </c>
      <c r="D1127">
        <v>0</v>
      </c>
      <c r="E1127">
        <v>0</v>
      </c>
      <c r="F1127">
        <v>0</v>
      </c>
    </row>
    <row r="1128" spans="1:6" x14ac:dyDescent="0.25">
      <c r="A1128" t="s">
        <v>531</v>
      </c>
      <c r="B1128" t="s">
        <v>1582</v>
      </c>
      <c r="C1128">
        <v>34107</v>
      </c>
      <c r="D1128">
        <v>0</v>
      </c>
      <c r="E1128">
        <v>0</v>
      </c>
      <c r="F1128">
        <v>0</v>
      </c>
    </row>
    <row r="1129" spans="1:6" x14ac:dyDescent="0.25">
      <c r="A1129" t="s">
        <v>1583</v>
      </c>
      <c r="B1129" t="s">
        <v>1584</v>
      </c>
      <c r="C1129">
        <v>34108</v>
      </c>
      <c r="D1129">
        <v>0</v>
      </c>
      <c r="E1129">
        <v>0</v>
      </c>
      <c r="F1129">
        <v>0</v>
      </c>
    </row>
    <row r="1130" spans="1:6" x14ac:dyDescent="0.25">
      <c r="A1130" t="s">
        <v>1585</v>
      </c>
      <c r="B1130" t="s">
        <v>1586</v>
      </c>
      <c r="C1130">
        <v>34109</v>
      </c>
      <c r="D1130">
        <v>0</v>
      </c>
      <c r="E1130">
        <v>0</v>
      </c>
      <c r="F1130">
        <v>0</v>
      </c>
    </row>
    <row r="1131" spans="1:6" x14ac:dyDescent="0.25">
      <c r="A1131" t="s">
        <v>1587</v>
      </c>
      <c r="B1131" t="s">
        <v>1588</v>
      </c>
      <c r="C1131">
        <v>34110</v>
      </c>
      <c r="D1131">
        <v>0</v>
      </c>
      <c r="E1131">
        <v>0</v>
      </c>
      <c r="F1131">
        <v>0</v>
      </c>
    </row>
    <row r="1132" spans="1:6" x14ac:dyDescent="0.25">
      <c r="A1132" t="s">
        <v>1589</v>
      </c>
      <c r="B1132" t="s">
        <v>1590</v>
      </c>
      <c r="C1132">
        <v>34111</v>
      </c>
      <c r="D1132">
        <v>0</v>
      </c>
      <c r="E1132">
        <v>0</v>
      </c>
      <c r="F1132">
        <v>0</v>
      </c>
    </row>
    <row r="1133" spans="1:6" x14ac:dyDescent="0.25">
      <c r="A1133" t="s">
        <v>1591</v>
      </c>
      <c r="B1133" t="s">
        <v>1592</v>
      </c>
      <c r="C1133">
        <v>34112</v>
      </c>
      <c r="D1133">
        <v>0</v>
      </c>
      <c r="E1133">
        <v>0</v>
      </c>
      <c r="F1133">
        <v>0</v>
      </c>
    </row>
    <row r="1134" spans="1:6" x14ac:dyDescent="0.25">
      <c r="A1134" t="s">
        <v>1593</v>
      </c>
      <c r="B1134" t="s">
        <v>1594</v>
      </c>
      <c r="C1134">
        <v>34113</v>
      </c>
      <c r="D1134">
        <v>0</v>
      </c>
      <c r="E1134">
        <v>0</v>
      </c>
      <c r="F1134">
        <v>0</v>
      </c>
    </row>
    <row r="1135" spans="1:6" x14ac:dyDescent="0.25">
      <c r="A1135" t="s">
        <v>1595</v>
      </c>
      <c r="B1135" t="s">
        <v>1596</v>
      </c>
      <c r="C1135">
        <v>34114</v>
      </c>
      <c r="D1135">
        <v>0</v>
      </c>
      <c r="E1135">
        <v>0</v>
      </c>
      <c r="F1135">
        <v>0</v>
      </c>
    </row>
    <row r="1136" spans="1:6" x14ac:dyDescent="0.25">
      <c r="A1136" t="s">
        <v>1597</v>
      </c>
      <c r="B1136" t="s">
        <v>1598</v>
      </c>
      <c r="C1136">
        <v>34115</v>
      </c>
      <c r="D1136">
        <v>0</v>
      </c>
      <c r="E1136">
        <v>0</v>
      </c>
      <c r="F1136">
        <v>0</v>
      </c>
    </row>
    <row r="1137" spans="1:6" x14ac:dyDescent="0.25">
      <c r="A1137" t="s">
        <v>1599</v>
      </c>
      <c r="B1137" t="s">
        <v>1600</v>
      </c>
      <c r="C1137">
        <v>34116</v>
      </c>
      <c r="D1137">
        <v>0</v>
      </c>
      <c r="E1137">
        <v>0</v>
      </c>
      <c r="F1137">
        <v>0</v>
      </c>
    </row>
    <row r="1138" spans="1:6" x14ac:dyDescent="0.25">
      <c r="A1138" t="s">
        <v>1601</v>
      </c>
      <c r="B1138" t="s">
        <v>1602</v>
      </c>
      <c r="C1138">
        <v>34117</v>
      </c>
      <c r="D1138">
        <v>0</v>
      </c>
      <c r="E1138">
        <v>0</v>
      </c>
      <c r="F1138">
        <v>0</v>
      </c>
    </row>
    <row r="1139" spans="1:6" x14ac:dyDescent="0.25">
      <c r="A1139" t="s">
        <v>1603</v>
      </c>
      <c r="B1139" t="s">
        <v>1604</v>
      </c>
      <c r="C1139">
        <v>34118</v>
      </c>
      <c r="D1139">
        <v>0</v>
      </c>
      <c r="E1139">
        <v>0</v>
      </c>
      <c r="F1139">
        <v>0</v>
      </c>
    </row>
    <row r="1140" spans="1:6" x14ac:dyDescent="0.25">
      <c r="A1140" t="s">
        <v>1605</v>
      </c>
      <c r="B1140" t="s">
        <v>1606</v>
      </c>
      <c r="C1140">
        <v>34119</v>
      </c>
      <c r="D1140">
        <v>0</v>
      </c>
      <c r="E1140">
        <v>0</v>
      </c>
      <c r="F1140">
        <v>0</v>
      </c>
    </row>
    <row r="1141" spans="1:6" x14ac:dyDescent="0.25">
      <c r="A1141" t="s">
        <v>1607</v>
      </c>
      <c r="B1141" t="s">
        <v>1608</v>
      </c>
      <c r="C1141">
        <v>34120</v>
      </c>
      <c r="D1141">
        <v>0</v>
      </c>
      <c r="E1141">
        <v>0</v>
      </c>
      <c r="F1141">
        <v>0</v>
      </c>
    </row>
    <row r="1142" spans="1:6" x14ac:dyDescent="0.25">
      <c r="B1142" t="s">
        <v>1982</v>
      </c>
      <c r="D1142">
        <v>0</v>
      </c>
      <c r="E1142">
        <v>0</v>
      </c>
      <c r="F1142">
        <v>0</v>
      </c>
    </row>
    <row r="1143" spans="1:6" x14ac:dyDescent="0.25">
      <c r="B1143" t="s">
        <v>1656</v>
      </c>
    </row>
    <row r="1144" spans="1:6" x14ac:dyDescent="0.25">
      <c r="A1144" t="s">
        <v>2</v>
      </c>
      <c r="B1144" t="s">
        <v>1611</v>
      </c>
      <c r="C1144">
        <v>34201</v>
      </c>
      <c r="D1144">
        <v>0</v>
      </c>
      <c r="E1144">
        <v>0</v>
      </c>
      <c r="F1144">
        <v>0</v>
      </c>
    </row>
    <row r="1145" spans="1:6" x14ac:dyDescent="0.25">
      <c r="A1145" t="s">
        <v>15</v>
      </c>
      <c r="B1145" t="s">
        <v>1973</v>
      </c>
      <c r="C1145">
        <v>34202</v>
      </c>
      <c r="D1145">
        <v>0</v>
      </c>
      <c r="E1145">
        <v>0</v>
      </c>
      <c r="F1145">
        <v>0</v>
      </c>
    </row>
    <row r="1146" spans="1:6" x14ac:dyDescent="0.25">
      <c r="A1146" t="s">
        <v>16</v>
      </c>
      <c r="B1146" t="s">
        <v>1613</v>
      </c>
      <c r="C1146">
        <v>34203</v>
      </c>
      <c r="D1146">
        <v>0</v>
      </c>
      <c r="E1146">
        <v>0</v>
      </c>
      <c r="F1146">
        <v>0</v>
      </c>
    </row>
    <row r="1147" spans="1:6" x14ac:dyDescent="0.25">
      <c r="A1147" t="s">
        <v>25</v>
      </c>
      <c r="B1147" t="s">
        <v>1614</v>
      </c>
      <c r="C1147">
        <v>34204</v>
      </c>
      <c r="D1147">
        <v>201858</v>
      </c>
      <c r="E1147">
        <v>0</v>
      </c>
      <c r="F1147">
        <v>201858</v>
      </c>
    </row>
    <row r="1148" spans="1:6" x14ac:dyDescent="0.25">
      <c r="A1148" t="s">
        <v>26</v>
      </c>
      <c r="B1148" t="s">
        <v>1615</v>
      </c>
      <c r="C1148">
        <v>34205</v>
      </c>
      <c r="D1148">
        <v>0</v>
      </c>
      <c r="E1148">
        <v>0</v>
      </c>
      <c r="F1148">
        <v>0</v>
      </c>
    </row>
    <row r="1149" spans="1:6" x14ac:dyDescent="0.25">
      <c r="A1149" t="s">
        <v>27</v>
      </c>
      <c r="B1149" t="s">
        <v>1616</v>
      </c>
      <c r="C1149">
        <v>34206</v>
      </c>
      <c r="D1149">
        <v>0</v>
      </c>
      <c r="E1149">
        <v>0</v>
      </c>
      <c r="F1149">
        <v>0</v>
      </c>
    </row>
    <row r="1150" spans="1:6" x14ac:dyDescent="0.25">
      <c r="A1150" t="s">
        <v>531</v>
      </c>
      <c r="B1150" t="s">
        <v>1617</v>
      </c>
      <c r="C1150">
        <v>34207</v>
      </c>
      <c r="D1150">
        <v>0</v>
      </c>
      <c r="E1150">
        <v>0</v>
      </c>
      <c r="F1150">
        <v>0</v>
      </c>
    </row>
    <row r="1151" spans="1:6" x14ac:dyDescent="0.25">
      <c r="A1151" t="s">
        <v>1583</v>
      </c>
      <c r="B1151" t="s">
        <v>1618</v>
      </c>
      <c r="C1151">
        <v>34208</v>
      </c>
      <c r="D1151">
        <v>0</v>
      </c>
      <c r="E1151">
        <v>0</v>
      </c>
      <c r="F1151">
        <v>0</v>
      </c>
    </row>
    <row r="1152" spans="1:6" x14ac:dyDescent="0.25">
      <c r="A1152" t="s">
        <v>1585</v>
      </c>
      <c r="B1152" t="s">
        <v>1619</v>
      </c>
      <c r="C1152">
        <v>34209</v>
      </c>
      <c r="D1152">
        <v>0</v>
      </c>
      <c r="E1152">
        <v>0</v>
      </c>
      <c r="F1152">
        <v>0</v>
      </c>
    </row>
    <row r="1153" spans="1:6" x14ac:dyDescent="0.25">
      <c r="A1153" t="s">
        <v>1587</v>
      </c>
      <c r="B1153" t="s">
        <v>1620</v>
      </c>
      <c r="C1153">
        <v>34210</v>
      </c>
      <c r="D1153">
        <v>0</v>
      </c>
      <c r="E1153">
        <v>0</v>
      </c>
      <c r="F1153">
        <v>0</v>
      </c>
    </row>
    <row r="1154" spans="1:6" x14ac:dyDescent="0.25">
      <c r="A1154" t="s">
        <v>1589</v>
      </c>
      <c r="B1154" t="s">
        <v>1621</v>
      </c>
      <c r="C1154">
        <v>34211</v>
      </c>
      <c r="D1154">
        <v>0</v>
      </c>
      <c r="E1154">
        <v>0</v>
      </c>
      <c r="F1154">
        <v>0</v>
      </c>
    </row>
    <row r="1155" spans="1:6" x14ac:dyDescent="0.25">
      <c r="A1155" t="s">
        <v>1591</v>
      </c>
      <c r="B1155" t="s">
        <v>1622</v>
      </c>
      <c r="C1155">
        <v>34212</v>
      </c>
      <c r="D1155">
        <v>0</v>
      </c>
      <c r="E1155">
        <v>0</v>
      </c>
      <c r="F1155">
        <v>0</v>
      </c>
    </row>
    <row r="1156" spans="1:6" x14ac:dyDescent="0.25">
      <c r="A1156" t="s">
        <v>1593</v>
      </c>
      <c r="B1156" t="s">
        <v>1623</v>
      </c>
      <c r="C1156">
        <v>34213</v>
      </c>
      <c r="D1156">
        <v>0</v>
      </c>
      <c r="E1156">
        <v>0</v>
      </c>
      <c r="F1156">
        <v>0</v>
      </c>
    </row>
    <row r="1157" spans="1:6" x14ac:dyDescent="0.25">
      <c r="A1157" t="s">
        <v>1595</v>
      </c>
      <c r="B1157" t="s">
        <v>1624</v>
      </c>
      <c r="C1157">
        <v>34214</v>
      </c>
      <c r="D1157">
        <v>0</v>
      </c>
      <c r="E1157">
        <v>0</v>
      </c>
      <c r="F1157">
        <v>0</v>
      </c>
    </row>
    <row r="1158" spans="1:6" x14ac:dyDescent="0.25">
      <c r="A1158" t="s">
        <v>1597</v>
      </c>
      <c r="B1158" t="s">
        <v>1625</v>
      </c>
      <c r="C1158">
        <v>34215</v>
      </c>
      <c r="D1158">
        <v>0</v>
      </c>
      <c r="E1158">
        <v>0</v>
      </c>
      <c r="F1158">
        <v>0</v>
      </c>
    </row>
    <row r="1159" spans="1:6" x14ac:dyDescent="0.25">
      <c r="A1159" t="s">
        <v>1599</v>
      </c>
      <c r="B1159" t="s">
        <v>1626</v>
      </c>
      <c r="C1159">
        <v>34216</v>
      </c>
      <c r="D1159">
        <v>0</v>
      </c>
      <c r="E1159">
        <v>0</v>
      </c>
      <c r="F1159">
        <v>0</v>
      </c>
    </row>
    <row r="1160" spans="1:6" x14ac:dyDescent="0.25">
      <c r="A1160" t="s">
        <v>1601</v>
      </c>
      <c r="B1160" t="s">
        <v>1627</v>
      </c>
      <c r="C1160">
        <v>34217</v>
      </c>
      <c r="D1160">
        <v>0</v>
      </c>
      <c r="E1160">
        <v>0</v>
      </c>
      <c r="F1160">
        <v>0</v>
      </c>
    </row>
    <row r="1161" spans="1:6" x14ac:dyDescent="0.25">
      <c r="A1161" t="s">
        <v>1603</v>
      </c>
      <c r="B1161" t="s">
        <v>1596</v>
      </c>
      <c r="C1161">
        <v>34218</v>
      </c>
      <c r="D1161">
        <v>0</v>
      </c>
      <c r="E1161">
        <v>0</v>
      </c>
      <c r="F1161">
        <v>0</v>
      </c>
    </row>
    <row r="1162" spans="1:6" x14ac:dyDescent="0.25">
      <c r="A1162" t="s">
        <v>1605</v>
      </c>
      <c r="B1162" t="s">
        <v>1598</v>
      </c>
      <c r="C1162">
        <v>34219</v>
      </c>
      <c r="D1162">
        <v>0</v>
      </c>
      <c r="E1162">
        <v>0</v>
      </c>
      <c r="F1162">
        <v>0</v>
      </c>
    </row>
    <row r="1163" spans="1:6" x14ac:dyDescent="0.25">
      <c r="A1163" t="s">
        <v>1607</v>
      </c>
      <c r="B1163" t="s">
        <v>1602</v>
      </c>
      <c r="C1163">
        <v>34220</v>
      </c>
      <c r="D1163">
        <v>0</v>
      </c>
      <c r="E1163">
        <v>0</v>
      </c>
      <c r="F1163">
        <v>0</v>
      </c>
    </row>
    <row r="1164" spans="1:6" x14ac:dyDescent="0.25">
      <c r="B1164" t="s">
        <v>1983</v>
      </c>
      <c r="D1164">
        <v>201858</v>
      </c>
      <c r="E1164">
        <v>0</v>
      </c>
      <c r="F1164">
        <v>201858</v>
      </c>
    </row>
    <row r="1165" spans="1:6" x14ac:dyDescent="0.25">
      <c r="B1165" t="s">
        <v>1984</v>
      </c>
    </row>
    <row r="1166" spans="1:6" x14ac:dyDescent="0.25">
      <c r="A1166" t="s">
        <v>2</v>
      </c>
      <c r="B1166" t="s">
        <v>1634</v>
      </c>
      <c r="C1166">
        <v>34301</v>
      </c>
      <c r="D1166">
        <v>0</v>
      </c>
      <c r="E1166">
        <v>0</v>
      </c>
      <c r="F1166">
        <v>0</v>
      </c>
    </row>
    <row r="1167" spans="1:6" x14ac:dyDescent="0.25">
      <c r="A1167" t="s">
        <v>15</v>
      </c>
      <c r="B1167" t="s">
        <v>1635</v>
      </c>
      <c r="C1167">
        <v>34302</v>
      </c>
      <c r="D1167">
        <v>0</v>
      </c>
      <c r="E1167">
        <v>0</v>
      </c>
      <c r="F1167">
        <v>0</v>
      </c>
    </row>
    <row r="1168" spans="1:6" x14ac:dyDescent="0.25">
      <c r="A1168" t="s">
        <v>16</v>
      </c>
      <c r="B1168" t="s">
        <v>1636</v>
      </c>
      <c r="C1168">
        <v>34303</v>
      </c>
      <c r="D1168">
        <v>0</v>
      </c>
      <c r="E1168">
        <v>0</v>
      </c>
      <c r="F1168">
        <v>0</v>
      </c>
    </row>
    <row r="1169" spans="1:6" x14ac:dyDescent="0.25">
      <c r="A1169" t="s">
        <v>25</v>
      </c>
      <c r="B1169" t="s">
        <v>1637</v>
      </c>
      <c r="C1169">
        <v>34304</v>
      </c>
      <c r="D1169">
        <v>0</v>
      </c>
      <c r="E1169">
        <v>0</v>
      </c>
      <c r="F1169">
        <v>0</v>
      </c>
    </row>
    <row r="1170" spans="1:6" x14ac:dyDescent="0.25">
      <c r="A1170" t="s">
        <v>26</v>
      </c>
      <c r="B1170" t="s">
        <v>1638</v>
      </c>
      <c r="C1170">
        <v>34305</v>
      </c>
      <c r="D1170">
        <v>0</v>
      </c>
      <c r="E1170">
        <v>0</v>
      </c>
      <c r="F1170">
        <v>0</v>
      </c>
    </row>
    <row r="1171" spans="1:6" x14ac:dyDescent="0.25">
      <c r="A1171" t="s">
        <v>27</v>
      </c>
      <c r="B1171" t="s">
        <v>1639</v>
      </c>
      <c r="C1171">
        <v>34306</v>
      </c>
      <c r="D1171">
        <v>0</v>
      </c>
      <c r="E1171">
        <v>0</v>
      </c>
      <c r="F1171">
        <v>0</v>
      </c>
    </row>
    <row r="1172" spans="1:6" x14ac:dyDescent="0.25">
      <c r="A1172" t="s">
        <v>531</v>
      </c>
      <c r="B1172" t="s">
        <v>1640</v>
      </c>
      <c r="C1172">
        <v>34307</v>
      </c>
      <c r="D1172">
        <v>0</v>
      </c>
      <c r="E1172">
        <v>0</v>
      </c>
      <c r="F1172">
        <v>0</v>
      </c>
    </row>
    <row r="1173" spans="1:6" x14ac:dyDescent="0.25">
      <c r="A1173" t="s">
        <v>1583</v>
      </c>
      <c r="B1173" t="s">
        <v>1641</v>
      </c>
      <c r="C1173">
        <v>34308</v>
      </c>
      <c r="D1173">
        <v>0</v>
      </c>
      <c r="E1173">
        <v>0</v>
      </c>
      <c r="F1173">
        <v>0</v>
      </c>
    </row>
    <row r="1174" spans="1:6" x14ac:dyDescent="0.25">
      <c r="B1174" t="s">
        <v>1985</v>
      </c>
      <c r="D1174">
        <v>0</v>
      </c>
      <c r="E1174">
        <v>0</v>
      </c>
      <c r="F1174">
        <v>0</v>
      </c>
    </row>
    <row r="1175" spans="1:6" x14ac:dyDescent="0.25">
      <c r="B1175" t="s">
        <v>1986</v>
      </c>
    </row>
    <row r="1176" spans="1:6" x14ac:dyDescent="0.25">
      <c r="A1176" t="s">
        <v>2</v>
      </c>
      <c r="B1176" t="s">
        <v>1634</v>
      </c>
      <c r="C1176">
        <v>34401</v>
      </c>
      <c r="D1176">
        <v>48393</v>
      </c>
      <c r="E1176">
        <v>0</v>
      </c>
      <c r="F1176">
        <v>48393</v>
      </c>
    </row>
    <row r="1177" spans="1:6" x14ac:dyDescent="0.25">
      <c r="A1177" t="s">
        <v>15</v>
      </c>
      <c r="B1177" t="s">
        <v>1635</v>
      </c>
      <c r="C1177">
        <v>34402</v>
      </c>
      <c r="D1177">
        <v>866</v>
      </c>
      <c r="E1177">
        <v>0</v>
      </c>
      <c r="F1177">
        <v>866</v>
      </c>
    </row>
    <row r="1178" spans="1:6" x14ac:dyDescent="0.25">
      <c r="A1178" t="s">
        <v>16</v>
      </c>
      <c r="B1178" t="s">
        <v>1636</v>
      </c>
      <c r="C1178">
        <v>34403</v>
      </c>
      <c r="D1178">
        <v>0</v>
      </c>
      <c r="E1178">
        <v>0</v>
      </c>
      <c r="F1178">
        <v>0</v>
      </c>
    </row>
    <row r="1179" spans="1:6" x14ac:dyDescent="0.25">
      <c r="A1179" t="s">
        <v>25</v>
      </c>
      <c r="B1179" t="s">
        <v>1637</v>
      </c>
      <c r="C1179">
        <v>34404</v>
      </c>
      <c r="D1179">
        <v>897</v>
      </c>
      <c r="E1179">
        <v>0</v>
      </c>
      <c r="F1179">
        <v>897</v>
      </c>
    </row>
    <row r="1180" spans="1:6" x14ac:dyDescent="0.25">
      <c r="A1180" t="s">
        <v>26</v>
      </c>
      <c r="B1180" t="s">
        <v>1638</v>
      </c>
      <c r="C1180">
        <v>34405</v>
      </c>
      <c r="D1180">
        <v>9937</v>
      </c>
      <c r="E1180">
        <v>0</v>
      </c>
      <c r="F1180">
        <v>9937</v>
      </c>
    </row>
    <row r="1181" spans="1:6" x14ac:dyDescent="0.25">
      <c r="A1181" t="s">
        <v>27</v>
      </c>
      <c r="B1181" t="s">
        <v>1639</v>
      </c>
      <c r="C1181">
        <v>34406</v>
      </c>
      <c r="D1181">
        <v>0</v>
      </c>
      <c r="E1181">
        <v>0</v>
      </c>
      <c r="F1181">
        <v>0</v>
      </c>
    </row>
    <row r="1182" spans="1:6" x14ac:dyDescent="0.25">
      <c r="A1182" t="s">
        <v>531</v>
      </c>
      <c r="B1182" t="s">
        <v>1640</v>
      </c>
      <c r="C1182">
        <v>34407</v>
      </c>
      <c r="D1182">
        <v>0</v>
      </c>
      <c r="E1182">
        <v>0</v>
      </c>
      <c r="F1182">
        <v>0</v>
      </c>
    </row>
    <row r="1183" spans="1:6" x14ac:dyDescent="0.25">
      <c r="A1183" t="s">
        <v>1583</v>
      </c>
      <c r="B1183" t="s">
        <v>1641</v>
      </c>
      <c r="C1183">
        <v>34408</v>
      </c>
      <c r="D1183">
        <v>202571</v>
      </c>
      <c r="E1183">
        <v>0</v>
      </c>
      <c r="F1183">
        <v>202571</v>
      </c>
    </row>
    <row r="1184" spans="1:6" x14ac:dyDescent="0.25">
      <c r="B1184" t="s">
        <v>1987</v>
      </c>
      <c r="D1184">
        <v>262664</v>
      </c>
      <c r="E1184">
        <v>0</v>
      </c>
      <c r="F1184">
        <v>262664</v>
      </c>
    </row>
    <row r="1185" spans="1:6" x14ac:dyDescent="0.25">
      <c r="B1185" t="s">
        <v>1988</v>
      </c>
    </row>
    <row r="1186" spans="1:6" x14ac:dyDescent="0.25">
      <c r="A1186" t="s">
        <v>2</v>
      </c>
      <c r="B1186" t="s">
        <v>1634</v>
      </c>
      <c r="C1186">
        <v>34501</v>
      </c>
      <c r="D1186">
        <v>12840</v>
      </c>
      <c r="E1186">
        <v>0</v>
      </c>
      <c r="F1186">
        <v>12840</v>
      </c>
    </row>
    <row r="1187" spans="1:6" x14ac:dyDescent="0.25">
      <c r="A1187" t="s">
        <v>15</v>
      </c>
      <c r="B1187" t="s">
        <v>1635</v>
      </c>
      <c r="C1187">
        <v>34502</v>
      </c>
      <c r="D1187">
        <v>837</v>
      </c>
      <c r="E1187">
        <v>0</v>
      </c>
      <c r="F1187">
        <v>837</v>
      </c>
    </row>
    <row r="1188" spans="1:6" x14ac:dyDescent="0.25">
      <c r="A1188" t="s">
        <v>16</v>
      </c>
      <c r="B1188" t="s">
        <v>1636</v>
      </c>
      <c r="C1188">
        <v>34503</v>
      </c>
      <c r="D1188">
        <v>0</v>
      </c>
      <c r="E1188">
        <v>0</v>
      </c>
      <c r="F1188">
        <v>0</v>
      </c>
    </row>
    <row r="1189" spans="1:6" x14ac:dyDescent="0.25">
      <c r="A1189" t="s">
        <v>25</v>
      </c>
      <c r="B1189" t="s">
        <v>1637</v>
      </c>
      <c r="C1189">
        <v>34504</v>
      </c>
      <c r="D1189">
        <v>1323</v>
      </c>
      <c r="E1189">
        <v>0</v>
      </c>
      <c r="F1189">
        <v>1323</v>
      </c>
    </row>
    <row r="1190" spans="1:6" x14ac:dyDescent="0.25">
      <c r="A1190" t="s">
        <v>26</v>
      </c>
      <c r="B1190" t="s">
        <v>1638</v>
      </c>
      <c r="C1190">
        <v>34505</v>
      </c>
      <c r="D1190">
        <v>9506</v>
      </c>
      <c r="E1190">
        <v>0</v>
      </c>
      <c r="F1190">
        <v>9506</v>
      </c>
    </row>
    <row r="1191" spans="1:6" x14ac:dyDescent="0.25">
      <c r="A1191" t="s">
        <v>27</v>
      </c>
      <c r="B1191" t="s">
        <v>1639</v>
      </c>
      <c r="C1191">
        <v>34506</v>
      </c>
      <c r="D1191">
        <v>0</v>
      </c>
      <c r="E1191">
        <v>0</v>
      </c>
      <c r="F1191">
        <v>0</v>
      </c>
    </row>
    <row r="1192" spans="1:6" x14ac:dyDescent="0.25">
      <c r="A1192" t="s">
        <v>531</v>
      </c>
      <c r="B1192" t="s">
        <v>1640</v>
      </c>
      <c r="C1192">
        <v>34507</v>
      </c>
      <c r="D1192">
        <v>0</v>
      </c>
      <c r="E1192">
        <v>0</v>
      </c>
      <c r="F1192">
        <v>0</v>
      </c>
    </row>
    <row r="1193" spans="1:6" x14ac:dyDescent="0.25">
      <c r="A1193" t="s">
        <v>1583</v>
      </c>
      <c r="B1193" t="s">
        <v>1641</v>
      </c>
      <c r="C1193">
        <v>34508</v>
      </c>
      <c r="D1193">
        <v>64852</v>
      </c>
      <c r="E1193">
        <v>0</v>
      </c>
      <c r="F1193">
        <v>64852</v>
      </c>
    </row>
    <row r="1194" spans="1:6" x14ac:dyDescent="0.25">
      <c r="B1194" t="s">
        <v>1989</v>
      </c>
      <c r="D1194">
        <v>89358</v>
      </c>
      <c r="E1194">
        <v>0</v>
      </c>
      <c r="F1194">
        <v>89358</v>
      </c>
    </row>
    <row r="1195" spans="1:6" x14ac:dyDescent="0.25">
      <c r="B1195" t="s">
        <v>1990</v>
      </c>
    </row>
    <row r="1196" spans="1:6" x14ac:dyDescent="0.25">
      <c r="A1196" t="s">
        <v>2</v>
      </c>
      <c r="B1196" t="s">
        <v>1648</v>
      </c>
      <c r="C1196">
        <v>34601</v>
      </c>
      <c r="D1196">
        <v>0</v>
      </c>
      <c r="E1196">
        <v>0</v>
      </c>
      <c r="F1196">
        <v>0</v>
      </c>
    </row>
    <row r="1197" spans="1:6" x14ac:dyDescent="0.25">
      <c r="A1197" t="s">
        <v>15</v>
      </c>
      <c r="B1197" t="s">
        <v>1649</v>
      </c>
      <c r="C1197">
        <v>34602</v>
      </c>
      <c r="D1197">
        <v>0</v>
      </c>
      <c r="E1197">
        <v>0</v>
      </c>
      <c r="F1197">
        <v>0</v>
      </c>
    </row>
    <row r="1198" spans="1:6" x14ac:dyDescent="0.25">
      <c r="A1198" t="s">
        <v>16</v>
      </c>
      <c r="B1198" t="s">
        <v>1637</v>
      </c>
      <c r="C1198">
        <v>34603</v>
      </c>
      <c r="D1198">
        <v>0</v>
      </c>
      <c r="E1198">
        <v>0</v>
      </c>
      <c r="F1198">
        <v>0</v>
      </c>
    </row>
    <row r="1199" spans="1:6" x14ac:dyDescent="0.25">
      <c r="A1199" t="s">
        <v>25</v>
      </c>
      <c r="B1199" t="s">
        <v>1638</v>
      </c>
      <c r="C1199">
        <v>34604</v>
      </c>
      <c r="D1199">
        <v>0</v>
      </c>
      <c r="E1199">
        <v>0</v>
      </c>
      <c r="F1199">
        <v>0</v>
      </c>
    </row>
    <row r="1200" spans="1:6" x14ac:dyDescent="0.25">
      <c r="A1200" t="s">
        <v>26</v>
      </c>
      <c r="B1200" t="s">
        <v>1650</v>
      </c>
      <c r="C1200">
        <v>34605</v>
      </c>
      <c r="D1200">
        <v>0</v>
      </c>
      <c r="E1200">
        <v>0</v>
      </c>
      <c r="F1200">
        <v>0</v>
      </c>
    </row>
    <row r="1201" spans="1:6" x14ac:dyDescent="0.25">
      <c r="A1201" t="s">
        <v>27</v>
      </c>
      <c r="B1201" t="s">
        <v>1651</v>
      </c>
      <c r="C1201">
        <v>34606</v>
      </c>
      <c r="D1201">
        <v>0</v>
      </c>
      <c r="E1201">
        <v>0</v>
      </c>
      <c r="F1201">
        <v>0</v>
      </c>
    </row>
    <row r="1202" spans="1:6" x14ac:dyDescent="0.25">
      <c r="A1202" t="s">
        <v>531</v>
      </c>
      <c r="B1202" t="s">
        <v>1640</v>
      </c>
      <c r="C1202">
        <v>34607</v>
      </c>
      <c r="D1202">
        <v>0</v>
      </c>
      <c r="E1202">
        <v>0</v>
      </c>
      <c r="F1202">
        <v>0</v>
      </c>
    </row>
    <row r="1203" spans="1:6" x14ac:dyDescent="0.25">
      <c r="A1203" t="s">
        <v>1583</v>
      </c>
      <c r="B1203" t="s">
        <v>1641</v>
      </c>
      <c r="C1203">
        <v>34608</v>
      </c>
      <c r="D1203">
        <v>0</v>
      </c>
      <c r="E1203">
        <v>0</v>
      </c>
      <c r="F1203">
        <v>0</v>
      </c>
    </row>
    <row r="1204" spans="1:6" x14ac:dyDescent="0.25">
      <c r="B1204" t="s">
        <v>1991</v>
      </c>
      <c r="D1204">
        <v>0</v>
      </c>
      <c r="E1204">
        <v>0</v>
      </c>
      <c r="F1204">
        <v>0</v>
      </c>
    </row>
    <row r="1205" spans="1:6" x14ac:dyDescent="0.25">
      <c r="B1205" t="s">
        <v>1716</v>
      </c>
      <c r="D1205">
        <v>553880</v>
      </c>
      <c r="E1205">
        <v>0</v>
      </c>
      <c r="F1205">
        <v>553880</v>
      </c>
    </row>
    <row r="1206" spans="1:6" x14ac:dyDescent="0.25">
      <c r="B1206" t="s">
        <v>1992</v>
      </c>
    </row>
    <row r="1207" spans="1:6" x14ac:dyDescent="0.25">
      <c r="B1207" t="s">
        <v>1575</v>
      </c>
    </row>
    <row r="1208" spans="1:6" x14ac:dyDescent="0.25">
      <c r="A1208" t="s">
        <v>2</v>
      </c>
      <c r="B1208" t="s">
        <v>1576</v>
      </c>
      <c r="C1208">
        <v>35101</v>
      </c>
      <c r="D1208">
        <v>0</v>
      </c>
      <c r="E1208">
        <v>0</v>
      </c>
      <c r="F1208">
        <v>0</v>
      </c>
    </row>
    <row r="1209" spans="1:6" x14ac:dyDescent="0.25">
      <c r="A1209" t="s">
        <v>15</v>
      </c>
      <c r="B1209" t="s">
        <v>1577</v>
      </c>
      <c r="C1209">
        <v>35102</v>
      </c>
      <c r="D1209">
        <v>0</v>
      </c>
      <c r="E1209">
        <v>0</v>
      </c>
      <c r="F1209">
        <v>0</v>
      </c>
    </row>
    <row r="1210" spans="1:6" x14ac:dyDescent="0.25">
      <c r="A1210" t="s">
        <v>16</v>
      </c>
      <c r="B1210" t="s">
        <v>1578</v>
      </c>
      <c r="C1210">
        <v>35103</v>
      </c>
      <c r="D1210">
        <v>0</v>
      </c>
      <c r="E1210">
        <v>0</v>
      </c>
      <c r="F1210">
        <v>0</v>
      </c>
    </row>
    <row r="1211" spans="1:6" x14ac:dyDescent="0.25">
      <c r="A1211" t="s">
        <v>25</v>
      </c>
      <c r="B1211" t="s">
        <v>1579</v>
      </c>
      <c r="C1211">
        <v>35104</v>
      </c>
      <c r="D1211">
        <v>0</v>
      </c>
      <c r="E1211">
        <v>0</v>
      </c>
      <c r="F1211">
        <v>0</v>
      </c>
    </row>
    <row r="1212" spans="1:6" x14ac:dyDescent="0.25">
      <c r="A1212" t="s">
        <v>26</v>
      </c>
      <c r="B1212" t="s">
        <v>1580</v>
      </c>
      <c r="C1212">
        <v>35105</v>
      </c>
      <c r="D1212">
        <v>0</v>
      </c>
      <c r="E1212">
        <v>0</v>
      </c>
      <c r="F1212">
        <v>0</v>
      </c>
    </row>
    <row r="1213" spans="1:6" x14ac:dyDescent="0.25">
      <c r="A1213" t="s">
        <v>27</v>
      </c>
      <c r="B1213" t="s">
        <v>1581</v>
      </c>
      <c r="C1213">
        <v>35106</v>
      </c>
      <c r="D1213">
        <v>0</v>
      </c>
      <c r="E1213">
        <v>0</v>
      </c>
      <c r="F1213">
        <v>0</v>
      </c>
    </row>
    <row r="1214" spans="1:6" x14ac:dyDescent="0.25">
      <c r="A1214" t="s">
        <v>531</v>
      </c>
      <c r="B1214" t="s">
        <v>1582</v>
      </c>
      <c r="C1214">
        <v>35107</v>
      </c>
      <c r="D1214">
        <v>0</v>
      </c>
      <c r="E1214">
        <v>0</v>
      </c>
      <c r="F1214">
        <v>0</v>
      </c>
    </row>
    <row r="1215" spans="1:6" x14ac:dyDescent="0.25">
      <c r="A1215" t="s">
        <v>1583</v>
      </c>
      <c r="B1215" t="s">
        <v>1584</v>
      </c>
      <c r="C1215">
        <v>35108</v>
      </c>
      <c r="D1215">
        <v>0</v>
      </c>
      <c r="E1215">
        <v>0</v>
      </c>
      <c r="F1215">
        <v>0</v>
      </c>
    </row>
    <row r="1216" spans="1:6" x14ac:dyDescent="0.25">
      <c r="A1216" t="s">
        <v>1585</v>
      </c>
      <c r="B1216" t="s">
        <v>1586</v>
      </c>
      <c r="C1216">
        <v>35109</v>
      </c>
      <c r="D1216">
        <v>0</v>
      </c>
      <c r="E1216">
        <v>0</v>
      </c>
      <c r="F1216">
        <v>0</v>
      </c>
    </row>
    <row r="1217" spans="1:6" x14ac:dyDescent="0.25">
      <c r="A1217" t="s">
        <v>1587</v>
      </c>
      <c r="B1217" t="s">
        <v>1588</v>
      </c>
      <c r="C1217">
        <v>35110</v>
      </c>
      <c r="D1217">
        <v>0</v>
      </c>
      <c r="E1217">
        <v>0</v>
      </c>
      <c r="F1217">
        <v>0</v>
      </c>
    </row>
    <row r="1218" spans="1:6" x14ac:dyDescent="0.25">
      <c r="A1218" t="s">
        <v>1589</v>
      </c>
      <c r="B1218" t="s">
        <v>1590</v>
      </c>
      <c r="C1218">
        <v>35111</v>
      </c>
      <c r="D1218">
        <v>0</v>
      </c>
      <c r="E1218">
        <v>0</v>
      </c>
      <c r="F1218">
        <v>0</v>
      </c>
    </row>
    <row r="1219" spans="1:6" x14ac:dyDescent="0.25">
      <c r="A1219" t="s">
        <v>1591</v>
      </c>
      <c r="B1219" t="s">
        <v>1592</v>
      </c>
      <c r="C1219">
        <v>35112</v>
      </c>
      <c r="D1219">
        <v>0</v>
      </c>
      <c r="E1219">
        <v>0</v>
      </c>
      <c r="F1219">
        <v>0</v>
      </c>
    </row>
    <row r="1220" spans="1:6" x14ac:dyDescent="0.25">
      <c r="A1220" t="s">
        <v>1593</v>
      </c>
      <c r="B1220" t="s">
        <v>1594</v>
      </c>
      <c r="C1220">
        <v>35113</v>
      </c>
      <c r="D1220">
        <v>0</v>
      </c>
      <c r="E1220">
        <v>0</v>
      </c>
      <c r="F1220">
        <v>0</v>
      </c>
    </row>
    <row r="1221" spans="1:6" x14ac:dyDescent="0.25">
      <c r="A1221" t="s">
        <v>1595</v>
      </c>
      <c r="B1221" t="s">
        <v>1596</v>
      </c>
      <c r="C1221">
        <v>35114</v>
      </c>
      <c r="D1221">
        <v>0</v>
      </c>
      <c r="E1221">
        <v>0</v>
      </c>
      <c r="F1221">
        <v>0</v>
      </c>
    </row>
    <row r="1222" spans="1:6" x14ac:dyDescent="0.25">
      <c r="A1222" t="s">
        <v>1597</v>
      </c>
      <c r="B1222" t="s">
        <v>1598</v>
      </c>
      <c r="C1222">
        <v>35115</v>
      </c>
      <c r="D1222">
        <v>0</v>
      </c>
      <c r="E1222">
        <v>0</v>
      </c>
      <c r="F1222">
        <v>0</v>
      </c>
    </row>
    <row r="1223" spans="1:6" x14ac:dyDescent="0.25">
      <c r="A1223" t="s">
        <v>1599</v>
      </c>
      <c r="B1223" t="s">
        <v>1600</v>
      </c>
      <c r="C1223">
        <v>35116</v>
      </c>
      <c r="D1223">
        <v>0</v>
      </c>
      <c r="E1223">
        <v>0</v>
      </c>
      <c r="F1223">
        <v>0</v>
      </c>
    </row>
    <row r="1224" spans="1:6" x14ac:dyDescent="0.25">
      <c r="A1224" t="s">
        <v>1601</v>
      </c>
      <c r="B1224" t="s">
        <v>1602</v>
      </c>
      <c r="C1224">
        <v>35117</v>
      </c>
      <c r="D1224">
        <v>0</v>
      </c>
      <c r="E1224">
        <v>0</v>
      </c>
      <c r="F1224">
        <v>0</v>
      </c>
    </row>
    <row r="1225" spans="1:6" x14ac:dyDescent="0.25">
      <c r="A1225" t="s">
        <v>1603</v>
      </c>
      <c r="B1225" t="s">
        <v>1604</v>
      </c>
      <c r="C1225">
        <v>35118</v>
      </c>
      <c r="D1225">
        <v>0</v>
      </c>
      <c r="E1225">
        <v>0</v>
      </c>
      <c r="F1225">
        <v>0</v>
      </c>
    </row>
    <row r="1226" spans="1:6" x14ac:dyDescent="0.25">
      <c r="A1226" t="s">
        <v>1605</v>
      </c>
      <c r="B1226" t="s">
        <v>1606</v>
      </c>
      <c r="C1226">
        <v>35119</v>
      </c>
      <c r="D1226">
        <v>0</v>
      </c>
      <c r="E1226">
        <v>0</v>
      </c>
      <c r="F1226">
        <v>0</v>
      </c>
    </row>
    <row r="1227" spans="1:6" x14ac:dyDescent="0.25">
      <c r="A1227" t="s">
        <v>1607</v>
      </c>
      <c r="B1227" t="s">
        <v>1608</v>
      </c>
      <c r="C1227">
        <v>35120</v>
      </c>
      <c r="D1227">
        <v>0</v>
      </c>
      <c r="E1227">
        <v>0</v>
      </c>
      <c r="F1227">
        <v>0</v>
      </c>
    </row>
    <row r="1228" spans="1:6" x14ac:dyDescent="0.25">
      <c r="B1228" t="s">
        <v>1993</v>
      </c>
      <c r="D1228">
        <v>0</v>
      </c>
      <c r="E1228">
        <v>0</v>
      </c>
      <c r="F1228">
        <v>0</v>
      </c>
    </row>
    <row r="1229" spans="1:6" x14ac:dyDescent="0.25">
      <c r="B1229" t="s">
        <v>1656</v>
      </c>
    </row>
    <row r="1230" spans="1:6" x14ac:dyDescent="0.25">
      <c r="A1230" t="s">
        <v>2</v>
      </c>
      <c r="B1230" t="s">
        <v>1611</v>
      </c>
      <c r="C1230">
        <v>35201</v>
      </c>
      <c r="D1230">
        <v>0</v>
      </c>
      <c r="E1230">
        <v>0</v>
      </c>
      <c r="F1230">
        <v>0</v>
      </c>
    </row>
    <row r="1231" spans="1:6" x14ac:dyDescent="0.25">
      <c r="A1231" t="s">
        <v>15</v>
      </c>
      <c r="B1231" t="s">
        <v>1612</v>
      </c>
      <c r="C1231">
        <v>35202</v>
      </c>
      <c r="D1231">
        <v>0</v>
      </c>
      <c r="E1231">
        <v>0</v>
      </c>
      <c r="F1231">
        <v>0</v>
      </c>
    </row>
    <row r="1232" spans="1:6" x14ac:dyDescent="0.25">
      <c r="A1232" t="s">
        <v>16</v>
      </c>
      <c r="B1232" t="s">
        <v>1613</v>
      </c>
      <c r="C1232">
        <v>35203</v>
      </c>
      <c r="D1232">
        <v>0</v>
      </c>
      <c r="E1232">
        <v>0</v>
      </c>
      <c r="F1232">
        <v>0</v>
      </c>
    </row>
    <row r="1233" spans="1:6" x14ac:dyDescent="0.25">
      <c r="A1233" t="s">
        <v>25</v>
      </c>
      <c r="B1233" t="s">
        <v>1614</v>
      </c>
      <c r="C1233">
        <v>35204</v>
      </c>
      <c r="D1233">
        <v>0</v>
      </c>
      <c r="E1233">
        <v>0</v>
      </c>
      <c r="F1233">
        <v>0</v>
      </c>
    </row>
    <row r="1234" spans="1:6" x14ac:dyDescent="0.25">
      <c r="A1234" t="s">
        <v>26</v>
      </c>
      <c r="B1234" t="s">
        <v>1615</v>
      </c>
      <c r="C1234">
        <v>35205</v>
      </c>
      <c r="D1234">
        <v>0</v>
      </c>
      <c r="E1234">
        <v>0</v>
      </c>
      <c r="F1234">
        <v>0</v>
      </c>
    </row>
    <row r="1235" spans="1:6" x14ac:dyDescent="0.25">
      <c r="A1235" t="s">
        <v>27</v>
      </c>
      <c r="B1235" t="s">
        <v>1616</v>
      </c>
      <c r="C1235">
        <v>35206</v>
      </c>
      <c r="D1235">
        <v>0</v>
      </c>
      <c r="E1235">
        <v>0</v>
      </c>
      <c r="F1235">
        <v>0</v>
      </c>
    </row>
    <row r="1236" spans="1:6" x14ac:dyDescent="0.25">
      <c r="A1236" t="s">
        <v>531</v>
      </c>
      <c r="B1236" t="s">
        <v>1617</v>
      </c>
      <c r="C1236">
        <v>35207</v>
      </c>
      <c r="D1236">
        <v>0</v>
      </c>
      <c r="E1236">
        <v>0</v>
      </c>
      <c r="F1236">
        <v>0</v>
      </c>
    </row>
    <row r="1237" spans="1:6" x14ac:dyDescent="0.25">
      <c r="A1237" t="s">
        <v>1583</v>
      </c>
      <c r="B1237" t="s">
        <v>1618</v>
      </c>
      <c r="C1237">
        <v>35208</v>
      </c>
      <c r="D1237">
        <v>0</v>
      </c>
      <c r="E1237">
        <v>0</v>
      </c>
      <c r="F1237">
        <v>0</v>
      </c>
    </row>
    <row r="1238" spans="1:6" x14ac:dyDescent="0.25">
      <c r="A1238" t="s">
        <v>1585</v>
      </c>
      <c r="B1238" t="s">
        <v>1619</v>
      </c>
      <c r="C1238">
        <v>35209</v>
      </c>
      <c r="D1238">
        <v>0</v>
      </c>
      <c r="E1238">
        <v>0</v>
      </c>
      <c r="F1238">
        <v>0</v>
      </c>
    </row>
    <row r="1239" spans="1:6" x14ac:dyDescent="0.25">
      <c r="A1239" t="s">
        <v>1587</v>
      </c>
      <c r="B1239" t="s">
        <v>1620</v>
      </c>
      <c r="C1239">
        <v>35210</v>
      </c>
      <c r="D1239">
        <v>0</v>
      </c>
      <c r="E1239">
        <v>0</v>
      </c>
      <c r="F1239">
        <v>0</v>
      </c>
    </row>
    <row r="1240" spans="1:6" x14ac:dyDescent="0.25">
      <c r="A1240" t="s">
        <v>1589</v>
      </c>
      <c r="B1240" t="s">
        <v>1621</v>
      </c>
      <c r="C1240">
        <v>35211</v>
      </c>
      <c r="D1240">
        <v>0</v>
      </c>
      <c r="E1240">
        <v>0</v>
      </c>
      <c r="F1240">
        <v>0</v>
      </c>
    </row>
    <row r="1241" spans="1:6" x14ac:dyDescent="0.25">
      <c r="A1241" t="s">
        <v>1591</v>
      </c>
      <c r="B1241" t="s">
        <v>1622</v>
      </c>
      <c r="C1241">
        <v>35212</v>
      </c>
      <c r="D1241">
        <v>0</v>
      </c>
      <c r="E1241">
        <v>0</v>
      </c>
      <c r="F1241">
        <v>0</v>
      </c>
    </row>
    <row r="1242" spans="1:6" x14ac:dyDescent="0.25">
      <c r="A1242" t="s">
        <v>1593</v>
      </c>
      <c r="B1242" t="s">
        <v>1623</v>
      </c>
      <c r="C1242">
        <v>35213</v>
      </c>
      <c r="D1242">
        <v>0</v>
      </c>
      <c r="E1242">
        <v>0</v>
      </c>
      <c r="F1242">
        <v>0</v>
      </c>
    </row>
    <row r="1243" spans="1:6" x14ac:dyDescent="0.25">
      <c r="A1243" t="s">
        <v>1595</v>
      </c>
      <c r="B1243" t="s">
        <v>1624</v>
      </c>
      <c r="C1243">
        <v>35214</v>
      </c>
      <c r="D1243">
        <v>0</v>
      </c>
      <c r="E1243">
        <v>0</v>
      </c>
      <c r="F1243">
        <v>0</v>
      </c>
    </row>
    <row r="1244" spans="1:6" x14ac:dyDescent="0.25">
      <c r="A1244" t="s">
        <v>1597</v>
      </c>
      <c r="B1244" t="s">
        <v>1625</v>
      </c>
      <c r="C1244">
        <v>35215</v>
      </c>
      <c r="D1244">
        <v>0</v>
      </c>
      <c r="E1244">
        <v>0</v>
      </c>
      <c r="F1244">
        <v>0</v>
      </c>
    </row>
    <row r="1245" spans="1:6" x14ac:dyDescent="0.25">
      <c r="A1245" t="s">
        <v>1599</v>
      </c>
      <c r="B1245" t="s">
        <v>1626</v>
      </c>
      <c r="C1245">
        <v>35216</v>
      </c>
      <c r="D1245">
        <v>0</v>
      </c>
      <c r="E1245">
        <v>0</v>
      </c>
      <c r="F1245">
        <v>0</v>
      </c>
    </row>
    <row r="1246" spans="1:6" x14ac:dyDescent="0.25">
      <c r="A1246" t="s">
        <v>1601</v>
      </c>
      <c r="B1246" t="s">
        <v>1627</v>
      </c>
      <c r="C1246">
        <v>35217</v>
      </c>
      <c r="D1246">
        <v>0</v>
      </c>
      <c r="E1246">
        <v>0</v>
      </c>
      <c r="F1246">
        <v>0</v>
      </c>
    </row>
    <row r="1247" spans="1:6" x14ac:dyDescent="0.25">
      <c r="A1247" t="s">
        <v>1603</v>
      </c>
      <c r="B1247" t="s">
        <v>1596</v>
      </c>
      <c r="C1247">
        <v>35218</v>
      </c>
      <c r="D1247">
        <v>0</v>
      </c>
      <c r="E1247">
        <v>0</v>
      </c>
      <c r="F1247">
        <v>0</v>
      </c>
    </row>
    <row r="1248" spans="1:6" x14ac:dyDescent="0.25">
      <c r="A1248" t="s">
        <v>1605</v>
      </c>
      <c r="B1248" t="s">
        <v>1598</v>
      </c>
      <c r="C1248">
        <v>35219</v>
      </c>
      <c r="D1248">
        <v>0</v>
      </c>
      <c r="E1248">
        <v>0</v>
      </c>
      <c r="F1248">
        <v>0</v>
      </c>
    </row>
    <row r="1249" spans="1:6" x14ac:dyDescent="0.25">
      <c r="A1249" t="s">
        <v>1607</v>
      </c>
      <c r="B1249" t="s">
        <v>1602</v>
      </c>
      <c r="C1249">
        <v>35220</v>
      </c>
      <c r="D1249">
        <v>0</v>
      </c>
      <c r="E1249">
        <v>0</v>
      </c>
      <c r="F1249">
        <v>0</v>
      </c>
    </row>
    <row r="1250" spans="1:6" x14ac:dyDescent="0.25">
      <c r="B1250" t="s">
        <v>1994</v>
      </c>
      <c r="D1250">
        <v>0</v>
      </c>
      <c r="E1250">
        <v>0</v>
      </c>
      <c r="F1250">
        <v>0</v>
      </c>
    </row>
    <row r="1251" spans="1:6" x14ac:dyDescent="0.25">
      <c r="B1251" t="s">
        <v>1629</v>
      </c>
    </row>
    <row r="1252" spans="1:6" x14ac:dyDescent="0.25">
      <c r="A1252" t="s">
        <v>2</v>
      </c>
      <c r="B1252" t="s">
        <v>1627</v>
      </c>
      <c r="C1252">
        <v>35301</v>
      </c>
      <c r="D1252">
        <v>0</v>
      </c>
      <c r="E1252">
        <v>0</v>
      </c>
      <c r="F1252">
        <v>0</v>
      </c>
    </row>
    <row r="1253" spans="1:6" x14ac:dyDescent="0.25">
      <c r="A1253" t="s">
        <v>15</v>
      </c>
      <c r="B1253" t="s">
        <v>1625</v>
      </c>
      <c r="C1253">
        <v>35302</v>
      </c>
      <c r="D1253">
        <v>0</v>
      </c>
      <c r="E1253">
        <v>0</v>
      </c>
      <c r="F1253">
        <v>0</v>
      </c>
    </row>
    <row r="1254" spans="1:6" x14ac:dyDescent="0.25">
      <c r="A1254" t="s">
        <v>16</v>
      </c>
      <c r="B1254" t="s">
        <v>1626</v>
      </c>
      <c r="C1254">
        <v>35303</v>
      </c>
      <c r="D1254">
        <v>0</v>
      </c>
      <c r="E1254">
        <v>0</v>
      </c>
      <c r="F1254">
        <v>0</v>
      </c>
    </row>
    <row r="1255" spans="1:6" x14ac:dyDescent="0.25">
      <c r="B1255" t="s">
        <v>1995</v>
      </c>
      <c r="D1255">
        <v>0</v>
      </c>
      <c r="E1255">
        <v>0</v>
      </c>
      <c r="F1255">
        <v>0</v>
      </c>
    </row>
    <row r="1256" spans="1:6" x14ac:dyDescent="0.25">
      <c r="B1256" t="s">
        <v>1631</v>
      </c>
    </row>
    <row r="1257" spans="1:6" x14ac:dyDescent="0.25">
      <c r="A1257" t="s">
        <v>2</v>
      </c>
      <c r="B1257" t="s">
        <v>1627</v>
      </c>
      <c r="C1257">
        <v>35401</v>
      </c>
      <c r="D1257">
        <v>0</v>
      </c>
      <c r="E1257">
        <v>0</v>
      </c>
      <c r="F1257">
        <v>0</v>
      </c>
    </row>
    <row r="1258" spans="1:6" x14ac:dyDescent="0.25">
      <c r="A1258" t="s">
        <v>15</v>
      </c>
      <c r="B1258" t="s">
        <v>1625</v>
      </c>
      <c r="C1258">
        <v>35402</v>
      </c>
      <c r="D1258">
        <v>0</v>
      </c>
      <c r="E1258">
        <v>0</v>
      </c>
      <c r="F1258">
        <v>0</v>
      </c>
    </row>
    <row r="1259" spans="1:6" x14ac:dyDescent="0.25">
      <c r="A1259" t="s">
        <v>16</v>
      </c>
      <c r="B1259" t="s">
        <v>1626</v>
      </c>
      <c r="C1259">
        <v>35403</v>
      </c>
      <c r="D1259">
        <v>0</v>
      </c>
      <c r="E1259">
        <v>0</v>
      </c>
      <c r="F1259">
        <v>0</v>
      </c>
    </row>
    <row r="1260" spans="1:6" x14ac:dyDescent="0.25">
      <c r="B1260" t="s">
        <v>1996</v>
      </c>
      <c r="D1260">
        <v>0</v>
      </c>
      <c r="E1260">
        <v>0</v>
      </c>
      <c r="F1260">
        <v>0</v>
      </c>
    </row>
    <row r="1261" spans="1:6" x14ac:dyDescent="0.25">
      <c r="B1261" t="s">
        <v>1633</v>
      </c>
    </row>
    <row r="1262" spans="1:6" x14ac:dyDescent="0.25">
      <c r="A1262" t="s">
        <v>2</v>
      </c>
      <c r="B1262" t="s">
        <v>1634</v>
      </c>
      <c r="C1262">
        <v>35501</v>
      </c>
      <c r="D1262">
        <v>0</v>
      </c>
      <c r="E1262">
        <v>0</v>
      </c>
      <c r="F1262">
        <v>0</v>
      </c>
    </row>
    <row r="1263" spans="1:6" x14ac:dyDescent="0.25">
      <c r="A1263" t="s">
        <v>15</v>
      </c>
      <c r="B1263" t="s">
        <v>1635</v>
      </c>
      <c r="C1263">
        <v>35502</v>
      </c>
      <c r="D1263">
        <v>0</v>
      </c>
      <c r="E1263">
        <v>0</v>
      </c>
      <c r="F1263">
        <v>0</v>
      </c>
    </row>
    <row r="1264" spans="1:6" x14ac:dyDescent="0.25">
      <c r="A1264" t="s">
        <v>16</v>
      </c>
      <c r="B1264" t="s">
        <v>1636</v>
      </c>
      <c r="C1264">
        <v>35503</v>
      </c>
      <c r="D1264">
        <v>0</v>
      </c>
      <c r="E1264">
        <v>0</v>
      </c>
      <c r="F1264">
        <v>0</v>
      </c>
    </row>
    <row r="1265" spans="1:6" x14ac:dyDescent="0.25">
      <c r="A1265" t="s">
        <v>25</v>
      </c>
      <c r="B1265" t="s">
        <v>1637</v>
      </c>
      <c r="C1265">
        <v>35504</v>
      </c>
      <c r="D1265">
        <v>0</v>
      </c>
      <c r="E1265">
        <v>0</v>
      </c>
      <c r="F1265">
        <v>0</v>
      </c>
    </row>
    <row r="1266" spans="1:6" x14ac:dyDescent="0.25">
      <c r="A1266" t="s">
        <v>26</v>
      </c>
      <c r="B1266" t="s">
        <v>1638</v>
      </c>
      <c r="C1266">
        <v>35505</v>
      </c>
      <c r="D1266">
        <v>0</v>
      </c>
      <c r="E1266">
        <v>0</v>
      </c>
      <c r="F1266">
        <v>0</v>
      </c>
    </row>
    <row r="1267" spans="1:6" x14ac:dyDescent="0.25">
      <c r="A1267" t="s">
        <v>27</v>
      </c>
      <c r="B1267" t="s">
        <v>1639</v>
      </c>
      <c r="C1267">
        <v>35506</v>
      </c>
      <c r="D1267">
        <v>0</v>
      </c>
      <c r="E1267">
        <v>0</v>
      </c>
      <c r="F1267">
        <v>0</v>
      </c>
    </row>
    <row r="1268" spans="1:6" x14ac:dyDescent="0.25">
      <c r="A1268" t="s">
        <v>531</v>
      </c>
      <c r="B1268" t="s">
        <v>1640</v>
      </c>
      <c r="C1268">
        <v>35507</v>
      </c>
      <c r="D1268">
        <v>0</v>
      </c>
      <c r="E1268">
        <v>0</v>
      </c>
      <c r="F1268">
        <v>0</v>
      </c>
    </row>
    <row r="1269" spans="1:6" x14ac:dyDescent="0.25">
      <c r="A1269" t="s">
        <v>1583</v>
      </c>
      <c r="B1269" t="s">
        <v>1641</v>
      </c>
      <c r="C1269">
        <v>35508</v>
      </c>
      <c r="D1269">
        <v>0</v>
      </c>
      <c r="E1269">
        <v>0</v>
      </c>
      <c r="F1269">
        <v>0</v>
      </c>
    </row>
    <row r="1270" spans="1:6" x14ac:dyDescent="0.25">
      <c r="B1270" t="s">
        <v>1997</v>
      </c>
      <c r="D1270">
        <v>0</v>
      </c>
      <c r="E1270">
        <v>0</v>
      </c>
      <c r="F1270">
        <v>0</v>
      </c>
    </row>
    <row r="1271" spans="1:6" x14ac:dyDescent="0.25">
      <c r="B1271" t="s">
        <v>1643</v>
      </c>
    </row>
    <row r="1272" spans="1:6" x14ac:dyDescent="0.25">
      <c r="A1272" t="s">
        <v>2</v>
      </c>
      <c r="B1272" t="s">
        <v>1634</v>
      </c>
      <c r="C1272">
        <v>35601</v>
      </c>
      <c r="D1272">
        <v>0</v>
      </c>
      <c r="E1272">
        <v>0</v>
      </c>
      <c r="F1272">
        <v>0</v>
      </c>
    </row>
    <row r="1273" spans="1:6" x14ac:dyDescent="0.25">
      <c r="A1273" t="s">
        <v>15</v>
      </c>
      <c r="B1273" t="s">
        <v>1635</v>
      </c>
      <c r="C1273">
        <v>35602</v>
      </c>
      <c r="D1273">
        <v>0</v>
      </c>
      <c r="E1273">
        <v>0</v>
      </c>
      <c r="F1273">
        <v>0</v>
      </c>
    </row>
    <row r="1274" spans="1:6" x14ac:dyDescent="0.25">
      <c r="A1274" t="s">
        <v>16</v>
      </c>
      <c r="B1274" t="s">
        <v>1636</v>
      </c>
      <c r="C1274">
        <v>35603</v>
      </c>
      <c r="D1274">
        <v>0</v>
      </c>
      <c r="E1274">
        <v>0</v>
      </c>
      <c r="F1274">
        <v>0</v>
      </c>
    </row>
    <row r="1275" spans="1:6" x14ac:dyDescent="0.25">
      <c r="A1275" t="s">
        <v>25</v>
      </c>
      <c r="B1275" t="s">
        <v>1637</v>
      </c>
      <c r="C1275">
        <v>35604</v>
      </c>
      <c r="D1275">
        <v>0</v>
      </c>
      <c r="E1275">
        <v>0</v>
      </c>
      <c r="F1275">
        <v>0</v>
      </c>
    </row>
    <row r="1276" spans="1:6" x14ac:dyDescent="0.25">
      <c r="A1276" t="s">
        <v>26</v>
      </c>
      <c r="B1276" t="s">
        <v>1638</v>
      </c>
      <c r="C1276">
        <v>35605</v>
      </c>
      <c r="D1276">
        <v>0</v>
      </c>
      <c r="E1276">
        <v>0</v>
      </c>
      <c r="F1276">
        <v>0</v>
      </c>
    </row>
    <row r="1277" spans="1:6" x14ac:dyDescent="0.25">
      <c r="A1277" t="s">
        <v>27</v>
      </c>
      <c r="B1277" t="s">
        <v>1639</v>
      </c>
      <c r="C1277">
        <v>35606</v>
      </c>
      <c r="D1277">
        <v>0</v>
      </c>
      <c r="E1277">
        <v>0</v>
      </c>
      <c r="F1277">
        <v>0</v>
      </c>
    </row>
    <row r="1278" spans="1:6" x14ac:dyDescent="0.25">
      <c r="A1278" t="s">
        <v>531</v>
      </c>
      <c r="B1278" t="s">
        <v>1640</v>
      </c>
      <c r="C1278">
        <v>35607</v>
      </c>
      <c r="D1278">
        <v>0</v>
      </c>
      <c r="E1278">
        <v>0</v>
      </c>
      <c r="F1278">
        <v>0</v>
      </c>
    </row>
    <row r="1279" spans="1:6" x14ac:dyDescent="0.25">
      <c r="A1279" t="s">
        <v>1583</v>
      </c>
      <c r="B1279" t="s">
        <v>1641</v>
      </c>
      <c r="C1279">
        <v>35608</v>
      </c>
      <c r="D1279">
        <v>0</v>
      </c>
      <c r="E1279">
        <v>0</v>
      </c>
      <c r="F1279">
        <v>0</v>
      </c>
    </row>
    <row r="1280" spans="1:6" x14ac:dyDescent="0.25">
      <c r="B1280" t="s">
        <v>1998</v>
      </c>
      <c r="D1280">
        <v>0</v>
      </c>
      <c r="E1280">
        <v>0</v>
      </c>
      <c r="F1280">
        <v>0</v>
      </c>
    </row>
    <row r="1281" spans="1:6" x14ac:dyDescent="0.25">
      <c r="B1281" t="s">
        <v>1645</v>
      </c>
    </row>
    <row r="1282" spans="1:6" x14ac:dyDescent="0.25">
      <c r="A1282" t="s">
        <v>2</v>
      </c>
      <c r="B1282" t="s">
        <v>1634</v>
      </c>
      <c r="C1282">
        <v>35701</v>
      </c>
      <c r="D1282">
        <v>0</v>
      </c>
      <c r="E1282">
        <v>0</v>
      </c>
      <c r="F1282">
        <v>0</v>
      </c>
    </row>
    <row r="1283" spans="1:6" x14ac:dyDescent="0.25">
      <c r="A1283" t="s">
        <v>15</v>
      </c>
      <c r="B1283" t="s">
        <v>1635</v>
      </c>
      <c r="C1283">
        <v>35702</v>
      </c>
      <c r="D1283">
        <v>0</v>
      </c>
      <c r="E1283">
        <v>0</v>
      </c>
      <c r="F1283">
        <v>0</v>
      </c>
    </row>
    <row r="1284" spans="1:6" x14ac:dyDescent="0.25">
      <c r="A1284" t="s">
        <v>16</v>
      </c>
      <c r="B1284" t="s">
        <v>1636</v>
      </c>
      <c r="C1284">
        <v>35703</v>
      </c>
      <c r="D1284">
        <v>0</v>
      </c>
      <c r="E1284">
        <v>0</v>
      </c>
      <c r="F1284">
        <v>0</v>
      </c>
    </row>
    <row r="1285" spans="1:6" x14ac:dyDescent="0.25">
      <c r="A1285" t="s">
        <v>25</v>
      </c>
      <c r="B1285" t="s">
        <v>1637</v>
      </c>
      <c r="C1285">
        <v>35704</v>
      </c>
      <c r="D1285">
        <v>0</v>
      </c>
      <c r="E1285">
        <v>0</v>
      </c>
      <c r="F1285">
        <v>0</v>
      </c>
    </row>
    <row r="1286" spans="1:6" x14ac:dyDescent="0.25">
      <c r="A1286" t="s">
        <v>26</v>
      </c>
      <c r="B1286" t="s">
        <v>1638</v>
      </c>
      <c r="C1286">
        <v>35705</v>
      </c>
      <c r="D1286">
        <v>0</v>
      </c>
      <c r="E1286">
        <v>0</v>
      </c>
      <c r="F1286">
        <v>0</v>
      </c>
    </row>
    <row r="1287" spans="1:6" x14ac:dyDescent="0.25">
      <c r="A1287" t="s">
        <v>27</v>
      </c>
      <c r="B1287" t="s">
        <v>1639</v>
      </c>
      <c r="C1287">
        <v>35706</v>
      </c>
      <c r="D1287">
        <v>0</v>
      </c>
      <c r="E1287">
        <v>0</v>
      </c>
      <c r="F1287">
        <v>0</v>
      </c>
    </row>
    <row r="1288" spans="1:6" x14ac:dyDescent="0.25">
      <c r="A1288" t="s">
        <v>531</v>
      </c>
      <c r="B1288" t="s">
        <v>1640</v>
      </c>
      <c r="C1288">
        <v>35707</v>
      </c>
      <c r="D1288">
        <v>0</v>
      </c>
      <c r="E1288">
        <v>0</v>
      </c>
      <c r="F1288">
        <v>0</v>
      </c>
    </row>
    <row r="1289" spans="1:6" x14ac:dyDescent="0.25">
      <c r="A1289" t="s">
        <v>1583</v>
      </c>
      <c r="B1289" t="s">
        <v>1641</v>
      </c>
      <c r="C1289">
        <v>35708</v>
      </c>
      <c r="D1289">
        <v>0</v>
      </c>
      <c r="E1289">
        <v>0</v>
      </c>
      <c r="F1289">
        <v>0</v>
      </c>
    </row>
    <row r="1290" spans="1:6" x14ac:dyDescent="0.25">
      <c r="B1290" t="s">
        <v>1999</v>
      </c>
      <c r="D1290">
        <v>0</v>
      </c>
      <c r="E1290">
        <v>0</v>
      </c>
      <c r="F1290">
        <v>0</v>
      </c>
    </row>
    <row r="1291" spans="1:6" x14ac:dyDescent="0.25">
      <c r="B1291" t="s">
        <v>1647</v>
      </c>
    </row>
    <row r="1292" spans="1:6" x14ac:dyDescent="0.25">
      <c r="A1292" t="s">
        <v>2</v>
      </c>
      <c r="B1292" t="s">
        <v>1648</v>
      </c>
      <c r="C1292">
        <v>35801</v>
      </c>
      <c r="D1292">
        <v>0</v>
      </c>
      <c r="E1292">
        <v>0</v>
      </c>
      <c r="F1292">
        <v>0</v>
      </c>
    </row>
    <row r="1293" spans="1:6" x14ac:dyDescent="0.25">
      <c r="A1293" t="s">
        <v>15</v>
      </c>
      <c r="B1293" t="s">
        <v>1649</v>
      </c>
      <c r="C1293">
        <v>35802</v>
      </c>
      <c r="D1293">
        <v>0</v>
      </c>
      <c r="E1293">
        <v>0</v>
      </c>
      <c r="F1293">
        <v>0</v>
      </c>
    </row>
    <row r="1294" spans="1:6" x14ac:dyDescent="0.25">
      <c r="A1294" t="s">
        <v>16</v>
      </c>
      <c r="B1294" t="s">
        <v>1637</v>
      </c>
      <c r="C1294">
        <v>35803</v>
      </c>
      <c r="D1294">
        <v>0</v>
      </c>
      <c r="E1294">
        <v>0</v>
      </c>
      <c r="F1294">
        <v>0</v>
      </c>
    </row>
    <row r="1295" spans="1:6" x14ac:dyDescent="0.25">
      <c r="A1295" t="s">
        <v>25</v>
      </c>
      <c r="B1295" t="s">
        <v>1638</v>
      </c>
      <c r="C1295">
        <v>35804</v>
      </c>
      <c r="D1295">
        <v>0</v>
      </c>
      <c r="E1295">
        <v>0</v>
      </c>
      <c r="F1295">
        <v>0</v>
      </c>
    </row>
    <row r="1296" spans="1:6" x14ac:dyDescent="0.25">
      <c r="A1296" t="s">
        <v>26</v>
      </c>
      <c r="B1296" t="s">
        <v>1650</v>
      </c>
      <c r="C1296">
        <v>35805</v>
      </c>
      <c r="D1296">
        <v>0</v>
      </c>
      <c r="E1296">
        <v>0</v>
      </c>
      <c r="F1296">
        <v>0</v>
      </c>
    </row>
    <row r="1297" spans="1:6" x14ac:dyDescent="0.25">
      <c r="A1297" t="s">
        <v>27</v>
      </c>
      <c r="B1297" t="s">
        <v>1651</v>
      </c>
      <c r="C1297">
        <v>35806</v>
      </c>
      <c r="D1297">
        <v>0</v>
      </c>
      <c r="E1297">
        <v>0</v>
      </c>
      <c r="F1297">
        <v>0</v>
      </c>
    </row>
    <row r="1298" spans="1:6" x14ac:dyDescent="0.25">
      <c r="A1298" t="s">
        <v>531</v>
      </c>
      <c r="B1298" t="s">
        <v>1640</v>
      </c>
      <c r="C1298">
        <v>35807</v>
      </c>
      <c r="D1298">
        <v>0</v>
      </c>
      <c r="E1298">
        <v>0</v>
      </c>
      <c r="F1298">
        <v>0</v>
      </c>
    </row>
    <row r="1299" spans="1:6" x14ac:dyDescent="0.25">
      <c r="A1299" t="s">
        <v>1583</v>
      </c>
      <c r="B1299" t="s">
        <v>1641</v>
      </c>
      <c r="C1299">
        <v>35808</v>
      </c>
      <c r="D1299">
        <v>0</v>
      </c>
      <c r="E1299">
        <v>0</v>
      </c>
      <c r="F1299">
        <v>0</v>
      </c>
    </row>
    <row r="1300" spans="1:6" x14ac:dyDescent="0.25">
      <c r="B1300" t="s">
        <v>2000</v>
      </c>
      <c r="D1300">
        <v>0</v>
      </c>
      <c r="E1300">
        <v>0</v>
      </c>
      <c r="F1300">
        <v>0</v>
      </c>
    </row>
    <row r="1301" spans="1:6" x14ac:dyDescent="0.25">
      <c r="B1301" t="s">
        <v>1728</v>
      </c>
      <c r="D1301">
        <v>0</v>
      </c>
      <c r="E1301">
        <v>0</v>
      </c>
      <c r="F1301">
        <v>0</v>
      </c>
    </row>
    <row r="1302" spans="1:6" x14ac:dyDescent="0.25">
      <c r="B1302" t="s">
        <v>2001</v>
      </c>
    </row>
    <row r="1303" spans="1:6" x14ac:dyDescent="0.25">
      <c r="B1303" t="s">
        <v>1672</v>
      </c>
    </row>
    <row r="1304" spans="1:6" x14ac:dyDescent="0.25">
      <c r="A1304" t="s">
        <v>2</v>
      </c>
      <c r="B1304" t="s">
        <v>1673</v>
      </c>
      <c r="C1304">
        <v>36101</v>
      </c>
      <c r="D1304">
        <v>0</v>
      </c>
      <c r="E1304">
        <v>0</v>
      </c>
      <c r="F1304">
        <v>0</v>
      </c>
    </row>
    <row r="1305" spans="1:6" x14ac:dyDescent="0.25">
      <c r="A1305" t="s">
        <v>15</v>
      </c>
      <c r="B1305" t="s">
        <v>1674</v>
      </c>
      <c r="C1305">
        <v>36102</v>
      </c>
      <c r="D1305">
        <v>0</v>
      </c>
      <c r="E1305">
        <v>0</v>
      </c>
      <c r="F1305">
        <v>0</v>
      </c>
    </row>
    <row r="1306" spans="1:6" x14ac:dyDescent="0.25">
      <c r="A1306" t="s">
        <v>16</v>
      </c>
      <c r="B1306" t="s">
        <v>1675</v>
      </c>
      <c r="C1306">
        <v>36103</v>
      </c>
      <c r="D1306">
        <v>0</v>
      </c>
      <c r="E1306">
        <v>0</v>
      </c>
      <c r="F1306">
        <v>0</v>
      </c>
    </row>
    <row r="1307" spans="1:6" x14ac:dyDescent="0.25">
      <c r="A1307" t="s">
        <v>25</v>
      </c>
      <c r="B1307" t="s">
        <v>1676</v>
      </c>
      <c r="C1307">
        <v>36104</v>
      </c>
      <c r="D1307">
        <v>0</v>
      </c>
      <c r="E1307">
        <v>0</v>
      </c>
      <c r="F1307">
        <v>0</v>
      </c>
    </row>
    <row r="1308" spans="1:6" x14ac:dyDescent="0.25">
      <c r="A1308" t="s">
        <v>26</v>
      </c>
      <c r="B1308" t="s">
        <v>1677</v>
      </c>
      <c r="C1308">
        <v>36105</v>
      </c>
      <c r="D1308">
        <v>0</v>
      </c>
      <c r="E1308">
        <v>0</v>
      </c>
      <c r="F1308">
        <v>0</v>
      </c>
    </row>
    <row r="1309" spans="1:6" x14ac:dyDescent="0.25">
      <c r="B1309" t="s">
        <v>2002</v>
      </c>
      <c r="D1309">
        <v>0</v>
      </c>
      <c r="E1309">
        <v>0</v>
      </c>
      <c r="F1309">
        <v>0</v>
      </c>
    </row>
    <row r="1310" spans="1:6" x14ac:dyDescent="0.25">
      <c r="B1310" t="s">
        <v>1679</v>
      </c>
    </row>
    <row r="1311" spans="1:6" x14ac:dyDescent="0.25">
      <c r="A1311" t="s">
        <v>2</v>
      </c>
      <c r="B1311" t="s">
        <v>1680</v>
      </c>
      <c r="C1311">
        <v>36201</v>
      </c>
      <c r="D1311">
        <v>0</v>
      </c>
      <c r="E1311">
        <v>0</v>
      </c>
      <c r="F1311">
        <v>0</v>
      </c>
    </row>
    <row r="1312" spans="1:6" x14ac:dyDescent="0.25">
      <c r="A1312" t="s">
        <v>15</v>
      </c>
      <c r="B1312" t="s">
        <v>1681</v>
      </c>
      <c r="C1312">
        <v>36202</v>
      </c>
      <c r="D1312">
        <v>0</v>
      </c>
      <c r="E1312">
        <v>0</v>
      </c>
      <c r="F1312">
        <v>0</v>
      </c>
    </row>
    <row r="1313" spans="1:6" x14ac:dyDescent="0.25">
      <c r="A1313" t="s">
        <v>16</v>
      </c>
      <c r="B1313" t="s">
        <v>1682</v>
      </c>
      <c r="C1313">
        <v>36203</v>
      </c>
      <c r="D1313">
        <v>0</v>
      </c>
      <c r="E1313">
        <v>0</v>
      </c>
      <c r="F1313">
        <v>0</v>
      </c>
    </row>
    <row r="1314" spans="1:6" x14ac:dyDescent="0.25">
      <c r="A1314" t="s">
        <v>25</v>
      </c>
      <c r="B1314" t="s">
        <v>1683</v>
      </c>
      <c r="C1314">
        <v>36204</v>
      </c>
      <c r="D1314">
        <v>0</v>
      </c>
      <c r="E1314">
        <v>0</v>
      </c>
      <c r="F1314">
        <v>0</v>
      </c>
    </row>
    <row r="1315" spans="1:6" x14ac:dyDescent="0.25">
      <c r="A1315" t="s">
        <v>26</v>
      </c>
      <c r="B1315" t="s">
        <v>1684</v>
      </c>
      <c r="C1315">
        <v>36205</v>
      </c>
      <c r="D1315">
        <v>0</v>
      </c>
      <c r="E1315">
        <v>0</v>
      </c>
      <c r="F1315">
        <v>0</v>
      </c>
    </row>
    <row r="1316" spans="1:6" x14ac:dyDescent="0.25">
      <c r="A1316" t="s">
        <v>27</v>
      </c>
      <c r="B1316" t="s">
        <v>1685</v>
      </c>
      <c r="C1316">
        <v>36206</v>
      </c>
      <c r="D1316">
        <v>0</v>
      </c>
      <c r="E1316">
        <v>0</v>
      </c>
      <c r="F1316">
        <v>0</v>
      </c>
    </row>
    <row r="1317" spans="1:6" x14ac:dyDescent="0.25">
      <c r="A1317" t="s">
        <v>531</v>
      </c>
      <c r="B1317" t="s">
        <v>1686</v>
      </c>
      <c r="C1317">
        <v>36207</v>
      </c>
      <c r="D1317">
        <v>0</v>
      </c>
      <c r="E1317">
        <v>0</v>
      </c>
      <c r="F1317">
        <v>0</v>
      </c>
    </row>
    <row r="1318" spans="1:6" x14ac:dyDescent="0.25">
      <c r="A1318" t="s">
        <v>1583</v>
      </c>
      <c r="B1318" t="s">
        <v>1687</v>
      </c>
      <c r="C1318">
        <v>36208</v>
      </c>
      <c r="D1318">
        <v>0</v>
      </c>
      <c r="E1318">
        <v>0</v>
      </c>
      <c r="F1318">
        <v>0</v>
      </c>
    </row>
    <row r="1319" spans="1:6" x14ac:dyDescent="0.25">
      <c r="A1319" t="s">
        <v>1585</v>
      </c>
      <c r="B1319" t="s">
        <v>1688</v>
      </c>
      <c r="C1319">
        <v>36209</v>
      </c>
      <c r="D1319">
        <v>0</v>
      </c>
      <c r="E1319">
        <v>0</v>
      </c>
      <c r="F1319">
        <v>0</v>
      </c>
    </row>
    <row r="1320" spans="1:6" x14ac:dyDescent="0.25">
      <c r="A1320" t="s">
        <v>1587</v>
      </c>
      <c r="B1320" t="s">
        <v>1637</v>
      </c>
      <c r="C1320">
        <v>36210</v>
      </c>
      <c r="D1320">
        <v>0</v>
      </c>
      <c r="E1320">
        <v>0</v>
      </c>
      <c r="F1320">
        <v>0</v>
      </c>
    </row>
    <row r="1321" spans="1:6" x14ac:dyDescent="0.25">
      <c r="A1321" t="s">
        <v>1589</v>
      </c>
      <c r="B1321" t="s">
        <v>1640</v>
      </c>
      <c r="C1321">
        <v>36211</v>
      </c>
      <c r="D1321">
        <v>0</v>
      </c>
      <c r="E1321">
        <v>0</v>
      </c>
      <c r="F1321">
        <v>0</v>
      </c>
    </row>
    <row r="1322" spans="1:6" x14ac:dyDescent="0.25">
      <c r="A1322" t="s">
        <v>1591</v>
      </c>
      <c r="B1322" t="s">
        <v>1689</v>
      </c>
      <c r="C1322">
        <v>36212</v>
      </c>
      <c r="D1322">
        <v>0</v>
      </c>
      <c r="E1322">
        <v>0</v>
      </c>
      <c r="F1322">
        <v>0</v>
      </c>
    </row>
    <row r="1323" spans="1:6" x14ac:dyDescent="0.25">
      <c r="A1323" t="s">
        <v>1593</v>
      </c>
      <c r="B1323" t="s">
        <v>1690</v>
      </c>
      <c r="C1323">
        <v>36213</v>
      </c>
      <c r="D1323">
        <v>0</v>
      </c>
      <c r="E1323">
        <v>0</v>
      </c>
      <c r="F1323">
        <v>0</v>
      </c>
    </row>
    <row r="1324" spans="1:6" x14ac:dyDescent="0.25">
      <c r="B1324" t="s">
        <v>2003</v>
      </c>
      <c r="D1324">
        <v>0</v>
      </c>
      <c r="E1324">
        <v>0</v>
      </c>
      <c r="F1324">
        <v>0</v>
      </c>
    </row>
    <row r="1325" spans="1:6" x14ac:dyDescent="0.25">
      <c r="B1325" t="s">
        <v>1692</v>
      </c>
    </row>
    <row r="1326" spans="1:6" x14ac:dyDescent="0.25">
      <c r="A1326" t="s">
        <v>2</v>
      </c>
      <c r="B1326" t="s">
        <v>1693</v>
      </c>
      <c r="C1326">
        <v>36301</v>
      </c>
      <c r="D1326">
        <v>0</v>
      </c>
      <c r="E1326">
        <v>0</v>
      </c>
      <c r="F1326">
        <v>0</v>
      </c>
    </row>
    <row r="1327" spans="1:6" x14ac:dyDescent="0.25">
      <c r="A1327" t="s">
        <v>15</v>
      </c>
      <c r="B1327" t="s">
        <v>1694</v>
      </c>
      <c r="C1327">
        <v>36302</v>
      </c>
      <c r="D1327">
        <v>0</v>
      </c>
      <c r="E1327">
        <v>0</v>
      </c>
      <c r="F1327">
        <v>0</v>
      </c>
    </row>
    <row r="1328" spans="1:6" x14ac:dyDescent="0.25">
      <c r="A1328" t="s">
        <v>16</v>
      </c>
      <c r="B1328" t="s">
        <v>1695</v>
      </c>
      <c r="C1328">
        <v>36303</v>
      </c>
      <c r="D1328">
        <v>0</v>
      </c>
      <c r="E1328">
        <v>0</v>
      </c>
      <c r="F1328">
        <v>0</v>
      </c>
    </row>
    <row r="1329" spans="1:6" x14ac:dyDescent="0.25">
      <c r="A1329" t="s">
        <v>25</v>
      </c>
      <c r="B1329" t="s">
        <v>1696</v>
      </c>
      <c r="C1329">
        <v>36304</v>
      </c>
      <c r="D1329">
        <v>0</v>
      </c>
      <c r="E1329">
        <v>0</v>
      </c>
      <c r="F1329">
        <v>0</v>
      </c>
    </row>
    <row r="1330" spans="1:6" x14ac:dyDescent="0.25">
      <c r="A1330" t="s">
        <v>26</v>
      </c>
      <c r="B1330" t="s">
        <v>1680</v>
      </c>
      <c r="C1330">
        <v>36305</v>
      </c>
      <c r="D1330">
        <v>0</v>
      </c>
      <c r="E1330">
        <v>0</v>
      </c>
      <c r="F1330">
        <v>0</v>
      </c>
    </row>
    <row r="1331" spans="1:6" x14ac:dyDescent="0.25">
      <c r="A1331" t="s">
        <v>27</v>
      </c>
      <c r="B1331" t="s">
        <v>1681</v>
      </c>
      <c r="C1331">
        <v>36306</v>
      </c>
      <c r="D1331">
        <v>0</v>
      </c>
      <c r="E1331">
        <v>0</v>
      </c>
      <c r="F1331">
        <v>0</v>
      </c>
    </row>
    <row r="1332" spans="1:6" x14ac:dyDescent="0.25">
      <c r="A1332" t="s">
        <v>531</v>
      </c>
      <c r="B1332" t="s">
        <v>1682</v>
      </c>
      <c r="C1332">
        <v>36307</v>
      </c>
      <c r="D1332">
        <v>0</v>
      </c>
      <c r="E1332">
        <v>0</v>
      </c>
      <c r="F1332">
        <v>0</v>
      </c>
    </row>
    <row r="1333" spans="1:6" x14ac:dyDescent="0.25">
      <c r="A1333" t="s">
        <v>1583</v>
      </c>
      <c r="B1333" t="s">
        <v>1683</v>
      </c>
      <c r="C1333">
        <v>36308</v>
      </c>
      <c r="D1333">
        <v>0</v>
      </c>
      <c r="E1333">
        <v>0</v>
      </c>
      <c r="F1333">
        <v>0</v>
      </c>
    </row>
    <row r="1334" spans="1:6" x14ac:dyDescent="0.25">
      <c r="A1334" t="s">
        <v>1585</v>
      </c>
      <c r="B1334" t="s">
        <v>1684</v>
      </c>
      <c r="C1334">
        <v>36309</v>
      </c>
      <c r="D1334">
        <v>0</v>
      </c>
      <c r="E1334">
        <v>0</v>
      </c>
      <c r="F1334">
        <v>0</v>
      </c>
    </row>
    <row r="1335" spans="1:6" x14ac:dyDescent="0.25">
      <c r="A1335" t="s">
        <v>1587</v>
      </c>
      <c r="B1335" t="s">
        <v>1685</v>
      </c>
      <c r="C1335">
        <v>36310</v>
      </c>
      <c r="D1335">
        <v>0</v>
      </c>
      <c r="E1335">
        <v>0</v>
      </c>
      <c r="F1335">
        <v>0</v>
      </c>
    </row>
    <row r="1336" spans="1:6" x14ac:dyDescent="0.25">
      <c r="A1336" t="s">
        <v>1589</v>
      </c>
      <c r="B1336" t="s">
        <v>1686</v>
      </c>
      <c r="C1336">
        <v>36311</v>
      </c>
      <c r="D1336">
        <v>0</v>
      </c>
      <c r="E1336">
        <v>0</v>
      </c>
      <c r="F1336">
        <v>0</v>
      </c>
    </row>
    <row r="1337" spans="1:6" x14ac:dyDescent="0.25">
      <c r="A1337" t="s">
        <v>1591</v>
      </c>
      <c r="B1337" t="s">
        <v>1687</v>
      </c>
      <c r="C1337">
        <v>36312</v>
      </c>
      <c r="D1337">
        <v>0</v>
      </c>
      <c r="E1337">
        <v>0</v>
      </c>
      <c r="F1337">
        <v>0</v>
      </c>
    </row>
    <row r="1338" spans="1:6" x14ac:dyDescent="0.25">
      <c r="A1338" t="s">
        <v>1593</v>
      </c>
      <c r="B1338" t="s">
        <v>1688</v>
      </c>
      <c r="C1338">
        <v>36313</v>
      </c>
      <c r="D1338">
        <v>0</v>
      </c>
      <c r="E1338">
        <v>0</v>
      </c>
      <c r="F1338">
        <v>0</v>
      </c>
    </row>
    <row r="1339" spans="1:6" x14ac:dyDescent="0.25">
      <c r="A1339" t="s">
        <v>1595</v>
      </c>
      <c r="B1339" t="s">
        <v>1690</v>
      </c>
      <c r="C1339">
        <v>36314</v>
      </c>
      <c r="D1339">
        <v>0</v>
      </c>
      <c r="E1339">
        <v>0</v>
      </c>
      <c r="F1339">
        <v>0</v>
      </c>
    </row>
    <row r="1340" spans="1:6" x14ac:dyDescent="0.25">
      <c r="A1340" t="s">
        <v>1597</v>
      </c>
      <c r="B1340" t="s">
        <v>1637</v>
      </c>
      <c r="C1340">
        <v>36315</v>
      </c>
      <c r="D1340">
        <v>0</v>
      </c>
      <c r="E1340">
        <v>0</v>
      </c>
      <c r="F1340">
        <v>0</v>
      </c>
    </row>
    <row r="1341" spans="1:6" x14ac:dyDescent="0.25">
      <c r="A1341" t="s">
        <v>1599</v>
      </c>
      <c r="B1341" t="s">
        <v>1640</v>
      </c>
      <c r="C1341">
        <v>36316</v>
      </c>
      <c r="D1341">
        <v>0</v>
      </c>
      <c r="E1341">
        <v>0</v>
      </c>
      <c r="F1341">
        <v>0</v>
      </c>
    </row>
    <row r="1342" spans="1:6" x14ac:dyDescent="0.25">
      <c r="A1342" t="s">
        <v>1601</v>
      </c>
      <c r="B1342" t="s">
        <v>1636</v>
      </c>
      <c r="C1342">
        <v>36317</v>
      </c>
      <c r="D1342">
        <v>0</v>
      </c>
      <c r="E1342">
        <v>0</v>
      </c>
      <c r="F1342">
        <v>0</v>
      </c>
    </row>
    <row r="1343" spans="1:6" x14ac:dyDescent="0.25">
      <c r="A1343" t="s">
        <v>1603</v>
      </c>
      <c r="B1343" t="s">
        <v>1689</v>
      </c>
      <c r="C1343">
        <v>36318</v>
      </c>
      <c r="D1343">
        <v>0</v>
      </c>
      <c r="E1343">
        <v>0</v>
      </c>
      <c r="F1343">
        <v>0</v>
      </c>
    </row>
    <row r="1344" spans="1:6" x14ac:dyDescent="0.25">
      <c r="B1344" t="s">
        <v>2004</v>
      </c>
      <c r="D1344">
        <v>0</v>
      </c>
      <c r="E1344">
        <v>0</v>
      </c>
      <c r="F1344">
        <v>0</v>
      </c>
    </row>
    <row r="1345" spans="1:6" x14ac:dyDescent="0.25">
      <c r="B1345" t="s">
        <v>1698</v>
      </c>
    </row>
    <row r="1346" spans="1:6" x14ac:dyDescent="0.25">
      <c r="A1346" t="s">
        <v>2</v>
      </c>
      <c r="B1346" t="s">
        <v>1699</v>
      </c>
      <c r="C1346">
        <v>36401</v>
      </c>
      <c r="D1346">
        <v>0</v>
      </c>
      <c r="E1346">
        <v>0</v>
      </c>
      <c r="F1346">
        <v>0</v>
      </c>
    </row>
    <row r="1347" spans="1:6" x14ac:dyDescent="0.25">
      <c r="A1347" t="s">
        <v>15</v>
      </c>
      <c r="B1347" t="s">
        <v>1694</v>
      </c>
      <c r="C1347">
        <v>36402</v>
      </c>
      <c r="D1347">
        <v>0</v>
      </c>
      <c r="E1347">
        <v>0</v>
      </c>
      <c r="F1347">
        <v>0</v>
      </c>
    </row>
    <row r="1348" spans="1:6" x14ac:dyDescent="0.25">
      <c r="A1348" t="s">
        <v>16</v>
      </c>
      <c r="B1348" t="s">
        <v>1695</v>
      </c>
      <c r="C1348">
        <v>36403</v>
      </c>
      <c r="D1348">
        <v>0</v>
      </c>
      <c r="E1348">
        <v>0</v>
      </c>
      <c r="F1348">
        <v>0</v>
      </c>
    </row>
    <row r="1349" spans="1:6" x14ac:dyDescent="0.25">
      <c r="A1349" t="s">
        <v>25</v>
      </c>
      <c r="B1349" t="s">
        <v>1696</v>
      </c>
      <c r="C1349">
        <v>36404</v>
      </c>
      <c r="D1349">
        <v>0</v>
      </c>
      <c r="E1349">
        <v>0</v>
      </c>
      <c r="F1349">
        <v>0</v>
      </c>
    </row>
    <row r="1350" spans="1:6" x14ac:dyDescent="0.25">
      <c r="A1350" t="s">
        <v>26</v>
      </c>
      <c r="B1350" t="s">
        <v>1680</v>
      </c>
      <c r="C1350">
        <v>36405</v>
      </c>
      <c r="D1350">
        <v>0</v>
      </c>
      <c r="E1350">
        <v>0</v>
      </c>
      <c r="F1350">
        <v>0</v>
      </c>
    </row>
    <row r="1351" spans="1:6" x14ac:dyDescent="0.25">
      <c r="A1351" t="s">
        <v>27</v>
      </c>
      <c r="B1351" t="s">
        <v>1681</v>
      </c>
      <c r="C1351">
        <v>36406</v>
      </c>
      <c r="D1351">
        <v>0</v>
      </c>
      <c r="E1351">
        <v>0</v>
      </c>
      <c r="F1351">
        <v>0</v>
      </c>
    </row>
    <row r="1352" spans="1:6" x14ac:dyDescent="0.25">
      <c r="A1352" t="s">
        <v>531</v>
      </c>
      <c r="B1352" t="s">
        <v>1682</v>
      </c>
      <c r="C1352">
        <v>36407</v>
      </c>
      <c r="D1352">
        <v>0</v>
      </c>
      <c r="E1352">
        <v>0</v>
      </c>
      <c r="F1352">
        <v>0</v>
      </c>
    </row>
    <row r="1353" spans="1:6" x14ac:dyDescent="0.25">
      <c r="A1353" t="s">
        <v>1583</v>
      </c>
      <c r="B1353" t="s">
        <v>1683</v>
      </c>
      <c r="C1353">
        <v>36408</v>
      </c>
      <c r="D1353">
        <v>0</v>
      </c>
      <c r="E1353">
        <v>0</v>
      </c>
      <c r="F1353">
        <v>0</v>
      </c>
    </row>
    <row r="1354" spans="1:6" x14ac:dyDescent="0.25">
      <c r="A1354" t="s">
        <v>1585</v>
      </c>
      <c r="B1354" t="s">
        <v>1684</v>
      </c>
      <c r="C1354">
        <v>36409</v>
      </c>
      <c r="D1354">
        <v>0</v>
      </c>
      <c r="E1354">
        <v>0</v>
      </c>
      <c r="F1354">
        <v>0</v>
      </c>
    </row>
    <row r="1355" spans="1:6" x14ac:dyDescent="0.25">
      <c r="A1355" t="s">
        <v>1587</v>
      </c>
      <c r="B1355" t="s">
        <v>1685</v>
      </c>
      <c r="C1355">
        <v>36410</v>
      </c>
      <c r="D1355">
        <v>0</v>
      </c>
      <c r="E1355">
        <v>0</v>
      </c>
      <c r="F1355">
        <v>0</v>
      </c>
    </row>
    <row r="1356" spans="1:6" x14ac:dyDescent="0.25">
      <c r="A1356" t="s">
        <v>1589</v>
      </c>
      <c r="B1356" t="s">
        <v>1686</v>
      </c>
      <c r="C1356">
        <v>36411</v>
      </c>
      <c r="D1356">
        <v>0</v>
      </c>
      <c r="E1356">
        <v>0</v>
      </c>
      <c r="F1356">
        <v>0</v>
      </c>
    </row>
    <row r="1357" spans="1:6" x14ac:dyDescent="0.25">
      <c r="A1357" t="s">
        <v>1591</v>
      </c>
      <c r="B1357" t="s">
        <v>1687</v>
      </c>
      <c r="C1357">
        <v>36412</v>
      </c>
      <c r="D1357">
        <v>0</v>
      </c>
      <c r="E1357">
        <v>0</v>
      </c>
      <c r="F1357">
        <v>0</v>
      </c>
    </row>
    <row r="1358" spans="1:6" x14ac:dyDescent="0.25">
      <c r="A1358" t="s">
        <v>1593</v>
      </c>
      <c r="B1358" t="s">
        <v>1688</v>
      </c>
      <c r="C1358">
        <v>36413</v>
      </c>
      <c r="D1358">
        <v>0</v>
      </c>
      <c r="E1358">
        <v>0</v>
      </c>
      <c r="F1358">
        <v>0</v>
      </c>
    </row>
    <row r="1359" spans="1:6" x14ac:dyDescent="0.25">
      <c r="A1359" t="s">
        <v>1595</v>
      </c>
      <c r="B1359" t="s">
        <v>1690</v>
      </c>
      <c r="C1359">
        <v>36414</v>
      </c>
      <c r="D1359">
        <v>0</v>
      </c>
      <c r="E1359">
        <v>0</v>
      </c>
      <c r="F1359">
        <v>0</v>
      </c>
    </row>
    <row r="1360" spans="1:6" x14ac:dyDescent="0.25">
      <c r="A1360" t="s">
        <v>1597</v>
      </c>
      <c r="B1360" t="s">
        <v>1637</v>
      </c>
      <c r="C1360">
        <v>36415</v>
      </c>
      <c r="D1360">
        <v>0</v>
      </c>
      <c r="E1360">
        <v>0</v>
      </c>
      <c r="F1360">
        <v>0</v>
      </c>
    </row>
    <row r="1361" spans="1:6" x14ac:dyDescent="0.25">
      <c r="A1361" t="s">
        <v>1599</v>
      </c>
      <c r="B1361" t="s">
        <v>1640</v>
      </c>
      <c r="C1361">
        <v>36416</v>
      </c>
      <c r="D1361">
        <v>0</v>
      </c>
      <c r="E1361">
        <v>0</v>
      </c>
      <c r="F1361">
        <v>0</v>
      </c>
    </row>
    <row r="1362" spans="1:6" x14ac:dyDescent="0.25">
      <c r="A1362" t="s">
        <v>1601</v>
      </c>
      <c r="B1362" t="s">
        <v>1636</v>
      </c>
      <c r="C1362">
        <v>36417</v>
      </c>
      <c r="D1362">
        <v>0</v>
      </c>
      <c r="E1362">
        <v>0</v>
      </c>
      <c r="F1362">
        <v>0</v>
      </c>
    </row>
    <row r="1363" spans="1:6" x14ac:dyDescent="0.25">
      <c r="A1363" t="s">
        <v>1603</v>
      </c>
      <c r="B1363" t="s">
        <v>1689</v>
      </c>
      <c r="C1363">
        <v>36418</v>
      </c>
      <c r="D1363">
        <v>0</v>
      </c>
      <c r="E1363">
        <v>0</v>
      </c>
      <c r="F1363">
        <v>0</v>
      </c>
    </row>
    <row r="1364" spans="1:6" x14ac:dyDescent="0.25">
      <c r="B1364" t="s">
        <v>2005</v>
      </c>
      <c r="D1364">
        <v>0</v>
      </c>
      <c r="E1364">
        <v>0</v>
      </c>
      <c r="F1364">
        <v>0</v>
      </c>
    </row>
    <row r="1365" spans="1:6" x14ac:dyDescent="0.25">
      <c r="B1365" t="s">
        <v>1701</v>
      </c>
    </row>
    <row r="1366" spans="1:6" x14ac:dyDescent="0.25">
      <c r="A1366" t="s">
        <v>2</v>
      </c>
      <c r="B1366" t="s">
        <v>1702</v>
      </c>
      <c r="C1366">
        <v>36501</v>
      </c>
      <c r="D1366">
        <v>0</v>
      </c>
      <c r="E1366">
        <v>0</v>
      </c>
      <c r="F1366">
        <v>0</v>
      </c>
    </row>
    <row r="1367" spans="1:6" x14ac:dyDescent="0.25">
      <c r="A1367" t="s">
        <v>15</v>
      </c>
      <c r="B1367" t="s">
        <v>1703</v>
      </c>
      <c r="C1367">
        <v>36502</v>
      </c>
      <c r="D1367">
        <v>0</v>
      </c>
      <c r="E1367">
        <v>0</v>
      </c>
      <c r="F1367">
        <v>0</v>
      </c>
    </row>
    <row r="1368" spans="1:6" x14ac:dyDescent="0.25">
      <c r="B1368" t="s">
        <v>2006</v>
      </c>
      <c r="D1368">
        <v>0</v>
      </c>
      <c r="E1368">
        <v>0</v>
      </c>
      <c r="F1368">
        <v>0</v>
      </c>
    </row>
    <row r="1369" spans="1:6" x14ac:dyDescent="0.25">
      <c r="B1369" t="s">
        <v>1705</v>
      </c>
    </row>
    <row r="1370" spans="1:6" x14ac:dyDescent="0.25">
      <c r="A1370" t="s">
        <v>2</v>
      </c>
      <c r="B1370" t="s">
        <v>1702</v>
      </c>
      <c r="C1370">
        <v>36601</v>
      </c>
      <c r="D1370">
        <v>0</v>
      </c>
      <c r="E1370">
        <v>0</v>
      </c>
      <c r="F1370">
        <v>0</v>
      </c>
    </row>
    <row r="1371" spans="1:6" x14ac:dyDescent="0.25">
      <c r="A1371" t="s">
        <v>15</v>
      </c>
      <c r="B1371" t="s">
        <v>1703</v>
      </c>
      <c r="C1371">
        <v>36602</v>
      </c>
      <c r="D1371">
        <v>0</v>
      </c>
      <c r="E1371">
        <v>0</v>
      </c>
      <c r="F1371">
        <v>0</v>
      </c>
    </row>
    <row r="1372" spans="1:6" x14ac:dyDescent="0.25">
      <c r="B1372" t="s">
        <v>2007</v>
      </c>
      <c r="D1372">
        <v>0</v>
      </c>
      <c r="E1372">
        <v>0</v>
      </c>
      <c r="F1372">
        <v>0</v>
      </c>
    </row>
    <row r="1373" spans="1:6" x14ac:dyDescent="0.25">
      <c r="B1373" t="s">
        <v>1707</v>
      </c>
    </row>
    <row r="1374" spans="1:6" x14ac:dyDescent="0.25">
      <c r="A1374" t="s">
        <v>2</v>
      </c>
      <c r="B1374" t="s">
        <v>1702</v>
      </c>
      <c r="C1374">
        <v>36701</v>
      </c>
      <c r="D1374">
        <v>0</v>
      </c>
      <c r="E1374">
        <v>0</v>
      </c>
      <c r="F1374">
        <v>0</v>
      </c>
    </row>
    <row r="1375" spans="1:6" x14ac:dyDescent="0.25">
      <c r="A1375" t="s">
        <v>15</v>
      </c>
      <c r="B1375" t="s">
        <v>1703</v>
      </c>
      <c r="C1375">
        <v>36702</v>
      </c>
      <c r="D1375">
        <v>0</v>
      </c>
      <c r="E1375">
        <v>0</v>
      </c>
      <c r="F1375">
        <v>0</v>
      </c>
    </row>
    <row r="1376" spans="1:6" x14ac:dyDescent="0.25">
      <c r="B1376" t="s">
        <v>2008</v>
      </c>
      <c r="D1376">
        <v>0</v>
      </c>
      <c r="E1376">
        <v>0</v>
      </c>
      <c r="F1376">
        <v>0</v>
      </c>
    </row>
    <row r="1377" spans="1:6" x14ac:dyDescent="0.25">
      <c r="B1377" t="s">
        <v>1709</v>
      </c>
    </row>
    <row r="1378" spans="1:6" x14ac:dyDescent="0.25">
      <c r="A1378" t="s">
        <v>2</v>
      </c>
      <c r="B1378" t="s">
        <v>1710</v>
      </c>
      <c r="C1378">
        <v>36801</v>
      </c>
      <c r="D1378">
        <v>0</v>
      </c>
      <c r="E1378">
        <v>0</v>
      </c>
      <c r="F1378">
        <v>0</v>
      </c>
    </row>
    <row r="1379" spans="1:6" x14ac:dyDescent="0.25">
      <c r="A1379" t="s">
        <v>15</v>
      </c>
      <c r="B1379" t="s">
        <v>1711</v>
      </c>
      <c r="C1379">
        <v>36802</v>
      </c>
      <c r="D1379">
        <v>0</v>
      </c>
      <c r="E1379">
        <v>0</v>
      </c>
      <c r="F1379">
        <v>0</v>
      </c>
    </row>
    <row r="1380" spans="1:6" x14ac:dyDescent="0.25">
      <c r="A1380" t="s">
        <v>16</v>
      </c>
      <c r="B1380" t="s">
        <v>1712</v>
      </c>
      <c r="C1380">
        <v>36803</v>
      </c>
      <c r="D1380">
        <v>0</v>
      </c>
      <c r="E1380">
        <v>0</v>
      </c>
      <c r="F1380">
        <v>0</v>
      </c>
    </row>
    <row r="1381" spans="1:6" x14ac:dyDescent="0.25">
      <c r="A1381" t="s">
        <v>25</v>
      </c>
      <c r="B1381" t="s">
        <v>1713</v>
      </c>
      <c r="C1381">
        <v>36804</v>
      </c>
      <c r="D1381">
        <v>0</v>
      </c>
      <c r="E1381">
        <v>0</v>
      </c>
      <c r="F1381">
        <v>0</v>
      </c>
    </row>
    <row r="1382" spans="1:6" x14ac:dyDescent="0.25">
      <c r="A1382" t="s">
        <v>26</v>
      </c>
      <c r="B1382" t="s">
        <v>1714</v>
      </c>
      <c r="C1382">
        <v>36805</v>
      </c>
      <c r="D1382">
        <v>0</v>
      </c>
      <c r="E1382">
        <v>0</v>
      </c>
      <c r="F1382">
        <v>0</v>
      </c>
    </row>
    <row r="1383" spans="1:6" x14ac:dyDescent="0.25">
      <c r="B1383" t="s">
        <v>2009</v>
      </c>
      <c r="D1383">
        <v>0</v>
      </c>
      <c r="E1383">
        <v>0</v>
      </c>
      <c r="F1383">
        <v>0</v>
      </c>
    </row>
    <row r="1384" spans="1:6" x14ac:dyDescent="0.25">
      <c r="B1384" t="s">
        <v>1732</v>
      </c>
      <c r="D1384">
        <v>0</v>
      </c>
      <c r="E1384">
        <v>0</v>
      </c>
      <c r="F1384">
        <v>0</v>
      </c>
    </row>
    <row r="1385" spans="1:6" x14ac:dyDescent="0.25">
      <c r="B1385" t="s">
        <v>2010</v>
      </c>
    </row>
    <row r="1386" spans="1:6" x14ac:dyDescent="0.25">
      <c r="B1386" t="s">
        <v>1575</v>
      </c>
    </row>
    <row r="1387" spans="1:6" x14ac:dyDescent="0.25">
      <c r="A1387" t="s">
        <v>2</v>
      </c>
      <c r="B1387" t="s">
        <v>1576</v>
      </c>
      <c r="C1387">
        <v>37101</v>
      </c>
      <c r="D1387">
        <v>0</v>
      </c>
      <c r="F1387">
        <v>0</v>
      </c>
    </row>
    <row r="1388" spans="1:6" x14ac:dyDescent="0.25">
      <c r="A1388" t="s">
        <v>15</v>
      </c>
      <c r="B1388" t="s">
        <v>1577</v>
      </c>
      <c r="C1388">
        <v>37102</v>
      </c>
      <c r="D1388">
        <v>0</v>
      </c>
      <c r="F1388">
        <v>0</v>
      </c>
    </row>
    <row r="1389" spans="1:6" x14ac:dyDescent="0.25">
      <c r="A1389" t="s">
        <v>16</v>
      </c>
      <c r="B1389" t="s">
        <v>1578</v>
      </c>
      <c r="C1389">
        <v>37103</v>
      </c>
      <c r="D1389">
        <v>0</v>
      </c>
      <c r="F1389">
        <v>0</v>
      </c>
    </row>
    <row r="1390" spans="1:6" x14ac:dyDescent="0.25">
      <c r="A1390" t="s">
        <v>25</v>
      </c>
      <c r="B1390" t="s">
        <v>1579</v>
      </c>
      <c r="C1390">
        <v>37104</v>
      </c>
      <c r="D1390">
        <v>0</v>
      </c>
      <c r="F1390">
        <v>0</v>
      </c>
    </row>
    <row r="1391" spans="1:6" x14ac:dyDescent="0.25">
      <c r="A1391" t="s">
        <v>26</v>
      </c>
      <c r="B1391" t="s">
        <v>1580</v>
      </c>
      <c r="C1391">
        <v>37105</v>
      </c>
      <c r="D1391">
        <v>62</v>
      </c>
      <c r="F1391">
        <v>62</v>
      </c>
    </row>
    <row r="1392" spans="1:6" x14ac:dyDescent="0.25">
      <c r="A1392" t="s">
        <v>27</v>
      </c>
      <c r="B1392" t="s">
        <v>1581</v>
      </c>
      <c r="C1392">
        <v>37106</v>
      </c>
      <c r="D1392">
        <v>0</v>
      </c>
      <c r="F1392">
        <v>0</v>
      </c>
    </row>
    <row r="1393" spans="1:6" x14ac:dyDescent="0.25">
      <c r="A1393" t="s">
        <v>531</v>
      </c>
      <c r="B1393" t="s">
        <v>1582</v>
      </c>
      <c r="C1393">
        <v>37107</v>
      </c>
      <c r="D1393">
        <v>0</v>
      </c>
      <c r="F1393">
        <v>0</v>
      </c>
    </row>
    <row r="1394" spans="1:6" x14ac:dyDescent="0.25">
      <c r="A1394" t="s">
        <v>1583</v>
      </c>
      <c r="B1394" t="s">
        <v>1584</v>
      </c>
      <c r="C1394">
        <v>37108</v>
      </c>
      <c r="D1394">
        <v>0</v>
      </c>
      <c r="F1394">
        <v>0</v>
      </c>
    </row>
    <row r="1395" spans="1:6" x14ac:dyDescent="0.25">
      <c r="A1395" t="s">
        <v>1585</v>
      </c>
      <c r="B1395" t="s">
        <v>1586</v>
      </c>
      <c r="C1395">
        <v>37109</v>
      </c>
      <c r="D1395">
        <v>164249</v>
      </c>
      <c r="F1395">
        <v>164249</v>
      </c>
    </row>
    <row r="1396" spans="1:6" x14ac:dyDescent="0.25">
      <c r="A1396" t="s">
        <v>1587</v>
      </c>
      <c r="B1396" t="s">
        <v>1588</v>
      </c>
      <c r="C1396">
        <v>37110</v>
      </c>
      <c r="D1396">
        <v>54985</v>
      </c>
      <c r="F1396">
        <v>54985</v>
      </c>
    </row>
    <row r="1397" spans="1:6" x14ac:dyDescent="0.25">
      <c r="A1397" t="s">
        <v>1589</v>
      </c>
      <c r="B1397" t="s">
        <v>1590</v>
      </c>
      <c r="C1397">
        <v>37111</v>
      </c>
      <c r="D1397">
        <v>1200708</v>
      </c>
      <c r="F1397">
        <v>1200708</v>
      </c>
    </row>
    <row r="1398" spans="1:6" x14ac:dyDescent="0.25">
      <c r="A1398" t="s">
        <v>1591</v>
      </c>
      <c r="B1398" t="s">
        <v>1592</v>
      </c>
      <c r="C1398">
        <v>37112</v>
      </c>
      <c r="D1398">
        <v>25822944</v>
      </c>
      <c r="F1398">
        <v>25822944</v>
      </c>
    </row>
    <row r="1399" spans="1:6" x14ac:dyDescent="0.25">
      <c r="A1399" t="s">
        <v>1593</v>
      </c>
      <c r="B1399" t="s">
        <v>1594</v>
      </c>
      <c r="C1399">
        <v>37113</v>
      </c>
      <c r="D1399">
        <v>3662</v>
      </c>
      <c r="F1399">
        <v>3662</v>
      </c>
    </row>
    <row r="1400" spans="1:6" x14ac:dyDescent="0.25">
      <c r="A1400" t="s">
        <v>1595</v>
      </c>
      <c r="B1400" t="s">
        <v>1596</v>
      </c>
      <c r="C1400">
        <v>37114</v>
      </c>
      <c r="D1400">
        <v>253409</v>
      </c>
      <c r="F1400">
        <v>253409</v>
      </c>
    </row>
    <row r="1401" spans="1:6" x14ac:dyDescent="0.25">
      <c r="A1401" t="s">
        <v>1597</v>
      </c>
      <c r="B1401" t="s">
        <v>1598</v>
      </c>
      <c r="C1401">
        <v>37115</v>
      </c>
      <c r="D1401">
        <v>4991297</v>
      </c>
      <c r="F1401">
        <v>4991297</v>
      </c>
    </row>
    <row r="1402" spans="1:6" x14ac:dyDescent="0.25">
      <c r="A1402" t="s">
        <v>1599</v>
      </c>
      <c r="B1402" t="s">
        <v>1600</v>
      </c>
      <c r="C1402">
        <v>37116</v>
      </c>
      <c r="D1402">
        <v>170848</v>
      </c>
      <c r="F1402">
        <v>170848</v>
      </c>
    </row>
    <row r="1403" spans="1:6" x14ac:dyDescent="0.25">
      <c r="A1403" t="s">
        <v>1601</v>
      </c>
      <c r="B1403" t="s">
        <v>1602</v>
      </c>
      <c r="C1403">
        <v>37117</v>
      </c>
      <c r="D1403">
        <v>0</v>
      </c>
      <c r="F1403">
        <v>0</v>
      </c>
    </row>
    <row r="1404" spans="1:6" x14ac:dyDescent="0.25">
      <c r="A1404" t="s">
        <v>1603</v>
      </c>
      <c r="B1404" t="s">
        <v>1604</v>
      </c>
      <c r="C1404">
        <v>37118</v>
      </c>
      <c r="D1404">
        <v>3139550</v>
      </c>
      <c r="F1404">
        <v>3139550</v>
      </c>
    </row>
    <row r="1405" spans="1:6" x14ac:dyDescent="0.25">
      <c r="A1405" t="s">
        <v>1605</v>
      </c>
      <c r="B1405" t="s">
        <v>1606</v>
      </c>
      <c r="C1405">
        <v>37119</v>
      </c>
      <c r="D1405">
        <v>0</v>
      </c>
      <c r="F1405">
        <v>0</v>
      </c>
    </row>
    <row r="1406" spans="1:6" x14ac:dyDescent="0.25">
      <c r="A1406" t="s">
        <v>1607</v>
      </c>
      <c r="B1406" t="s">
        <v>1608</v>
      </c>
      <c r="C1406">
        <v>37120</v>
      </c>
      <c r="D1406">
        <v>0</v>
      </c>
      <c r="F1406">
        <v>0</v>
      </c>
    </row>
    <row r="1407" spans="1:6" x14ac:dyDescent="0.25">
      <c r="B1407" t="s">
        <v>2011</v>
      </c>
      <c r="D1407">
        <v>35801714</v>
      </c>
      <c r="F1407">
        <v>35801714</v>
      </c>
    </row>
    <row r="1408" spans="1:6" x14ac:dyDescent="0.25">
      <c r="B1408" t="s">
        <v>1656</v>
      </c>
    </row>
    <row r="1409" spans="1:6" x14ac:dyDescent="0.25">
      <c r="A1409" t="s">
        <v>2</v>
      </c>
      <c r="B1409" t="s">
        <v>1611</v>
      </c>
      <c r="C1409">
        <v>37201</v>
      </c>
      <c r="D1409">
        <v>0</v>
      </c>
      <c r="F1409">
        <v>0</v>
      </c>
    </row>
    <row r="1410" spans="1:6" x14ac:dyDescent="0.25">
      <c r="A1410" t="s">
        <v>15</v>
      </c>
      <c r="B1410" t="s">
        <v>1612</v>
      </c>
      <c r="C1410">
        <v>37202</v>
      </c>
      <c r="D1410">
        <v>0</v>
      </c>
      <c r="F1410">
        <v>0</v>
      </c>
    </row>
    <row r="1411" spans="1:6" x14ac:dyDescent="0.25">
      <c r="A1411" t="s">
        <v>16</v>
      </c>
      <c r="B1411" t="s">
        <v>1613</v>
      </c>
      <c r="C1411">
        <v>37203</v>
      </c>
      <c r="D1411">
        <v>0</v>
      </c>
      <c r="F1411">
        <v>0</v>
      </c>
    </row>
    <row r="1412" spans="1:6" x14ac:dyDescent="0.25">
      <c r="A1412" t="s">
        <v>25</v>
      </c>
      <c r="B1412" t="s">
        <v>1614</v>
      </c>
      <c r="C1412">
        <v>37204</v>
      </c>
      <c r="D1412">
        <v>25929</v>
      </c>
      <c r="F1412">
        <v>25929</v>
      </c>
    </row>
    <row r="1413" spans="1:6" x14ac:dyDescent="0.25">
      <c r="A1413" t="s">
        <v>26</v>
      </c>
      <c r="B1413" t="s">
        <v>1615</v>
      </c>
      <c r="C1413">
        <v>37205</v>
      </c>
      <c r="D1413">
        <v>0</v>
      </c>
      <c r="F1413">
        <v>0</v>
      </c>
    </row>
    <row r="1414" spans="1:6" x14ac:dyDescent="0.25">
      <c r="A1414" t="s">
        <v>27</v>
      </c>
      <c r="B1414" t="s">
        <v>1616</v>
      </c>
      <c r="C1414">
        <v>37206</v>
      </c>
      <c r="D1414">
        <v>0</v>
      </c>
      <c r="F1414">
        <v>0</v>
      </c>
    </row>
    <row r="1415" spans="1:6" x14ac:dyDescent="0.25">
      <c r="A1415" t="s">
        <v>531</v>
      </c>
      <c r="B1415" t="s">
        <v>1617</v>
      </c>
      <c r="C1415">
        <v>37207</v>
      </c>
      <c r="D1415">
        <v>0</v>
      </c>
      <c r="F1415">
        <v>0</v>
      </c>
    </row>
    <row r="1416" spans="1:6" x14ac:dyDescent="0.25">
      <c r="A1416" t="s">
        <v>1583</v>
      </c>
      <c r="B1416" t="s">
        <v>1618</v>
      </c>
      <c r="C1416">
        <v>37208</v>
      </c>
      <c r="D1416">
        <v>0</v>
      </c>
      <c r="F1416">
        <v>0</v>
      </c>
    </row>
    <row r="1417" spans="1:6" x14ac:dyDescent="0.25">
      <c r="A1417" t="s">
        <v>1585</v>
      </c>
      <c r="B1417" t="s">
        <v>1619</v>
      </c>
      <c r="C1417">
        <v>37209</v>
      </c>
      <c r="D1417">
        <v>0</v>
      </c>
      <c r="F1417">
        <v>0</v>
      </c>
    </row>
    <row r="1418" spans="1:6" x14ac:dyDescent="0.25">
      <c r="A1418" t="s">
        <v>1587</v>
      </c>
      <c r="B1418" t="s">
        <v>1620</v>
      </c>
      <c r="C1418">
        <v>37210</v>
      </c>
      <c r="D1418">
        <v>0</v>
      </c>
      <c r="F1418">
        <v>0</v>
      </c>
    </row>
    <row r="1419" spans="1:6" x14ac:dyDescent="0.25">
      <c r="A1419" t="s">
        <v>1589</v>
      </c>
      <c r="B1419" t="s">
        <v>1621</v>
      </c>
      <c r="C1419">
        <v>37211</v>
      </c>
      <c r="D1419">
        <v>1672128</v>
      </c>
      <c r="F1419">
        <v>1672128</v>
      </c>
    </row>
    <row r="1420" spans="1:6" x14ac:dyDescent="0.25">
      <c r="A1420" t="s">
        <v>1591</v>
      </c>
      <c r="B1420" t="s">
        <v>1622</v>
      </c>
      <c r="C1420">
        <v>37212</v>
      </c>
      <c r="D1420">
        <v>18000654</v>
      </c>
      <c r="F1420">
        <v>18000654</v>
      </c>
    </row>
    <row r="1421" spans="1:6" x14ac:dyDescent="0.25">
      <c r="A1421" t="s">
        <v>1593</v>
      </c>
      <c r="B1421" t="s">
        <v>1623</v>
      </c>
      <c r="C1421">
        <v>37213</v>
      </c>
      <c r="D1421">
        <v>0</v>
      </c>
      <c r="F1421">
        <v>0</v>
      </c>
    </row>
    <row r="1422" spans="1:6" x14ac:dyDescent="0.25">
      <c r="A1422" t="s">
        <v>1595</v>
      </c>
      <c r="B1422" t="s">
        <v>1624</v>
      </c>
      <c r="C1422">
        <v>37214</v>
      </c>
      <c r="D1422">
        <v>0</v>
      </c>
      <c r="F1422">
        <v>0</v>
      </c>
    </row>
    <row r="1423" spans="1:6" x14ac:dyDescent="0.25">
      <c r="A1423" t="s">
        <v>1597</v>
      </c>
      <c r="B1423" t="s">
        <v>1625</v>
      </c>
      <c r="C1423">
        <v>37215</v>
      </c>
      <c r="D1423">
        <v>0</v>
      </c>
      <c r="F1423">
        <v>0</v>
      </c>
    </row>
    <row r="1424" spans="1:6" x14ac:dyDescent="0.25">
      <c r="A1424" t="s">
        <v>1599</v>
      </c>
      <c r="B1424" t="s">
        <v>1626</v>
      </c>
      <c r="C1424">
        <v>37216</v>
      </c>
      <c r="D1424">
        <v>0</v>
      </c>
      <c r="F1424">
        <v>0</v>
      </c>
    </row>
    <row r="1425" spans="1:6" x14ac:dyDescent="0.25">
      <c r="A1425" t="s">
        <v>1601</v>
      </c>
      <c r="B1425" t="s">
        <v>1627</v>
      </c>
      <c r="C1425">
        <v>37217</v>
      </c>
      <c r="D1425">
        <v>0</v>
      </c>
      <c r="F1425">
        <v>0</v>
      </c>
    </row>
    <row r="1426" spans="1:6" x14ac:dyDescent="0.25">
      <c r="A1426" t="s">
        <v>1603</v>
      </c>
      <c r="B1426" t="s">
        <v>1596</v>
      </c>
      <c r="C1426">
        <v>37218</v>
      </c>
      <c r="D1426">
        <v>10</v>
      </c>
      <c r="F1426">
        <v>10</v>
      </c>
    </row>
    <row r="1427" spans="1:6" x14ac:dyDescent="0.25">
      <c r="A1427" t="s">
        <v>1605</v>
      </c>
      <c r="B1427" t="s">
        <v>1598</v>
      </c>
      <c r="C1427">
        <v>37219</v>
      </c>
      <c r="D1427">
        <v>108841</v>
      </c>
      <c r="F1427">
        <v>108841</v>
      </c>
    </row>
    <row r="1428" spans="1:6" x14ac:dyDescent="0.25">
      <c r="A1428" t="s">
        <v>1607</v>
      </c>
      <c r="B1428" t="s">
        <v>1602</v>
      </c>
      <c r="C1428">
        <v>37220</v>
      </c>
      <c r="D1428">
        <v>0</v>
      </c>
      <c r="F1428">
        <v>0</v>
      </c>
    </row>
    <row r="1429" spans="1:6" x14ac:dyDescent="0.25">
      <c r="B1429" t="s">
        <v>2012</v>
      </c>
      <c r="D1429">
        <v>19807562</v>
      </c>
      <c r="F1429">
        <v>19807562</v>
      </c>
    </row>
    <row r="1430" spans="1:6" x14ac:dyDescent="0.25">
      <c r="B1430" t="s">
        <v>1629</v>
      </c>
    </row>
    <row r="1431" spans="1:6" x14ac:dyDescent="0.25">
      <c r="A1431" t="s">
        <v>2</v>
      </c>
      <c r="B1431" t="s">
        <v>1627</v>
      </c>
      <c r="C1431">
        <v>37301</v>
      </c>
      <c r="D1431">
        <v>0</v>
      </c>
      <c r="F1431">
        <v>0</v>
      </c>
    </row>
    <row r="1432" spans="1:6" x14ac:dyDescent="0.25">
      <c r="A1432" t="s">
        <v>15</v>
      </c>
      <c r="B1432" t="s">
        <v>1625</v>
      </c>
      <c r="C1432">
        <v>37302</v>
      </c>
      <c r="D1432">
        <v>34928</v>
      </c>
      <c r="F1432">
        <v>34928</v>
      </c>
    </row>
    <row r="1433" spans="1:6" x14ac:dyDescent="0.25">
      <c r="A1433" t="s">
        <v>16</v>
      </c>
      <c r="B1433" t="s">
        <v>1626</v>
      </c>
      <c r="C1433">
        <v>37303</v>
      </c>
      <c r="D1433">
        <v>0</v>
      </c>
      <c r="F1433">
        <v>0</v>
      </c>
    </row>
    <row r="1434" spans="1:6" x14ac:dyDescent="0.25">
      <c r="B1434" t="s">
        <v>2013</v>
      </c>
      <c r="D1434">
        <v>34928</v>
      </c>
      <c r="F1434">
        <v>34928</v>
      </c>
    </row>
    <row r="1435" spans="1:6" x14ac:dyDescent="0.25">
      <c r="B1435" t="s">
        <v>1631</v>
      </c>
    </row>
    <row r="1436" spans="1:6" x14ac:dyDescent="0.25">
      <c r="A1436" t="s">
        <v>2</v>
      </c>
      <c r="B1436" t="s">
        <v>1627</v>
      </c>
      <c r="C1436">
        <v>37401</v>
      </c>
      <c r="D1436">
        <v>0</v>
      </c>
      <c r="F1436">
        <v>0</v>
      </c>
    </row>
    <row r="1437" spans="1:6" x14ac:dyDescent="0.25">
      <c r="A1437" t="s">
        <v>15</v>
      </c>
      <c r="B1437" t="s">
        <v>1625</v>
      </c>
      <c r="C1437">
        <v>37402</v>
      </c>
      <c r="D1437">
        <v>0</v>
      </c>
      <c r="F1437">
        <v>0</v>
      </c>
    </row>
    <row r="1438" spans="1:6" x14ac:dyDescent="0.25">
      <c r="A1438" t="s">
        <v>16</v>
      </c>
      <c r="B1438" t="s">
        <v>1626</v>
      </c>
      <c r="C1438">
        <v>37403</v>
      </c>
      <c r="D1438">
        <v>0</v>
      </c>
      <c r="F1438">
        <v>0</v>
      </c>
    </row>
    <row r="1439" spans="1:6" x14ac:dyDescent="0.25">
      <c r="B1439" t="s">
        <v>2014</v>
      </c>
      <c r="D1439">
        <v>0</v>
      </c>
      <c r="F1439">
        <v>0</v>
      </c>
    </row>
    <row r="1440" spans="1:6" x14ac:dyDescent="0.25">
      <c r="B1440" t="s">
        <v>1722</v>
      </c>
    </row>
    <row r="1441" spans="1:6" x14ac:dyDescent="0.25">
      <c r="A1441" t="s">
        <v>2</v>
      </c>
      <c r="B1441" t="s">
        <v>1634</v>
      </c>
      <c r="C1441">
        <v>37501</v>
      </c>
      <c r="D1441">
        <v>0</v>
      </c>
      <c r="F1441">
        <v>0</v>
      </c>
    </row>
    <row r="1442" spans="1:6" x14ac:dyDescent="0.25">
      <c r="A1442" t="s">
        <v>15</v>
      </c>
      <c r="B1442" t="s">
        <v>1635</v>
      </c>
      <c r="C1442">
        <v>37502</v>
      </c>
      <c r="D1442">
        <v>0</v>
      </c>
      <c r="F1442">
        <v>0</v>
      </c>
    </row>
    <row r="1443" spans="1:6" x14ac:dyDescent="0.25">
      <c r="A1443" t="s">
        <v>16</v>
      </c>
      <c r="B1443" t="s">
        <v>1636</v>
      </c>
      <c r="C1443">
        <v>37503</v>
      </c>
      <c r="D1443">
        <v>0</v>
      </c>
      <c r="F1443">
        <v>0</v>
      </c>
    </row>
    <row r="1444" spans="1:6" x14ac:dyDescent="0.25">
      <c r="A1444" t="s">
        <v>25</v>
      </c>
      <c r="B1444" t="s">
        <v>1637</v>
      </c>
      <c r="C1444">
        <v>37504</v>
      </c>
      <c r="D1444">
        <v>0</v>
      </c>
      <c r="F1444">
        <v>0</v>
      </c>
    </row>
    <row r="1445" spans="1:6" x14ac:dyDescent="0.25">
      <c r="A1445" t="s">
        <v>26</v>
      </c>
      <c r="B1445" t="s">
        <v>1638</v>
      </c>
      <c r="C1445">
        <v>37505</v>
      </c>
      <c r="D1445">
        <v>129763</v>
      </c>
      <c r="F1445">
        <v>129763</v>
      </c>
    </row>
    <row r="1446" spans="1:6" x14ac:dyDescent="0.25">
      <c r="A1446" t="s">
        <v>27</v>
      </c>
      <c r="B1446" t="s">
        <v>1639</v>
      </c>
      <c r="C1446">
        <v>37506</v>
      </c>
      <c r="D1446">
        <v>0</v>
      </c>
      <c r="F1446">
        <v>0</v>
      </c>
    </row>
    <row r="1447" spans="1:6" x14ac:dyDescent="0.25">
      <c r="A1447" t="s">
        <v>531</v>
      </c>
      <c r="B1447" t="s">
        <v>1640</v>
      </c>
      <c r="C1447">
        <v>37507</v>
      </c>
      <c r="D1447">
        <v>0</v>
      </c>
      <c r="F1447">
        <v>0</v>
      </c>
    </row>
    <row r="1448" spans="1:6" x14ac:dyDescent="0.25">
      <c r="A1448" t="s">
        <v>1583</v>
      </c>
      <c r="B1448" t="s">
        <v>1641</v>
      </c>
      <c r="C1448">
        <v>37508</v>
      </c>
      <c r="D1448">
        <v>0</v>
      </c>
      <c r="F1448">
        <v>0</v>
      </c>
    </row>
    <row r="1449" spans="1:6" x14ac:dyDescent="0.25">
      <c r="B1449" t="s">
        <v>2015</v>
      </c>
      <c r="D1449">
        <v>129763</v>
      </c>
      <c r="F1449">
        <v>129763</v>
      </c>
    </row>
    <row r="1450" spans="1:6" x14ac:dyDescent="0.25">
      <c r="B1450" t="s">
        <v>1724</v>
      </c>
    </row>
    <row r="1451" spans="1:6" x14ac:dyDescent="0.25">
      <c r="A1451" t="s">
        <v>2</v>
      </c>
      <c r="B1451" t="s">
        <v>1634</v>
      </c>
      <c r="C1451">
        <v>37601</v>
      </c>
      <c r="D1451">
        <v>0</v>
      </c>
      <c r="F1451">
        <v>0</v>
      </c>
    </row>
    <row r="1452" spans="1:6" x14ac:dyDescent="0.25">
      <c r="A1452" t="s">
        <v>15</v>
      </c>
      <c r="B1452" t="s">
        <v>1635</v>
      </c>
      <c r="C1452">
        <v>37602</v>
      </c>
      <c r="D1452">
        <v>0</v>
      </c>
      <c r="F1452">
        <v>0</v>
      </c>
    </row>
    <row r="1453" spans="1:6" x14ac:dyDescent="0.25">
      <c r="A1453" t="s">
        <v>16</v>
      </c>
      <c r="B1453" t="s">
        <v>1636</v>
      </c>
      <c r="C1453">
        <v>37603</v>
      </c>
      <c r="D1453">
        <v>0</v>
      </c>
      <c r="F1453">
        <v>0</v>
      </c>
    </row>
    <row r="1454" spans="1:6" x14ac:dyDescent="0.25">
      <c r="A1454" t="s">
        <v>25</v>
      </c>
      <c r="B1454" t="s">
        <v>1637</v>
      </c>
      <c r="C1454">
        <v>37604</v>
      </c>
      <c r="D1454">
        <v>494</v>
      </c>
      <c r="F1454">
        <v>494</v>
      </c>
    </row>
    <row r="1455" spans="1:6" x14ac:dyDescent="0.25">
      <c r="A1455" t="s">
        <v>26</v>
      </c>
      <c r="B1455" t="s">
        <v>1638</v>
      </c>
      <c r="C1455">
        <v>37605</v>
      </c>
      <c r="D1455">
        <v>4223</v>
      </c>
      <c r="F1455">
        <v>4223</v>
      </c>
    </row>
    <row r="1456" spans="1:6" x14ac:dyDescent="0.25">
      <c r="A1456" t="s">
        <v>27</v>
      </c>
      <c r="B1456" t="s">
        <v>1639</v>
      </c>
      <c r="C1456">
        <v>37606</v>
      </c>
      <c r="D1456">
        <v>0</v>
      </c>
      <c r="F1456">
        <v>0</v>
      </c>
    </row>
    <row r="1457" spans="1:6" x14ac:dyDescent="0.25">
      <c r="A1457" t="s">
        <v>531</v>
      </c>
      <c r="B1457" t="s">
        <v>1640</v>
      </c>
      <c r="C1457">
        <v>37607</v>
      </c>
      <c r="D1457">
        <v>0</v>
      </c>
      <c r="F1457">
        <v>0</v>
      </c>
    </row>
    <row r="1458" spans="1:6" x14ac:dyDescent="0.25">
      <c r="A1458" t="s">
        <v>1583</v>
      </c>
      <c r="B1458" t="s">
        <v>1641</v>
      </c>
      <c r="C1458">
        <v>37608</v>
      </c>
      <c r="D1458">
        <v>128000</v>
      </c>
      <c r="F1458">
        <v>128000</v>
      </c>
    </row>
    <row r="1459" spans="1:6" x14ac:dyDescent="0.25">
      <c r="B1459" t="s">
        <v>2016</v>
      </c>
      <c r="D1459">
        <v>132717</v>
      </c>
      <c r="F1459">
        <v>132717</v>
      </c>
    </row>
    <row r="1460" spans="1:6" x14ac:dyDescent="0.25">
      <c r="B1460" t="s">
        <v>1726</v>
      </c>
    </row>
    <row r="1461" spans="1:6" x14ac:dyDescent="0.25">
      <c r="A1461" t="s">
        <v>2</v>
      </c>
      <c r="B1461" t="s">
        <v>1648</v>
      </c>
      <c r="C1461">
        <v>37701</v>
      </c>
      <c r="D1461">
        <v>0</v>
      </c>
      <c r="F1461">
        <v>0</v>
      </c>
    </row>
    <row r="1462" spans="1:6" x14ac:dyDescent="0.25">
      <c r="A1462" t="s">
        <v>15</v>
      </c>
      <c r="B1462" t="s">
        <v>1649</v>
      </c>
      <c r="C1462">
        <v>37702</v>
      </c>
      <c r="D1462">
        <v>0</v>
      </c>
      <c r="F1462">
        <v>0</v>
      </c>
    </row>
    <row r="1463" spans="1:6" x14ac:dyDescent="0.25">
      <c r="A1463" t="s">
        <v>16</v>
      </c>
      <c r="B1463" t="s">
        <v>1637</v>
      </c>
      <c r="C1463">
        <v>37703</v>
      </c>
      <c r="D1463">
        <v>0</v>
      </c>
      <c r="F1463">
        <v>0</v>
      </c>
    </row>
    <row r="1464" spans="1:6" x14ac:dyDescent="0.25">
      <c r="A1464" t="s">
        <v>25</v>
      </c>
      <c r="B1464" t="s">
        <v>1638</v>
      </c>
      <c r="C1464">
        <v>37704</v>
      </c>
      <c r="D1464">
        <v>321721</v>
      </c>
      <c r="F1464">
        <v>321721</v>
      </c>
    </row>
    <row r="1465" spans="1:6" x14ac:dyDescent="0.25">
      <c r="A1465" t="s">
        <v>26</v>
      </c>
      <c r="B1465" t="s">
        <v>1650</v>
      </c>
      <c r="C1465">
        <v>37705</v>
      </c>
      <c r="D1465">
        <v>0</v>
      </c>
      <c r="F1465">
        <v>0</v>
      </c>
    </row>
    <row r="1466" spans="1:6" x14ac:dyDescent="0.25">
      <c r="A1466" t="s">
        <v>27</v>
      </c>
      <c r="B1466" t="s">
        <v>1651</v>
      </c>
      <c r="C1466">
        <v>37706</v>
      </c>
      <c r="D1466">
        <v>0</v>
      </c>
      <c r="F1466">
        <v>0</v>
      </c>
    </row>
    <row r="1467" spans="1:6" x14ac:dyDescent="0.25">
      <c r="A1467" t="s">
        <v>531</v>
      </c>
      <c r="B1467" t="s">
        <v>1640</v>
      </c>
      <c r="C1467">
        <v>37707</v>
      </c>
      <c r="D1467">
        <v>0</v>
      </c>
      <c r="F1467">
        <v>0</v>
      </c>
    </row>
    <row r="1468" spans="1:6" x14ac:dyDescent="0.25">
      <c r="A1468" t="s">
        <v>1583</v>
      </c>
      <c r="B1468" t="s">
        <v>1641</v>
      </c>
      <c r="C1468">
        <v>37708</v>
      </c>
      <c r="D1468">
        <v>0</v>
      </c>
      <c r="F1468">
        <v>0</v>
      </c>
    </row>
    <row r="1469" spans="1:6" x14ac:dyDescent="0.25">
      <c r="B1469" t="s">
        <v>2017</v>
      </c>
      <c r="D1469">
        <v>321721</v>
      </c>
      <c r="F1469">
        <v>321721</v>
      </c>
    </row>
    <row r="1470" spans="1:6" x14ac:dyDescent="0.25">
      <c r="B1470" t="s">
        <v>1866</v>
      </c>
      <c r="D1470">
        <v>56228405</v>
      </c>
      <c r="F1470">
        <v>56228405</v>
      </c>
    </row>
    <row r="1471" spans="1:6" x14ac:dyDescent="0.25">
      <c r="B1471" t="s">
        <v>2275</v>
      </c>
      <c r="D1471">
        <v>74350975</v>
      </c>
      <c r="E1471">
        <v>4267475</v>
      </c>
      <c r="F1471">
        <v>78618450</v>
      </c>
    </row>
    <row r="1472" spans="1:6" x14ac:dyDescent="0.25">
      <c r="B1472" t="s">
        <v>2019</v>
      </c>
    </row>
    <row r="1473" spans="1:6" x14ac:dyDescent="0.25">
      <c r="B1473" t="s">
        <v>2020</v>
      </c>
    </row>
    <row r="1474" spans="1:6" x14ac:dyDescent="0.25">
      <c r="B1474" t="s">
        <v>1575</v>
      </c>
    </row>
    <row r="1475" spans="1:6" x14ac:dyDescent="0.25">
      <c r="A1475" t="s">
        <v>2</v>
      </c>
      <c r="B1475" t="s">
        <v>1576</v>
      </c>
      <c r="C1475">
        <v>41101</v>
      </c>
      <c r="D1475">
        <v>0</v>
      </c>
      <c r="E1475">
        <v>0</v>
      </c>
      <c r="F1475">
        <v>0</v>
      </c>
    </row>
    <row r="1476" spans="1:6" x14ac:dyDescent="0.25">
      <c r="A1476" t="s">
        <v>15</v>
      </c>
      <c r="B1476" t="s">
        <v>1577</v>
      </c>
      <c r="C1476">
        <v>41102</v>
      </c>
      <c r="D1476">
        <v>0</v>
      </c>
      <c r="E1476">
        <v>0</v>
      </c>
      <c r="F1476">
        <v>0</v>
      </c>
    </row>
    <row r="1477" spans="1:6" x14ac:dyDescent="0.25">
      <c r="A1477" t="s">
        <v>16</v>
      </c>
      <c r="B1477" t="s">
        <v>1578</v>
      </c>
      <c r="C1477">
        <v>41103</v>
      </c>
      <c r="D1477">
        <v>0</v>
      </c>
      <c r="E1477">
        <v>0</v>
      </c>
      <c r="F1477">
        <v>0</v>
      </c>
    </row>
    <row r="1478" spans="1:6" x14ac:dyDescent="0.25">
      <c r="A1478" t="s">
        <v>25</v>
      </c>
      <c r="B1478" t="s">
        <v>1579</v>
      </c>
      <c r="C1478">
        <v>41104</v>
      </c>
      <c r="D1478">
        <v>0</v>
      </c>
      <c r="E1478">
        <v>0</v>
      </c>
      <c r="F1478">
        <v>0</v>
      </c>
    </row>
    <row r="1479" spans="1:6" x14ac:dyDescent="0.25">
      <c r="A1479" t="s">
        <v>26</v>
      </c>
      <c r="B1479" t="s">
        <v>1580</v>
      </c>
      <c r="C1479">
        <v>41105</v>
      </c>
      <c r="D1479">
        <v>0</v>
      </c>
      <c r="E1479">
        <v>0</v>
      </c>
      <c r="F1479">
        <v>0</v>
      </c>
    </row>
    <row r="1480" spans="1:6" x14ac:dyDescent="0.25">
      <c r="A1480" t="s">
        <v>27</v>
      </c>
      <c r="B1480" t="s">
        <v>1581</v>
      </c>
      <c r="C1480">
        <v>41106</v>
      </c>
      <c r="D1480">
        <v>0</v>
      </c>
      <c r="E1480">
        <v>0</v>
      </c>
      <c r="F1480">
        <v>0</v>
      </c>
    </row>
    <row r="1481" spans="1:6" x14ac:dyDescent="0.25">
      <c r="A1481" t="s">
        <v>531</v>
      </c>
      <c r="B1481" t="s">
        <v>1582</v>
      </c>
      <c r="C1481">
        <v>41107</v>
      </c>
      <c r="D1481">
        <v>0</v>
      </c>
      <c r="E1481">
        <v>0</v>
      </c>
      <c r="F1481">
        <v>0</v>
      </c>
    </row>
    <row r="1482" spans="1:6" x14ac:dyDescent="0.25">
      <c r="A1482" t="s">
        <v>1583</v>
      </c>
      <c r="B1482" t="s">
        <v>1584</v>
      </c>
      <c r="C1482">
        <v>41108</v>
      </c>
      <c r="D1482">
        <v>0</v>
      </c>
      <c r="E1482">
        <v>0</v>
      </c>
      <c r="F1482">
        <v>0</v>
      </c>
    </row>
    <row r="1483" spans="1:6" x14ac:dyDescent="0.25">
      <c r="A1483" t="s">
        <v>1585</v>
      </c>
      <c r="B1483" t="s">
        <v>1586</v>
      </c>
      <c r="C1483">
        <v>41109</v>
      </c>
      <c r="D1483">
        <v>0</v>
      </c>
      <c r="E1483">
        <v>0</v>
      </c>
      <c r="F1483">
        <v>0</v>
      </c>
    </row>
    <row r="1484" spans="1:6" x14ac:dyDescent="0.25">
      <c r="A1484" t="s">
        <v>1587</v>
      </c>
      <c r="B1484" t="s">
        <v>1588</v>
      </c>
      <c r="C1484">
        <v>41110</v>
      </c>
      <c r="D1484">
        <v>0</v>
      </c>
      <c r="E1484">
        <v>0</v>
      </c>
      <c r="F1484">
        <v>0</v>
      </c>
    </row>
    <row r="1485" spans="1:6" x14ac:dyDescent="0.25">
      <c r="A1485" t="s">
        <v>1589</v>
      </c>
      <c r="B1485" t="s">
        <v>1590</v>
      </c>
      <c r="C1485">
        <v>41111</v>
      </c>
      <c r="D1485">
        <v>0</v>
      </c>
      <c r="E1485">
        <v>0</v>
      </c>
      <c r="F1485">
        <v>0</v>
      </c>
    </row>
    <row r="1486" spans="1:6" x14ac:dyDescent="0.25">
      <c r="A1486" t="s">
        <v>1591</v>
      </c>
      <c r="B1486" t="s">
        <v>1592</v>
      </c>
      <c r="C1486">
        <v>41112</v>
      </c>
      <c r="D1486">
        <v>2313799</v>
      </c>
      <c r="E1486">
        <v>0</v>
      </c>
      <c r="F1486">
        <v>2313799</v>
      </c>
    </row>
    <row r="1487" spans="1:6" x14ac:dyDescent="0.25">
      <c r="A1487" t="s">
        <v>1593</v>
      </c>
      <c r="B1487" t="s">
        <v>1594</v>
      </c>
      <c r="C1487">
        <v>41113</v>
      </c>
      <c r="D1487">
        <v>0</v>
      </c>
      <c r="E1487">
        <v>0</v>
      </c>
      <c r="F1487">
        <v>0</v>
      </c>
    </row>
    <row r="1488" spans="1:6" x14ac:dyDescent="0.25">
      <c r="A1488" t="s">
        <v>1595</v>
      </c>
      <c r="B1488" t="s">
        <v>1596</v>
      </c>
      <c r="C1488">
        <v>41114</v>
      </c>
      <c r="D1488">
        <v>0</v>
      </c>
      <c r="E1488">
        <v>0</v>
      </c>
      <c r="F1488">
        <v>0</v>
      </c>
    </row>
    <row r="1489" spans="1:6" x14ac:dyDescent="0.25">
      <c r="A1489" t="s">
        <v>1597</v>
      </c>
      <c r="B1489" t="s">
        <v>1598</v>
      </c>
      <c r="C1489">
        <v>41115</v>
      </c>
      <c r="D1489">
        <v>59061</v>
      </c>
      <c r="E1489">
        <v>0</v>
      </c>
      <c r="F1489">
        <v>59061</v>
      </c>
    </row>
    <row r="1490" spans="1:6" x14ac:dyDescent="0.25">
      <c r="A1490" t="s">
        <v>1599</v>
      </c>
      <c r="B1490" t="s">
        <v>1600</v>
      </c>
      <c r="C1490">
        <v>41116</v>
      </c>
      <c r="D1490">
        <v>0</v>
      </c>
      <c r="E1490">
        <v>0</v>
      </c>
      <c r="F1490">
        <v>0</v>
      </c>
    </row>
    <row r="1491" spans="1:6" x14ac:dyDescent="0.25">
      <c r="A1491" t="s">
        <v>1601</v>
      </c>
      <c r="B1491" t="s">
        <v>1602</v>
      </c>
      <c r="C1491">
        <v>41117</v>
      </c>
      <c r="D1491">
        <v>0</v>
      </c>
      <c r="E1491">
        <v>0</v>
      </c>
      <c r="F1491">
        <v>0</v>
      </c>
    </row>
    <row r="1492" spans="1:6" x14ac:dyDescent="0.25">
      <c r="A1492" t="s">
        <v>1603</v>
      </c>
      <c r="B1492" t="s">
        <v>1604</v>
      </c>
      <c r="C1492">
        <v>41118</v>
      </c>
      <c r="D1492">
        <v>0</v>
      </c>
      <c r="E1492">
        <v>0</v>
      </c>
      <c r="F1492">
        <v>0</v>
      </c>
    </row>
    <row r="1493" spans="1:6" x14ac:dyDescent="0.25">
      <c r="A1493" t="s">
        <v>1605</v>
      </c>
      <c r="B1493" t="s">
        <v>1606</v>
      </c>
      <c r="C1493">
        <v>41119</v>
      </c>
      <c r="D1493">
        <v>0</v>
      </c>
      <c r="E1493">
        <v>0</v>
      </c>
      <c r="F1493">
        <v>0</v>
      </c>
    </row>
    <row r="1494" spans="1:6" x14ac:dyDescent="0.25">
      <c r="A1494" t="s">
        <v>1607</v>
      </c>
      <c r="B1494" t="s">
        <v>1608</v>
      </c>
      <c r="C1494">
        <v>41120</v>
      </c>
      <c r="D1494">
        <v>0</v>
      </c>
      <c r="E1494">
        <v>0</v>
      </c>
      <c r="F1494">
        <v>0</v>
      </c>
    </row>
    <row r="1495" spans="1:6" x14ac:dyDescent="0.25">
      <c r="B1495" t="s">
        <v>2021</v>
      </c>
      <c r="D1495">
        <v>2372860</v>
      </c>
      <c r="E1495">
        <v>0</v>
      </c>
      <c r="F1495">
        <v>2372860</v>
      </c>
    </row>
    <row r="1496" spans="1:6" x14ac:dyDescent="0.25">
      <c r="B1496" t="s">
        <v>1656</v>
      </c>
    </row>
    <row r="1497" spans="1:6" x14ac:dyDescent="0.25">
      <c r="A1497" t="s">
        <v>2</v>
      </c>
      <c r="B1497" t="s">
        <v>1611</v>
      </c>
      <c r="C1497">
        <v>41201</v>
      </c>
      <c r="D1497">
        <v>0</v>
      </c>
      <c r="E1497">
        <v>0</v>
      </c>
      <c r="F1497">
        <v>0</v>
      </c>
    </row>
    <row r="1498" spans="1:6" x14ac:dyDescent="0.25">
      <c r="A1498" t="s">
        <v>15</v>
      </c>
      <c r="B1498" t="s">
        <v>1612</v>
      </c>
      <c r="C1498">
        <v>41202</v>
      </c>
      <c r="D1498">
        <v>0</v>
      </c>
      <c r="E1498">
        <v>0</v>
      </c>
      <c r="F1498">
        <v>0</v>
      </c>
    </row>
    <row r="1499" spans="1:6" x14ac:dyDescent="0.25">
      <c r="A1499" t="s">
        <v>16</v>
      </c>
      <c r="B1499" t="s">
        <v>1613</v>
      </c>
      <c r="C1499">
        <v>41203</v>
      </c>
      <c r="D1499">
        <v>0</v>
      </c>
      <c r="E1499">
        <v>0</v>
      </c>
      <c r="F1499">
        <v>0</v>
      </c>
    </row>
    <row r="1500" spans="1:6" x14ac:dyDescent="0.25">
      <c r="A1500" t="s">
        <v>25</v>
      </c>
      <c r="B1500" t="s">
        <v>1614</v>
      </c>
      <c r="C1500">
        <v>41204</v>
      </c>
      <c r="D1500">
        <v>1</v>
      </c>
      <c r="E1500">
        <v>0</v>
      </c>
      <c r="F1500">
        <v>1</v>
      </c>
    </row>
    <row r="1501" spans="1:6" x14ac:dyDescent="0.25">
      <c r="A1501" t="s">
        <v>26</v>
      </c>
      <c r="B1501" t="s">
        <v>1615</v>
      </c>
      <c r="C1501">
        <v>41205</v>
      </c>
      <c r="D1501">
        <v>0</v>
      </c>
      <c r="E1501">
        <v>0</v>
      </c>
      <c r="F1501">
        <v>0</v>
      </c>
    </row>
    <row r="1502" spans="1:6" x14ac:dyDescent="0.25">
      <c r="A1502" t="s">
        <v>27</v>
      </c>
      <c r="B1502" t="s">
        <v>1616</v>
      </c>
      <c r="C1502">
        <v>41206</v>
      </c>
      <c r="D1502">
        <v>0</v>
      </c>
      <c r="E1502">
        <v>0</v>
      </c>
      <c r="F1502">
        <v>0</v>
      </c>
    </row>
    <row r="1503" spans="1:6" x14ac:dyDescent="0.25">
      <c r="A1503" t="s">
        <v>531</v>
      </c>
      <c r="B1503" t="s">
        <v>1617</v>
      </c>
      <c r="C1503">
        <v>41207</v>
      </c>
      <c r="D1503">
        <v>0</v>
      </c>
      <c r="E1503">
        <v>0</v>
      </c>
      <c r="F1503">
        <v>0</v>
      </c>
    </row>
    <row r="1504" spans="1:6" x14ac:dyDescent="0.25">
      <c r="A1504" t="s">
        <v>1583</v>
      </c>
      <c r="B1504" t="s">
        <v>1618</v>
      </c>
      <c r="C1504">
        <v>41208</v>
      </c>
      <c r="D1504">
        <v>0</v>
      </c>
      <c r="E1504">
        <v>0</v>
      </c>
      <c r="F1504">
        <v>0</v>
      </c>
    </row>
    <row r="1505" spans="1:6" x14ac:dyDescent="0.25">
      <c r="A1505" t="s">
        <v>1585</v>
      </c>
      <c r="B1505" t="s">
        <v>1619</v>
      </c>
      <c r="C1505">
        <v>41209</v>
      </c>
      <c r="D1505">
        <v>0</v>
      </c>
      <c r="E1505">
        <v>0</v>
      </c>
      <c r="F1505">
        <v>0</v>
      </c>
    </row>
    <row r="1506" spans="1:6" x14ac:dyDescent="0.25">
      <c r="A1506" t="s">
        <v>1587</v>
      </c>
      <c r="B1506" t="s">
        <v>1620</v>
      </c>
      <c r="C1506">
        <v>41210</v>
      </c>
      <c r="D1506">
        <v>0</v>
      </c>
      <c r="E1506">
        <v>0</v>
      </c>
      <c r="F1506">
        <v>0</v>
      </c>
    </row>
    <row r="1507" spans="1:6" x14ac:dyDescent="0.25">
      <c r="A1507" t="s">
        <v>1589</v>
      </c>
      <c r="B1507" t="s">
        <v>1621</v>
      </c>
      <c r="C1507">
        <v>41211</v>
      </c>
      <c r="D1507">
        <v>0</v>
      </c>
      <c r="E1507">
        <v>0</v>
      </c>
      <c r="F1507">
        <v>0</v>
      </c>
    </row>
    <row r="1508" spans="1:6" x14ac:dyDescent="0.25">
      <c r="A1508" t="s">
        <v>1591</v>
      </c>
      <c r="B1508" t="s">
        <v>1622</v>
      </c>
      <c r="C1508">
        <v>41212</v>
      </c>
      <c r="D1508">
        <v>0</v>
      </c>
      <c r="E1508">
        <v>0</v>
      </c>
      <c r="F1508">
        <v>0</v>
      </c>
    </row>
    <row r="1509" spans="1:6" x14ac:dyDescent="0.25">
      <c r="A1509" t="s">
        <v>1593</v>
      </c>
      <c r="B1509" t="s">
        <v>1623</v>
      </c>
      <c r="C1509">
        <v>41213</v>
      </c>
      <c r="D1509">
        <v>0</v>
      </c>
      <c r="E1509">
        <v>0</v>
      </c>
      <c r="F1509">
        <v>0</v>
      </c>
    </row>
    <row r="1510" spans="1:6" x14ac:dyDescent="0.25">
      <c r="A1510" t="s">
        <v>1595</v>
      </c>
      <c r="B1510" t="s">
        <v>1624</v>
      </c>
      <c r="C1510">
        <v>41214</v>
      </c>
      <c r="D1510">
        <v>0</v>
      </c>
      <c r="E1510">
        <v>0</v>
      </c>
      <c r="F1510">
        <v>0</v>
      </c>
    </row>
    <row r="1511" spans="1:6" x14ac:dyDescent="0.25">
      <c r="A1511" t="s">
        <v>1597</v>
      </c>
      <c r="B1511" t="s">
        <v>1625</v>
      </c>
      <c r="C1511">
        <v>41215</v>
      </c>
      <c r="D1511">
        <v>0</v>
      </c>
      <c r="E1511">
        <v>0</v>
      </c>
      <c r="F1511">
        <v>0</v>
      </c>
    </row>
    <row r="1512" spans="1:6" x14ac:dyDescent="0.25">
      <c r="A1512" t="s">
        <v>1599</v>
      </c>
      <c r="B1512" t="s">
        <v>1626</v>
      </c>
      <c r="C1512">
        <v>41216</v>
      </c>
      <c r="D1512">
        <v>0</v>
      </c>
      <c r="E1512">
        <v>0</v>
      </c>
      <c r="F1512">
        <v>0</v>
      </c>
    </row>
    <row r="1513" spans="1:6" x14ac:dyDescent="0.25">
      <c r="A1513" t="s">
        <v>1601</v>
      </c>
      <c r="B1513" t="s">
        <v>1627</v>
      </c>
      <c r="C1513">
        <v>41217</v>
      </c>
      <c r="D1513">
        <v>0</v>
      </c>
      <c r="E1513">
        <v>0</v>
      </c>
      <c r="F1513">
        <v>0</v>
      </c>
    </row>
    <row r="1514" spans="1:6" x14ac:dyDescent="0.25">
      <c r="A1514" t="s">
        <v>1603</v>
      </c>
      <c r="B1514" t="s">
        <v>1596</v>
      </c>
      <c r="C1514">
        <v>41218</v>
      </c>
      <c r="D1514">
        <v>0</v>
      </c>
      <c r="E1514">
        <v>0</v>
      </c>
      <c r="F1514">
        <v>0</v>
      </c>
    </row>
    <row r="1515" spans="1:6" x14ac:dyDescent="0.25">
      <c r="A1515" t="s">
        <v>1605</v>
      </c>
      <c r="B1515" t="s">
        <v>1598</v>
      </c>
      <c r="C1515">
        <v>41219</v>
      </c>
      <c r="D1515">
        <v>0</v>
      </c>
      <c r="E1515">
        <v>0</v>
      </c>
      <c r="F1515">
        <v>0</v>
      </c>
    </row>
    <row r="1516" spans="1:6" x14ac:dyDescent="0.25">
      <c r="A1516" t="s">
        <v>1607</v>
      </c>
      <c r="B1516" t="s">
        <v>1602</v>
      </c>
      <c r="C1516">
        <v>41220</v>
      </c>
      <c r="D1516">
        <v>0</v>
      </c>
      <c r="E1516">
        <v>0</v>
      </c>
      <c r="F1516">
        <v>0</v>
      </c>
    </row>
    <row r="1517" spans="1:6" x14ac:dyDescent="0.25">
      <c r="B1517" t="s">
        <v>2022</v>
      </c>
      <c r="D1517">
        <v>1</v>
      </c>
      <c r="E1517">
        <v>0</v>
      </c>
      <c r="F1517">
        <v>1</v>
      </c>
    </row>
    <row r="1518" spans="1:6" x14ac:dyDescent="0.25">
      <c r="B1518" t="s">
        <v>1658</v>
      </c>
    </row>
    <row r="1519" spans="1:6" x14ac:dyDescent="0.25">
      <c r="A1519" t="s">
        <v>2</v>
      </c>
      <c r="B1519" t="s">
        <v>1627</v>
      </c>
      <c r="C1519">
        <v>41301</v>
      </c>
      <c r="D1519">
        <v>0</v>
      </c>
      <c r="E1519">
        <v>0</v>
      </c>
      <c r="F1519">
        <v>0</v>
      </c>
    </row>
    <row r="1520" spans="1:6" x14ac:dyDescent="0.25">
      <c r="A1520" t="s">
        <v>15</v>
      </c>
      <c r="B1520" t="s">
        <v>1625</v>
      </c>
      <c r="C1520">
        <v>41302</v>
      </c>
      <c r="D1520">
        <v>0</v>
      </c>
      <c r="E1520">
        <v>0</v>
      </c>
      <c r="F1520">
        <v>0</v>
      </c>
    </row>
    <row r="1521" spans="1:6" x14ac:dyDescent="0.25">
      <c r="A1521" t="s">
        <v>16</v>
      </c>
      <c r="B1521" t="s">
        <v>1626</v>
      </c>
      <c r="C1521">
        <v>41303</v>
      </c>
      <c r="D1521">
        <v>0</v>
      </c>
      <c r="E1521">
        <v>0</v>
      </c>
      <c r="F1521">
        <v>0</v>
      </c>
    </row>
    <row r="1522" spans="1:6" x14ac:dyDescent="0.25">
      <c r="B1522" t="s">
        <v>2023</v>
      </c>
      <c r="D1522">
        <v>0</v>
      </c>
      <c r="E1522">
        <v>0</v>
      </c>
      <c r="F1522">
        <v>0</v>
      </c>
    </row>
    <row r="1523" spans="1:6" x14ac:dyDescent="0.25">
      <c r="B1523" t="s">
        <v>1653</v>
      </c>
      <c r="D1523">
        <v>2372861</v>
      </c>
      <c r="E1523">
        <v>0</v>
      </c>
      <c r="F1523">
        <v>2372861</v>
      </c>
    </row>
    <row r="1524" spans="1:6" x14ac:dyDescent="0.25">
      <c r="B1524" t="s">
        <v>2024</v>
      </c>
    </row>
    <row r="1525" spans="1:6" x14ac:dyDescent="0.25">
      <c r="B1525" t="s">
        <v>2025</v>
      </c>
    </row>
    <row r="1526" spans="1:6" x14ac:dyDescent="0.25">
      <c r="A1526" t="s">
        <v>2</v>
      </c>
      <c r="B1526" t="s">
        <v>1634</v>
      </c>
      <c r="C1526">
        <v>42101</v>
      </c>
      <c r="D1526">
        <v>0</v>
      </c>
      <c r="F1526">
        <v>0</v>
      </c>
    </row>
    <row r="1527" spans="1:6" x14ac:dyDescent="0.25">
      <c r="A1527" t="s">
        <v>15</v>
      </c>
      <c r="B1527" t="s">
        <v>1635</v>
      </c>
      <c r="C1527">
        <v>42102</v>
      </c>
      <c r="D1527">
        <v>0</v>
      </c>
      <c r="F1527">
        <v>0</v>
      </c>
    </row>
    <row r="1528" spans="1:6" x14ac:dyDescent="0.25">
      <c r="A1528" t="s">
        <v>16</v>
      </c>
      <c r="B1528" t="s">
        <v>1636</v>
      </c>
      <c r="C1528">
        <v>42103</v>
      </c>
      <c r="D1528">
        <v>0</v>
      </c>
      <c r="F1528">
        <v>0</v>
      </c>
    </row>
    <row r="1529" spans="1:6" x14ac:dyDescent="0.25">
      <c r="A1529" t="s">
        <v>25</v>
      </c>
      <c r="B1529" t="s">
        <v>1637</v>
      </c>
      <c r="C1529">
        <v>42104</v>
      </c>
      <c r="D1529">
        <v>0</v>
      </c>
      <c r="F1529">
        <v>0</v>
      </c>
    </row>
    <row r="1530" spans="1:6" x14ac:dyDescent="0.25">
      <c r="A1530" t="s">
        <v>26</v>
      </c>
      <c r="B1530" t="s">
        <v>1638</v>
      </c>
      <c r="C1530">
        <v>42105</v>
      </c>
      <c r="D1530">
        <v>0</v>
      </c>
      <c r="F1530">
        <v>0</v>
      </c>
    </row>
    <row r="1531" spans="1:6" x14ac:dyDescent="0.25">
      <c r="A1531" t="s">
        <v>27</v>
      </c>
      <c r="B1531" t="s">
        <v>1639</v>
      </c>
      <c r="C1531">
        <v>42106</v>
      </c>
      <c r="D1531">
        <v>0</v>
      </c>
      <c r="F1531">
        <v>0</v>
      </c>
    </row>
    <row r="1532" spans="1:6" x14ac:dyDescent="0.25">
      <c r="A1532" t="s">
        <v>531</v>
      </c>
      <c r="B1532" t="s">
        <v>1640</v>
      </c>
      <c r="C1532">
        <v>42107</v>
      </c>
      <c r="D1532">
        <v>0</v>
      </c>
      <c r="F1532">
        <v>0</v>
      </c>
    </row>
    <row r="1533" spans="1:6" x14ac:dyDescent="0.25">
      <c r="A1533" t="s">
        <v>1583</v>
      </c>
      <c r="B1533" t="s">
        <v>1641</v>
      </c>
      <c r="C1533">
        <v>42108</v>
      </c>
      <c r="D1533">
        <v>0</v>
      </c>
      <c r="F1533">
        <v>0</v>
      </c>
    </row>
    <row r="1534" spans="1:6" x14ac:dyDescent="0.25">
      <c r="B1534" t="s">
        <v>2026</v>
      </c>
      <c r="D1534">
        <v>0</v>
      </c>
      <c r="F1534">
        <v>0</v>
      </c>
    </row>
    <row r="1535" spans="1:6" x14ac:dyDescent="0.25">
      <c r="B1535" t="s">
        <v>2276</v>
      </c>
    </row>
    <row r="1536" spans="1:6" x14ac:dyDescent="0.25">
      <c r="A1536" t="s">
        <v>2</v>
      </c>
      <c r="B1536" t="s">
        <v>1634</v>
      </c>
      <c r="C1536">
        <v>42201</v>
      </c>
      <c r="D1536">
        <v>0</v>
      </c>
      <c r="F1536">
        <v>0</v>
      </c>
    </row>
    <row r="1537" spans="1:6" x14ac:dyDescent="0.25">
      <c r="A1537" t="s">
        <v>15</v>
      </c>
      <c r="B1537" t="s">
        <v>1635</v>
      </c>
      <c r="C1537">
        <v>42202</v>
      </c>
      <c r="D1537">
        <v>0</v>
      </c>
      <c r="F1537">
        <v>0</v>
      </c>
    </row>
    <row r="1538" spans="1:6" x14ac:dyDescent="0.25">
      <c r="A1538" t="s">
        <v>16</v>
      </c>
      <c r="B1538" t="s">
        <v>1636</v>
      </c>
      <c r="C1538">
        <v>42203</v>
      </c>
      <c r="D1538">
        <v>0</v>
      </c>
      <c r="F1538">
        <v>0</v>
      </c>
    </row>
    <row r="1539" spans="1:6" x14ac:dyDescent="0.25">
      <c r="A1539" t="s">
        <v>25</v>
      </c>
      <c r="B1539" t="s">
        <v>1637</v>
      </c>
      <c r="C1539">
        <v>42204</v>
      </c>
      <c r="D1539">
        <v>0</v>
      </c>
      <c r="F1539">
        <v>0</v>
      </c>
    </row>
    <row r="1540" spans="1:6" x14ac:dyDescent="0.25">
      <c r="A1540" t="s">
        <v>26</v>
      </c>
      <c r="B1540" t="s">
        <v>1638</v>
      </c>
      <c r="C1540">
        <v>42205</v>
      </c>
      <c r="D1540">
        <v>0</v>
      </c>
      <c r="F1540">
        <v>0</v>
      </c>
    </row>
    <row r="1541" spans="1:6" x14ac:dyDescent="0.25">
      <c r="A1541" t="s">
        <v>27</v>
      </c>
      <c r="B1541" t="s">
        <v>1639</v>
      </c>
      <c r="C1541">
        <v>42206</v>
      </c>
      <c r="D1541">
        <v>0</v>
      </c>
      <c r="F1541">
        <v>0</v>
      </c>
    </row>
    <row r="1542" spans="1:6" x14ac:dyDescent="0.25">
      <c r="A1542" t="s">
        <v>531</v>
      </c>
      <c r="B1542" t="s">
        <v>1640</v>
      </c>
      <c r="C1542">
        <v>42207</v>
      </c>
      <c r="D1542">
        <v>0</v>
      </c>
      <c r="F1542">
        <v>0</v>
      </c>
    </row>
    <row r="1543" spans="1:6" x14ac:dyDescent="0.25">
      <c r="A1543" t="s">
        <v>1583</v>
      </c>
      <c r="B1543" t="s">
        <v>1641</v>
      </c>
      <c r="C1543">
        <v>42208</v>
      </c>
      <c r="D1543">
        <v>0</v>
      </c>
      <c r="F1543">
        <v>0</v>
      </c>
    </row>
    <row r="1544" spans="1:6" x14ac:dyDescent="0.25">
      <c r="B1544" t="s">
        <v>2028</v>
      </c>
      <c r="D1544">
        <v>0</v>
      </c>
      <c r="F1544">
        <v>0</v>
      </c>
    </row>
    <row r="1545" spans="1:6" x14ac:dyDescent="0.25">
      <c r="B1545" t="s">
        <v>2029</v>
      </c>
    </row>
    <row r="1546" spans="1:6" x14ac:dyDescent="0.25">
      <c r="A1546" t="s">
        <v>2</v>
      </c>
      <c r="B1546" t="s">
        <v>1634</v>
      </c>
      <c r="C1546">
        <v>42301</v>
      </c>
      <c r="D1546">
        <v>391189</v>
      </c>
      <c r="F1546">
        <v>391189</v>
      </c>
    </row>
    <row r="1547" spans="1:6" x14ac:dyDescent="0.25">
      <c r="A1547" t="s">
        <v>15</v>
      </c>
      <c r="B1547" t="s">
        <v>1635</v>
      </c>
      <c r="C1547">
        <v>42302</v>
      </c>
      <c r="D1547">
        <v>18385</v>
      </c>
      <c r="F1547">
        <v>18385</v>
      </c>
    </row>
    <row r="1548" spans="1:6" x14ac:dyDescent="0.25">
      <c r="A1548" t="s">
        <v>16</v>
      </c>
      <c r="B1548" t="s">
        <v>1636</v>
      </c>
      <c r="C1548">
        <v>42303</v>
      </c>
      <c r="D1548">
        <v>193</v>
      </c>
      <c r="F1548">
        <v>193</v>
      </c>
    </row>
    <row r="1549" spans="1:6" x14ac:dyDescent="0.25">
      <c r="A1549" t="s">
        <v>25</v>
      </c>
      <c r="B1549" t="s">
        <v>1637</v>
      </c>
      <c r="C1549">
        <v>42304</v>
      </c>
      <c r="D1549">
        <v>17311</v>
      </c>
      <c r="F1549">
        <v>17311</v>
      </c>
    </row>
    <row r="1550" spans="1:6" x14ac:dyDescent="0.25">
      <c r="A1550" t="s">
        <v>26</v>
      </c>
      <c r="B1550" t="s">
        <v>1638</v>
      </c>
      <c r="C1550">
        <v>42305</v>
      </c>
      <c r="D1550">
        <v>87314</v>
      </c>
      <c r="F1550">
        <v>87314</v>
      </c>
    </row>
    <row r="1551" spans="1:6" x14ac:dyDescent="0.25">
      <c r="A1551" t="s">
        <v>27</v>
      </c>
      <c r="B1551" t="s">
        <v>1639</v>
      </c>
      <c r="C1551">
        <v>42306</v>
      </c>
      <c r="D1551">
        <v>0</v>
      </c>
      <c r="F1551">
        <v>0</v>
      </c>
    </row>
    <row r="1552" spans="1:6" x14ac:dyDescent="0.25">
      <c r="A1552" t="s">
        <v>531</v>
      </c>
      <c r="B1552" t="s">
        <v>1640</v>
      </c>
      <c r="C1552">
        <v>42307</v>
      </c>
      <c r="D1552">
        <v>0</v>
      </c>
      <c r="F1552">
        <v>0</v>
      </c>
    </row>
    <row r="1553" spans="1:6" x14ac:dyDescent="0.25">
      <c r="A1553" t="s">
        <v>1583</v>
      </c>
      <c r="B1553" t="s">
        <v>1641</v>
      </c>
      <c r="C1553">
        <v>42308</v>
      </c>
      <c r="D1553">
        <v>315222</v>
      </c>
      <c r="F1553">
        <v>315222</v>
      </c>
    </row>
    <row r="1554" spans="1:6" x14ac:dyDescent="0.25">
      <c r="B1554" t="s">
        <v>2030</v>
      </c>
      <c r="D1554">
        <v>829614</v>
      </c>
      <c r="F1554">
        <v>829614</v>
      </c>
    </row>
    <row r="1555" spans="1:6" x14ac:dyDescent="0.25">
      <c r="B1555" t="s">
        <v>2031</v>
      </c>
    </row>
    <row r="1556" spans="1:6" x14ac:dyDescent="0.25">
      <c r="A1556" t="s">
        <v>2</v>
      </c>
      <c r="B1556" t="s">
        <v>1634</v>
      </c>
      <c r="C1556">
        <v>42401</v>
      </c>
      <c r="D1556">
        <v>0</v>
      </c>
      <c r="F1556">
        <v>0</v>
      </c>
    </row>
    <row r="1557" spans="1:6" x14ac:dyDescent="0.25">
      <c r="A1557" t="s">
        <v>15</v>
      </c>
      <c r="B1557" t="s">
        <v>1635</v>
      </c>
      <c r="C1557">
        <v>42402</v>
      </c>
      <c r="D1557">
        <v>0</v>
      </c>
      <c r="F1557">
        <v>0</v>
      </c>
    </row>
    <row r="1558" spans="1:6" x14ac:dyDescent="0.25">
      <c r="A1558" t="s">
        <v>16</v>
      </c>
      <c r="B1558" t="s">
        <v>1636</v>
      </c>
      <c r="C1558">
        <v>42403</v>
      </c>
      <c r="D1558">
        <v>0</v>
      </c>
      <c r="F1558">
        <v>0</v>
      </c>
    </row>
    <row r="1559" spans="1:6" x14ac:dyDescent="0.25">
      <c r="A1559" t="s">
        <v>25</v>
      </c>
      <c r="B1559" t="s">
        <v>1637</v>
      </c>
      <c r="C1559">
        <v>42404</v>
      </c>
      <c r="D1559">
        <v>0</v>
      </c>
      <c r="F1559">
        <v>0</v>
      </c>
    </row>
    <row r="1560" spans="1:6" x14ac:dyDescent="0.25">
      <c r="A1560" t="s">
        <v>26</v>
      </c>
      <c r="B1560" t="s">
        <v>1638</v>
      </c>
      <c r="C1560">
        <v>42405</v>
      </c>
      <c r="D1560">
        <v>41215</v>
      </c>
      <c r="F1560">
        <v>41215</v>
      </c>
    </row>
    <row r="1561" spans="1:6" x14ac:dyDescent="0.25">
      <c r="A1561" t="s">
        <v>27</v>
      </c>
      <c r="B1561" t="s">
        <v>1639</v>
      </c>
      <c r="C1561">
        <v>42406</v>
      </c>
      <c r="D1561">
        <v>0</v>
      </c>
      <c r="F1561">
        <v>0</v>
      </c>
    </row>
    <row r="1562" spans="1:6" x14ac:dyDescent="0.25">
      <c r="A1562" t="s">
        <v>531</v>
      </c>
      <c r="B1562" t="s">
        <v>1640</v>
      </c>
      <c r="C1562">
        <v>42407</v>
      </c>
      <c r="D1562">
        <v>16273</v>
      </c>
      <c r="F1562">
        <v>16273</v>
      </c>
    </row>
    <row r="1563" spans="1:6" x14ac:dyDescent="0.25">
      <c r="A1563" t="s">
        <v>1583</v>
      </c>
      <c r="B1563" t="s">
        <v>1641</v>
      </c>
      <c r="C1563">
        <v>42408</v>
      </c>
      <c r="D1563">
        <v>6677</v>
      </c>
      <c r="F1563">
        <v>6677</v>
      </c>
    </row>
    <row r="1564" spans="1:6" x14ac:dyDescent="0.25">
      <c r="B1564" t="s">
        <v>2032</v>
      </c>
      <c r="D1564">
        <v>64165</v>
      </c>
      <c r="F1564">
        <v>64165</v>
      </c>
    </row>
    <row r="1565" spans="1:6" x14ac:dyDescent="0.25">
      <c r="B1565" t="s">
        <v>2033</v>
      </c>
    </row>
    <row r="1566" spans="1:6" x14ac:dyDescent="0.25">
      <c r="A1566" t="s">
        <v>2</v>
      </c>
      <c r="B1566" t="s">
        <v>1648</v>
      </c>
      <c r="C1566">
        <v>42501</v>
      </c>
      <c r="D1566">
        <v>0</v>
      </c>
      <c r="F1566">
        <v>0</v>
      </c>
    </row>
    <row r="1567" spans="1:6" x14ac:dyDescent="0.25">
      <c r="A1567" t="s">
        <v>15</v>
      </c>
      <c r="B1567" t="s">
        <v>1649</v>
      </c>
      <c r="C1567">
        <v>42502</v>
      </c>
      <c r="D1567">
        <v>0</v>
      </c>
      <c r="F1567">
        <v>0</v>
      </c>
    </row>
    <row r="1568" spans="1:6" x14ac:dyDescent="0.25">
      <c r="A1568" t="s">
        <v>16</v>
      </c>
      <c r="B1568" t="s">
        <v>1637</v>
      </c>
      <c r="C1568">
        <v>42503</v>
      </c>
      <c r="D1568">
        <v>0</v>
      </c>
      <c r="F1568">
        <v>0</v>
      </c>
    </row>
    <row r="1569" spans="1:6" x14ac:dyDescent="0.25">
      <c r="A1569" t="s">
        <v>25</v>
      </c>
      <c r="B1569" t="s">
        <v>1638</v>
      </c>
      <c r="C1569">
        <v>42504</v>
      </c>
      <c r="D1569">
        <v>0</v>
      </c>
      <c r="F1569">
        <v>0</v>
      </c>
    </row>
    <row r="1570" spans="1:6" x14ac:dyDescent="0.25">
      <c r="A1570" t="s">
        <v>26</v>
      </c>
      <c r="B1570" t="s">
        <v>1650</v>
      </c>
      <c r="C1570">
        <v>42505</v>
      </c>
      <c r="D1570">
        <v>0</v>
      </c>
      <c r="F1570">
        <v>0</v>
      </c>
    </row>
    <row r="1571" spans="1:6" x14ac:dyDescent="0.25">
      <c r="A1571" t="s">
        <v>27</v>
      </c>
      <c r="B1571" t="s">
        <v>1651</v>
      </c>
      <c r="C1571">
        <v>42506</v>
      </c>
      <c r="D1571">
        <v>0</v>
      </c>
      <c r="F1571">
        <v>0</v>
      </c>
    </row>
    <row r="1572" spans="1:6" x14ac:dyDescent="0.25">
      <c r="A1572" t="s">
        <v>531</v>
      </c>
      <c r="B1572" t="s">
        <v>1640</v>
      </c>
      <c r="C1572">
        <v>42507</v>
      </c>
      <c r="D1572">
        <v>0</v>
      </c>
      <c r="F1572">
        <v>0</v>
      </c>
    </row>
    <row r="1573" spans="1:6" x14ac:dyDescent="0.25">
      <c r="A1573" t="s">
        <v>1583</v>
      </c>
      <c r="B1573" t="s">
        <v>1641</v>
      </c>
      <c r="C1573">
        <v>42508</v>
      </c>
      <c r="D1573">
        <v>0</v>
      </c>
      <c r="F1573">
        <v>0</v>
      </c>
    </row>
    <row r="1574" spans="1:6" x14ac:dyDescent="0.25">
      <c r="B1574" t="s">
        <v>2034</v>
      </c>
      <c r="D1574">
        <v>0</v>
      </c>
      <c r="F1574">
        <v>0</v>
      </c>
    </row>
    <row r="1575" spans="1:6" x14ac:dyDescent="0.25">
      <c r="B1575" t="s">
        <v>1660</v>
      </c>
      <c r="D1575">
        <v>893779</v>
      </c>
      <c r="F1575">
        <v>893779</v>
      </c>
    </row>
    <row r="1576" spans="1:6" x14ac:dyDescent="0.25">
      <c r="B1576" t="s">
        <v>2035</v>
      </c>
    </row>
    <row r="1577" spans="1:6" x14ac:dyDescent="0.25">
      <c r="B1577" t="s">
        <v>2036</v>
      </c>
    </row>
    <row r="1578" spans="1:6" x14ac:dyDescent="0.25">
      <c r="A1578" t="s">
        <v>2</v>
      </c>
      <c r="B1578" t="s">
        <v>1637</v>
      </c>
      <c r="C1578">
        <v>43101</v>
      </c>
      <c r="D1578">
        <v>239844</v>
      </c>
      <c r="F1578">
        <v>239844</v>
      </c>
    </row>
    <row r="1579" spans="1:6" x14ac:dyDescent="0.25">
      <c r="A1579" t="s">
        <v>15</v>
      </c>
      <c r="B1579" t="s">
        <v>1638</v>
      </c>
      <c r="C1579">
        <v>43102</v>
      </c>
      <c r="D1579">
        <v>91481</v>
      </c>
      <c r="F1579">
        <v>91481</v>
      </c>
    </row>
    <row r="1580" spans="1:6" x14ac:dyDescent="0.25">
      <c r="A1580" t="s">
        <v>16</v>
      </c>
      <c r="B1580" t="s">
        <v>1640</v>
      </c>
      <c r="C1580">
        <v>43103</v>
      </c>
      <c r="D1580">
        <v>0</v>
      </c>
      <c r="F1580">
        <v>0</v>
      </c>
    </row>
    <row r="1581" spans="1:6" x14ac:dyDescent="0.25">
      <c r="A1581" t="s">
        <v>25</v>
      </c>
      <c r="B1581" t="s">
        <v>1641</v>
      </c>
      <c r="C1581">
        <v>43104</v>
      </c>
      <c r="D1581">
        <v>0</v>
      </c>
      <c r="F1581">
        <v>0</v>
      </c>
    </row>
    <row r="1582" spans="1:6" x14ac:dyDescent="0.25">
      <c r="B1582" t="s">
        <v>2037</v>
      </c>
      <c r="D1582">
        <v>331325</v>
      </c>
      <c r="F1582">
        <v>331325</v>
      </c>
    </row>
    <row r="1583" spans="1:6" x14ac:dyDescent="0.25">
      <c r="B1583" t="s">
        <v>2277</v>
      </c>
    </row>
    <row r="1584" spans="1:6" x14ac:dyDescent="0.25">
      <c r="A1584" t="s">
        <v>2</v>
      </c>
      <c r="B1584" t="s">
        <v>1637</v>
      </c>
      <c r="C1584">
        <v>43201</v>
      </c>
      <c r="D1584">
        <v>586299</v>
      </c>
      <c r="F1584">
        <v>586299</v>
      </c>
    </row>
    <row r="1585" spans="1:6" x14ac:dyDescent="0.25">
      <c r="A1585" t="s">
        <v>15</v>
      </c>
      <c r="B1585" t="s">
        <v>1638</v>
      </c>
      <c r="C1585">
        <v>43202</v>
      </c>
      <c r="D1585">
        <v>348920</v>
      </c>
      <c r="F1585">
        <v>348920</v>
      </c>
    </row>
    <row r="1586" spans="1:6" x14ac:dyDescent="0.25">
      <c r="A1586" t="s">
        <v>16</v>
      </c>
      <c r="B1586" t="s">
        <v>1640</v>
      </c>
      <c r="C1586">
        <v>43203</v>
      </c>
      <c r="D1586">
        <v>47565</v>
      </c>
      <c r="F1586">
        <v>47565</v>
      </c>
    </row>
    <row r="1587" spans="1:6" x14ac:dyDescent="0.25">
      <c r="A1587" t="s">
        <v>25</v>
      </c>
      <c r="B1587" t="s">
        <v>1641</v>
      </c>
      <c r="C1587">
        <v>43204</v>
      </c>
      <c r="D1587">
        <v>0</v>
      </c>
      <c r="F1587">
        <v>0</v>
      </c>
    </row>
    <row r="1588" spans="1:6" x14ac:dyDescent="0.25">
      <c r="B1588" t="s">
        <v>2039</v>
      </c>
      <c r="D1588">
        <v>982784</v>
      </c>
      <c r="F1588">
        <v>982784</v>
      </c>
    </row>
    <row r="1589" spans="1:6" x14ac:dyDescent="0.25">
      <c r="B1589" t="s">
        <v>2040</v>
      </c>
    </row>
    <row r="1590" spans="1:6" x14ac:dyDescent="0.25">
      <c r="A1590" t="s">
        <v>2</v>
      </c>
      <c r="B1590" t="s">
        <v>1637</v>
      </c>
      <c r="C1590">
        <v>43301</v>
      </c>
      <c r="D1590">
        <v>0</v>
      </c>
      <c r="F1590">
        <v>0</v>
      </c>
    </row>
    <row r="1591" spans="1:6" x14ac:dyDescent="0.25">
      <c r="A1591" t="s">
        <v>15</v>
      </c>
      <c r="B1591" t="s">
        <v>1638</v>
      </c>
      <c r="C1591">
        <v>43302</v>
      </c>
      <c r="D1591">
        <v>157090</v>
      </c>
      <c r="F1591">
        <v>157090</v>
      </c>
    </row>
    <row r="1592" spans="1:6" x14ac:dyDescent="0.25">
      <c r="A1592" t="s">
        <v>16</v>
      </c>
      <c r="B1592" t="s">
        <v>1640</v>
      </c>
      <c r="C1592">
        <v>43303</v>
      </c>
      <c r="D1592">
        <v>0</v>
      </c>
      <c r="F1592">
        <v>0</v>
      </c>
    </row>
    <row r="1593" spans="1:6" x14ac:dyDescent="0.25">
      <c r="A1593" t="s">
        <v>25</v>
      </c>
      <c r="B1593" t="s">
        <v>1641</v>
      </c>
      <c r="C1593">
        <v>43304</v>
      </c>
      <c r="D1593">
        <v>0</v>
      </c>
      <c r="F1593">
        <v>0</v>
      </c>
    </row>
    <row r="1594" spans="1:6" x14ac:dyDescent="0.25">
      <c r="B1594" t="s">
        <v>2041</v>
      </c>
      <c r="D1594">
        <v>157090</v>
      </c>
      <c r="F1594">
        <v>157090</v>
      </c>
    </row>
    <row r="1595" spans="1:6" x14ac:dyDescent="0.25">
      <c r="B1595" t="s">
        <v>2042</v>
      </c>
    </row>
    <row r="1596" spans="1:6" x14ac:dyDescent="0.25">
      <c r="A1596" t="s">
        <v>2</v>
      </c>
      <c r="B1596" t="s">
        <v>1637</v>
      </c>
      <c r="C1596">
        <v>43401</v>
      </c>
      <c r="D1596">
        <v>0</v>
      </c>
      <c r="F1596">
        <v>0</v>
      </c>
    </row>
    <row r="1597" spans="1:6" x14ac:dyDescent="0.25">
      <c r="A1597" t="s">
        <v>15</v>
      </c>
      <c r="B1597" t="s">
        <v>1638</v>
      </c>
      <c r="C1597">
        <v>43402</v>
      </c>
      <c r="D1597">
        <v>82542</v>
      </c>
      <c r="F1597">
        <v>82542</v>
      </c>
    </row>
    <row r="1598" spans="1:6" x14ac:dyDescent="0.25">
      <c r="A1598" t="s">
        <v>16</v>
      </c>
      <c r="B1598" t="s">
        <v>1640</v>
      </c>
      <c r="C1598">
        <v>43403</v>
      </c>
      <c r="D1598">
        <v>0</v>
      </c>
      <c r="F1598">
        <v>0</v>
      </c>
    </row>
    <row r="1599" spans="1:6" x14ac:dyDescent="0.25">
      <c r="A1599" t="s">
        <v>25</v>
      </c>
      <c r="B1599" t="s">
        <v>1641</v>
      </c>
      <c r="C1599">
        <v>43404</v>
      </c>
      <c r="D1599">
        <v>0</v>
      </c>
      <c r="F1599">
        <v>0</v>
      </c>
    </row>
    <row r="1600" spans="1:6" x14ac:dyDescent="0.25">
      <c r="B1600" t="s">
        <v>2043</v>
      </c>
      <c r="D1600">
        <v>82542</v>
      </c>
      <c r="F1600">
        <v>82542</v>
      </c>
    </row>
    <row r="1601" spans="1:6" x14ac:dyDescent="0.25">
      <c r="B1601" t="s">
        <v>2044</v>
      </c>
    </row>
    <row r="1602" spans="1:6" x14ac:dyDescent="0.25">
      <c r="A1602" t="s">
        <v>2</v>
      </c>
      <c r="B1602" t="s">
        <v>1637</v>
      </c>
      <c r="C1602">
        <v>43501</v>
      </c>
      <c r="D1602">
        <v>0</v>
      </c>
      <c r="F1602">
        <v>0</v>
      </c>
    </row>
    <row r="1603" spans="1:6" x14ac:dyDescent="0.25">
      <c r="A1603" t="s">
        <v>15</v>
      </c>
      <c r="B1603" t="s">
        <v>1638</v>
      </c>
      <c r="C1603">
        <v>43502</v>
      </c>
      <c r="D1603">
        <v>0</v>
      </c>
      <c r="F1603">
        <v>0</v>
      </c>
    </row>
    <row r="1604" spans="1:6" x14ac:dyDescent="0.25">
      <c r="A1604" t="s">
        <v>16</v>
      </c>
      <c r="B1604" t="s">
        <v>1640</v>
      </c>
      <c r="C1604">
        <v>43503</v>
      </c>
      <c r="D1604">
        <v>0</v>
      </c>
      <c r="F1604">
        <v>0</v>
      </c>
    </row>
    <row r="1605" spans="1:6" x14ac:dyDescent="0.25">
      <c r="A1605" t="s">
        <v>25</v>
      </c>
      <c r="B1605" t="s">
        <v>1641</v>
      </c>
      <c r="C1605">
        <v>43504</v>
      </c>
      <c r="D1605">
        <v>0</v>
      </c>
      <c r="F1605">
        <v>0</v>
      </c>
    </row>
    <row r="1606" spans="1:6" x14ac:dyDescent="0.25">
      <c r="B1606" t="s">
        <v>2045</v>
      </c>
      <c r="D1606">
        <v>0</v>
      </c>
      <c r="F1606">
        <v>0</v>
      </c>
    </row>
    <row r="1607" spans="1:6" x14ac:dyDescent="0.25">
      <c r="B1607" t="s">
        <v>1670</v>
      </c>
      <c r="D1607">
        <v>1553741</v>
      </c>
      <c r="F1607">
        <v>1553741</v>
      </c>
    </row>
    <row r="1608" spans="1:6" x14ac:dyDescent="0.25">
      <c r="B1608" t="s">
        <v>2046</v>
      </c>
    </row>
    <row r="1609" spans="1:6" x14ac:dyDescent="0.25">
      <c r="B1609" t="s">
        <v>1672</v>
      </c>
    </row>
    <row r="1610" spans="1:6" x14ac:dyDescent="0.25">
      <c r="A1610" t="s">
        <v>2</v>
      </c>
      <c r="B1610" t="s">
        <v>1673</v>
      </c>
      <c r="C1610">
        <v>44101</v>
      </c>
      <c r="D1610">
        <v>0</v>
      </c>
      <c r="E1610">
        <v>0</v>
      </c>
      <c r="F1610">
        <v>0</v>
      </c>
    </row>
    <row r="1611" spans="1:6" x14ac:dyDescent="0.25">
      <c r="A1611" t="s">
        <v>15</v>
      </c>
      <c r="B1611" t="s">
        <v>1674</v>
      </c>
      <c r="C1611">
        <v>44102</v>
      </c>
      <c r="D1611">
        <v>0</v>
      </c>
      <c r="E1611">
        <v>0</v>
      </c>
      <c r="F1611">
        <v>0</v>
      </c>
    </row>
    <row r="1612" spans="1:6" x14ac:dyDescent="0.25">
      <c r="A1612" t="s">
        <v>16</v>
      </c>
      <c r="B1612" t="s">
        <v>1675</v>
      </c>
      <c r="C1612">
        <v>44103</v>
      </c>
      <c r="D1612">
        <v>0</v>
      </c>
      <c r="E1612">
        <v>0</v>
      </c>
      <c r="F1612">
        <v>0</v>
      </c>
    </row>
    <row r="1613" spans="1:6" x14ac:dyDescent="0.25">
      <c r="A1613" t="s">
        <v>25</v>
      </c>
      <c r="B1613" t="s">
        <v>1676</v>
      </c>
      <c r="C1613">
        <v>44104</v>
      </c>
      <c r="D1613">
        <v>0</v>
      </c>
      <c r="E1613">
        <v>0</v>
      </c>
      <c r="F1613">
        <v>0</v>
      </c>
    </row>
    <row r="1614" spans="1:6" x14ac:dyDescent="0.25">
      <c r="A1614" t="s">
        <v>26</v>
      </c>
      <c r="B1614" t="s">
        <v>1677</v>
      </c>
      <c r="C1614">
        <v>44105</v>
      </c>
      <c r="D1614">
        <v>0</v>
      </c>
      <c r="E1614">
        <v>0</v>
      </c>
      <c r="F1614">
        <v>0</v>
      </c>
    </row>
    <row r="1615" spans="1:6" x14ac:dyDescent="0.25">
      <c r="B1615" t="s">
        <v>2047</v>
      </c>
      <c r="D1615">
        <v>0</v>
      </c>
      <c r="E1615">
        <v>0</v>
      </c>
      <c r="F1615">
        <v>0</v>
      </c>
    </row>
    <row r="1616" spans="1:6" x14ac:dyDescent="0.25">
      <c r="B1616" t="s">
        <v>1781</v>
      </c>
    </row>
    <row r="1617" spans="1:6" x14ac:dyDescent="0.25">
      <c r="A1617" t="s">
        <v>2</v>
      </c>
      <c r="B1617" t="s">
        <v>1693</v>
      </c>
      <c r="C1617">
        <v>44201</v>
      </c>
      <c r="D1617">
        <v>0</v>
      </c>
      <c r="E1617">
        <v>0</v>
      </c>
      <c r="F1617">
        <v>0</v>
      </c>
    </row>
    <row r="1618" spans="1:6" x14ac:dyDescent="0.25">
      <c r="A1618" t="s">
        <v>15</v>
      </c>
      <c r="B1618" t="s">
        <v>1694</v>
      </c>
      <c r="C1618">
        <v>44202</v>
      </c>
      <c r="D1618">
        <v>0</v>
      </c>
      <c r="E1618">
        <v>0</v>
      </c>
      <c r="F1618">
        <v>0</v>
      </c>
    </row>
    <row r="1619" spans="1:6" x14ac:dyDescent="0.25">
      <c r="A1619" t="s">
        <v>16</v>
      </c>
      <c r="B1619" t="s">
        <v>1695</v>
      </c>
      <c r="C1619">
        <v>44203</v>
      </c>
      <c r="D1619">
        <v>0</v>
      </c>
      <c r="E1619">
        <v>0</v>
      </c>
      <c r="F1619">
        <v>0</v>
      </c>
    </row>
    <row r="1620" spans="1:6" x14ac:dyDescent="0.25">
      <c r="A1620" t="s">
        <v>25</v>
      </c>
      <c r="B1620" t="s">
        <v>1696</v>
      </c>
      <c r="C1620">
        <v>44204</v>
      </c>
      <c r="D1620">
        <v>0</v>
      </c>
      <c r="E1620">
        <v>0</v>
      </c>
      <c r="F1620">
        <v>0</v>
      </c>
    </row>
    <row r="1621" spans="1:6" x14ac:dyDescent="0.25">
      <c r="A1621" t="s">
        <v>26</v>
      </c>
      <c r="B1621" t="s">
        <v>1680</v>
      </c>
      <c r="C1621">
        <v>44205</v>
      </c>
      <c r="D1621">
        <v>0</v>
      </c>
      <c r="E1621">
        <v>0</v>
      </c>
      <c r="F1621">
        <v>0</v>
      </c>
    </row>
    <row r="1622" spans="1:6" x14ac:dyDescent="0.25">
      <c r="A1622" t="s">
        <v>27</v>
      </c>
      <c r="B1622" t="s">
        <v>1681</v>
      </c>
      <c r="C1622">
        <v>44206</v>
      </c>
      <c r="D1622">
        <v>0</v>
      </c>
      <c r="E1622">
        <v>0</v>
      </c>
      <c r="F1622">
        <v>0</v>
      </c>
    </row>
    <row r="1623" spans="1:6" x14ac:dyDescent="0.25">
      <c r="A1623" t="s">
        <v>531</v>
      </c>
      <c r="B1623" t="s">
        <v>1682</v>
      </c>
      <c r="C1623">
        <v>44207</v>
      </c>
      <c r="D1623">
        <v>0</v>
      </c>
      <c r="E1623">
        <v>0</v>
      </c>
      <c r="F1623">
        <v>0</v>
      </c>
    </row>
    <row r="1624" spans="1:6" x14ac:dyDescent="0.25">
      <c r="A1624" t="s">
        <v>1583</v>
      </c>
      <c r="B1624" t="s">
        <v>1683</v>
      </c>
      <c r="C1624">
        <v>44208</v>
      </c>
      <c r="D1624">
        <v>0</v>
      </c>
      <c r="E1624">
        <v>0</v>
      </c>
      <c r="F1624">
        <v>0</v>
      </c>
    </row>
    <row r="1625" spans="1:6" x14ac:dyDescent="0.25">
      <c r="A1625" t="s">
        <v>1585</v>
      </c>
      <c r="B1625" t="s">
        <v>1684</v>
      </c>
      <c r="C1625">
        <v>44209</v>
      </c>
      <c r="D1625">
        <v>0</v>
      </c>
      <c r="E1625">
        <v>0</v>
      </c>
      <c r="F1625">
        <v>0</v>
      </c>
    </row>
    <row r="1626" spans="1:6" x14ac:dyDescent="0.25">
      <c r="A1626" t="s">
        <v>1587</v>
      </c>
      <c r="B1626" t="s">
        <v>1685</v>
      </c>
      <c r="C1626">
        <v>44210</v>
      </c>
      <c r="D1626">
        <v>0</v>
      </c>
      <c r="E1626">
        <v>0</v>
      </c>
      <c r="F1626">
        <v>0</v>
      </c>
    </row>
    <row r="1627" spans="1:6" x14ac:dyDescent="0.25">
      <c r="A1627" t="s">
        <v>1589</v>
      </c>
      <c r="B1627" t="s">
        <v>1686</v>
      </c>
      <c r="C1627">
        <v>44211</v>
      </c>
      <c r="D1627">
        <v>0</v>
      </c>
      <c r="E1627">
        <v>0</v>
      </c>
      <c r="F1627">
        <v>0</v>
      </c>
    </row>
    <row r="1628" spans="1:6" x14ac:dyDescent="0.25">
      <c r="A1628" t="s">
        <v>1591</v>
      </c>
      <c r="B1628" t="s">
        <v>1687</v>
      </c>
      <c r="C1628">
        <v>44212</v>
      </c>
      <c r="D1628">
        <v>0</v>
      </c>
      <c r="E1628">
        <v>0</v>
      </c>
      <c r="F1628">
        <v>0</v>
      </c>
    </row>
    <row r="1629" spans="1:6" x14ac:dyDescent="0.25">
      <c r="A1629" t="s">
        <v>1593</v>
      </c>
      <c r="B1629" t="s">
        <v>1688</v>
      </c>
      <c r="C1629">
        <v>44213</v>
      </c>
      <c r="D1629">
        <v>0</v>
      </c>
      <c r="E1629">
        <v>0</v>
      </c>
      <c r="F1629">
        <v>0</v>
      </c>
    </row>
    <row r="1630" spans="1:6" x14ac:dyDescent="0.25">
      <c r="A1630" t="s">
        <v>1595</v>
      </c>
      <c r="B1630" t="s">
        <v>1690</v>
      </c>
      <c r="C1630">
        <v>44214</v>
      </c>
      <c r="D1630">
        <v>0</v>
      </c>
      <c r="E1630">
        <v>0</v>
      </c>
      <c r="F1630">
        <v>0</v>
      </c>
    </row>
    <row r="1631" spans="1:6" x14ac:dyDescent="0.25">
      <c r="A1631" t="s">
        <v>1597</v>
      </c>
      <c r="B1631" t="s">
        <v>1637</v>
      </c>
      <c r="C1631">
        <v>44215</v>
      </c>
      <c r="D1631">
        <v>0</v>
      </c>
      <c r="E1631">
        <v>0</v>
      </c>
      <c r="F1631">
        <v>0</v>
      </c>
    </row>
    <row r="1632" spans="1:6" x14ac:dyDescent="0.25">
      <c r="A1632" t="s">
        <v>1599</v>
      </c>
      <c r="B1632" t="s">
        <v>1640</v>
      </c>
      <c r="C1632">
        <v>44216</v>
      </c>
      <c r="D1632">
        <v>0</v>
      </c>
      <c r="E1632">
        <v>0</v>
      </c>
      <c r="F1632">
        <v>0</v>
      </c>
    </row>
    <row r="1633" spans="1:6" x14ac:dyDescent="0.25">
      <c r="A1633" t="s">
        <v>1601</v>
      </c>
      <c r="B1633" t="s">
        <v>1636</v>
      </c>
      <c r="C1633">
        <v>44217</v>
      </c>
      <c r="D1633">
        <v>0</v>
      </c>
      <c r="E1633">
        <v>0</v>
      </c>
      <c r="F1633">
        <v>0</v>
      </c>
    </row>
    <row r="1634" spans="1:6" x14ac:dyDescent="0.25">
      <c r="A1634" t="s">
        <v>1603</v>
      </c>
      <c r="B1634" t="s">
        <v>1689</v>
      </c>
      <c r="C1634">
        <v>44218</v>
      </c>
      <c r="D1634">
        <v>0</v>
      </c>
      <c r="E1634">
        <v>0</v>
      </c>
      <c r="F1634">
        <v>0</v>
      </c>
    </row>
    <row r="1635" spans="1:6" x14ac:dyDescent="0.25">
      <c r="B1635" t="s">
        <v>2048</v>
      </c>
      <c r="D1635">
        <v>0</v>
      </c>
      <c r="E1635">
        <v>0</v>
      </c>
      <c r="F1635">
        <v>0</v>
      </c>
    </row>
    <row r="1636" spans="1:6" x14ac:dyDescent="0.25">
      <c r="B1636" t="s">
        <v>1783</v>
      </c>
    </row>
    <row r="1637" spans="1:6" x14ac:dyDescent="0.25">
      <c r="A1637" t="s">
        <v>2</v>
      </c>
      <c r="B1637" t="s">
        <v>1699</v>
      </c>
      <c r="C1637">
        <v>44301</v>
      </c>
      <c r="D1637">
        <v>0</v>
      </c>
      <c r="E1637">
        <v>0</v>
      </c>
      <c r="F1637">
        <v>0</v>
      </c>
    </row>
    <row r="1638" spans="1:6" x14ac:dyDescent="0.25">
      <c r="A1638" t="s">
        <v>15</v>
      </c>
      <c r="B1638" t="s">
        <v>1694</v>
      </c>
      <c r="C1638">
        <v>44302</v>
      </c>
      <c r="D1638">
        <v>0</v>
      </c>
      <c r="E1638">
        <v>0</v>
      </c>
      <c r="F1638">
        <v>0</v>
      </c>
    </row>
    <row r="1639" spans="1:6" x14ac:dyDescent="0.25">
      <c r="A1639" t="s">
        <v>16</v>
      </c>
      <c r="B1639" t="s">
        <v>1695</v>
      </c>
      <c r="C1639">
        <v>44303</v>
      </c>
      <c r="D1639">
        <v>0</v>
      </c>
      <c r="E1639">
        <v>0</v>
      </c>
      <c r="F1639">
        <v>0</v>
      </c>
    </row>
    <row r="1640" spans="1:6" x14ac:dyDescent="0.25">
      <c r="A1640" t="s">
        <v>25</v>
      </c>
      <c r="B1640" t="s">
        <v>1696</v>
      </c>
      <c r="C1640">
        <v>44304</v>
      </c>
      <c r="D1640">
        <v>0</v>
      </c>
      <c r="E1640">
        <v>0</v>
      </c>
      <c r="F1640">
        <v>0</v>
      </c>
    </row>
    <row r="1641" spans="1:6" x14ac:dyDescent="0.25">
      <c r="A1641" t="s">
        <v>26</v>
      </c>
      <c r="B1641" t="s">
        <v>1680</v>
      </c>
      <c r="C1641">
        <v>44305</v>
      </c>
      <c r="D1641">
        <v>0</v>
      </c>
      <c r="E1641">
        <v>0</v>
      </c>
      <c r="F1641">
        <v>0</v>
      </c>
    </row>
    <row r="1642" spans="1:6" x14ac:dyDescent="0.25">
      <c r="A1642" t="s">
        <v>27</v>
      </c>
      <c r="B1642" t="s">
        <v>1681</v>
      </c>
      <c r="C1642">
        <v>44306</v>
      </c>
      <c r="D1642">
        <v>0</v>
      </c>
      <c r="E1642">
        <v>0</v>
      </c>
      <c r="F1642">
        <v>0</v>
      </c>
    </row>
    <row r="1643" spans="1:6" x14ac:dyDescent="0.25">
      <c r="A1643" t="s">
        <v>531</v>
      </c>
      <c r="B1643" t="s">
        <v>1682</v>
      </c>
      <c r="C1643">
        <v>44307</v>
      </c>
      <c r="D1643">
        <v>0</v>
      </c>
      <c r="E1643">
        <v>0</v>
      </c>
      <c r="F1643">
        <v>0</v>
      </c>
    </row>
    <row r="1644" spans="1:6" x14ac:dyDescent="0.25">
      <c r="A1644" t="s">
        <v>1583</v>
      </c>
      <c r="B1644" t="s">
        <v>1683</v>
      </c>
      <c r="C1644">
        <v>44308</v>
      </c>
      <c r="D1644">
        <v>0</v>
      </c>
      <c r="E1644">
        <v>0</v>
      </c>
      <c r="F1644">
        <v>0</v>
      </c>
    </row>
    <row r="1645" spans="1:6" x14ac:dyDescent="0.25">
      <c r="A1645" t="s">
        <v>1585</v>
      </c>
      <c r="B1645" t="s">
        <v>1684</v>
      </c>
      <c r="C1645">
        <v>44309</v>
      </c>
      <c r="D1645">
        <v>0</v>
      </c>
      <c r="E1645">
        <v>0</v>
      </c>
      <c r="F1645">
        <v>0</v>
      </c>
    </row>
    <row r="1646" spans="1:6" x14ac:dyDescent="0.25">
      <c r="A1646" t="s">
        <v>1587</v>
      </c>
      <c r="B1646" t="s">
        <v>1685</v>
      </c>
      <c r="C1646">
        <v>44310</v>
      </c>
      <c r="D1646">
        <v>0</v>
      </c>
      <c r="E1646">
        <v>0</v>
      </c>
      <c r="F1646">
        <v>0</v>
      </c>
    </row>
    <row r="1647" spans="1:6" x14ac:dyDescent="0.25">
      <c r="A1647" t="s">
        <v>1589</v>
      </c>
      <c r="B1647" t="s">
        <v>1686</v>
      </c>
      <c r="C1647">
        <v>44311</v>
      </c>
      <c r="D1647">
        <v>0</v>
      </c>
      <c r="E1647">
        <v>0</v>
      </c>
      <c r="F1647">
        <v>0</v>
      </c>
    </row>
    <row r="1648" spans="1:6" x14ac:dyDescent="0.25">
      <c r="A1648" t="s">
        <v>1591</v>
      </c>
      <c r="B1648" t="s">
        <v>1687</v>
      </c>
      <c r="C1648">
        <v>44312</v>
      </c>
      <c r="D1648">
        <v>0</v>
      </c>
      <c r="E1648">
        <v>0</v>
      </c>
      <c r="F1648">
        <v>0</v>
      </c>
    </row>
    <row r="1649" spans="1:6" x14ac:dyDescent="0.25">
      <c r="A1649" t="s">
        <v>1593</v>
      </c>
      <c r="B1649" t="s">
        <v>1688</v>
      </c>
      <c r="C1649">
        <v>44313</v>
      </c>
      <c r="D1649">
        <v>0</v>
      </c>
      <c r="E1649">
        <v>0</v>
      </c>
      <c r="F1649">
        <v>0</v>
      </c>
    </row>
    <row r="1650" spans="1:6" x14ac:dyDescent="0.25">
      <c r="A1650" t="s">
        <v>1595</v>
      </c>
      <c r="B1650" t="s">
        <v>1690</v>
      </c>
      <c r="C1650">
        <v>44314</v>
      </c>
      <c r="D1650">
        <v>0</v>
      </c>
      <c r="E1650">
        <v>0</v>
      </c>
      <c r="F1650">
        <v>0</v>
      </c>
    </row>
    <row r="1651" spans="1:6" x14ac:dyDescent="0.25">
      <c r="A1651" t="s">
        <v>1597</v>
      </c>
      <c r="B1651" t="s">
        <v>1637</v>
      </c>
      <c r="C1651">
        <v>44315</v>
      </c>
      <c r="D1651">
        <v>0</v>
      </c>
      <c r="E1651">
        <v>0</v>
      </c>
      <c r="F1651">
        <v>0</v>
      </c>
    </row>
    <row r="1652" spans="1:6" x14ac:dyDescent="0.25">
      <c r="A1652" t="s">
        <v>1599</v>
      </c>
      <c r="B1652" t="s">
        <v>1640</v>
      </c>
      <c r="C1652">
        <v>44316</v>
      </c>
      <c r="D1652">
        <v>0</v>
      </c>
      <c r="E1652">
        <v>0</v>
      </c>
      <c r="F1652">
        <v>0</v>
      </c>
    </row>
    <row r="1653" spans="1:6" x14ac:dyDescent="0.25">
      <c r="A1653" t="s">
        <v>1601</v>
      </c>
      <c r="B1653" t="s">
        <v>1636</v>
      </c>
      <c r="C1653">
        <v>44317</v>
      </c>
      <c r="D1653">
        <v>0</v>
      </c>
      <c r="E1653">
        <v>0</v>
      </c>
      <c r="F1653">
        <v>0</v>
      </c>
    </row>
    <row r="1654" spans="1:6" x14ac:dyDescent="0.25">
      <c r="A1654" t="s">
        <v>1603</v>
      </c>
      <c r="B1654" t="s">
        <v>1689</v>
      </c>
      <c r="C1654">
        <v>44318</v>
      </c>
      <c r="D1654">
        <v>0</v>
      </c>
      <c r="E1654">
        <v>0</v>
      </c>
      <c r="F1654">
        <v>0</v>
      </c>
    </row>
    <row r="1655" spans="1:6" x14ac:dyDescent="0.25">
      <c r="B1655" t="s">
        <v>2049</v>
      </c>
      <c r="D1655">
        <v>0</v>
      </c>
      <c r="E1655">
        <v>0</v>
      </c>
      <c r="F1655">
        <v>0</v>
      </c>
    </row>
    <row r="1656" spans="1:6" x14ac:dyDescent="0.25">
      <c r="B1656" t="s">
        <v>1785</v>
      </c>
    </row>
    <row r="1657" spans="1:6" x14ac:dyDescent="0.25">
      <c r="A1657" t="s">
        <v>2</v>
      </c>
      <c r="B1657" t="s">
        <v>1702</v>
      </c>
      <c r="C1657">
        <v>44401</v>
      </c>
      <c r="D1657">
        <v>0</v>
      </c>
      <c r="E1657">
        <v>0</v>
      </c>
      <c r="F1657">
        <v>0</v>
      </c>
    </row>
    <row r="1658" spans="1:6" x14ac:dyDescent="0.25">
      <c r="A1658" t="s">
        <v>15</v>
      </c>
      <c r="B1658" t="s">
        <v>1703</v>
      </c>
      <c r="C1658">
        <v>44402</v>
      </c>
      <c r="D1658">
        <v>0</v>
      </c>
      <c r="E1658">
        <v>0</v>
      </c>
      <c r="F1658">
        <v>0</v>
      </c>
    </row>
    <row r="1659" spans="1:6" x14ac:dyDescent="0.25">
      <c r="B1659" t="s">
        <v>2050</v>
      </c>
      <c r="D1659">
        <v>0</v>
      </c>
      <c r="E1659">
        <v>0</v>
      </c>
      <c r="F1659">
        <v>0</v>
      </c>
    </row>
    <row r="1660" spans="1:6" x14ac:dyDescent="0.25">
      <c r="B1660" t="s">
        <v>1787</v>
      </c>
    </row>
    <row r="1661" spans="1:6" x14ac:dyDescent="0.25">
      <c r="A1661" t="s">
        <v>2</v>
      </c>
      <c r="B1661" t="s">
        <v>1702</v>
      </c>
      <c r="C1661">
        <v>44501</v>
      </c>
      <c r="D1661">
        <v>0</v>
      </c>
      <c r="E1661">
        <v>0</v>
      </c>
      <c r="F1661">
        <v>0</v>
      </c>
    </row>
    <row r="1662" spans="1:6" x14ac:dyDescent="0.25">
      <c r="A1662" t="s">
        <v>15</v>
      </c>
      <c r="B1662" t="s">
        <v>1703</v>
      </c>
      <c r="C1662">
        <v>44502</v>
      </c>
      <c r="D1662">
        <v>0</v>
      </c>
      <c r="E1662">
        <v>0</v>
      </c>
      <c r="F1662">
        <v>0</v>
      </c>
    </row>
    <row r="1663" spans="1:6" x14ac:dyDescent="0.25">
      <c r="B1663" t="s">
        <v>2051</v>
      </c>
      <c r="D1663">
        <v>0</v>
      </c>
      <c r="E1663">
        <v>0</v>
      </c>
      <c r="F1663">
        <v>0</v>
      </c>
    </row>
    <row r="1664" spans="1:6" x14ac:dyDescent="0.25">
      <c r="B1664" t="s">
        <v>1789</v>
      </c>
    </row>
    <row r="1665" spans="1:6" x14ac:dyDescent="0.25">
      <c r="A1665" t="s">
        <v>2</v>
      </c>
      <c r="B1665" t="s">
        <v>1710</v>
      </c>
      <c r="C1665">
        <v>44601</v>
      </c>
      <c r="D1665">
        <v>614</v>
      </c>
      <c r="E1665">
        <v>10154</v>
      </c>
      <c r="F1665">
        <v>10768</v>
      </c>
    </row>
    <row r="1666" spans="1:6" x14ac:dyDescent="0.25">
      <c r="A1666" t="s">
        <v>15</v>
      </c>
      <c r="B1666" t="s">
        <v>1711</v>
      </c>
      <c r="C1666">
        <v>44602</v>
      </c>
      <c r="D1666">
        <v>0</v>
      </c>
      <c r="E1666">
        <v>0</v>
      </c>
      <c r="F1666">
        <v>0</v>
      </c>
    </row>
    <row r="1667" spans="1:6" x14ac:dyDescent="0.25">
      <c r="A1667" t="s">
        <v>16</v>
      </c>
      <c r="B1667" t="s">
        <v>1712</v>
      </c>
      <c r="C1667">
        <v>44603</v>
      </c>
      <c r="D1667">
        <v>0</v>
      </c>
      <c r="E1667">
        <v>0</v>
      </c>
      <c r="F1667">
        <v>0</v>
      </c>
    </row>
    <row r="1668" spans="1:6" x14ac:dyDescent="0.25">
      <c r="A1668" t="s">
        <v>25</v>
      </c>
      <c r="B1668" t="s">
        <v>1713</v>
      </c>
      <c r="C1668">
        <v>44604</v>
      </c>
      <c r="D1668">
        <v>0</v>
      </c>
      <c r="E1668">
        <v>0</v>
      </c>
      <c r="F1668">
        <v>0</v>
      </c>
    </row>
    <row r="1669" spans="1:6" x14ac:dyDescent="0.25">
      <c r="A1669" t="s">
        <v>26</v>
      </c>
      <c r="B1669" t="s">
        <v>1714</v>
      </c>
      <c r="C1669">
        <v>44605</v>
      </c>
      <c r="D1669">
        <v>0</v>
      </c>
      <c r="E1669">
        <v>0</v>
      </c>
      <c r="F1669">
        <v>0</v>
      </c>
    </row>
    <row r="1670" spans="1:6" x14ac:dyDescent="0.25">
      <c r="B1670" t="s">
        <v>2052</v>
      </c>
      <c r="D1670">
        <v>614</v>
      </c>
      <c r="E1670">
        <v>10154</v>
      </c>
      <c r="F1670">
        <v>10768</v>
      </c>
    </row>
    <row r="1671" spans="1:6" x14ac:dyDescent="0.25">
      <c r="B1671" t="s">
        <v>1716</v>
      </c>
      <c r="D1671">
        <v>614</v>
      </c>
      <c r="E1671">
        <v>10154</v>
      </c>
      <c r="F1671">
        <v>10768</v>
      </c>
    </row>
    <row r="1672" spans="1:6" x14ac:dyDescent="0.25">
      <c r="B1672" t="s">
        <v>2053</v>
      </c>
    </row>
    <row r="1673" spans="1:6" x14ac:dyDescent="0.25">
      <c r="B1673" t="s">
        <v>2054</v>
      </c>
    </row>
    <row r="1674" spans="1:6" x14ac:dyDescent="0.25">
      <c r="A1674" t="s">
        <v>2</v>
      </c>
      <c r="B1674" t="s">
        <v>1793</v>
      </c>
      <c r="C1674">
        <v>45101</v>
      </c>
      <c r="D1674">
        <v>742149</v>
      </c>
      <c r="F1674">
        <v>742149</v>
      </c>
    </row>
    <row r="1675" spans="1:6" x14ac:dyDescent="0.25">
      <c r="A1675" t="s">
        <v>15</v>
      </c>
      <c r="B1675" t="s">
        <v>1794</v>
      </c>
      <c r="C1675">
        <v>45102</v>
      </c>
      <c r="D1675">
        <v>0</v>
      </c>
      <c r="F1675">
        <v>0</v>
      </c>
    </row>
    <row r="1676" spans="1:6" x14ac:dyDescent="0.25">
      <c r="A1676" t="s">
        <v>16</v>
      </c>
      <c r="B1676" t="s">
        <v>1795</v>
      </c>
      <c r="C1676">
        <v>45103</v>
      </c>
      <c r="D1676">
        <v>0</v>
      </c>
      <c r="F1676">
        <v>0</v>
      </c>
    </row>
    <row r="1677" spans="1:6" x14ac:dyDescent="0.25">
      <c r="A1677" t="s">
        <v>25</v>
      </c>
      <c r="B1677" t="s">
        <v>1796</v>
      </c>
      <c r="C1677">
        <v>45104</v>
      </c>
      <c r="D1677">
        <v>3926042</v>
      </c>
      <c r="F1677">
        <v>3926042</v>
      </c>
    </row>
    <row r="1678" spans="1:6" x14ac:dyDescent="0.25">
      <c r="A1678" t="s">
        <v>26</v>
      </c>
      <c r="B1678" t="s">
        <v>1797</v>
      </c>
      <c r="C1678">
        <v>45105</v>
      </c>
      <c r="D1678">
        <v>0</v>
      </c>
      <c r="F1678">
        <v>0</v>
      </c>
    </row>
    <row r="1679" spans="1:6" x14ac:dyDescent="0.25">
      <c r="B1679" t="s">
        <v>2055</v>
      </c>
      <c r="D1679">
        <v>4668191</v>
      </c>
      <c r="F1679">
        <v>4668191</v>
      </c>
    </row>
    <row r="1680" spans="1:6" x14ac:dyDescent="0.25">
      <c r="B1680" t="s">
        <v>2056</v>
      </c>
    </row>
    <row r="1681" spans="1:6" x14ac:dyDescent="0.25">
      <c r="A1681" t="s">
        <v>2</v>
      </c>
      <c r="B1681" t="s">
        <v>1793</v>
      </c>
      <c r="C1681">
        <v>45201</v>
      </c>
      <c r="D1681">
        <v>0</v>
      </c>
      <c r="F1681">
        <v>0</v>
      </c>
    </row>
    <row r="1682" spans="1:6" x14ac:dyDescent="0.25">
      <c r="A1682" t="s">
        <v>15</v>
      </c>
      <c r="B1682" t="s">
        <v>1794</v>
      </c>
      <c r="C1682">
        <v>45202</v>
      </c>
      <c r="D1682">
        <v>0</v>
      </c>
      <c r="F1682">
        <v>0</v>
      </c>
    </row>
    <row r="1683" spans="1:6" x14ac:dyDescent="0.25">
      <c r="A1683" t="s">
        <v>16</v>
      </c>
      <c r="B1683" t="s">
        <v>1795</v>
      </c>
      <c r="C1683">
        <v>45203</v>
      </c>
      <c r="D1683">
        <v>0</v>
      </c>
      <c r="F1683">
        <v>0</v>
      </c>
    </row>
    <row r="1684" spans="1:6" x14ac:dyDescent="0.25">
      <c r="A1684" t="s">
        <v>25</v>
      </c>
      <c r="B1684" t="s">
        <v>1796</v>
      </c>
      <c r="C1684">
        <v>45204</v>
      </c>
      <c r="D1684">
        <v>0</v>
      </c>
      <c r="F1684">
        <v>0</v>
      </c>
    </row>
    <row r="1685" spans="1:6" x14ac:dyDescent="0.25">
      <c r="A1685" t="s">
        <v>26</v>
      </c>
      <c r="B1685" t="s">
        <v>1797</v>
      </c>
      <c r="C1685">
        <v>45205</v>
      </c>
      <c r="D1685">
        <v>0</v>
      </c>
      <c r="F1685">
        <v>0</v>
      </c>
    </row>
    <row r="1686" spans="1:6" x14ac:dyDescent="0.25">
      <c r="B1686" t="s">
        <v>2057</v>
      </c>
      <c r="D1686">
        <v>0</v>
      </c>
      <c r="F1686">
        <v>0</v>
      </c>
    </row>
    <row r="1687" spans="1:6" x14ac:dyDescent="0.25">
      <c r="B1687" t="s">
        <v>2058</v>
      </c>
    </row>
    <row r="1688" spans="1:6" x14ac:dyDescent="0.25">
      <c r="A1688" t="s">
        <v>2</v>
      </c>
      <c r="B1688" t="s">
        <v>1793</v>
      </c>
      <c r="C1688">
        <v>45301</v>
      </c>
      <c r="D1688">
        <v>8111</v>
      </c>
      <c r="F1688">
        <v>8111</v>
      </c>
    </row>
    <row r="1689" spans="1:6" x14ac:dyDescent="0.25">
      <c r="A1689" t="s">
        <v>15</v>
      </c>
      <c r="B1689" t="s">
        <v>1794</v>
      </c>
      <c r="C1689">
        <v>45302</v>
      </c>
      <c r="D1689">
        <v>0</v>
      </c>
      <c r="F1689">
        <v>0</v>
      </c>
    </row>
    <row r="1690" spans="1:6" x14ac:dyDescent="0.25">
      <c r="A1690" t="s">
        <v>16</v>
      </c>
      <c r="B1690" t="s">
        <v>1795</v>
      </c>
      <c r="C1690">
        <v>45303</v>
      </c>
      <c r="D1690">
        <v>0</v>
      </c>
      <c r="F1690">
        <v>0</v>
      </c>
    </row>
    <row r="1691" spans="1:6" x14ac:dyDescent="0.25">
      <c r="A1691" t="s">
        <v>25</v>
      </c>
      <c r="B1691" t="s">
        <v>1796</v>
      </c>
      <c r="C1691">
        <v>45304</v>
      </c>
      <c r="D1691">
        <v>0</v>
      </c>
      <c r="F1691">
        <v>0</v>
      </c>
    </row>
    <row r="1692" spans="1:6" x14ac:dyDescent="0.25">
      <c r="A1692" t="s">
        <v>26</v>
      </c>
      <c r="B1692" t="s">
        <v>1797</v>
      </c>
      <c r="C1692">
        <v>45305</v>
      </c>
      <c r="D1692">
        <v>0</v>
      </c>
      <c r="F1692">
        <v>0</v>
      </c>
    </row>
    <row r="1693" spans="1:6" x14ac:dyDescent="0.25">
      <c r="B1693" t="s">
        <v>2059</v>
      </c>
      <c r="D1693">
        <v>8111</v>
      </c>
      <c r="F1693">
        <v>8111</v>
      </c>
    </row>
    <row r="1694" spans="1:6" x14ac:dyDescent="0.25">
      <c r="B1694" t="s">
        <v>2060</v>
      </c>
    </row>
    <row r="1695" spans="1:6" x14ac:dyDescent="0.25">
      <c r="A1695" t="s">
        <v>2</v>
      </c>
      <c r="B1695" t="s">
        <v>1793</v>
      </c>
      <c r="C1695">
        <v>45401</v>
      </c>
      <c r="D1695">
        <v>0</v>
      </c>
      <c r="F1695">
        <v>0</v>
      </c>
    </row>
    <row r="1696" spans="1:6" x14ac:dyDescent="0.25">
      <c r="A1696" t="s">
        <v>15</v>
      </c>
      <c r="B1696" t="s">
        <v>1794</v>
      </c>
      <c r="C1696">
        <v>45402</v>
      </c>
      <c r="D1696">
        <v>0</v>
      </c>
      <c r="F1696">
        <v>0</v>
      </c>
    </row>
    <row r="1697" spans="1:6" x14ac:dyDescent="0.25">
      <c r="A1697" t="s">
        <v>16</v>
      </c>
      <c r="B1697" t="s">
        <v>1795</v>
      </c>
      <c r="C1697">
        <v>45403</v>
      </c>
      <c r="D1697">
        <v>0</v>
      </c>
      <c r="F1697">
        <v>0</v>
      </c>
    </row>
    <row r="1698" spans="1:6" x14ac:dyDescent="0.25">
      <c r="A1698" t="s">
        <v>25</v>
      </c>
      <c r="B1698" t="s">
        <v>1796</v>
      </c>
      <c r="C1698">
        <v>45404</v>
      </c>
      <c r="D1698">
        <v>0</v>
      </c>
      <c r="F1698">
        <v>0</v>
      </c>
    </row>
    <row r="1699" spans="1:6" x14ac:dyDescent="0.25">
      <c r="A1699" t="s">
        <v>26</v>
      </c>
      <c r="B1699" t="s">
        <v>1797</v>
      </c>
      <c r="C1699">
        <v>45405</v>
      </c>
      <c r="D1699">
        <v>0</v>
      </c>
      <c r="F1699">
        <v>0</v>
      </c>
    </row>
    <row r="1700" spans="1:6" x14ac:dyDescent="0.25">
      <c r="B1700" t="s">
        <v>2061</v>
      </c>
      <c r="D1700">
        <v>0</v>
      </c>
      <c r="F1700">
        <v>0</v>
      </c>
    </row>
    <row r="1701" spans="1:6" x14ac:dyDescent="0.25">
      <c r="B1701" t="s">
        <v>2062</v>
      </c>
    </row>
    <row r="1702" spans="1:6" x14ac:dyDescent="0.25">
      <c r="A1702" t="s">
        <v>2</v>
      </c>
      <c r="B1702" t="s">
        <v>1793</v>
      </c>
      <c r="C1702">
        <v>45501</v>
      </c>
      <c r="D1702">
        <v>6451</v>
      </c>
      <c r="F1702">
        <v>6451</v>
      </c>
    </row>
    <row r="1703" spans="1:6" x14ac:dyDescent="0.25">
      <c r="A1703" t="s">
        <v>15</v>
      </c>
      <c r="B1703" t="s">
        <v>1794</v>
      </c>
      <c r="C1703">
        <v>45502</v>
      </c>
      <c r="D1703">
        <v>0</v>
      </c>
      <c r="F1703">
        <v>0</v>
      </c>
    </row>
    <row r="1704" spans="1:6" x14ac:dyDescent="0.25">
      <c r="A1704" t="s">
        <v>16</v>
      </c>
      <c r="B1704" t="s">
        <v>1795</v>
      </c>
      <c r="C1704">
        <v>45503</v>
      </c>
      <c r="D1704">
        <v>0</v>
      </c>
      <c r="F1704">
        <v>0</v>
      </c>
    </row>
    <row r="1705" spans="1:6" x14ac:dyDescent="0.25">
      <c r="A1705" t="s">
        <v>25</v>
      </c>
      <c r="B1705" t="s">
        <v>1796</v>
      </c>
      <c r="C1705">
        <v>45504</v>
      </c>
      <c r="D1705">
        <v>0</v>
      </c>
      <c r="F1705">
        <v>0</v>
      </c>
    </row>
    <row r="1706" spans="1:6" x14ac:dyDescent="0.25">
      <c r="A1706" t="s">
        <v>26</v>
      </c>
      <c r="B1706" t="s">
        <v>1797</v>
      </c>
      <c r="C1706">
        <v>45505</v>
      </c>
      <c r="D1706">
        <v>0</v>
      </c>
      <c r="F1706">
        <v>0</v>
      </c>
    </row>
    <row r="1707" spans="1:6" x14ac:dyDescent="0.25">
      <c r="B1707" t="s">
        <v>2063</v>
      </c>
      <c r="D1707">
        <v>6451</v>
      </c>
      <c r="F1707">
        <v>6451</v>
      </c>
    </row>
    <row r="1708" spans="1:6" x14ac:dyDescent="0.25">
      <c r="B1708" t="s">
        <v>2278</v>
      </c>
    </row>
    <row r="1709" spans="1:6" x14ac:dyDescent="0.25">
      <c r="A1709" t="s">
        <v>2</v>
      </c>
      <c r="B1709" t="s">
        <v>2065</v>
      </c>
      <c r="C1709">
        <v>45601</v>
      </c>
      <c r="D1709">
        <v>22005</v>
      </c>
      <c r="F1709">
        <v>22005</v>
      </c>
    </row>
    <row r="1710" spans="1:6" x14ac:dyDescent="0.25">
      <c r="B1710" t="s">
        <v>1728</v>
      </c>
      <c r="D1710">
        <v>4704758</v>
      </c>
      <c r="F1710">
        <v>4704758</v>
      </c>
    </row>
    <row r="1711" spans="1:6" x14ac:dyDescent="0.25">
      <c r="B1711" t="s">
        <v>2066</v>
      </c>
    </row>
    <row r="1712" spans="1:6" x14ac:dyDescent="0.25">
      <c r="B1712" t="s">
        <v>2067</v>
      </c>
    </row>
    <row r="1713" spans="1:6" x14ac:dyDescent="0.25">
      <c r="A1713" t="s">
        <v>2</v>
      </c>
      <c r="B1713" t="s">
        <v>1811</v>
      </c>
      <c r="C1713">
        <v>46101</v>
      </c>
      <c r="D1713">
        <v>18656</v>
      </c>
      <c r="F1713">
        <v>18656</v>
      </c>
    </row>
    <row r="1714" spans="1:6" x14ac:dyDescent="0.25">
      <c r="A1714" t="s">
        <v>15</v>
      </c>
      <c r="B1714" t="s">
        <v>1008</v>
      </c>
      <c r="C1714">
        <v>46102</v>
      </c>
      <c r="D1714">
        <v>13042</v>
      </c>
      <c r="F1714">
        <v>13042</v>
      </c>
    </row>
    <row r="1715" spans="1:6" x14ac:dyDescent="0.25">
      <c r="A1715" t="s">
        <v>16</v>
      </c>
      <c r="B1715" t="s">
        <v>1812</v>
      </c>
      <c r="C1715">
        <v>46103</v>
      </c>
      <c r="D1715">
        <v>7</v>
      </c>
      <c r="F1715">
        <v>7</v>
      </c>
    </row>
    <row r="1716" spans="1:6" x14ac:dyDescent="0.25">
      <c r="A1716" t="s">
        <v>25</v>
      </c>
      <c r="B1716" t="s">
        <v>1813</v>
      </c>
      <c r="C1716">
        <v>46104</v>
      </c>
      <c r="D1716">
        <v>32</v>
      </c>
      <c r="F1716">
        <v>32</v>
      </c>
    </row>
    <row r="1717" spans="1:6" x14ac:dyDescent="0.25">
      <c r="A1717" t="s">
        <v>26</v>
      </c>
      <c r="B1717" t="s">
        <v>1814</v>
      </c>
      <c r="C1717">
        <v>46105</v>
      </c>
      <c r="D1717">
        <v>0</v>
      </c>
      <c r="F1717">
        <v>0</v>
      </c>
    </row>
    <row r="1718" spans="1:6" x14ac:dyDescent="0.25">
      <c r="A1718" t="s">
        <v>27</v>
      </c>
      <c r="B1718" t="s">
        <v>1815</v>
      </c>
      <c r="C1718">
        <v>46106</v>
      </c>
      <c r="D1718">
        <v>0</v>
      </c>
      <c r="F1718">
        <v>0</v>
      </c>
    </row>
    <row r="1719" spans="1:6" x14ac:dyDescent="0.25">
      <c r="B1719" t="s">
        <v>2068</v>
      </c>
      <c r="D1719">
        <v>31737</v>
      </c>
      <c r="F1719">
        <v>31737</v>
      </c>
    </row>
    <row r="1720" spans="1:6" x14ac:dyDescent="0.25">
      <c r="B1720" t="s">
        <v>2069</v>
      </c>
    </row>
    <row r="1721" spans="1:6" x14ac:dyDescent="0.25">
      <c r="A1721" t="s">
        <v>2</v>
      </c>
      <c r="B1721" t="s">
        <v>1811</v>
      </c>
      <c r="C1721">
        <v>46201</v>
      </c>
      <c r="D1721">
        <v>2945043</v>
      </c>
      <c r="F1721">
        <v>2945043</v>
      </c>
    </row>
    <row r="1722" spans="1:6" x14ac:dyDescent="0.25">
      <c r="A1722" t="s">
        <v>15</v>
      </c>
      <c r="B1722" t="s">
        <v>1008</v>
      </c>
      <c r="C1722">
        <v>46202</v>
      </c>
      <c r="D1722">
        <v>1003940</v>
      </c>
      <c r="F1722">
        <v>1003940</v>
      </c>
    </row>
    <row r="1723" spans="1:6" x14ac:dyDescent="0.25">
      <c r="A1723" t="s">
        <v>16</v>
      </c>
      <c r="B1723" t="s">
        <v>1812</v>
      </c>
      <c r="C1723">
        <v>46203</v>
      </c>
      <c r="D1723">
        <v>4094</v>
      </c>
      <c r="F1723">
        <v>4094</v>
      </c>
    </row>
    <row r="1724" spans="1:6" x14ac:dyDescent="0.25">
      <c r="A1724" t="s">
        <v>25</v>
      </c>
      <c r="B1724" t="s">
        <v>1813</v>
      </c>
      <c r="C1724">
        <v>46204</v>
      </c>
      <c r="D1724">
        <v>324864</v>
      </c>
      <c r="F1724">
        <v>324864</v>
      </c>
    </row>
    <row r="1725" spans="1:6" x14ac:dyDescent="0.25">
      <c r="A1725" t="s">
        <v>26</v>
      </c>
      <c r="B1725" t="s">
        <v>1814</v>
      </c>
      <c r="C1725">
        <v>46205</v>
      </c>
      <c r="D1725">
        <v>0</v>
      </c>
      <c r="F1725">
        <v>0</v>
      </c>
    </row>
    <row r="1726" spans="1:6" x14ac:dyDescent="0.25">
      <c r="A1726" t="s">
        <v>27</v>
      </c>
      <c r="B1726" t="s">
        <v>1815</v>
      </c>
      <c r="C1726">
        <v>46206</v>
      </c>
      <c r="D1726">
        <v>3415</v>
      </c>
      <c r="F1726">
        <v>3415</v>
      </c>
    </row>
    <row r="1727" spans="1:6" x14ac:dyDescent="0.25">
      <c r="B1727" t="s">
        <v>2070</v>
      </c>
      <c r="D1727">
        <v>4281356</v>
      </c>
      <c r="F1727">
        <v>4281356</v>
      </c>
    </row>
    <row r="1728" spans="1:6" x14ac:dyDescent="0.25">
      <c r="B1728" t="s">
        <v>2279</v>
      </c>
    </row>
    <row r="1729" spans="1:6" x14ac:dyDescent="0.25">
      <c r="A1729" t="s">
        <v>2</v>
      </c>
      <c r="B1729" t="s">
        <v>1820</v>
      </c>
      <c r="C1729">
        <v>46301</v>
      </c>
      <c r="D1729">
        <v>96958389</v>
      </c>
      <c r="F1729">
        <v>96958389</v>
      </c>
    </row>
    <row r="1730" spans="1:6" x14ac:dyDescent="0.25">
      <c r="A1730" t="s">
        <v>15</v>
      </c>
      <c r="B1730" t="s">
        <v>1821</v>
      </c>
      <c r="C1730">
        <v>46302</v>
      </c>
      <c r="D1730">
        <v>15654045</v>
      </c>
      <c r="F1730">
        <v>15654045</v>
      </c>
    </row>
    <row r="1731" spans="1:6" x14ac:dyDescent="0.25">
      <c r="A1731" t="s">
        <v>16</v>
      </c>
      <c r="B1731" t="s">
        <v>1822</v>
      </c>
      <c r="C1731">
        <v>46303</v>
      </c>
      <c r="D1731">
        <v>350802</v>
      </c>
      <c r="F1731">
        <v>350802</v>
      </c>
    </row>
    <row r="1732" spans="1:6" x14ac:dyDescent="0.25">
      <c r="A1732" t="s">
        <v>25</v>
      </c>
      <c r="B1732" t="s">
        <v>1823</v>
      </c>
      <c r="C1732">
        <v>46304</v>
      </c>
      <c r="D1732">
        <v>759703</v>
      </c>
      <c r="F1732">
        <v>759703</v>
      </c>
    </row>
    <row r="1733" spans="1:6" x14ac:dyDescent="0.25">
      <c r="A1733" t="s">
        <v>26</v>
      </c>
      <c r="B1733" t="s">
        <v>1824</v>
      </c>
      <c r="C1733">
        <v>46305</v>
      </c>
      <c r="D1733">
        <v>2598</v>
      </c>
      <c r="F1733">
        <v>2598</v>
      </c>
    </row>
    <row r="1734" spans="1:6" x14ac:dyDescent="0.25">
      <c r="A1734" t="s">
        <v>27</v>
      </c>
      <c r="B1734" t="s">
        <v>1825</v>
      </c>
      <c r="C1734">
        <v>46306</v>
      </c>
      <c r="D1734">
        <v>1438306</v>
      </c>
      <c r="F1734">
        <v>1438306</v>
      </c>
    </row>
    <row r="1735" spans="1:6" x14ac:dyDescent="0.25">
      <c r="B1735" t="s">
        <v>2072</v>
      </c>
      <c r="D1735">
        <v>115163843</v>
      </c>
      <c r="F1735">
        <v>115163843</v>
      </c>
    </row>
    <row r="1736" spans="1:6" x14ac:dyDescent="0.25">
      <c r="B1736" t="s">
        <v>2073</v>
      </c>
    </row>
    <row r="1737" spans="1:6" x14ac:dyDescent="0.25">
      <c r="A1737" t="s">
        <v>2</v>
      </c>
      <c r="B1737" t="s">
        <v>1828</v>
      </c>
      <c r="C1737">
        <v>46401</v>
      </c>
      <c r="D1737">
        <v>23207</v>
      </c>
      <c r="F1737">
        <v>23207</v>
      </c>
    </row>
    <row r="1738" spans="1:6" x14ac:dyDescent="0.25">
      <c r="A1738" t="s">
        <v>15</v>
      </c>
      <c r="B1738" t="s">
        <v>1829</v>
      </c>
      <c r="C1738">
        <v>46402</v>
      </c>
      <c r="D1738">
        <v>10415</v>
      </c>
      <c r="F1738">
        <v>10415</v>
      </c>
    </row>
    <row r="1739" spans="1:6" x14ac:dyDescent="0.25">
      <c r="A1739" t="s">
        <v>16</v>
      </c>
      <c r="B1739" t="s">
        <v>1830</v>
      </c>
      <c r="C1739">
        <v>46403</v>
      </c>
      <c r="D1739">
        <v>10214</v>
      </c>
      <c r="F1739">
        <v>10214</v>
      </c>
    </row>
    <row r="1740" spans="1:6" x14ac:dyDescent="0.25">
      <c r="A1740" t="s">
        <v>25</v>
      </c>
      <c r="B1740" t="s">
        <v>1831</v>
      </c>
      <c r="C1740">
        <v>46404</v>
      </c>
      <c r="D1740">
        <v>3000</v>
      </c>
      <c r="F1740">
        <v>3000</v>
      </c>
    </row>
    <row r="1741" spans="1:6" x14ac:dyDescent="0.25">
      <c r="A1741" t="s">
        <v>26</v>
      </c>
      <c r="B1741" t="s">
        <v>1832</v>
      </c>
      <c r="C1741">
        <v>46405</v>
      </c>
      <c r="D1741">
        <v>0</v>
      </c>
      <c r="F1741">
        <v>0</v>
      </c>
    </row>
    <row r="1742" spans="1:6" x14ac:dyDescent="0.25">
      <c r="B1742" t="s">
        <v>2074</v>
      </c>
      <c r="D1742">
        <v>46836</v>
      </c>
      <c r="F1742">
        <v>46836</v>
      </c>
    </row>
    <row r="1743" spans="1:6" x14ac:dyDescent="0.25">
      <c r="B1743" t="s">
        <v>2280</v>
      </c>
    </row>
    <row r="1744" spans="1:6" x14ac:dyDescent="0.25">
      <c r="A1744" t="s">
        <v>2</v>
      </c>
      <c r="B1744" t="s">
        <v>1828</v>
      </c>
      <c r="C1744">
        <v>46501</v>
      </c>
      <c r="D1744">
        <v>1478974</v>
      </c>
      <c r="F1744">
        <v>1478974</v>
      </c>
    </row>
    <row r="1745" spans="1:6" x14ac:dyDescent="0.25">
      <c r="A1745" t="s">
        <v>15</v>
      </c>
      <c r="B1745" t="s">
        <v>1829</v>
      </c>
      <c r="C1745">
        <v>46502</v>
      </c>
      <c r="D1745">
        <v>451466</v>
      </c>
      <c r="F1745">
        <v>451466</v>
      </c>
    </row>
    <row r="1746" spans="1:6" x14ac:dyDescent="0.25">
      <c r="A1746" t="s">
        <v>16</v>
      </c>
      <c r="B1746" t="s">
        <v>1830</v>
      </c>
      <c r="C1746">
        <v>46503</v>
      </c>
      <c r="D1746">
        <v>763864</v>
      </c>
      <c r="F1746">
        <v>763864</v>
      </c>
    </row>
    <row r="1747" spans="1:6" x14ac:dyDescent="0.25">
      <c r="A1747" t="s">
        <v>25</v>
      </c>
      <c r="B1747" t="s">
        <v>1831</v>
      </c>
      <c r="C1747">
        <v>46504</v>
      </c>
      <c r="D1747">
        <v>384017</v>
      </c>
      <c r="F1747">
        <v>384017</v>
      </c>
    </row>
    <row r="1748" spans="1:6" x14ac:dyDescent="0.25">
      <c r="A1748" t="s">
        <v>26</v>
      </c>
      <c r="B1748" t="s">
        <v>1832</v>
      </c>
      <c r="C1748">
        <v>46505</v>
      </c>
      <c r="D1748">
        <v>0</v>
      </c>
      <c r="F1748">
        <v>0</v>
      </c>
    </row>
    <row r="1749" spans="1:6" x14ac:dyDescent="0.25">
      <c r="B1749" t="s">
        <v>2076</v>
      </c>
      <c r="D1749">
        <v>3078321</v>
      </c>
      <c r="F1749">
        <v>3078321</v>
      </c>
    </row>
    <row r="1750" spans="1:6" x14ac:dyDescent="0.25">
      <c r="B1750" t="s">
        <v>1732</v>
      </c>
      <c r="D1750">
        <v>122602093</v>
      </c>
      <c r="F1750">
        <v>122602093</v>
      </c>
    </row>
    <row r="1751" spans="1:6" x14ac:dyDescent="0.25">
      <c r="B1751" t="s">
        <v>2077</v>
      </c>
    </row>
    <row r="1752" spans="1:6" x14ac:dyDescent="0.25">
      <c r="B1752" t="s">
        <v>2078</v>
      </c>
    </row>
    <row r="1753" spans="1:6" x14ac:dyDescent="0.25">
      <c r="A1753" t="s">
        <v>2</v>
      </c>
      <c r="B1753" t="s">
        <v>2079</v>
      </c>
      <c r="C1753">
        <v>47101</v>
      </c>
      <c r="D1753">
        <v>0</v>
      </c>
      <c r="E1753">
        <v>34690</v>
      </c>
      <c r="F1753">
        <v>34690</v>
      </c>
    </row>
    <row r="1754" spans="1:6" x14ac:dyDescent="0.25">
      <c r="A1754" t="s">
        <v>15</v>
      </c>
      <c r="B1754" t="s">
        <v>2080</v>
      </c>
      <c r="C1754">
        <v>47102</v>
      </c>
      <c r="D1754">
        <v>0</v>
      </c>
      <c r="E1754">
        <v>0</v>
      </c>
      <c r="F1754">
        <v>0</v>
      </c>
    </row>
    <row r="1755" spans="1:6" x14ac:dyDescent="0.25">
      <c r="A1755" t="s">
        <v>16</v>
      </c>
      <c r="B1755" t="s">
        <v>2081</v>
      </c>
      <c r="C1755">
        <v>47103</v>
      </c>
      <c r="D1755">
        <v>1076710</v>
      </c>
      <c r="E1755">
        <v>397836</v>
      </c>
      <c r="F1755">
        <v>1474546</v>
      </c>
    </row>
    <row r="1756" spans="1:6" x14ac:dyDescent="0.25">
      <c r="A1756" t="s">
        <v>25</v>
      </c>
      <c r="B1756" t="s">
        <v>2082</v>
      </c>
      <c r="C1756">
        <v>47104</v>
      </c>
      <c r="D1756">
        <v>78215</v>
      </c>
      <c r="E1756">
        <v>0</v>
      </c>
      <c r="F1756">
        <v>78215</v>
      </c>
    </row>
    <row r="1757" spans="1:6" x14ac:dyDescent="0.25">
      <c r="A1757" t="s">
        <v>26</v>
      </c>
      <c r="B1757" t="s">
        <v>2083</v>
      </c>
      <c r="C1757">
        <v>47105</v>
      </c>
      <c r="D1757">
        <v>2163</v>
      </c>
      <c r="E1757">
        <v>4581</v>
      </c>
      <c r="F1757">
        <v>6744</v>
      </c>
    </row>
    <row r="1758" spans="1:6" x14ac:dyDescent="0.25">
      <c r="A1758" t="s">
        <v>27</v>
      </c>
      <c r="B1758" t="s">
        <v>2084</v>
      </c>
      <c r="C1758">
        <v>47106</v>
      </c>
      <c r="D1758">
        <v>119888</v>
      </c>
      <c r="E1758">
        <v>0</v>
      </c>
      <c r="F1758">
        <v>119888</v>
      </c>
    </row>
    <row r="1759" spans="1:6" x14ac:dyDescent="0.25">
      <c r="A1759" t="s">
        <v>531</v>
      </c>
      <c r="B1759" t="s">
        <v>2085</v>
      </c>
      <c r="C1759">
        <v>47107</v>
      </c>
      <c r="D1759">
        <v>0</v>
      </c>
      <c r="E1759">
        <v>0</v>
      </c>
      <c r="F1759">
        <v>0</v>
      </c>
    </row>
    <row r="1760" spans="1:6" x14ac:dyDescent="0.25">
      <c r="A1760" t="s">
        <v>1583</v>
      </c>
      <c r="B1760" t="s">
        <v>2086</v>
      </c>
      <c r="C1760">
        <v>47108</v>
      </c>
      <c r="D1760">
        <v>376862</v>
      </c>
      <c r="E1760">
        <v>0</v>
      </c>
      <c r="F1760">
        <v>376862</v>
      </c>
    </row>
    <row r="1761" spans="1:6" x14ac:dyDescent="0.25">
      <c r="A1761" t="s">
        <v>1585</v>
      </c>
      <c r="B1761" t="s">
        <v>2087</v>
      </c>
      <c r="C1761">
        <v>47109</v>
      </c>
      <c r="D1761">
        <v>4369</v>
      </c>
      <c r="E1761">
        <v>0</v>
      </c>
      <c r="F1761">
        <v>4369</v>
      </c>
    </row>
    <row r="1762" spans="1:6" x14ac:dyDescent="0.25">
      <c r="B1762" t="s">
        <v>2088</v>
      </c>
      <c r="D1762">
        <v>1658207</v>
      </c>
      <c r="E1762">
        <v>437107</v>
      </c>
      <c r="F1762">
        <v>2095314</v>
      </c>
    </row>
    <row r="1763" spans="1:6" x14ac:dyDescent="0.25">
      <c r="B1763" t="s">
        <v>2089</v>
      </c>
    </row>
    <row r="1764" spans="1:6" x14ac:dyDescent="0.25">
      <c r="A1764" t="s">
        <v>2</v>
      </c>
      <c r="B1764" t="s">
        <v>2090</v>
      </c>
      <c r="C1764">
        <v>47201</v>
      </c>
      <c r="D1764">
        <v>2098617</v>
      </c>
      <c r="F1764">
        <v>2098617</v>
      </c>
    </row>
    <row r="1765" spans="1:6" x14ac:dyDescent="0.25">
      <c r="A1765" t="s">
        <v>15</v>
      </c>
      <c r="B1765" t="s">
        <v>2091</v>
      </c>
      <c r="C1765">
        <v>47202</v>
      </c>
      <c r="D1765">
        <v>0</v>
      </c>
      <c r="F1765">
        <v>0</v>
      </c>
    </row>
    <row r="1766" spans="1:6" x14ac:dyDescent="0.25">
      <c r="A1766" t="s">
        <v>16</v>
      </c>
      <c r="B1766" t="s">
        <v>2092</v>
      </c>
      <c r="C1766">
        <v>47203</v>
      </c>
      <c r="D1766">
        <v>0</v>
      </c>
      <c r="F1766">
        <v>0</v>
      </c>
    </row>
    <row r="1767" spans="1:6" x14ac:dyDescent="0.25">
      <c r="A1767" t="s">
        <v>25</v>
      </c>
      <c r="B1767" t="s">
        <v>2093</v>
      </c>
      <c r="C1767">
        <v>47204</v>
      </c>
      <c r="D1767">
        <v>0</v>
      </c>
      <c r="F1767">
        <v>0</v>
      </c>
    </row>
    <row r="1768" spans="1:6" x14ac:dyDescent="0.25">
      <c r="B1768" t="s">
        <v>2094</v>
      </c>
      <c r="D1768">
        <v>2098617</v>
      </c>
      <c r="F1768">
        <v>2098617</v>
      </c>
    </row>
    <row r="1769" spans="1:6" x14ac:dyDescent="0.25">
      <c r="B1769" t="s">
        <v>2095</v>
      </c>
    </row>
    <row r="1770" spans="1:6" x14ac:dyDescent="0.25">
      <c r="A1770" t="s">
        <v>2</v>
      </c>
      <c r="B1770" t="s">
        <v>2096</v>
      </c>
      <c r="C1770">
        <v>47301</v>
      </c>
      <c r="D1770">
        <v>781283</v>
      </c>
      <c r="F1770">
        <v>781283</v>
      </c>
    </row>
    <row r="1771" spans="1:6" x14ac:dyDescent="0.25">
      <c r="A1771" t="s">
        <v>15</v>
      </c>
      <c r="B1771" t="s">
        <v>2097</v>
      </c>
      <c r="C1771">
        <v>47302</v>
      </c>
      <c r="D1771">
        <v>7726836</v>
      </c>
      <c r="F1771">
        <v>7726836</v>
      </c>
    </row>
    <row r="1772" spans="1:6" x14ac:dyDescent="0.25">
      <c r="A1772" t="s">
        <v>16</v>
      </c>
      <c r="B1772" t="s">
        <v>2098</v>
      </c>
      <c r="C1772">
        <v>47303</v>
      </c>
      <c r="D1772">
        <v>0</v>
      </c>
      <c r="F1772">
        <v>0</v>
      </c>
    </row>
    <row r="1773" spans="1:6" x14ac:dyDescent="0.25">
      <c r="A1773" t="s">
        <v>25</v>
      </c>
      <c r="B1773" t="s">
        <v>2099</v>
      </c>
      <c r="C1773">
        <v>47304</v>
      </c>
      <c r="D1773">
        <v>3412397</v>
      </c>
      <c r="F1773">
        <v>3412397</v>
      </c>
    </row>
    <row r="1774" spans="1:6" x14ac:dyDescent="0.25">
      <c r="B1774" t="s">
        <v>2100</v>
      </c>
      <c r="D1774">
        <v>11920516</v>
      </c>
      <c r="F1774">
        <v>11920516</v>
      </c>
    </row>
    <row r="1775" spans="1:6" x14ac:dyDescent="0.25">
      <c r="B1775" t="s">
        <v>1885</v>
      </c>
    </row>
    <row r="1776" spans="1:6" x14ac:dyDescent="0.25">
      <c r="A1776" t="s">
        <v>2</v>
      </c>
      <c r="B1776" t="s">
        <v>1886</v>
      </c>
      <c r="C1776">
        <v>47401</v>
      </c>
      <c r="D1776">
        <v>5424</v>
      </c>
      <c r="E1776">
        <v>0</v>
      </c>
      <c r="F1776">
        <v>5424</v>
      </c>
    </row>
    <row r="1777" spans="1:6" x14ac:dyDescent="0.25">
      <c r="A1777" t="s">
        <v>15</v>
      </c>
      <c r="B1777" t="s">
        <v>1887</v>
      </c>
      <c r="C1777">
        <v>47402</v>
      </c>
      <c r="D1777">
        <v>54</v>
      </c>
      <c r="E1777">
        <v>0</v>
      </c>
      <c r="F1777">
        <v>54</v>
      </c>
    </row>
    <row r="1778" spans="1:6" x14ac:dyDescent="0.25">
      <c r="B1778" t="s">
        <v>2101</v>
      </c>
      <c r="D1778">
        <v>5478</v>
      </c>
      <c r="E1778">
        <v>0</v>
      </c>
      <c r="F1778">
        <v>5478</v>
      </c>
    </row>
    <row r="1779" spans="1:6" x14ac:dyDescent="0.25">
      <c r="B1779" t="s">
        <v>2102</v>
      </c>
    </row>
    <row r="1780" spans="1:6" x14ac:dyDescent="0.25">
      <c r="A1780" t="s">
        <v>2</v>
      </c>
      <c r="B1780" t="s">
        <v>2103</v>
      </c>
      <c r="C1780">
        <v>47501</v>
      </c>
      <c r="D1780">
        <v>0</v>
      </c>
      <c r="F1780">
        <v>0</v>
      </c>
    </row>
    <row r="1781" spans="1:6" x14ac:dyDescent="0.25">
      <c r="A1781" t="s">
        <v>15</v>
      </c>
      <c r="B1781" t="s">
        <v>2104</v>
      </c>
      <c r="C1781">
        <v>47502</v>
      </c>
      <c r="D1781">
        <v>0</v>
      </c>
      <c r="F1781">
        <v>0</v>
      </c>
    </row>
    <row r="1782" spans="1:6" x14ac:dyDescent="0.25">
      <c r="A1782" t="s">
        <v>16</v>
      </c>
      <c r="B1782" t="s">
        <v>2105</v>
      </c>
      <c r="C1782">
        <v>47503</v>
      </c>
      <c r="D1782">
        <v>5436</v>
      </c>
      <c r="F1782">
        <v>5436</v>
      </c>
    </row>
    <row r="1783" spans="1:6" x14ac:dyDescent="0.25">
      <c r="A1783" t="s">
        <v>25</v>
      </c>
      <c r="B1783" t="s">
        <v>2106</v>
      </c>
      <c r="C1783">
        <v>47504</v>
      </c>
      <c r="D1783">
        <v>0</v>
      </c>
      <c r="E1783">
        <v>0</v>
      </c>
      <c r="F1783">
        <v>0</v>
      </c>
    </row>
    <row r="1784" spans="1:6" x14ac:dyDescent="0.25">
      <c r="A1784" t="s">
        <v>26</v>
      </c>
      <c r="B1784" t="s">
        <v>2107</v>
      </c>
      <c r="C1784">
        <v>47505</v>
      </c>
      <c r="D1784">
        <v>1859</v>
      </c>
      <c r="E1784">
        <v>0</v>
      </c>
      <c r="F1784">
        <v>1859</v>
      </c>
    </row>
    <row r="1785" spans="1:6" x14ac:dyDescent="0.25">
      <c r="A1785" t="s">
        <v>27</v>
      </c>
      <c r="B1785" t="s">
        <v>2108</v>
      </c>
      <c r="C1785">
        <v>47506</v>
      </c>
      <c r="D1785">
        <v>0</v>
      </c>
      <c r="F1785">
        <v>0</v>
      </c>
    </row>
    <row r="1786" spans="1:6" x14ac:dyDescent="0.25">
      <c r="B1786" t="s">
        <v>2109</v>
      </c>
      <c r="D1786">
        <v>7295</v>
      </c>
      <c r="E1786">
        <v>0</v>
      </c>
      <c r="F1786">
        <v>7295</v>
      </c>
    </row>
    <row r="1787" spans="1:6" x14ac:dyDescent="0.25">
      <c r="B1787" t="s">
        <v>2110</v>
      </c>
    </row>
    <row r="1788" spans="1:6" x14ac:dyDescent="0.25">
      <c r="A1788" t="s">
        <v>2</v>
      </c>
      <c r="B1788" t="s">
        <v>2111</v>
      </c>
      <c r="C1788">
        <v>47601</v>
      </c>
      <c r="D1788">
        <v>27651</v>
      </c>
      <c r="F1788">
        <v>27651</v>
      </c>
    </row>
    <row r="1789" spans="1:6" x14ac:dyDescent="0.25">
      <c r="A1789" t="s">
        <v>15</v>
      </c>
      <c r="B1789" t="s">
        <v>2112</v>
      </c>
      <c r="C1789">
        <v>47602</v>
      </c>
      <c r="D1789">
        <v>98066</v>
      </c>
      <c r="F1789">
        <v>98066</v>
      </c>
    </row>
    <row r="1790" spans="1:6" x14ac:dyDescent="0.25">
      <c r="B1790" t="s">
        <v>2113</v>
      </c>
      <c r="D1790">
        <v>125717</v>
      </c>
      <c r="F1790">
        <v>125717</v>
      </c>
    </row>
    <row r="1791" spans="1:6" x14ac:dyDescent="0.25">
      <c r="B1791" t="s">
        <v>2114</v>
      </c>
    </row>
    <row r="1792" spans="1:6" x14ac:dyDescent="0.25">
      <c r="A1792" t="s">
        <v>2</v>
      </c>
      <c r="B1792" t="s">
        <v>2115</v>
      </c>
      <c r="C1792">
        <v>47701</v>
      </c>
      <c r="D1792">
        <v>0</v>
      </c>
      <c r="F1792">
        <v>0</v>
      </c>
    </row>
    <row r="1793" spans="1:6" x14ac:dyDescent="0.25">
      <c r="A1793" t="s">
        <v>15</v>
      </c>
      <c r="B1793" t="s">
        <v>2116</v>
      </c>
      <c r="C1793">
        <v>47702</v>
      </c>
      <c r="D1793">
        <v>0</v>
      </c>
      <c r="F1793">
        <v>0</v>
      </c>
    </row>
    <row r="1794" spans="1:6" x14ac:dyDescent="0.25">
      <c r="A1794" t="s">
        <v>16</v>
      </c>
      <c r="B1794" t="s">
        <v>2117</v>
      </c>
      <c r="C1794">
        <v>47703</v>
      </c>
      <c r="D1794">
        <v>151</v>
      </c>
      <c r="F1794">
        <v>151</v>
      </c>
    </row>
    <row r="1795" spans="1:6" x14ac:dyDescent="0.25">
      <c r="A1795" t="s">
        <v>25</v>
      </c>
      <c r="B1795" t="s">
        <v>2118</v>
      </c>
      <c r="C1795">
        <v>47704</v>
      </c>
      <c r="D1795">
        <v>0</v>
      </c>
      <c r="F1795">
        <v>0</v>
      </c>
    </row>
    <row r="1796" spans="1:6" x14ac:dyDescent="0.25">
      <c r="B1796" t="s">
        <v>2119</v>
      </c>
      <c r="D1796">
        <v>151</v>
      </c>
      <c r="F1796">
        <v>151</v>
      </c>
    </row>
    <row r="1797" spans="1:6" x14ac:dyDescent="0.25">
      <c r="B1797" t="s">
        <v>2120</v>
      </c>
    </row>
    <row r="1798" spans="1:6" x14ac:dyDescent="0.25">
      <c r="A1798" t="s">
        <v>2</v>
      </c>
      <c r="B1798" t="s">
        <v>2121</v>
      </c>
      <c r="C1798">
        <v>47801</v>
      </c>
      <c r="D1798">
        <v>0</v>
      </c>
      <c r="E1798">
        <v>0</v>
      </c>
      <c r="F1798">
        <v>0</v>
      </c>
    </row>
    <row r="1799" spans="1:6" x14ac:dyDescent="0.25">
      <c r="A1799" t="s">
        <v>15</v>
      </c>
      <c r="B1799" t="s">
        <v>2122</v>
      </c>
      <c r="C1799">
        <v>47802</v>
      </c>
      <c r="D1799">
        <v>1180438</v>
      </c>
      <c r="E1799">
        <v>79997</v>
      </c>
      <c r="F1799">
        <v>1260435</v>
      </c>
    </row>
    <row r="1800" spans="1:6" x14ac:dyDescent="0.25">
      <c r="A1800" t="s">
        <v>16</v>
      </c>
      <c r="B1800" t="s">
        <v>2123</v>
      </c>
      <c r="C1800">
        <v>47803</v>
      </c>
      <c r="D1800">
        <v>200628</v>
      </c>
      <c r="E1800">
        <v>4</v>
      </c>
      <c r="F1800">
        <v>200632</v>
      </c>
    </row>
    <row r="1801" spans="1:6" x14ac:dyDescent="0.25">
      <c r="B1801" t="s">
        <v>2124</v>
      </c>
      <c r="D1801">
        <v>1381066</v>
      </c>
      <c r="E1801">
        <v>80001</v>
      </c>
      <c r="F1801">
        <v>1461067</v>
      </c>
    </row>
    <row r="1802" spans="1:6" x14ac:dyDescent="0.25">
      <c r="B1802" t="s">
        <v>1866</v>
      </c>
      <c r="D1802">
        <v>17197047</v>
      </c>
      <c r="E1802">
        <v>517108</v>
      </c>
      <c r="F1802">
        <v>17714155</v>
      </c>
    </row>
    <row r="1803" spans="1:6" x14ac:dyDescent="0.25">
      <c r="B1803" t="s">
        <v>2125</v>
      </c>
    </row>
    <row r="1804" spans="1:6" x14ac:dyDescent="0.25">
      <c r="B1804" t="s">
        <v>1394</v>
      </c>
    </row>
    <row r="1805" spans="1:6" x14ac:dyDescent="0.25">
      <c r="A1805" t="s">
        <v>2</v>
      </c>
      <c r="B1805" t="s">
        <v>2126</v>
      </c>
      <c r="C1805">
        <v>48101</v>
      </c>
      <c r="D1805">
        <v>3996863</v>
      </c>
      <c r="E1805">
        <v>0</v>
      </c>
      <c r="F1805">
        <v>3996863</v>
      </c>
    </row>
    <row r="1806" spans="1:6" x14ac:dyDescent="0.25">
      <c r="A1806" t="s">
        <v>15</v>
      </c>
      <c r="B1806" t="s">
        <v>2127</v>
      </c>
      <c r="C1806">
        <v>48102</v>
      </c>
      <c r="D1806">
        <v>106701</v>
      </c>
      <c r="E1806">
        <v>0</v>
      </c>
      <c r="F1806">
        <v>106701</v>
      </c>
    </row>
    <row r="1807" spans="1:6" x14ac:dyDescent="0.25">
      <c r="A1807" t="s">
        <v>16</v>
      </c>
      <c r="B1807" t="s">
        <v>2128</v>
      </c>
      <c r="C1807">
        <v>48103</v>
      </c>
      <c r="D1807">
        <v>1101503</v>
      </c>
      <c r="E1807">
        <v>0</v>
      </c>
      <c r="F1807">
        <v>1101503</v>
      </c>
    </row>
    <row r="1808" spans="1:6" x14ac:dyDescent="0.25">
      <c r="A1808" t="s">
        <v>25</v>
      </c>
      <c r="B1808" t="s">
        <v>2129</v>
      </c>
      <c r="C1808">
        <v>48104</v>
      </c>
      <c r="D1808">
        <v>0</v>
      </c>
      <c r="E1808">
        <v>0</v>
      </c>
      <c r="F1808">
        <v>0</v>
      </c>
    </row>
    <row r="1809" spans="1:6" x14ac:dyDescent="0.25">
      <c r="A1809" t="s">
        <v>26</v>
      </c>
      <c r="B1809" t="s">
        <v>2130</v>
      </c>
      <c r="C1809">
        <v>48105</v>
      </c>
      <c r="D1809">
        <v>0</v>
      </c>
      <c r="E1809">
        <v>0</v>
      </c>
      <c r="F1809">
        <v>0</v>
      </c>
    </row>
    <row r="1810" spans="1:6" x14ac:dyDescent="0.25">
      <c r="A1810" t="s">
        <v>27</v>
      </c>
      <c r="B1810" t="s">
        <v>2131</v>
      </c>
      <c r="C1810">
        <v>48106</v>
      </c>
      <c r="D1810">
        <v>0</v>
      </c>
      <c r="E1810">
        <v>0</v>
      </c>
      <c r="F1810">
        <v>0</v>
      </c>
    </row>
    <row r="1811" spans="1:6" x14ac:dyDescent="0.25">
      <c r="A1811" t="s">
        <v>531</v>
      </c>
      <c r="B1811" t="s">
        <v>2132</v>
      </c>
      <c r="C1811">
        <v>48107</v>
      </c>
      <c r="D1811">
        <v>0</v>
      </c>
      <c r="E1811">
        <v>0</v>
      </c>
      <c r="F1811">
        <v>0</v>
      </c>
    </row>
    <row r="1812" spans="1:6" x14ac:dyDescent="0.25">
      <c r="A1812" t="s">
        <v>1583</v>
      </c>
      <c r="B1812" t="s">
        <v>2133</v>
      </c>
      <c r="C1812">
        <v>48108</v>
      </c>
      <c r="D1812">
        <v>0</v>
      </c>
      <c r="E1812">
        <v>0</v>
      </c>
      <c r="F1812">
        <v>0</v>
      </c>
    </row>
    <row r="1813" spans="1:6" x14ac:dyDescent="0.25">
      <c r="A1813" t="s">
        <v>1585</v>
      </c>
      <c r="B1813" t="s">
        <v>2134</v>
      </c>
      <c r="C1813">
        <v>48109</v>
      </c>
      <c r="D1813">
        <v>45126</v>
      </c>
      <c r="E1813">
        <v>0</v>
      </c>
      <c r="F1813">
        <v>45126</v>
      </c>
    </row>
    <row r="1814" spans="1:6" x14ac:dyDescent="0.25">
      <c r="A1814" t="s">
        <v>1587</v>
      </c>
      <c r="B1814" t="s">
        <v>2135</v>
      </c>
      <c r="C1814">
        <v>48110</v>
      </c>
      <c r="D1814">
        <v>0</v>
      </c>
      <c r="E1814">
        <v>0</v>
      </c>
      <c r="F1814">
        <v>0</v>
      </c>
    </row>
    <row r="1815" spans="1:6" x14ac:dyDescent="0.25">
      <c r="A1815" t="s">
        <v>1589</v>
      </c>
      <c r="B1815" t="s">
        <v>2136</v>
      </c>
      <c r="C1815">
        <v>48111</v>
      </c>
      <c r="D1815">
        <v>0</v>
      </c>
      <c r="E1815">
        <v>0</v>
      </c>
      <c r="F1815">
        <v>0</v>
      </c>
    </row>
    <row r="1816" spans="1:6" x14ac:dyDescent="0.25">
      <c r="A1816" t="s">
        <v>1591</v>
      </c>
      <c r="B1816" t="s">
        <v>2137</v>
      </c>
      <c r="C1816">
        <v>48112</v>
      </c>
      <c r="D1816">
        <v>1275</v>
      </c>
      <c r="E1816">
        <v>0</v>
      </c>
      <c r="F1816">
        <v>1275</v>
      </c>
    </row>
    <row r="1817" spans="1:6" x14ac:dyDescent="0.25">
      <c r="A1817" t="s">
        <v>1593</v>
      </c>
      <c r="B1817" t="s">
        <v>2138</v>
      </c>
      <c r="C1817">
        <v>48113</v>
      </c>
      <c r="D1817">
        <v>5011</v>
      </c>
      <c r="E1817">
        <v>0</v>
      </c>
      <c r="F1817">
        <v>5011</v>
      </c>
    </row>
    <row r="1818" spans="1:6" x14ac:dyDescent="0.25">
      <c r="B1818" t="s">
        <v>2139</v>
      </c>
      <c r="D1818">
        <v>5256479</v>
      </c>
      <c r="E1818">
        <v>0</v>
      </c>
      <c r="F1818">
        <v>5256479</v>
      </c>
    </row>
    <row r="1819" spans="1:6" x14ac:dyDescent="0.25">
      <c r="B1819" t="s">
        <v>2140</v>
      </c>
    </row>
    <row r="1820" spans="1:6" x14ac:dyDescent="0.25">
      <c r="A1820" t="s">
        <v>2</v>
      </c>
      <c r="B1820" t="s">
        <v>2141</v>
      </c>
      <c r="C1820">
        <v>48201</v>
      </c>
      <c r="D1820">
        <v>23188</v>
      </c>
      <c r="F1820">
        <v>23188</v>
      </c>
    </row>
    <row r="1821" spans="1:6" x14ac:dyDescent="0.25">
      <c r="A1821" t="s">
        <v>15</v>
      </c>
      <c r="B1821" t="s">
        <v>2142</v>
      </c>
      <c r="C1821">
        <v>48202</v>
      </c>
      <c r="D1821">
        <v>123</v>
      </c>
      <c r="F1821">
        <v>123</v>
      </c>
    </row>
    <row r="1822" spans="1:6" x14ac:dyDescent="0.25">
      <c r="A1822" t="s">
        <v>16</v>
      </c>
      <c r="B1822" t="s">
        <v>2143</v>
      </c>
      <c r="C1822">
        <v>48203</v>
      </c>
      <c r="D1822">
        <v>0</v>
      </c>
      <c r="F1822">
        <v>0</v>
      </c>
    </row>
    <row r="1823" spans="1:6" x14ac:dyDescent="0.25">
      <c r="A1823" t="s">
        <v>25</v>
      </c>
      <c r="B1823" t="s">
        <v>2144</v>
      </c>
      <c r="C1823">
        <v>48204</v>
      </c>
      <c r="D1823">
        <v>0</v>
      </c>
      <c r="F1823">
        <v>0</v>
      </c>
    </row>
    <row r="1824" spans="1:6" x14ac:dyDescent="0.25">
      <c r="A1824" t="s">
        <v>26</v>
      </c>
      <c r="B1824" t="s">
        <v>2145</v>
      </c>
      <c r="C1824">
        <v>48205</v>
      </c>
      <c r="D1824">
        <v>0</v>
      </c>
      <c r="F1824">
        <v>0</v>
      </c>
    </row>
    <row r="1825" spans="1:6" x14ac:dyDescent="0.25">
      <c r="A1825" t="s">
        <v>27</v>
      </c>
      <c r="B1825" t="s">
        <v>2146</v>
      </c>
      <c r="C1825">
        <v>48206</v>
      </c>
      <c r="D1825">
        <v>0</v>
      </c>
      <c r="F1825">
        <v>0</v>
      </c>
    </row>
    <row r="1826" spans="1:6" x14ac:dyDescent="0.25">
      <c r="A1826" t="s">
        <v>531</v>
      </c>
      <c r="B1826" t="s">
        <v>2147</v>
      </c>
      <c r="C1826">
        <v>48207</v>
      </c>
      <c r="D1826">
        <v>0</v>
      </c>
      <c r="F1826">
        <v>0</v>
      </c>
    </row>
    <row r="1827" spans="1:6" x14ac:dyDescent="0.25">
      <c r="A1827" t="s">
        <v>1583</v>
      </c>
      <c r="B1827" t="s">
        <v>2148</v>
      </c>
      <c r="C1827">
        <v>48208</v>
      </c>
      <c r="D1827">
        <v>87399</v>
      </c>
      <c r="E1827">
        <v>0</v>
      </c>
      <c r="F1827">
        <v>87399</v>
      </c>
    </row>
    <row r="1828" spans="1:6" x14ac:dyDescent="0.25">
      <c r="A1828" t="s">
        <v>1585</v>
      </c>
      <c r="B1828" t="s">
        <v>2149</v>
      </c>
      <c r="C1828">
        <v>48209</v>
      </c>
      <c r="D1828">
        <v>329885</v>
      </c>
      <c r="E1828">
        <v>0</v>
      </c>
      <c r="F1828">
        <v>329885</v>
      </c>
    </row>
    <row r="1829" spans="1:6" x14ac:dyDescent="0.25">
      <c r="B1829" t="s">
        <v>2150</v>
      </c>
      <c r="D1829">
        <v>440595</v>
      </c>
      <c r="E1829">
        <v>0</v>
      </c>
      <c r="F1829">
        <v>440595</v>
      </c>
    </row>
    <row r="1830" spans="1:6" x14ac:dyDescent="0.25">
      <c r="B1830" t="s">
        <v>2151</v>
      </c>
    </row>
    <row r="1831" spans="1:6" x14ac:dyDescent="0.25">
      <c r="A1831" t="s">
        <v>2</v>
      </c>
      <c r="B1831" t="s">
        <v>2152</v>
      </c>
      <c r="C1831">
        <v>48301</v>
      </c>
      <c r="D1831">
        <v>300853</v>
      </c>
      <c r="F1831">
        <v>300853</v>
      </c>
    </row>
    <row r="1832" spans="1:6" x14ac:dyDescent="0.25">
      <c r="A1832" t="s">
        <v>15</v>
      </c>
      <c r="B1832" t="s">
        <v>2153</v>
      </c>
      <c r="C1832">
        <v>48302</v>
      </c>
      <c r="D1832">
        <v>0</v>
      </c>
      <c r="F1832">
        <v>0</v>
      </c>
    </row>
    <row r="1833" spans="1:6" x14ac:dyDescent="0.25">
      <c r="A1833" t="s">
        <v>16</v>
      </c>
      <c r="B1833" t="s">
        <v>2154</v>
      </c>
      <c r="C1833">
        <v>48303</v>
      </c>
      <c r="D1833">
        <v>73348</v>
      </c>
      <c r="F1833">
        <v>73348</v>
      </c>
    </row>
    <row r="1834" spans="1:6" x14ac:dyDescent="0.25">
      <c r="A1834" t="s">
        <v>25</v>
      </c>
      <c r="B1834" t="s">
        <v>2155</v>
      </c>
      <c r="C1834">
        <v>48300</v>
      </c>
      <c r="D1834">
        <v>374201</v>
      </c>
      <c r="F1834">
        <v>374201</v>
      </c>
    </row>
    <row r="1835" spans="1:6" x14ac:dyDescent="0.25">
      <c r="B1835" t="s">
        <v>1397</v>
      </c>
    </row>
    <row r="1836" spans="1:6" x14ac:dyDescent="0.25">
      <c r="A1836" t="s">
        <v>2</v>
      </c>
      <c r="B1836" t="s">
        <v>2156</v>
      </c>
      <c r="C1836">
        <v>48401</v>
      </c>
      <c r="D1836">
        <v>461995</v>
      </c>
      <c r="E1836">
        <v>0</v>
      </c>
      <c r="F1836">
        <v>461995</v>
      </c>
    </row>
    <row r="1837" spans="1:6" x14ac:dyDescent="0.25">
      <c r="A1837" t="s">
        <v>15</v>
      </c>
      <c r="B1837" t="s">
        <v>2157</v>
      </c>
      <c r="C1837">
        <v>48402</v>
      </c>
      <c r="D1837">
        <v>0</v>
      </c>
      <c r="E1837">
        <v>0</v>
      </c>
      <c r="F1837">
        <v>0</v>
      </c>
    </row>
    <row r="1838" spans="1:6" x14ac:dyDescent="0.25">
      <c r="A1838" t="s">
        <v>16</v>
      </c>
      <c r="B1838" t="s">
        <v>1468</v>
      </c>
      <c r="C1838">
        <v>48403</v>
      </c>
      <c r="D1838">
        <v>237273</v>
      </c>
      <c r="E1838">
        <v>0</v>
      </c>
      <c r="F1838">
        <v>237273</v>
      </c>
    </row>
    <row r="1839" spans="1:6" x14ac:dyDescent="0.25">
      <c r="A1839" t="s">
        <v>25</v>
      </c>
      <c r="B1839" t="s">
        <v>2158</v>
      </c>
      <c r="C1839">
        <v>48404</v>
      </c>
      <c r="D1839">
        <v>185827</v>
      </c>
      <c r="E1839">
        <v>0</v>
      </c>
      <c r="F1839">
        <v>185827</v>
      </c>
    </row>
    <row r="1840" spans="1:6" x14ac:dyDescent="0.25">
      <c r="A1840" t="s">
        <v>26</v>
      </c>
      <c r="B1840" t="s">
        <v>2159</v>
      </c>
      <c r="C1840">
        <v>48405</v>
      </c>
      <c r="D1840">
        <v>97099</v>
      </c>
      <c r="E1840">
        <v>0</v>
      </c>
      <c r="F1840">
        <v>97099</v>
      </c>
    </row>
    <row r="1841" spans="1:6" x14ac:dyDescent="0.25">
      <c r="A1841" t="s">
        <v>27</v>
      </c>
      <c r="B1841" t="s">
        <v>2160</v>
      </c>
      <c r="C1841">
        <v>48406</v>
      </c>
      <c r="D1841">
        <v>46177</v>
      </c>
      <c r="E1841">
        <v>0</v>
      </c>
      <c r="F1841">
        <v>46177</v>
      </c>
    </row>
    <row r="1842" spans="1:6" x14ac:dyDescent="0.25">
      <c r="A1842" t="s">
        <v>531</v>
      </c>
      <c r="B1842" t="s">
        <v>1479</v>
      </c>
      <c r="C1842">
        <v>48407</v>
      </c>
      <c r="D1842">
        <v>2391644</v>
      </c>
      <c r="E1842">
        <v>0</v>
      </c>
      <c r="F1842">
        <v>2391644</v>
      </c>
    </row>
    <row r="1843" spans="1:6" x14ac:dyDescent="0.25">
      <c r="A1843" t="s">
        <v>1583</v>
      </c>
      <c r="B1843" t="s">
        <v>2161</v>
      </c>
      <c r="C1843">
        <v>48408</v>
      </c>
      <c r="D1843">
        <v>12676</v>
      </c>
      <c r="E1843">
        <v>0</v>
      </c>
      <c r="F1843">
        <v>12676</v>
      </c>
    </row>
    <row r="1844" spans="1:6" x14ac:dyDescent="0.25">
      <c r="A1844" t="s">
        <v>1585</v>
      </c>
      <c r="B1844" t="s">
        <v>1480</v>
      </c>
      <c r="C1844">
        <v>48409</v>
      </c>
      <c r="D1844">
        <v>278911</v>
      </c>
      <c r="E1844">
        <v>20243</v>
      </c>
      <c r="F1844">
        <v>299154</v>
      </c>
    </row>
    <row r="1845" spans="1:6" x14ac:dyDescent="0.25">
      <c r="A1845" t="s">
        <v>1587</v>
      </c>
      <c r="B1845" t="s">
        <v>2162</v>
      </c>
      <c r="C1845">
        <v>48410</v>
      </c>
      <c r="D1845">
        <v>25479</v>
      </c>
      <c r="E1845">
        <v>0</v>
      </c>
      <c r="F1845">
        <v>25479</v>
      </c>
    </row>
    <row r="1846" spans="1:6" x14ac:dyDescent="0.25">
      <c r="A1846" t="s">
        <v>1589</v>
      </c>
      <c r="B1846" t="s">
        <v>2163</v>
      </c>
      <c r="C1846">
        <v>48411</v>
      </c>
      <c r="D1846">
        <v>8</v>
      </c>
      <c r="E1846">
        <v>0</v>
      </c>
      <c r="F1846">
        <v>8</v>
      </c>
    </row>
    <row r="1847" spans="1:6" x14ac:dyDescent="0.25">
      <c r="A1847" t="s">
        <v>1591</v>
      </c>
      <c r="B1847" t="s">
        <v>1481</v>
      </c>
      <c r="C1847">
        <v>48412</v>
      </c>
      <c r="D1847">
        <v>700202</v>
      </c>
      <c r="E1847">
        <v>0</v>
      </c>
      <c r="F1847">
        <v>700202</v>
      </c>
    </row>
    <row r="1848" spans="1:6" x14ac:dyDescent="0.25">
      <c r="A1848" t="s">
        <v>1593</v>
      </c>
      <c r="B1848" t="s">
        <v>2164</v>
      </c>
      <c r="C1848">
        <v>48413</v>
      </c>
      <c r="D1848">
        <v>768335</v>
      </c>
      <c r="E1848">
        <v>0</v>
      </c>
      <c r="F1848">
        <v>768335</v>
      </c>
    </row>
    <row r="1849" spans="1:6" x14ac:dyDescent="0.25">
      <c r="A1849" t="s">
        <v>1595</v>
      </c>
      <c r="B1849" t="s">
        <v>1482</v>
      </c>
      <c r="C1849">
        <v>48414</v>
      </c>
      <c r="D1849">
        <v>1831016</v>
      </c>
      <c r="E1849">
        <v>196566</v>
      </c>
      <c r="F1849">
        <v>2027582</v>
      </c>
    </row>
    <row r="1850" spans="1:6" x14ac:dyDescent="0.25">
      <c r="B1850" t="s">
        <v>2165</v>
      </c>
      <c r="D1850">
        <v>7036642</v>
      </c>
      <c r="E1850">
        <v>216809</v>
      </c>
      <c r="F1850">
        <v>7253451</v>
      </c>
    </row>
    <row r="1851" spans="1:6" x14ac:dyDescent="0.25">
      <c r="B1851" t="s">
        <v>2166</v>
      </c>
    </row>
    <row r="1852" spans="1:6" x14ac:dyDescent="0.25">
      <c r="A1852" t="s">
        <v>2</v>
      </c>
      <c r="B1852" t="s">
        <v>1932</v>
      </c>
      <c r="C1852">
        <v>48501</v>
      </c>
      <c r="D1852">
        <v>0</v>
      </c>
      <c r="F1852">
        <v>0</v>
      </c>
    </row>
    <row r="1853" spans="1:6" x14ac:dyDescent="0.25">
      <c r="A1853" t="s">
        <v>15</v>
      </c>
      <c r="B1853" t="s">
        <v>1933</v>
      </c>
      <c r="C1853">
        <v>48502</v>
      </c>
      <c r="D1853">
        <v>0</v>
      </c>
      <c r="F1853">
        <v>0</v>
      </c>
    </row>
    <row r="1854" spans="1:6" x14ac:dyDescent="0.25">
      <c r="A1854" t="s">
        <v>16</v>
      </c>
      <c r="B1854" t="s">
        <v>1934</v>
      </c>
      <c r="C1854">
        <v>48503</v>
      </c>
      <c r="D1854">
        <v>0</v>
      </c>
      <c r="F1854">
        <v>0</v>
      </c>
    </row>
    <row r="1855" spans="1:6" x14ac:dyDescent="0.25">
      <c r="A1855" t="s">
        <v>25</v>
      </c>
      <c r="B1855" t="s">
        <v>1935</v>
      </c>
      <c r="C1855">
        <v>48504</v>
      </c>
      <c r="D1855">
        <v>0</v>
      </c>
      <c r="F1855">
        <v>0</v>
      </c>
    </row>
    <row r="1856" spans="1:6" x14ac:dyDescent="0.25">
      <c r="A1856" t="s">
        <v>26</v>
      </c>
      <c r="B1856" t="s">
        <v>2167</v>
      </c>
      <c r="C1856">
        <v>48505</v>
      </c>
      <c r="D1856">
        <v>0</v>
      </c>
      <c r="F1856">
        <v>0</v>
      </c>
    </row>
    <row r="1857" spans="1:6" x14ac:dyDescent="0.25">
      <c r="B1857" t="s">
        <v>2168</v>
      </c>
      <c r="D1857">
        <v>0</v>
      </c>
      <c r="F1857">
        <v>0</v>
      </c>
    </row>
    <row r="1858" spans="1:6" x14ac:dyDescent="0.25">
      <c r="B1858" t="s">
        <v>2169</v>
      </c>
    </row>
    <row r="1859" spans="1:6" x14ac:dyDescent="0.25">
      <c r="A1859" t="s">
        <v>2</v>
      </c>
      <c r="B1859" t="s">
        <v>1938</v>
      </c>
      <c r="C1859">
        <v>48601</v>
      </c>
      <c r="D1859">
        <v>5238</v>
      </c>
      <c r="E1859">
        <v>0</v>
      </c>
      <c r="F1859">
        <v>5238</v>
      </c>
    </row>
    <row r="1860" spans="1:6" x14ac:dyDescent="0.25">
      <c r="A1860" t="s">
        <v>15</v>
      </c>
      <c r="B1860" t="s">
        <v>2170</v>
      </c>
      <c r="C1860">
        <v>48602</v>
      </c>
      <c r="D1860">
        <v>2250</v>
      </c>
      <c r="E1860">
        <v>0</v>
      </c>
      <c r="F1860">
        <v>2250</v>
      </c>
    </row>
    <row r="1861" spans="1:6" x14ac:dyDescent="0.25">
      <c r="A1861" t="s">
        <v>16</v>
      </c>
      <c r="B1861" t="s">
        <v>2171</v>
      </c>
      <c r="C1861">
        <v>48603</v>
      </c>
      <c r="D1861">
        <v>11627</v>
      </c>
      <c r="E1861">
        <v>0</v>
      </c>
      <c r="F1861">
        <v>11627</v>
      </c>
    </row>
    <row r="1862" spans="1:6" x14ac:dyDescent="0.25">
      <c r="A1862" t="s">
        <v>25</v>
      </c>
      <c r="B1862" t="s">
        <v>2172</v>
      </c>
      <c r="C1862">
        <v>48604</v>
      </c>
      <c r="D1862">
        <v>0</v>
      </c>
      <c r="E1862">
        <v>0</v>
      </c>
      <c r="F1862">
        <v>0</v>
      </c>
    </row>
    <row r="1863" spans="1:6" x14ac:dyDescent="0.25">
      <c r="A1863" t="s">
        <v>26</v>
      </c>
      <c r="B1863" t="s">
        <v>2173</v>
      </c>
      <c r="C1863">
        <v>48605</v>
      </c>
      <c r="D1863">
        <v>0</v>
      </c>
      <c r="E1863">
        <v>0</v>
      </c>
      <c r="F1863">
        <v>0</v>
      </c>
    </row>
    <row r="1864" spans="1:6" x14ac:dyDescent="0.25">
      <c r="A1864" t="s">
        <v>27</v>
      </c>
      <c r="B1864" t="s">
        <v>2174</v>
      </c>
      <c r="C1864">
        <v>48606</v>
      </c>
      <c r="D1864">
        <v>2</v>
      </c>
      <c r="E1864">
        <v>0</v>
      </c>
      <c r="F1864">
        <v>2</v>
      </c>
    </row>
    <row r="1865" spans="1:6" x14ac:dyDescent="0.25">
      <c r="A1865" t="s">
        <v>531</v>
      </c>
      <c r="B1865" t="s">
        <v>2175</v>
      </c>
      <c r="C1865">
        <v>48607</v>
      </c>
      <c r="D1865">
        <v>23515</v>
      </c>
      <c r="E1865">
        <v>0</v>
      </c>
      <c r="F1865">
        <v>23515</v>
      </c>
    </row>
    <row r="1866" spans="1:6" x14ac:dyDescent="0.25">
      <c r="A1866" t="s">
        <v>1583</v>
      </c>
      <c r="B1866" t="s">
        <v>2176</v>
      </c>
      <c r="C1866">
        <v>48608</v>
      </c>
      <c r="D1866">
        <v>40639</v>
      </c>
      <c r="E1866">
        <v>0</v>
      </c>
      <c r="F1866">
        <v>40639</v>
      </c>
    </row>
    <row r="1867" spans="1:6" x14ac:dyDescent="0.25">
      <c r="A1867" t="s">
        <v>1585</v>
      </c>
      <c r="B1867" t="s">
        <v>2177</v>
      </c>
      <c r="C1867">
        <v>48609</v>
      </c>
      <c r="D1867">
        <v>0</v>
      </c>
      <c r="E1867">
        <v>0</v>
      </c>
      <c r="F1867">
        <v>0</v>
      </c>
    </row>
    <row r="1868" spans="1:6" x14ac:dyDescent="0.25">
      <c r="A1868" t="s">
        <v>1587</v>
      </c>
      <c r="B1868" t="s">
        <v>2178</v>
      </c>
      <c r="C1868">
        <v>48610</v>
      </c>
      <c r="D1868">
        <v>0</v>
      </c>
      <c r="E1868">
        <v>0</v>
      </c>
      <c r="F1868">
        <v>0</v>
      </c>
    </row>
    <row r="1869" spans="1:6" x14ac:dyDescent="0.25">
      <c r="A1869" t="s">
        <v>1589</v>
      </c>
      <c r="B1869" t="s">
        <v>2179</v>
      </c>
      <c r="C1869">
        <v>48611</v>
      </c>
      <c r="D1869">
        <v>13026</v>
      </c>
      <c r="E1869">
        <v>0</v>
      </c>
      <c r="F1869">
        <v>13026</v>
      </c>
    </row>
    <row r="1870" spans="1:6" x14ac:dyDescent="0.25">
      <c r="B1870" t="s">
        <v>2180</v>
      </c>
      <c r="D1870">
        <v>96297</v>
      </c>
      <c r="E1870">
        <v>0</v>
      </c>
      <c r="F1870">
        <v>96297</v>
      </c>
    </row>
    <row r="1871" spans="1:6" x14ac:dyDescent="0.25">
      <c r="B1871" t="s">
        <v>1910</v>
      </c>
      <c r="D1871">
        <v>13204214</v>
      </c>
      <c r="E1871">
        <v>216809</v>
      </c>
      <c r="F1871">
        <v>13421023</v>
      </c>
    </row>
    <row r="1872" spans="1:6" x14ac:dyDescent="0.25">
      <c r="B1872" t="s">
        <v>2281</v>
      </c>
      <c r="D1872">
        <v>162529107</v>
      </c>
      <c r="E1872">
        <v>744071</v>
      </c>
      <c r="F1872">
        <v>163273178</v>
      </c>
    </row>
    <row r="1873" spans="1:6" x14ac:dyDescent="0.25">
      <c r="B1873" t="s">
        <v>2182</v>
      </c>
      <c r="D1873">
        <v>236880082</v>
      </c>
      <c r="E1873">
        <v>5011546</v>
      </c>
      <c r="F1873">
        <v>241891628</v>
      </c>
    </row>
    <row r="1874" spans="1:6" x14ac:dyDescent="0.25">
      <c r="B1874" t="s">
        <v>2282</v>
      </c>
      <c r="C1874">
        <v>1000</v>
      </c>
      <c r="F1874">
        <v>2979719</v>
      </c>
    </row>
    <row r="1875" spans="1:6" x14ac:dyDescent="0.25">
      <c r="B1875" t="s">
        <v>2283</v>
      </c>
      <c r="C1875">
        <v>2000</v>
      </c>
      <c r="F1875">
        <v>0</v>
      </c>
    </row>
    <row r="1876" spans="1:6" x14ac:dyDescent="0.25">
      <c r="B1876" t="s">
        <v>2185</v>
      </c>
    </row>
    <row r="1877" spans="1:6" x14ac:dyDescent="0.25">
      <c r="B1877" t="s">
        <v>2186</v>
      </c>
    </row>
    <row r="1878" spans="1:6" x14ac:dyDescent="0.25">
      <c r="B1878" t="s">
        <v>2187</v>
      </c>
    </row>
    <row r="1879" spans="1:6" x14ac:dyDescent="0.25">
      <c r="A1879" t="s">
        <v>2</v>
      </c>
      <c r="B1879" t="s">
        <v>2284</v>
      </c>
      <c r="C1879">
        <v>51101</v>
      </c>
      <c r="D1879">
        <v>397329</v>
      </c>
      <c r="F1879">
        <v>397329</v>
      </c>
    </row>
    <row r="1880" spans="1:6" x14ac:dyDescent="0.25">
      <c r="B1880" t="s">
        <v>2189</v>
      </c>
    </row>
    <row r="1881" spans="1:6" x14ac:dyDescent="0.25">
      <c r="A1881" t="s">
        <v>2</v>
      </c>
      <c r="B1881" t="s">
        <v>2285</v>
      </c>
      <c r="C1881">
        <v>51201</v>
      </c>
      <c r="D1881">
        <v>0</v>
      </c>
      <c r="F1881">
        <v>0</v>
      </c>
    </row>
    <row r="1882" spans="1:6" x14ac:dyDescent="0.25">
      <c r="A1882" t="s">
        <v>15</v>
      </c>
      <c r="B1882" t="s">
        <v>2286</v>
      </c>
      <c r="C1882">
        <v>51202</v>
      </c>
      <c r="D1882">
        <v>124998</v>
      </c>
      <c r="F1882">
        <v>124998</v>
      </c>
    </row>
    <row r="1883" spans="1:6" x14ac:dyDescent="0.25">
      <c r="A1883" t="s">
        <v>16</v>
      </c>
      <c r="B1883" t="s">
        <v>2192</v>
      </c>
      <c r="C1883">
        <v>3000</v>
      </c>
      <c r="D1883">
        <v>272331</v>
      </c>
      <c r="F1883">
        <v>272331</v>
      </c>
    </row>
    <row r="1884" spans="1:6" x14ac:dyDescent="0.25">
      <c r="A1884" t="s">
        <v>25</v>
      </c>
      <c r="B1884" t="s">
        <v>2193</v>
      </c>
      <c r="C1884">
        <v>4000</v>
      </c>
      <c r="D1884">
        <v>0</v>
      </c>
      <c r="F1884">
        <v>0</v>
      </c>
    </row>
    <row r="1885" spans="1:6" x14ac:dyDescent="0.25">
      <c r="B1885" t="s">
        <v>2194</v>
      </c>
    </row>
    <row r="1886" spans="1:6" x14ac:dyDescent="0.25">
      <c r="B1886" t="s">
        <v>2195</v>
      </c>
    </row>
    <row r="1887" spans="1:6" x14ac:dyDescent="0.25">
      <c r="B1887" t="s">
        <v>2196</v>
      </c>
    </row>
    <row r="1888" spans="1:6" x14ac:dyDescent="0.25">
      <c r="A1888" t="s">
        <v>2</v>
      </c>
      <c r="B1888" t="s">
        <v>2197</v>
      </c>
      <c r="C1888">
        <v>61101</v>
      </c>
      <c r="F1888">
        <v>2707388</v>
      </c>
    </row>
    <row r="1889" spans="1:6" x14ac:dyDescent="0.25">
      <c r="A1889" t="s">
        <v>15</v>
      </c>
      <c r="B1889" t="s">
        <v>2198</v>
      </c>
      <c r="C1889">
        <v>61102</v>
      </c>
      <c r="F1889">
        <v>0</v>
      </c>
    </row>
    <row r="1890" spans="1:6" x14ac:dyDescent="0.25">
      <c r="B1890" t="s">
        <v>2199</v>
      </c>
    </row>
    <row r="1891" spans="1:6" x14ac:dyDescent="0.25">
      <c r="B1891" t="s">
        <v>2200</v>
      </c>
    </row>
    <row r="1892" spans="1:6" x14ac:dyDescent="0.25">
      <c r="B1892" t="s">
        <v>2201</v>
      </c>
    </row>
    <row r="1893" spans="1:6" x14ac:dyDescent="0.25">
      <c r="A1893" t="s">
        <v>2</v>
      </c>
      <c r="B1893" t="s">
        <v>1637</v>
      </c>
      <c r="C1893">
        <v>71101</v>
      </c>
      <c r="D1893">
        <v>0</v>
      </c>
      <c r="F1893">
        <v>0</v>
      </c>
    </row>
    <row r="1894" spans="1:6" x14ac:dyDescent="0.25">
      <c r="A1894" t="s">
        <v>15</v>
      </c>
      <c r="B1894" t="s">
        <v>1638</v>
      </c>
      <c r="C1894">
        <v>71102</v>
      </c>
      <c r="D1894">
        <v>51373273</v>
      </c>
      <c r="F1894">
        <v>51373273</v>
      </c>
    </row>
    <row r="1895" spans="1:6" x14ac:dyDescent="0.25">
      <c r="A1895" t="s">
        <v>16</v>
      </c>
      <c r="B1895" t="s">
        <v>1640</v>
      </c>
      <c r="C1895">
        <v>71103</v>
      </c>
      <c r="D1895">
        <v>730019</v>
      </c>
      <c r="F1895">
        <v>730019</v>
      </c>
    </row>
    <row r="1896" spans="1:6" x14ac:dyDescent="0.25">
      <c r="A1896" t="s">
        <v>25</v>
      </c>
      <c r="B1896" t="s">
        <v>1641</v>
      </c>
      <c r="C1896">
        <v>71104</v>
      </c>
      <c r="D1896">
        <v>0</v>
      </c>
      <c r="F1896">
        <v>0</v>
      </c>
    </row>
    <row r="1897" spans="1:6" x14ac:dyDescent="0.25">
      <c r="B1897" t="s">
        <v>2202</v>
      </c>
      <c r="D1897">
        <v>52103292</v>
      </c>
      <c r="F1897">
        <v>52103292</v>
      </c>
    </row>
    <row r="1898" spans="1:6" x14ac:dyDescent="0.25">
      <c r="B1898" t="s">
        <v>2203</v>
      </c>
    </row>
    <row r="1899" spans="1:6" x14ac:dyDescent="0.25">
      <c r="A1899" t="s">
        <v>2</v>
      </c>
      <c r="B1899" t="s">
        <v>1637</v>
      </c>
      <c r="C1899">
        <v>71201</v>
      </c>
      <c r="D1899">
        <v>0</v>
      </c>
      <c r="F1899">
        <v>0</v>
      </c>
    </row>
    <row r="1900" spans="1:6" x14ac:dyDescent="0.25">
      <c r="A1900" t="s">
        <v>15</v>
      </c>
      <c r="B1900" t="s">
        <v>1638</v>
      </c>
      <c r="C1900">
        <v>71202</v>
      </c>
      <c r="D1900">
        <v>0</v>
      </c>
      <c r="F1900">
        <v>0</v>
      </c>
    </row>
    <row r="1901" spans="1:6" x14ac:dyDescent="0.25">
      <c r="A1901" t="s">
        <v>16</v>
      </c>
      <c r="B1901" t="s">
        <v>1640</v>
      </c>
      <c r="C1901">
        <v>71203</v>
      </c>
      <c r="D1901">
        <v>5861</v>
      </c>
      <c r="F1901">
        <v>5861</v>
      </c>
    </row>
    <row r="1902" spans="1:6" x14ac:dyDescent="0.25">
      <c r="A1902" t="s">
        <v>25</v>
      </c>
      <c r="B1902" t="s">
        <v>1641</v>
      </c>
      <c r="C1902">
        <v>71204</v>
      </c>
      <c r="D1902">
        <v>0</v>
      </c>
      <c r="F1902">
        <v>0</v>
      </c>
    </row>
    <row r="1903" spans="1:6" x14ac:dyDescent="0.25">
      <c r="B1903" t="s">
        <v>2204</v>
      </c>
      <c r="D1903">
        <v>5861</v>
      </c>
      <c r="F1903">
        <v>5861</v>
      </c>
    </row>
    <row r="1904" spans="1:6" x14ac:dyDescent="0.25">
      <c r="B1904" t="s">
        <v>2205</v>
      </c>
    </row>
    <row r="1905" spans="1:6" x14ac:dyDescent="0.25">
      <c r="A1905" t="s">
        <v>2</v>
      </c>
      <c r="B1905" t="s">
        <v>1634</v>
      </c>
      <c r="C1905">
        <v>71301</v>
      </c>
      <c r="D1905">
        <v>4227525</v>
      </c>
      <c r="F1905">
        <v>4227525</v>
      </c>
    </row>
    <row r="1906" spans="1:6" x14ac:dyDescent="0.25">
      <c r="A1906" t="s">
        <v>15</v>
      </c>
      <c r="B1906" t="s">
        <v>1635</v>
      </c>
      <c r="C1906">
        <v>71302</v>
      </c>
      <c r="D1906">
        <v>267729</v>
      </c>
      <c r="F1906">
        <v>267729</v>
      </c>
    </row>
    <row r="1907" spans="1:6" x14ac:dyDescent="0.25">
      <c r="A1907" t="s">
        <v>16</v>
      </c>
      <c r="B1907" t="s">
        <v>1636</v>
      </c>
      <c r="C1907">
        <v>71303</v>
      </c>
      <c r="D1907">
        <v>267</v>
      </c>
      <c r="F1907">
        <v>267</v>
      </c>
    </row>
    <row r="1908" spans="1:6" x14ac:dyDescent="0.25">
      <c r="A1908" t="s">
        <v>25</v>
      </c>
      <c r="B1908" t="s">
        <v>1637</v>
      </c>
      <c r="C1908">
        <v>71304</v>
      </c>
      <c r="D1908">
        <v>280016</v>
      </c>
      <c r="F1908">
        <v>280016</v>
      </c>
    </row>
    <row r="1909" spans="1:6" x14ac:dyDescent="0.25">
      <c r="A1909" t="s">
        <v>26</v>
      </c>
      <c r="B1909" t="s">
        <v>1638</v>
      </c>
      <c r="C1909">
        <v>71305</v>
      </c>
      <c r="D1909">
        <v>2208682</v>
      </c>
      <c r="F1909">
        <v>2208682</v>
      </c>
    </row>
    <row r="1910" spans="1:6" x14ac:dyDescent="0.25">
      <c r="A1910" t="s">
        <v>27</v>
      </c>
      <c r="B1910" t="s">
        <v>1639</v>
      </c>
      <c r="C1910">
        <v>71306</v>
      </c>
      <c r="D1910">
        <v>0</v>
      </c>
      <c r="F1910">
        <v>0</v>
      </c>
    </row>
    <row r="1911" spans="1:6" x14ac:dyDescent="0.25">
      <c r="A1911" t="s">
        <v>531</v>
      </c>
      <c r="B1911" t="s">
        <v>1640</v>
      </c>
      <c r="C1911">
        <v>71307</v>
      </c>
      <c r="D1911">
        <v>0</v>
      </c>
      <c r="F1911">
        <v>0</v>
      </c>
    </row>
    <row r="1912" spans="1:6" x14ac:dyDescent="0.25">
      <c r="A1912" t="s">
        <v>1583</v>
      </c>
      <c r="B1912" t="s">
        <v>1641</v>
      </c>
      <c r="C1912">
        <v>71308</v>
      </c>
      <c r="D1912">
        <v>6831989</v>
      </c>
      <c r="F1912">
        <v>6831989</v>
      </c>
    </row>
    <row r="1913" spans="1:6" x14ac:dyDescent="0.25">
      <c r="B1913" t="s">
        <v>2206</v>
      </c>
      <c r="D1913">
        <v>13816208</v>
      </c>
      <c r="F1913">
        <v>13816208</v>
      </c>
    </row>
    <row r="1914" spans="1:6" x14ac:dyDescent="0.25">
      <c r="B1914" t="s">
        <v>2207</v>
      </c>
    </row>
    <row r="1915" spans="1:6" x14ac:dyDescent="0.25">
      <c r="A1915" t="s">
        <v>2</v>
      </c>
      <c r="B1915" t="s">
        <v>1634</v>
      </c>
      <c r="C1915">
        <v>71401</v>
      </c>
      <c r="D1915">
        <v>377277</v>
      </c>
      <c r="F1915">
        <v>377277</v>
      </c>
    </row>
    <row r="1916" spans="1:6" x14ac:dyDescent="0.25">
      <c r="A1916" t="s">
        <v>15</v>
      </c>
      <c r="B1916" t="s">
        <v>1635</v>
      </c>
      <c r="C1916">
        <v>71402</v>
      </c>
      <c r="D1916">
        <v>0</v>
      </c>
      <c r="F1916">
        <v>0</v>
      </c>
    </row>
    <row r="1917" spans="1:6" x14ac:dyDescent="0.25">
      <c r="A1917" t="s">
        <v>16</v>
      </c>
      <c r="B1917" t="s">
        <v>1636</v>
      </c>
      <c r="C1917">
        <v>71403</v>
      </c>
      <c r="D1917">
        <v>152</v>
      </c>
      <c r="F1917">
        <v>152</v>
      </c>
    </row>
    <row r="1918" spans="1:6" x14ac:dyDescent="0.25">
      <c r="A1918" t="s">
        <v>25</v>
      </c>
      <c r="B1918" t="s">
        <v>1637</v>
      </c>
      <c r="C1918">
        <v>71404</v>
      </c>
      <c r="D1918">
        <v>11135</v>
      </c>
      <c r="F1918">
        <v>11135</v>
      </c>
    </row>
    <row r="1919" spans="1:6" x14ac:dyDescent="0.25">
      <c r="A1919" t="s">
        <v>26</v>
      </c>
      <c r="B1919" t="s">
        <v>1638</v>
      </c>
      <c r="C1919">
        <v>71405</v>
      </c>
      <c r="D1919">
        <v>67451</v>
      </c>
      <c r="F1919">
        <v>67451</v>
      </c>
    </row>
    <row r="1920" spans="1:6" x14ac:dyDescent="0.25">
      <c r="A1920" t="s">
        <v>27</v>
      </c>
      <c r="B1920" t="s">
        <v>1639</v>
      </c>
      <c r="C1920">
        <v>71406</v>
      </c>
      <c r="D1920">
        <v>0</v>
      </c>
      <c r="F1920">
        <v>0</v>
      </c>
    </row>
    <row r="1921" spans="1:6" x14ac:dyDescent="0.25">
      <c r="A1921" t="s">
        <v>531</v>
      </c>
      <c r="B1921" t="s">
        <v>1640</v>
      </c>
      <c r="C1921">
        <v>71407</v>
      </c>
      <c r="D1921">
        <v>0</v>
      </c>
      <c r="F1921">
        <v>0</v>
      </c>
    </row>
    <row r="1922" spans="1:6" x14ac:dyDescent="0.25">
      <c r="A1922" t="s">
        <v>1583</v>
      </c>
      <c r="B1922" t="s">
        <v>1641</v>
      </c>
      <c r="C1922">
        <v>71408</v>
      </c>
      <c r="D1922">
        <v>262047</v>
      </c>
      <c r="F1922">
        <v>262047</v>
      </c>
    </row>
    <row r="1923" spans="1:6" x14ac:dyDescent="0.25">
      <c r="B1923" t="s">
        <v>2208</v>
      </c>
      <c r="D1923">
        <v>718062</v>
      </c>
      <c r="F1923">
        <v>718062</v>
      </c>
    </row>
    <row r="1924" spans="1:6" x14ac:dyDescent="0.25">
      <c r="B1924" t="s">
        <v>2209</v>
      </c>
    </row>
    <row r="1925" spans="1:6" x14ac:dyDescent="0.25">
      <c r="A1925" t="s">
        <v>2</v>
      </c>
      <c r="B1925" t="s">
        <v>2210</v>
      </c>
      <c r="C1925">
        <v>71501</v>
      </c>
      <c r="D1925">
        <v>0</v>
      </c>
      <c r="F1925">
        <v>0</v>
      </c>
    </row>
    <row r="1926" spans="1:6" x14ac:dyDescent="0.25">
      <c r="A1926" t="s">
        <v>15</v>
      </c>
      <c r="B1926" t="s">
        <v>2211</v>
      </c>
      <c r="C1926">
        <v>71502</v>
      </c>
      <c r="D1926">
        <v>0</v>
      </c>
      <c r="F1926">
        <v>0</v>
      </c>
    </row>
    <row r="1927" spans="1:6" x14ac:dyDescent="0.25">
      <c r="B1927" t="s">
        <v>2212</v>
      </c>
      <c r="D1927">
        <v>0</v>
      </c>
      <c r="F1927">
        <v>0</v>
      </c>
    </row>
    <row r="1928" spans="1:6" x14ac:dyDescent="0.25">
      <c r="B1928" t="s">
        <v>2213</v>
      </c>
    </row>
    <row r="1929" spans="1:6" x14ac:dyDescent="0.25">
      <c r="A1929" t="s">
        <v>2</v>
      </c>
      <c r="B1929" t="s">
        <v>2214</v>
      </c>
      <c r="C1929">
        <v>71601</v>
      </c>
      <c r="D1929">
        <v>0</v>
      </c>
      <c r="F1929">
        <v>0</v>
      </c>
    </row>
    <row r="1930" spans="1:6" x14ac:dyDescent="0.25">
      <c r="A1930" t="s">
        <v>15</v>
      </c>
      <c r="B1930" t="s">
        <v>2215</v>
      </c>
      <c r="C1930">
        <v>71602</v>
      </c>
      <c r="D1930">
        <v>0</v>
      </c>
      <c r="F1930">
        <v>0</v>
      </c>
    </row>
    <row r="1931" spans="1:6" x14ac:dyDescent="0.25">
      <c r="A1931" t="s">
        <v>16</v>
      </c>
      <c r="B1931" t="s">
        <v>2216</v>
      </c>
      <c r="C1931">
        <v>71603</v>
      </c>
      <c r="D1931">
        <v>0</v>
      </c>
      <c r="F1931">
        <v>0</v>
      </c>
    </row>
    <row r="1932" spans="1:6" x14ac:dyDescent="0.25">
      <c r="A1932" t="s">
        <v>25</v>
      </c>
      <c r="B1932" t="s">
        <v>2217</v>
      </c>
      <c r="C1932">
        <v>71604</v>
      </c>
      <c r="D1932">
        <v>0</v>
      </c>
      <c r="F1932">
        <v>0</v>
      </c>
    </row>
    <row r="1933" spans="1:6" x14ac:dyDescent="0.25">
      <c r="B1933" t="s">
        <v>2218</v>
      </c>
      <c r="D1933">
        <v>0</v>
      </c>
      <c r="F1933">
        <v>0</v>
      </c>
    </row>
    <row r="1934" spans="1:6" x14ac:dyDescent="0.25">
      <c r="B1934" t="s">
        <v>2219</v>
      </c>
    </row>
    <row r="1935" spans="1:6" x14ac:dyDescent="0.25">
      <c r="A1935" t="s">
        <v>2</v>
      </c>
      <c r="B1935" t="s">
        <v>2220</v>
      </c>
      <c r="C1935">
        <v>71701</v>
      </c>
      <c r="D1935">
        <v>0</v>
      </c>
      <c r="F1935">
        <v>0</v>
      </c>
    </row>
    <row r="1936" spans="1:6" x14ac:dyDescent="0.25">
      <c r="A1936" t="s">
        <v>15</v>
      </c>
      <c r="B1936" t="s">
        <v>2221</v>
      </c>
      <c r="C1936">
        <v>71702</v>
      </c>
      <c r="D1936">
        <v>0</v>
      </c>
      <c r="F1936">
        <v>0</v>
      </c>
    </row>
    <row r="1937" spans="1:6" x14ac:dyDescent="0.25">
      <c r="B1937" t="s">
        <v>2222</v>
      </c>
      <c r="D1937">
        <v>0</v>
      </c>
      <c r="F1937">
        <v>0</v>
      </c>
    </row>
    <row r="1938" spans="1:6" x14ac:dyDescent="0.25">
      <c r="B1938" t="s">
        <v>2223</v>
      </c>
    </row>
    <row r="1939" spans="1:6" x14ac:dyDescent="0.25">
      <c r="A1939" t="s">
        <v>2</v>
      </c>
      <c r="B1939" t="s">
        <v>2224</v>
      </c>
      <c r="C1939">
        <v>71801</v>
      </c>
      <c r="D1939">
        <v>0</v>
      </c>
      <c r="F1939">
        <v>0</v>
      </c>
    </row>
    <row r="1940" spans="1:6" x14ac:dyDescent="0.25">
      <c r="A1940" t="s">
        <v>15</v>
      </c>
      <c r="B1940" t="s">
        <v>2225</v>
      </c>
      <c r="C1940">
        <v>71802</v>
      </c>
      <c r="D1940">
        <v>0</v>
      </c>
      <c r="F1940">
        <v>0</v>
      </c>
    </row>
    <row r="1941" spans="1:6" x14ac:dyDescent="0.25">
      <c r="B1941" t="s">
        <v>2226</v>
      </c>
      <c r="D1941">
        <v>0</v>
      </c>
      <c r="F1941">
        <v>0</v>
      </c>
    </row>
    <row r="1942" spans="1:6" x14ac:dyDescent="0.25">
      <c r="B1942" t="s">
        <v>2227</v>
      </c>
    </row>
    <row r="1943" spans="1:6" x14ac:dyDescent="0.25">
      <c r="A1943" t="s">
        <v>2</v>
      </c>
      <c r="B1943" t="s">
        <v>2228</v>
      </c>
      <c r="C1943">
        <v>71901</v>
      </c>
      <c r="D1943">
        <v>321283</v>
      </c>
      <c r="F1943">
        <v>321283</v>
      </c>
    </row>
    <row r="1944" spans="1:6" x14ac:dyDescent="0.25">
      <c r="A1944" t="s">
        <v>15</v>
      </c>
      <c r="B1944" t="s">
        <v>2229</v>
      </c>
      <c r="C1944">
        <v>71902</v>
      </c>
      <c r="D1944">
        <v>0</v>
      </c>
      <c r="F1944">
        <v>0</v>
      </c>
    </row>
    <row r="1945" spans="1:6" x14ac:dyDescent="0.25">
      <c r="A1945" t="s">
        <v>16</v>
      </c>
      <c r="B1945" t="s">
        <v>2230</v>
      </c>
      <c r="C1945">
        <v>71903</v>
      </c>
      <c r="D1945">
        <v>0</v>
      </c>
      <c r="F1945">
        <v>0</v>
      </c>
    </row>
    <row r="1946" spans="1:6" x14ac:dyDescent="0.25">
      <c r="A1946" t="s">
        <v>25</v>
      </c>
      <c r="B1946" t="s">
        <v>2231</v>
      </c>
      <c r="C1946">
        <v>71904</v>
      </c>
      <c r="D1946">
        <v>0</v>
      </c>
      <c r="F1946">
        <v>0</v>
      </c>
    </row>
    <row r="1947" spans="1:6" x14ac:dyDescent="0.25">
      <c r="A1947" t="s">
        <v>26</v>
      </c>
      <c r="B1947" t="s">
        <v>2232</v>
      </c>
      <c r="C1947">
        <v>71905</v>
      </c>
      <c r="D1947">
        <v>0</v>
      </c>
      <c r="F1947">
        <v>0</v>
      </c>
    </row>
    <row r="1948" spans="1:6" x14ac:dyDescent="0.25">
      <c r="A1948" t="s">
        <v>27</v>
      </c>
      <c r="B1948" t="s">
        <v>2233</v>
      </c>
      <c r="C1948">
        <v>71906</v>
      </c>
      <c r="D1948">
        <v>0</v>
      </c>
      <c r="F1948">
        <v>0</v>
      </c>
    </row>
    <row r="1949" spans="1:6" x14ac:dyDescent="0.25">
      <c r="B1949" t="s">
        <v>2234</v>
      </c>
      <c r="D1949">
        <v>321283</v>
      </c>
      <c r="F1949">
        <v>321283</v>
      </c>
    </row>
    <row r="1950" spans="1:6" x14ac:dyDescent="0.25">
      <c r="B1950" t="s">
        <v>1653</v>
      </c>
      <c r="D1950">
        <v>66964706</v>
      </c>
      <c r="F1950">
        <v>66964706</v>
      </c>
    </row>
    <row r="1951" spans="1:6" x14ac:dyDescent="0.25">
      <c r="B1951" t="s">
        <v>2235</v>
      </c>
    </row>
    <row r="1952" spans="1:6" x14ac:dyDescent="0.25">
      <c r="B1952" t="s">
        <v>2236</v>
      </c>
    </row>
    <row r="1953" spans="1:6" x14ac:dyDescent="0.25">
      <c r="A1953" t="s">
        <v>2</v>
      </c>
      <c r="B1953" t="s">
        <v>1637</v>
      </c>
      <c r="C1953">
        <v>72101</v>
      </c>
      <c r="D1953">
        <v>0</v>
      </c>
      <c r="F1953">
        <v>0</v>
      </c>
    </row>
    <row r="1954" spans="1:6" x14ac:dyDescent="0.25">
      <c r="A1954" t="s">
        <v>15</v>
      </c>
      <c r="B1954" t="s">
        <v>1638</v>
      </c>
      <c r="C1954">
        <v>72102</v>
      </c>
      <c r="D1954">
        <v>36321085</v>
      </c>
      <c r="F1954">
        <v>36321085</v>
      </c>
    </row>
    <row r="1955" spans="1:6" x14ac:dyDescent="0.25">
      <c r="A1955" t="s">
        <v>16</v>
      </c>
      <c r="B1955" t="s">
        <v>1640</v>
      </c>
      <c r="C1955">
        <v>72103</v>
      </c>
      <c r="D1955">
        <v>709390</v>
      </c>
      <c r="F1955">
        <v>709390</v>
      </c>
    </row>
    <row r="1956" spans="1:6" x14ac:dyDescent="0.25">
      <c r="A1956" t="s">
        <v>25</v>
      </c>
      <c r="B1956" t="s">
        <v>1641</v>
      </c>
      <c r="C1956">
        <v>72104</v>
      </c>
      <c r="D1956">
        <v>0</v>
      </c>
      <c r="F1956">
        <v>0</v>
      </c>
    </row>
    <row r="1957" spans="1:6" x14ac:dyDescent="0.25">
      <c r="B1957" t="s">
        <v>2237</v>
      </c>
      <c r="D1957">
        <v>37030475</v>
      </c>
      <c r="F1957">
        <v>37030475</v>
      </c>
    </row>
    <row r="1958" spans="1:6" x14ac:dyDescent="0.25">
      <c r="B1958" t="s">
        <v>2238</v>
      </c>
    </row>
    <row r="1959" spans="1:6" x14ac:dyDescent="0.25">
      <c r="A1959" t="s">
        <v>2</v>
      </c>
      <c r="B1959" t="s">
        <v>1637</v>
      </c>
      <c r="C1959">
        <v>72201</v>
      </c>
      <c r="D1959">
        <v>0</v>
      </c>
      <c r="F1959">
        <v>0</v>
      </c>
    </row>
    <row r="1960" spans="1:6" x14ac:dyDescent="0.25">
      <c r="A1960" t="s">
        <v>15</v>
      </c>
      <c r="B1960" t="s">
        <v>1638</v>
      </c>
      <c r="C1960">
        <v>72202</v>
      </c>
      <c r="D1960">
        <v>15591231</v>
      </c>
      <c r="F1960">
        <v>15591231</v>
      </c>
    </row>
    <row r="1961" spans="1:6" x14ac:dyDescent="0.25">
      <c r="A1961" t="s">
        <v>16</v>
      </c>
      <c r="B1961" t="s">
        <v>1640</v>
      </c>
      <c r="C1961">
        <v>72203</v>
      </c>
      <c r="D1961">
        <v>101654</v>
      </c>
      <c r="F1961">
        <v>101654</v>
      </c>
    </row>
    <row r="1962" spans="1:6" x14ac:dyDescent="0.25">
      <c r="A1962" t="s">
        <v>25</v>
      </c>
      <c r="B1962" t="s">
        <v>1641</v>
      </c>
      <c r="C1962">
        <v>72204</v>
      </c>
      <c r="D1962">
        <v>0</v>
      </c>
      <c r="F1962">
        <v>0</v>
      </c>
    </row>
    <row r="1963" spans="1:6" x14ac:dyDescent="0.25">
      <c r="A1963" t="s">
        <v>26</v>
      </c>
      <c r="B1963" t="s">
        <v>2239</v>
      </c>
      <c r="C1963">
        <v>72200</v>
      </c>
      <c r="D1963">
        <v>15692885</v>
      </c>
      <c r="F1963">
        <v>15692885</v>
      </c>
    </row>
    <row r="1964" spans="1:6" x14ac:dyDescent="0.25">
      <c r="B1964" t="s">
        <v>2240</v>
      </c>
    </row>
    <row r="1965" spans="1:6" x14ac:dyDescent="0.25">
      <c r="A1965" t="s">
        <v>2</v>
      </c>
      <c r="B1965" t="s">
        <v>1634</v>
      </c>
      <c r="C1965">
        <v>72301</v>
      </c>
      <c r="D1965">
        <v>4548233</v>
      </c>
      <c r="F1965">
        <v>4548233</v>
      </c>
    </row>
    <row r="1966" spans="1:6" x14ac:dyDescent="0.25">
      <c r="A1966" t="s">
        <v>15</v>
      </c>
      <c r="B1966" t="s">
        <v>1635</v>
      </c>
      <c r="C1966">
        <v>72302</v>
      </c>
      <c r="D1966">
        <v>243393</v>
      </c>
      <c r="F1966">
        <v>243393</v>
      </c>
    </row>
    <row r="1967" spans="1:6" x14ac:dyDescent="0.25">
      <c r="A1967" t="s">
        <v>16</v>
      </c>
      <c r="B1967" t="s">
        <v>1636</v>
      </c>
      <c r="C1967">
        <v>72303</v>
      </c>
      <c r="D1967">
        <v>448</v>
      </c>
      <c r="F1967">
        <v>448</v>
      </c>
    </row>
    <row r="1968" spans="1:6" x14ac:dyDescent="0.25">
      <c r="A1968" t="s">
        <v>25</v>
      </c>
      <c r="B1968" t="s">
        <v>1637</v>
      </c>
      <c r="C1968">
        <v>72304</v>
      </c>
      <c r="D1968">
        <v>284962</v>
      </c>
      <c r="F1968">
        <v>284962</v>
      </c>
    </row>
    <row r="1969" spans="1:6" x14ac:dyDescent="0.25">
      <c r="A1969" t="s">
        <v>26</v>
      </c>
      <c r="B1969" t="s">
        <v>1638</v>
      </c>
      <c r="C1969">
        <v>72305</v>
      </c>
      <c r="D1969">
        <v>2360877</v>
      </c>
      <c r="F1969">
        <v>2360877</v>
      </c>
    </row>
    <row r="1970" spans="1:6" x14ac:dyDescent="0.25">
      <c r="A1970" t="s">
        <v>27</v>
      </c>
      <c r="B1970" t="s">
        <v>1639</v>
      </c>
      <c r="C1970">
        <v>72306</v>
      </c>
      <c r="D1970">
        <v>0</v>
      </c>
      <c r="F1970">
        <v>0</v>
      </c>
    </row>
    <row r="1971" spans="1:6" x14ac:dyDescent="0.25">
      <c r="A1971" t="s">
        <v>531</v>
      </c>
      <c r="B1971" t="s">
        <v>1640</v>
      </c>
      <c r="C1971">
        <v>72307</v>
      </c>
      <c r="D1971">
        <v>0</v>
      </c>
      <c r="F1971">
        <v>0</v>
      </c>
    </row>
    <row r="1972" spans="1:6" x14ac:dyDescent="0.25">
      <c r="A1972" t="s">
        <v>1583</v>
      </c>
      <c r="B1972" t="s">
        <v>1641</v>
      </c>
      <c r="C1972">
        <v>72308</v>
      </c>
      <c r="D1972">
        <v>7158835</v>
      </c>
      <c r="F1972">
        <v>7158835</v>
      </c>
    </row>
    <row r="1973" spans="1:6" x14ac:dyDescent="0.25">
      <c r="B1973" t="s">
        <v>2241</v>
      </c>
      <c r="D1973">
        <v>14596748</v>
      </c>
      <c r="F1973">
        <v>14596748</v>
      </c>
    </row>
    <row r="1974" spans="1:6" x14ac:dyDescent="0.25">
      <c r="B1974" t="s">
        <v>2242</v>
      </c>
    </row>
    <row r="1975" spans="1:6" x14ac:dyDescent="0.25">
      <c r="A1975" t="s">
        <v>2</v>
      </c>
      <c r="B1975" t="s">
        <v>1634</v>
      </c>
      <c r="C1975">
        <v>72401</v>
      </c>
      <c r="D1975">
        <v>503352</v>
      </c>
      <c r="F1975">
        <v>503352</v>
      </c>
    </row>
    <row r="1976" spans="1:6" x14ac:dyDescent="0.25">
      <c r="A1976" t="s">
        <v>15</v>
      </c>
      <c r="B1976" t="s">
        <v>1635</v>
      </c>
      <c r="C1976">
        <v>72402</v>
      </c>
      <c r="D1976">
        <v>25182</v>
      </c>
      <c r="F1976">
        <v>25182</v>
      </c>
    </row>
    <row r="1977" spans="1:6" x14ac:dyDescent="0.25">
      <c r="A1977" t="s">
        <v>16</v>
      </c>
      <c r="B1977" t="s">
        <v>1636</v>
      </c>
      <c r="C1977">
        <v>72403</v>
      </c>
      <c r="D1977">
        <v>131</v>
      </c>
      <c r="F1977">
        <v>131</v>
      </c>
    </row>
    <row r="1978" spans="1:6" x14ac:dyDescent="0.25">
      <c r="A1978" t="s">
        <v>25</v>
      </c>
      <c r="B1978" t="s">
        <v>1637</v>
      </c>
      <c r="C1978">
        <v>72404</v>
      </c>
      <c r="D1978">
        <v>7378</v>
      </c>
      <c r="F1978">
        <v>7378</v>
      </c>
    </row>
    <row r="1979" spans="1:6" x14ac:dyDescent="0.25">
      <c r="A1979" t="s">
        <v>26</v>
      </c>
      <c r="B1979" t="s">
        <v>1638</v>
      </c>
      <c r="C1979">
        <v>72405</v>
      </c>
      <c r="D1979">
        <v>41686</v>
      </c>
      <c r="F1979">
        <v>41686</v>
      </c>
    </row>
    <row r="1980" spans="1:6" x14ac:dyDescent="0.25">
      <c r="A1980" t="s">
        <v>27</v>
      </c>
      <c r="B1980" t="s">
        <v>1639</v>
      </c>
      <c r="C1980">
        <v>72406</v>
      </c>
      <c r="D1980">
        <v>0</v>
      </c>
      <c r="F1980">
        <v>0</v>
      </c>
    </row>
    <row r="1981" spans="1:6" x14ac:dyDescent="0.25">
      <c r="A1981" t="s">
        <v>531</v>
      </c>
      <c r="B1981" t="s">
        <v>1640</v>
      </c>
      <c r="C1981">
        <v>72407</v>
      </c>
      <c r="D1981">
        <v>0</v>
      </c>
      <c r="F1981">
        <v>0</v>
      </c>
    </row>
    <row r="1982" spans="1:6" x14ac:dyDescent="0.25">
      <c r="A1982" t="s">
        <v>1583</v>
      </c>
      <c r="B1982" t="s">
        <v>1641</v>
      </c>
      <c r="C1982">
        <v>72408</v>
      </c>
      <c r="D1982">
        <v>73115</v>
      </c>
      <c r="F1982">
        <v>73115</v>
      </c>
    </row>
    <row r="1983" spans="1:6" x14ac:dyDescent="0.25">
      <c r="B1983" t="s">
        <v>2243</v>
      </c>
      <c r="D1983">
        <v>650844</v>
      </c>
      <c r="F1983">
        <v>650844</v>
      </c>
    </row>
    <row r="1984" spans="1:6" x14ac:dyDescent="0.25">
      <c r="B1984" t="s">
        <v>2244</v>
      </c>
    </row>
    <row r="1985" spans="1:6" x14ac:dyDescent="0.25">
      <c r="A1985" t="s">
        <v>2</v>
      </c>
      <c r="B1985" t="s">
        <v>2245</v>
      </c>
      <c r="C1985">
        <v>72501</v>
      </c>
      <c r="D1985">
        <v>222</v>
      </c>
      <c r="F1985">
        <v>222</v>
      </c>
    </row>
    <row r="1986" spans="1:6" x14ac:dyDescent="0.25">
      <c r="A1986" t="s">
        <v>15</v>
      </c>
      <c r="B1986" t="s">
        <v>2246</v>
      </c>
      <c r="C1986">
        <v>72502</v>
      </c>
      <c r="D1986">
        <v>0</v>
      </c>
      <c r="F1986">
        <v>0</v>
      </c>
    </row>
    <row r="1987" spans="1:6" x14ac:dyDescent="0.25">
      <c r="B1987" t="s">
        <v>2247</v>
      </c>
      <c r="D1987">
        <v>222</v>
      </c>
      <c r="F1987">
        <v>222</v>
      </c>
    </row>
    <row r="1988" spans="1:6" x14ac:dyDescent="0.25">
      <c r="B1988" t="s">
        <v>2248</v>
      </c>
    </row>
    <row r="1989" spans="1:6" x14ac:dyDescent="0.25">
      <c r="A1989" t="s">
        <v>2</v>
      </c>
      <c r="B1989" t="s">
        <v>2249</v>
      </c>
      <c r="C1989">
        <v>72601</v>
      </c>
      <c r="D1989">
        <v>0</v>
      </c>
      <c r="F1989">
        <v>0</v>
      </c>
    </row>
    <row r="1990" spans="1:6" x14ac:dyDescent="0.25">
      <c r="A1990" t="s">
        <v>15</v>
      </c>
      <c r="B1990" t="s">
        <v>2250</v>
      </c>
      <c r="C1990">
        <v>72602</v>
      </c>
      <c r="D1990">
        <v>0</v>
      </c>
      <c r="F1990">
        <v>0</v>
      </c>
    </row>
    <row r="1991" spans="1:6" x14ac:dyDescent="0.25">
      <c r="A1991" t="s">
        <v>16</v>
      </c>
      <c r="B1991" t="s">
        <v>2251</v>
      </c>
      <c r="C1991">
        <v>72603</v>
      </c>
      <c r="D1991">
        <v>0</v>
      </c>
      <c r="F1991">
        <v>0</v>
      </c>
    </row>
    <row r="1992" spans="1:6" x14ac:dyDescent="0.25">
      <c r="A1992" t="s">
        <v>25</v>
      </c>
      <c r="B1992" t="s">
        <v>2252</v>
      </c>
      <c r="C1992">
        <v>72604</v>
      </c>
      <c r="D1992">
        <v>0</v>
      </c>
      <c r="F1992">
        <v>0</v>
      </c>
    </row>
    <row r="1993" spans="1:6" x14ac:dyDescent="0.25">
      <c r="B1993" t="s">
        <v>2253</v>
      </c>
      <c r="D1993">
        <v>0</v>
      </c>
      <c r="F1993">
        <v>0</v>
      </c>
    </row>
    <row r="1994" spans="1:6" x14ac:dyDescent="0.25">
      <c r="B1994" t="s">
        <v>2254</v>
      </c>
    </row>
    <row r="1995" spans="1:6" x14ac:dyDescent="0.25">
      <c r="A1995" t="s">
        <v>2</v>
      </c>
      <c r="B1995" t="s">
        <v>2220</v>
      </c>
      <c r="C1995">
        <v>72701</v>
      </c>
      <c r="D1995">
        <v>0</v>
      </c>
      <c r="F1995">
        <v>0</v>
      </c>
    </row>
    <row r="1996" spans="1:6" x14ac:dyDescent="0.25">
      <c r="A1996" t="s">
        <v>15</v>
      </c>
      <c r="B1996" t="s">
        <v>2221</v>
      </c>
      <c r="C1996">
        <v>72702</v>
      </c>
      <c r="D1996">
        <v>0</v>
      </c>
      <c r="F1996">
        <v>0</v>
      </c>
    </row>
    <row r="1997" spans="1:6" x14ac:dyDescent="0.25">
      <c r="B1997" t="s">
        <v>2255</v>
      </c>
      <c r="D1997">
        <v>0</v>
      </c>
      <c r="F1997">
        <v>0</v>
      </c>
    </row>
    <row r="1998" spans="1:6" x14ac:dyDescent="0.25">
      <c r="B1998" t="s">
        <v>2256</v>
      </c>
    </row>
    <row r="1999" spans="1:6" x14ac:dyDescent="0.25">
      <c r="A1999" t="s">
        <v>2</v>
      </c>
      <c r="B1999" t="s">
        <v>2224</v>
      </c>
      <c r="C1999">
        <v>72801</v>
      </c>
      <c r="D1999">
        <v>0</v>
      </c>
      <c r="F1999">
        <v>0</v>
      </c>
    </row>
    <row r="2000" spans="1:6" x14ac:dyDescent="0.25">
      <c r="A2000" t="s">
        <v>15</v>
      </c>
      <c r="B2000" t="s">
        <v>2225</v>
      </c>
      <c r="C2000">
        <v>72802</v>
      </c>
      <c r="D2000">
        <v>0</v>
      </c>
      <c r="F2000">
        <v>0</v>
      </c>
    </row>
    <row r="2001" spans="1:6" x14ac:dyDescent="0.25">
      <c r="B2001" t="s">
        <v>2257</v>
      </c>
      <c r="D2001">
        <v>0</v>
      </c>
      <c r="F2001">
        <v>0</v>
      </c>
    </row>
    <row r="2002" spans="1:6" x14ac:dyDescent="0.25">
      <c r="B2002" t="s">
        <v>2258</v>
      </c>
    </row>
    <row r="2003" spans="1:6" x14ac:dyDescent="0.25">
      <c r="A2003" t="s">
        <v>2</v>
      </c>
      <c r="B2003" t="s">
        <v>2228</v>
      </c>
      <c r="C2003">
        <v>72901</v>
      </c>
      <c r="D2003">
        <v>0</v>
      </c>
      <c r="F2003">
        <v>0</v>
      </c>
    </row>
    <row r="2004" spans="1:6" x14ac:dyDescent="0.25">
      <c r="A2004" t="s">
        <v>15</v>
      </c>
      <c r="B2004" t="s">
        <v>2229</v>
      </c>
      <c r="C2004">
        <v>72902</v>
      </c>
      <c r="D2004">
        <v>1231414</v>
      </c>
      <c r="F2004">
        <v>1231414</v>
      </c>
    </row>
    <row r="2005" spans="1:6" x14ac:dyDescent="0.25">
      <c r="A2005" t="s">
        <v>16</v>
      </c>
      <c r="B2005" t="s">
        <v>2230</v>
      </c>
      <c r="C2005">
        <v>72903</v>
      </c>
      <c r="D2005">
        <v>0</v>
      </c>
      <c r="F2005">
        <v>0</v>
      </c>
    </row>
    <row r="2006" spans="1:6" x14ac:dyDescent="0.25">
      <c r="A2006" t="s">
        <v>25</v>
      </c>
      <c r="B2006" t="s">
        <v>2231</v>
      </c>
      <c r="C2006">
        <v>72904</v>
      </c>
      <c r="D2006">
        <v>0</v>
      </c>
      <c r="F2006">
        <v>0</v>
      </c>
    </row>
    <row r="2007" spans="1:6" x14ac:dyDescent="0.25">
      <c r="A2007" t="s">
        <v>26</v>
      </c>
      <c r="B2007" t="s">
        <v>2232</v>
      </c>
      <c r="C2007">
        <v>72905</v>
      </c>
      <c r="D2007">
        <v>0</v>
      </c>
      <c r="F2007">
        <v>0</v>
      </c>
    </row>
    <row r="2008" spans="1:6" x14ac:dyDescent="0.25">
      <c r="A2008" t="s">
        <v>27</v>
      </c>
      <c r="B2008" t="s">
        <v>2233</v>
      </c>
      <c r="C2008">
        <v>72906</v>
      </c>
      <c r="D2008">
        <v>0</v>
      </c>
      <c r="F2008">
        <v>0</v>
      </c>
    </row>
    <row r="2009" spans="1:6" x14ac:dyDescent="0.25">
      <c r="B2009" t="s">
        <v>2259</v>
      </c>
      <c r="D2009">
        <v>1231414</v>
      </c>
      <c r="F2009">
        <v>1231414</v>
      </c>
    </row>
    <row r="2010" spans="1:6" x14ac:dyDescent="0.25">
      <c r="B2010" t="s">
        <v>1660</v>
      </c>
      <c r="D2010">
        <v>69202588</v>
      </c>
      <c r="F2010">
        <v>69202588</v>
      </c>
    </row>
    <row r="2011" spans="1:6" x14ac:dyDescent="0.25">
      <c r="B2011" t="s">
        <v>2260</v>
      </c>
    </row>
    <row r="2012" spans="1:6" x14ac:dyDescent="0.25">
      <c r="B2012" t="s">
        <v>2261</v>
      </c>
    </row>
    <row r="2013" spans="1:6" x14ac:dyDescent="0.25">
      <c r="B2013" t="s">
        <v>2262</v>
      </c>
    </row>
    <row r="2014" spans="1:6" x14ac:dyDescent="0.25">
      <c r="A2014" t="s">
        <v>2</v>
      </c>
      <c r="B2014" t="s">
        <v>2263</v>
      </c>
      <c r="C2014">
        <v>81101</v>
      </c>
      <c r="F2014">
        <v>0</v>
      </c>
    </row>
    <row r="2015" spans="1:6" x14ac:dyDescent="0.25">
      <c r="A2015" t="s">
        <v>15</v>
      </c>
      <c r="B2015" t="s">
        <v>2264</v>
      </c>
      <c r="C2015">
        <v>81102</v>
      </c>
      <c r="F2015">
        <v>2237882</v>
      </c>
    </row>
    <row r="2016" spans="1:6" x14ac:dyDescent="0.25">
      <c r="B2016" t="s">
        <v>2265</v>
      </c>
    </row>
    <row r="2017" spans="1:6" x14ac:dyDescent="0.25">
      <c r="A2017" t="s">
        <v>2</v>
      </c>
      <c r="B2017" t="s">
        <v>2266</v>
      </c>
      <c r="C2017">
        <v>81201</v>
      </c>
      <c r="F2017">
        <v>469506</v>
      </c>
    </row>
    <row r="2018" spans="1:6" x14ac:dyDescent="0.25">
      <c r="A2018" t="s">
        <v>15</v>
      </c>
      <c r="B2018" t="s">
        <v>2267</v>
      </c>
      <c r="C2018">
        <v>81202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C0B01-1106-4BDE-9DB1-D68E7A98ABBD}">
  <dimension ref="A1:F2018"/>
  <sheetViews>
    <sheetView workbookViewId="0"/>
  </sheetViews>
  <sheetFormatPr defaultRowHeight="15" x14ac:dyDescent="0.25"/>
  <cols>
    <col min="1" max="1" width="13.140625" bestFit="1" customWidth="1"/>
    <col min="2" max="2" width="81.140625" bestFit="1" customWidth="1"/>
    <col min="3" max="3" width="12" bestFit="1" customWidth="1"/>
    <col min="4" max="4" width="10" bestFit="1" customWidth="1"/>
    <col min="5" max="5" width="13" bestFit="1" customWidth="1"/>
    <col min="6" max="6" width="10" bestFit="1" customWidth="1"/>
  </cols>
  <sheetData>
    <row r="1" spans="1:6" x14ac:dyDescent="0.25">
      <c r="A1" t="s">
        <v>1568</v>
      </c>
      <c r="B1" t="s">
        <v>1569</v>
      </c>
      <c r="C1" t="s">
        <v>1570</v>
      </c>
      <c r="D1" t="s">
        <v>1006</v>
      </c>
      <c r="E1" t="s">
        <v>2600</v>
      </c>
      <c r="F1" t="s">
        <v>2601</v>
      </c>
    </row>
    <row r="2" spans="1:6" x14ac:dyDescent="0.25">
      <c r="B2" t="s">
        <v>1573</v>
      </c>
    </row>
    <row r="3" spans="1:6" x14ac:dyDescent="0.25">
      <c r="B3" t="s">
        <v>1574</v>
      </c>
    </row>
    <row r="4" spans="1:6" x14ac:dyDescent="0.25">
      <c r="B4" t="s">
        <v>1575</v>
      </c>
    </row>
    <row r="5" spans="1:6" x14ac:dyDescent="0.25">
      <c r="A5" t="s">
        <v>2</v>
      </c>
      <c r="B5" t="s">
        <v>1576</v>
      </c>
      <c r="C5">
        <v>11101</v>
      </c>
      <c r="D5">
        <v>0</v>
      </c>
      <c r="E5">
        <v>0</v>
      </c>
      <c r="F5">
        <v>0</v>
      </c>
    </row>
    <row r="6" spans="1:6" x14ac:dyDescent="0.25">
      <c r="A6" t="s">
        <v>15</v>
      </c>
      <c r="B6" t="s">
        <v>1577</v>
      </c>
      <c r="C6">
        <v>11102</v>
      </c>
      <c r="D6">
        <v>0</v>
      </c>
      <c r="E6">
        <v>0</v>
      </c>
      <c r="F6">
        <v>0</v>
      </c>
    </row>
    <row r="7" spans="1:6" x14ac:dyDescent="0.25">
      <c r="A7" t="s">
        <v>16</v>
      </c>
      <c r="B7" t="s">
        <v>1578</v>
      </c>
      <c r="C7">
        <v>11103</v>
      </c>
      <c r="D7">
        <v>0</v>
      </c>
      <c r="E7">
        <v>0</v>
      </c>
      <c r="F7">
        <v>0</v>
      </c>
    </row>
    <row r="8" spans="1:6" x14ac:dyDescent="0.25">
      <c r="A8" t="s">
        <v>25</v>
      </c>
      <c r="B8" t="s">
        <v>1579</v>
      </c>
      <c r="C8">
        <v>11104</v>
      </c>
      <c r="D8">
        <v>0</v>
      </c>
      <c r="E8">
        <v>0</v>
      </c>
      <c r="F8">
        <v>0</v>
      </c>
    </row>
    <row r="9" spans="1:6" x14ac:dyDescent="0.25">
      <c r="A9" t="s">
        <v>26</v>
      </c>
      <c r="B9" t="s">
        <v>1580</v>
      </c>
      <c r="C9">
        <v>11105</v>
      </c>
      <c r="D9">
        <v>0</v>
      </c>
      <c r="E9">
        <v>0</v>
      </c>
      <c r="F9">
        <v>0</v>
      </c>
    </row>
    <row r="10" spans="1:6" x14ac:dyDescent="0.25">
      <c r="A10" t="s">
        <v>27</v>
      </c>
      <c r="B10" t="s">
        <v>1581</v>
      </c>
      <c r="C10">
        <v>11106</v>
      </c>
      <c r="D10">
        <v>0</v>
      </c>
      <c r="E10">
        <v>0</v>
      </c>
      <c r="F10">
        <v>0</v>
      </c>
    </row>
    <row r="11" spans="1:6" x14ac:dyDescent="0.25">
      <c r="A11" t="s">
        <v>531</v>
      </c>
      <c r="B11" t="s">
        <v>1582</v>
      </c>
      <c r="C11">
        <v>11107</v>
      </c>
      <c r="D11">
        <v>48</v>
      </c>
      <c r="E11">
        <v>0</v>
      </c>
      <c r="F11">
        <v>48</v>
      </c>
    </row>
    <row r="12" spans="1:6" x14ac:dyDescent="0.25">
      <c r="A12" t="s">
        <v>1583</v>
      </c>
      <c r="B12" t="s">
        <v>1584</v>
      </c>
      <c r="C12">
        <v>11108</v>
      </c>
      <c r="D12">
        <v>68492</v>
      </c>
      <c r="E12">
        <v>0</v>
      </c>
      <c r="F12">
        <v>68492</v>
      </c>
    </row>
    <row r="13" spans="1:6" x14ac:dyDescent="0.25">
      <c r="A13" t="s">
        <v>1585</v>
      </c>
      <c r="B13" t="s">
        <v>1586</v>
      </c>
      <c r="C13">
        <v>11109</v>
      </c>
      <c r="D13">
        <v>4388</v>
      </c>
      <c r="E13">
        <v>0</v>
      </c>
      <c r="F13">
        <v>4388</v>
      </c>
    </row>
    <row r="14" spans="1:6" x14ac:dyDescent="0.25">
      <c r="A14" t="s">
        <v>1587</v>
      </c>
      <c r="B14" t="s">
        <v>1588</v>
      </c>
      <c r="C14">
        <v>11110</v>
      </c>
      <c r="D14">
        <v>900000</v>
      </c>
      <c r="E14">
        <v>0</v>
      </c>
      <c r="F14">
        <v>900000</v>
      </c>
    </row>
    <row r="15" spans="1:6" x14ac:dyDescent="0.25">
      <c r="A15" t="s">
        <v>1589</v>
      </c>
      <c r="B15" t="s">
        <v>1590</v>
      </c>
      <c r="C15">
        <v>11111</v>
      </c>
      <c r="D15">
        <v>1035271</v>
      </c>
      <c r="E15">
        <v>34675</v>
      </c>
      <c r="F15">
        <v>1069946</v>
      </c>
    </row>
    <row r="16" spans="1:6" x14ac:dyDescent="0.25">
      <c r="A16" t="s">
        <v>1591</v>
      </c>
      <c r="B16" t="s">
        <v>1592</v>
      </c>
      <c r="C16">
        <v>11112</v>
      </c>
      <c r="D16">
        <v>12067177</v>
      </c>
      <c r="E16">
        <v>45307</v>
      </c>
      <c r="F16">
        <v>12112484</v>
      </c>
    </row>
    <row r="17" spans="1:6" x14ac:dyDescent="0.25">
      <c r="A17" t="s">
        <v>1593</v>
      </c>
      <c r="B17" t="s">
        <v>1594</v>
      </c>
      <c r="C17">
        <v>11113</v>
      </c>
      <c r="D17">
        <v>753</v>
      </c>
      <c r="E17">
        <v>0</v>
      </c>
      <c r="F17">
        <v>753</v>
      </c>
    </row>
    <row r="18" spans="1:6" x14ac:dyDescent="0.25">
      <c r="A18" t="s">
        <v>1595</v>
      </c>
      <c r="B18" t="s">
        <v>1596</v>
      </c>
      <c r="C18">
        <v>11114</v>
      </c>
      <c r="D18">
        <v>428132</v>
      </c>
      <c r="E18">
        <v>0</v>
      </c>
      <c r="F18">
        <v>428132</v>
      </c>
    </row>
    <row r="19" spans="1:6" x14ac:dyDescent="0.25">
      <c r="A19" t="s">
        <v>1597</v>
      </c>
      <c r="B19" t="s">
        <v>1598</v>
      </c>
      <c r="C19">
        <v>11115</v>
      </c>
      <c r="D19">
        <v>8088831</v>
      </c>
      <c r="E19">
        <v>2847</v>
      </c>
      <c r="F19">
        <v>8091678</v>
      </c>
    </row>
    <row r="20" spans="1:6" x14ac:dyDescent="0.25">
      <c r="A20" t="s">
        <v>1599</v>
      </c>
      <c r="B20" t="s">
        <v>1600</v>
      </c>
      <c r="C20">
        <v>11116</v>
      </c>
      <c r="D20">
        <v>0</v>
      </c>
      <c r="E20">
        <v>0</v>
      </c>
      <c r="F20">
        <v>0</v>
      </c>
    </row>
    <row r="21" spans="1:6" x14ac:dyDescent="0.25">
      <c r="A21" t="s">
        <v>1601</v>
      </c>
      <c r="B21" t="s">
        <v>1602</v>
      </c>
      <c r="C21">
        <v>11117</v>
      </c>
      <c r="D21">
        <v>32</v>
      </c>
      <c r="E21">
        <v>34</v>
      </c>
      <c r="F21">
        <v>66</v>
      </c>
    </row>
    <row r="22" spans="1:6" x14ac:dyDescent="0.25">
      <c r="A22" t="s">
        <v>1603</v>
      </c>
      <c r="B22" t="s">
        <v>1604</v>
      </c>
      <c r="C22">
        <v>11118</v>
      </c>
      <c r="D22">
        <v>566342</v>
      </c>
      <c r="E22">
        <v>0</v>
      </c>
      <c r="F22">
        <v>566342</v>
      </c>
    </row>
    <row r="23" spans="1:6" x14ac:dyDescent="0.25">
      <c r="A23" t="s">
        <v>1605</v>
      </c>
      <c r="B23" t="s">
        <v>1606</v>
      </c>
      <c r="C23">
        <v>11119</v>
      </c>
      <c r="D23">
        <v>0</v>
      </c>
      <c r="E23">
        <v>0</v>
      </c>
      <c r="F23">
        <v>0</v>
      </c>
    </row>
    <row r="24" spans="1:6" x14ac:dyDescent="0.25">
      <c r="A24" t="s">
        <v>1607</v>
      </c>
      <c r="B24" t="s">
        <v>1608</v>
      </c>
      <c r="C24">
        <v>11120</v>
      </c>
      <c r="D24">
        <v>0</v>
      </c>
      <c r="E24">
        <v>0</v>
      </c>
      <c r="F24">
        <v>0</v>
      </c>
    </row>
    <row r="25" spans="1:6" x14ac:dyDescent="0.25">
      <c r="B25" t="s">
        <v>1609</v>
      </c>
      <c r="D25">
        <v>23159466</v>
      </c>
      <c r="E25">
        <v>82863</v>
      </c>
      <c r="F25">
        <v>23242329</v>
      </c>
    </row>
    <row r="26" spans="1:6" x14ac:dyDescent="0.25">
      <c r="B26" t="s">
        <v>1610</v>
      </c>
    </row>
    <row r="27" spans="1:6" x14ac:dyDescent="0.25">
      <c r="A27" t="s">
        <v>2</v>
      </c>
      <c r="B27" t="s">
        <v>1611</v>
      </c>
      <c r="C27">
        <v>11201</v>
      </c>
      <c r="D27">
        <v>0</v>
      </c>
      <c r="E27">
        <v>0</v>
      </c>
      <c r="F27">
        <v>0</v>
      </c>
    </row>
    <row r="28" spans="1:6" x14ac:dyDescent="0.25">
      <c r="A28" t="s">
        <v>15</v>
      </c>
      <c r="B28" t="s">
        <v>1612</v>
      </c>
      <c r="C28">
        <v>11202</v>
      </c>
      <c r="D28">
        <v>0</v>
      </c>
      <c r="E28">
        <v>0</v>
      </c>
      <c r="F28">
        <v>0</v>
      </c>
    </row>
    <row r="29" spans="1:6" x14ac:dyDescent="0.25">
      <c r="A29" t="s">
        <v>16</v>
      </c>
      <c r="B29" t="s">
        <v>1613</v>
      </c>
      <c r="C29">
        <v>11203</v>
      </c>
      <c r="D29">
        <v>0</v>
      </c>
      <c r="E29">
        <v>0</v>
      </c>
      <c r="F29">
        <v>0</v>
      </c>
    </row>
    <row r="30" spans="1:6" x14ac:dyDescent="0.25">
      <c r="A30" t="s">
        <v>25</v>
      </c>
      <c r="B30" t="s">
        <v>1614</v>
      </c>
      <c r="C30">
        <v>11204</v>
      </c>
      <c r="D30">
        <v>0</v>
      </c>
      <c r="E30">
        <v>0</v>
      </c>
      <c r="F30">
        <v>0</v>
      </c>
    </row>
    <row r="31" spans="1:6" x14ac:dyDescent="0.25">
      <c r="A31" t="s">
        <v>26</v>
      </c>
      <c r="B31" t="s">
        <v>1615</v>
      </c>
      <c r="C31">
        <v>11205</v>
      </c>
      <c r="D31">
        <v>0</v>
      </c>
      <c r="E31">
        <v>0</v>
      </c>
      <c r="F31">
        <v>0</v>
      </c>
    </row>
    <row r="32" spans="1:6" x14ac:dyDescent="0.25">
      <c r="A32" t="s">
        <v>27</v>
      </c>
      <c r="B32" t="s">
        <v>1616</v>
      </c>
      <c r="C32">
        <v>11206</v>
      </c>
      <c r="D32">
        <v>0</v>
      </c>
      <c r="E32">
        <v>0</v>
      </c>
      <c r="F32">
        <v>0</v>
      </c>
    </row>
    <row r="33" spans="1:6" x14ac:dyDescent="0.25">
      <c r="A33" t="s">
        <v>531</v>
      </c>
      <c r="B33" t="s">
        <v>1617</v>
      </c>
      <c r="C33">
        <v>11207</v>
      </c>
      <c r="D33">
        <v>0</v>
      </c>
      <c r="E33">
        <v>0</v>
      </c>
      <c r="F33">
        <v>0</v>
      </c>
    </row>
    <row r="34" spans="1:6" x14ac:dyDescent="0.25">
      <c r="A34" t="s">
        <v>1583</v>
      </c>
      <c r="B34" t="s">
        <v>1618</v>
      </c>
      <c r="C34">
        <v>11208</v>
      </c>
      <c r="D34">
        <v>0</v>
      </c>
      <c r="E34">
        <v>0</v>
      </c>
      <c r="F34">
        <v>0</v>
      </c>
    </row>
    <row r="35" spans="1:6" x14ac:dyDescent="0.25">
      <c r="A35" t="s">
        <v>1585</v>
      </c>
      <c r="B35" t="s">
        <v>1619</v>
      </c>
      <c r="C35">
        <v>11209</v>
      </c>
      <c r="D35">
        <v>0</v>
      </c>
      <c r="E35">
        <v>0</v>
      </c>
      <c r="F35">
        <v>0</v>
      </c>
    </row>
    <row r="36" spans="1:6" x14ac:dyDescent="0.25">
      <c r="A36" t="s">
        <v>1587</v>
      </c>
      <c r="B36" t="s">
        <v>1620</v>
      </c>
      <c r="C36">
        <v>11210</v>
      </c>
      <c r="D36">
        <v>0</v>
      </c>
      <c r="E36">
        <v>0</v>
      </c>
      <c r="F36">
        <v>0</v>
      </c>
    </row>
    <row r="37" spans="1:6" x14ac:dyDescent="0.25">
      <c r="A37" t="s">
        <v>1589</v>
      </c>
      <c r="B37" t="s">
        <v>1621</v>
      </c>
      <c r="C37">
        <v>11211</v>
      </c>
      <c r="D37">
        <v>17</v>
      </c>
      <c r="E37">
        <v>0</v>
      </c>
      <c r="F37">
        <v>17</v>
      </c>
    </row>
    <row r="38" spans="1:6" x14ac:dyDescent="0.25">
      <c r="A38" t="s">
        <v>1591</v>
      </c>
      <c r="B38" t="s">
        <v>1622</v>
      </c>
      <c r="C38">
        <v>11212</v>
      </c>
      <c r="D38">
        <v>121218</v>
      </c>
      <c r="E38">
        <v>0</v>
      </c>
      <c r="F38">
        <v>121218</v>
      </c>
    </row>
    <row r="39" spans="1:6" x14ac:dyDescent="0.25">
      <c r="A39" t="s">
        <v>1593</v>
      </c>
      <c r="B39" t="s">
        <v>1623</v>
      </c>
      <c r="C39">
        <v>11213</v>
      </c>
      <c r="D39">
        <v>0</v>
      </c>
      <c r="E39">
        <v>0</v>
      </c>
      <c r="F39">
        <v>0</v>
      </c>
    </row>
    <row r="40" spans="1:6" x14ac:dyDescent="0.25">
      <c r="A40" t="s">
        <v>1595</v>
      </c>
      <c r="B40" t="s">
        <v>1624</v>
      </c>
      <c r="C40">
        <v>11214</v>
      </c>
      <c r="D40">
        <v>13239</v>
      </c>
      <c r="E40">
        <v>45771</v>
      </c>
      <c r="F40">
        <v>59010</v>
      </c>
    </row>
    <row r="41" spans="1:6" x14ac:dyDescent="0.25">
      <c r="A41" t="s">
        <v>1597</v>
      </c>
      <c r="B41" t="s">
        <v>1625</v>
      </c>
      <c r="C41">
        <v>11215</v>
      </c>
      <c r="D41">
        <v>1137068</v>
      </c>
      <c r="E41">
        <v>1559</v>
      </c>
      <c r="F41">
        <v>1138627</v>
      </c>
    </row>
    <row r="42" spans="1:6" x14ac:dyDescent="0.25">
      <c r="A42" t="s">
        <v>1599</v>
      </c>
      <c r="B42" t="s">
        <v>1626</v>
      </c>
      <c r="C42">
        <v>11216</v>
      </c>
      <c r="D42">
        <v>0</v>
      </c>
      <c r="E42">
        <v>69203</v>
      </c>
      <c r="F42">
        <v>69203</v>
      </c>
    </row>
    <row r="43" spans="1:6" x14ac:dyDescent="0.25">
      <c r="A43" t="s">
        <v>1601</v>
      </c>
      <c r="B43" t="s">
        <v>1627</v>
      </c>
      <c r="C43">
        <v>11217</v>
      </c>
      <c r="D43">
        <v>0</v>
      </c>
      <c r="E43">
        <v>0</v>
      </c>
      <c r="F43">
        <v>0</v>
      </c>
    </row>
    <row r="44" spans="1:6" x14ac:dyDescent="0.25">
      <c r="A44" t="s">
        <v>1603</v>
      </c>
      <c r="B44" t="s">
        <v>1596</v>
      </c>
      <c r="C44">
        <v>11218</v>
      </c>
      <c r="D44">
        <v>0</v>
      </c>
      <c r="E44">
        <v>0</v>
      </c>
      <c r="F44">
        <v>0</v>
      </c>
    </row>
    <row r="45" spans="1:6" x14ac:dyDescent="0.25">
      <c r="A45" t="s">
        <v>1605</v>
      </c>
      <c r="B45" t="s">
        <v>1598</v>
      </c>
      <c r="C45">
        <v>11219</v>
      </c>
      <c r="D45">
        <v>0</v>
      </c>
      <c r="E45">
        <v>0</v>
      </c>
      <c r="F45">
        <v>0</v>
      </c>
    </row>
    <row r="46" spans="1:6" x14ac:dyDescent="0.25">
      <c r="A46" t="s">
        <v>1607</v>
      </c>
      <c r="B46" t="s">
        <v>1602</v>
      </c>
      <c r="C46">
        <v>11220</v>
      </c>
      <c r="D46">
        <v>0</v>
      </c>
      <c r="E46">
        <v>0</v>
      </c>
      <c r="F46">
        <v>0</v>
      </c>
    </row>
    <row r="47" spans="1:6" x14ac:dyDescent="0.25">
      <c r="B47" t="s">
        <v>1628</v>
      </c>
      <c r="D47">
        <v>1271542</v>
      </c>
      <c r="E47">
        <v>116533</v>
      </c>
      <c r="F47">
        <v>1388075</v>
      </c>
    </row>
    <row r="48" spans="1:6" x14ac:dyDescent="0.25">
      <c r="B48" t="s">
        <v>1629</v>
      </c>
    </row>
    <row r="49" spans="1:6" x14ac:dyDescent="0.25">
      <c r="A49" t="s">
        <v>2</v>
      </c>
      <c r="B49" t="s">
        <v>1627</v>
      </c>
      <c r="C49">
        <v>11301</v>
      </c>
      <c r="D49">
        <v>507630</v>
      </c>
      <c r="E49">
        <v>0</v>
      </c>
      <c r="F49">
        <v>507630</v>
      </c>
    </row>
    <row r="50" spans="1:6" x14ac:dyDescent="0.25">
      <c r="A50" t="s">
        <v>15</v>
      </c>
      <c r="B50" t="s">
        <v>1625</v>
      </c>
      <c r="C50">
        <v>11302</v>
      </c>
      <c r="D50">
        <v>121</v>
      </c>
      <c r="E50">
        <v>74</v>
      </c>
      <c r="F50">
        <v>195</v>
      </c>
    </row>
    <row r="51" spans="1:6" x14ac:dyDescent="0.25">
      <c r="A51" t="s">
        <v>16</v>
      </c>
      <c r="B51" t="s">
        <v>1626</v>
      </c>
      <c r="C51">
        <v>11303</v>
      </c>
      <c r="D51">
        <v>0</v>
      </c>
      <c r="E51">
        <v>2103</v>
      </c>
      <c r="F51">
        <v>2103</v>
      </c>
    </row>
    <row r="52" spans="1:6" x14ac:dyDescent="0.25">
      <c r="B52" t="s">
        <v>1630</v>
      </c>
      <c r="D52">
        <v>507751</v>
      </c>
      <c r="E52">
        <v>2177</v>
      </c>
      <c r="F52">
        <v>509928</v>
      </c>
    </row>
    <row r="53" spans="1:6" x14ac:dyDescent="0.25">
      <c r="B53" t="s">
        <v>1631</v>
      </c>
    </row>
    <row r="54" spans="1:6" x14ac:dyDescent="0.25">
      <c r="A54" t="s">
        <v>2</v>
      </c>
      <c r="B54" t="s">
        <v>1627</v>
      </c>
      <c r="C54">
        <v>11401</v>
      </c>
      <c r="D54">
        <v>0</v>
      </c>
      <c r="E54">
        <v>0</v>
      </c>
      <c r="F54">
        <v>0</v>
      </c>
    </row>
    <row r="55" spans="1:6" x14ac:dyDescent="0.25">
      <c r="A55" t="s">
        <v>15</v>
      </c>
      <c r="B55" t="s">
        <v>1625</v>
      </c>
      <c r="C55">
        <v>11402</v>
      </c>
      <c r="D55">
        <v>0</v>
      </c>
      <c r="E55">
        <v>0</v>
      </c>
      <c r="F55">
        <v>0</v>
      </c>
    </row>
    <row r="56" spans="1:6" x14ac:dyDescent="0.25">
      <c r="A56" t="s">
        <v>16</v>
      </c>
      <c r="B56" t="s">
        <v>1626</v>
      </c>
      <c r="C56">
        <v>11403</v>
      </c>
      <c r="D56">
        <v>0</v>
      </c>
      <c r="E56">
        <v>7</v>
      </c>
      <c r="F56">
        <v>7</v>
      </c>
    </row>
    <row r="57" spans="1:6" x14ac:dyDescent="0.25">
      <c r="B57" t="s">
        <v>1632</v>
      </c>
      <c r="D57">
        <v>0</v>
      </c>
      <c r="E57">
        <v>7</v>
      </c>
      <c r="F57">
        <v>7</v>
      </c>
    </row>
    <row r="58" spans="1:6" x14ac:dyDescent="0.25">
      <c r="B58" t="s">
        <v>1633</v>
      </c>
    </row>
    <row r="59" spans="1:6" x14ac:dyDescent="0.25">
      <c r="A59" t="s">
        <v>2</v>
      </c>
      <c r="B59" t="s">
        <v>1634</v>
      </c>
      <c r="C59">
        <v>11501</v>
      </c>
      <c r="D59">
        <v>0</v>
      </c>
      <c r="E59">
        <v>0</v>
      </c>
      <c r="F59">
        <v>0</v>
      </c>
    </row>
    <row r="60" spans="1:6" x14ac:dyDescent="0.25">
      <c r="A60" t="s">
        <v>15</v>
      </c>
      <c r="B60" t="s">
        <v>1635</v>
      </c>
      <c r="C60">
        <v>11502</v>
      </c>
      <c r="D60">
        <v>0</v>
      </c>
      <c r="E60">
        <v>0</v>
      </c>
      <c r="F60">
        <v>0</v>
      </c>
    </row>
    <row r="61" spans="1:6" x14ac:dyDescent="0.25">
      <c r="A61" t="s">
        <v>16</v>
      </c>
      <c r="B61" t="s">
        <v>1636</v>
      </c>
      <c r="C61">
        <v>11503</v>
      </c>
      <c r="D61">
        <v>0</v>
      </c>
      <c r="E61">
        <v>0</v>
      </c>
      <c r="F61">
        <v>0</v>
      </c>
    </row>
    <row r="62" spans="1:6" x14ac:dyDescent="0.25">
      <c r="A62" t="s">
        <v>25</v>
      </c>
      <c r="B62" t="s">
        <v>1637</v>
      </c>
      <c r="C62">
        <v>11504</v>
      </c>
      <c r="D62">
        <v>0</v>
      </c>
      <c r="E62">
        <v>0</v>
      </c>
      <c r="F62">
        <v>0</v>
      </c>
    </row>
    <row r="63" spans="1:6" x14ac:dyDescent="0.25">
      <c r="A63" t="s">
        <v>26</v>
      </c>
      <c r="B63" t="s">
        <v>1638</v>
      </c>
      <c r="C63">
        <v>11505</v>
      </c>
      <c r="D63">
        <v>0</v>
      </c>
      <c r="E63">
        <v>0</v>
      </c>
      <c r="F63">
        <v>0</v>
      </c>
    </row>
    <row r="64" spans="1:6" x14ac:dyDescent="0.25">
      <c r="A64" t="s">
        <v>27</v>
      </c>
      <c r="B64" t="s">
        <v>1639</v>
      </c>
      <c r="C64">
        <v>11506</v>
      </c>
      <c r="D64">
        <v>0</v>
      </c>
      <c r="E64">
        <v>0</v>
      </c>
      <c r="F64">
        <v>0</v>
      </c>
    </row>
    <row r="65" spans="1:6" x14ac:dyDescent="0.25">
      <c r="A65" t="s">
        <v>531</v>
      </c>
      <c r="B65" t="s">
        <v>1640</v>
      </c>
      <c r="C65">
        <v>11507</v>
      </c>
      <c r="D65">
        <v>0</v>
      </c>
      <c r="E65">
        <v>0</v>
      </c>
      <c r="F65">
        <v>0</v>
      </c>
    </row>
    <row r="66" spans="1:6" x14ac:dyDescent="0.25">
      <c r="A66" t="s">
        <v>1583</v>
      </c>
      <c r="B66" t="s">
        <v>1641</v>
      </c>
      <c r="C66">
        <v>11508</v>
      </c>
      <c r="D66">
        <v>0</v>
      </c>
      <c r="E66">
        <v>0</v>
      </c>
      <c r="F66">
        <v>0</v>
      </c>
    </row>
    <row r="67" spans="1:6" x14ac:dyDescent="0.25">
      <c r="B67" t="s">
        <v>1642</v>
      </c>
      <c r="D67">
        <v>0</v>
      </c>
      <c r="E67">
        <v>0</v>
      </c>
      <c r="F67">
        <v>0</v>
      </c>
    </row>
    <row r="68" spans="1:6" x14ac:dyDescent="0.25">
      <c r="B68" t="s">
        <v>1643</v>
      </c>
    </row>
    <row r="69" spans="1:6" x14ac:dyDescent="0.25">
      <c r="A69" t="s">
        <v>2</v>
      </c>
      <c r="B69" t="s">
        <v>1634</v>
      </c>
      <c r="C69">
        <v>11601</v>
      </c>
      <c r="D69">
        <v>667264</v>
      </c>
      <c r="E69">
        <v>0</v>
      </c>
      <c r="F69">
        <v>667264</v>
      </c>
    </row>
    <row r="70" spans="1:6" x14ac:dyDescent="0.25">
      <c r="A70" t="s">
        <v>15</v>
      </c>
      <c r="B70" t="s">
        <v>1635</v>
      </c>
      <c r="C70">
        <v>11602</v>
      </c>
      <c r="D70">
        <v>12534</v>
      </c>
      <c r="E70">
        <v>0</v>
      </c>
      <c r="F70">
        <v>12534</v>
      </c>
    </row>
    <row r="71" spans="1:6" x14ac:dyDescent="0.25">
      <c r="A71" t="s">
        <v>16</v>
      </c>
      <c r="B71" t="s">
        <v>1636</v>
      </c>
      <c r="C71">
        <v>11603</v>
      </c>
      <c r="D71">
        <v>11882</v>
      </c>
      <c r="E71">
        <v>0</v>
      </c>
      <c r="F71">
        <v>11882</v>
      </c>
    </row>
    <row r="72" spans="1:6" x14ac:dyDescent="0.25">
      <c r="A72" t="s">
        <v>25</v>
      </c>
      <c r="B72" t="s">
        <v>1637</v>
      </c>
      <c r="C72">
        <v>11604</v>
      </c>
      <c r="D72">
        <v>132703</v>
      </c>
      <c r="E72">
        <v>0</v>
      </c>
      <c r="F72">
        <v>132703</v>
      </c>
    </row>
    <row r="73" spans="1:6" x14ac:dyDescent="0.25">
      <c r="A73" t="s">
        <v>26</v>
      </c>
      <c r="B73" t="s">
        <v>1638</v>
      </c>
      <c r="C73">
        <v>11605</v>
      </c>
      <c r="D73">
        <v>794117</v>
      </c>
      <c r="E73">
        <v>0</v>
      </c>
      <c r="F73">
        <v>794117</v>
      </c>
    </row>
    <row r="74" spans="1:6" x14ac:dyDescent="0.25">
      <c r="A74" t="s">
        <v>27</v>
      </c>
      <c r="B74" t="s">
        <v>1639</v>
      </c>
      <c r="C74">
        <v>11606</v>
      </c>
      <c r="D74">
        <v>0</v>
      </c>
      <c r="E74">
        <v>0</v>
      </c>
      <c r="F74">
        <v>0</v>
      </c>
    </row>
    <row r="75" spans="1:6" x14ac:dyDescent="0.25">
      <c r="A75" t="s">
        <v>531</v>
      </c>
      <c r="B75" t="s">
        <v>1640</v>
      </c>
      <c r="C75">
        <v>11607</v>
      </c>
      <c r="D75">
        <v>0</v>
      </c>
      <c r="E75">
        <v>0</v>
      </c>
      <c r="F75">
        <v>0</v>
      </c>
    </row>
    <row r="76" spans="1:6" x14ac:dyDescent="0.25">
      <c r="A76" t="s">
        <v>1583</v>
      </c>
      <c r="B76" t="s">
        <v>1641</v>
      </c>
      <c r="C76">
        <v>11608</v>
      </c>
      <c r="D76">
        <v>3971682</v>
      </c>
      <c r="E76">
        <v>0</v>
      </c>
      <c r="F76">
        <v>3971682</v>
      </c>
    </row>
    <row r="77" spans="1:6" x14ac:dyDescent="0.25">
      <c r="B77" t="s">
        <v>1644</v>
      </c>
      <c r="D77">
        <v>5590182</v>
      </c>
      <c r="E77">
        <v>0</v>
      </c>
      <c r="F77">
        <v>5590182</v>
      </c>
    </row>
    <row r="78" spans="1:6" x14ac:dyDescent="0.25">
      <c r="B78" t="s">
        <v>1645</v>
      </c>
    </row>
    <row r="79" spans="1:6" x14ac:dyDescent="0.25">
      <c r="A79" t="s">
        <v>2</v>
      </c>
      <c r="B79" t="s">
        <v>1634</v>
      </c>
      <c r="C79">
        <v>11701</v>
      </c>
      <c r="D79">
        <v>1255796</v>
      </c>
      <c r="E79">
        <v>0</v>
      </c>
      <c r="F79">
        <v>1255796</v>
      </c>
    </row>
    <row r="80" spans="1:6" x14ac:dyDescent="0.25">
      <c r="A80" t="s">
        <v>15</v>
      </c>
      <c r="B80" t="s">
        <v>1635</v>
      </c>
      <c r="C80">
        <v>11702</v>
      </c>
      <c r="D80">
        <v>0</v>
      </c>
      <c r="E80">
        <v>0</v>
      </c>
      <c r="F80">
        <v>0</v>
      </c>
    </row>
    <row r="81" spans="1:6" x14ac:dyDescent="0.25">
      <c r="A81" t="s">
        <v>16</v>
      </c>
      <c r="B81" t="s">
        <v>1636</v>
      </c>
      <c r="C81">
        <v>11703</v>
      </c>
      <c r="D81">
        <v>0</v>
      </c>
      <c r="E81">
        <v>0</v>
      </c>
      <c r="F81">
        <v>0</v>
      </c>
    </row>
    <row r="82" spans="1:6" x14ac:dyDescent="0.25">
      <c r="A82" t="s">
        <v>25</v>
      </c>
      <c r="B82" t="s">
        <v>1637</v>
      </c>
      <c r="C82">
        <v>11704</v>
      </c>
      <c r="D82">
        <v>0</v>
      </c>
      <c r="E82">
        <v>0</v>
      </c>
      <c r="F82">
        <v>0</v>
      </c>
    </row>
    <row r="83" spans="1:6" x14ac:dyDescent="0.25">
      <c r="A83" t="s">
        <v>26</v>
      </c>
      <c r="B83" t="s">
        <v>1638</v>
      </c>
      <c r="C83">
        <v>11705</v>
      </c>
      <c r="D83">
        <v>205011</v>
      </c>
      <c r="E83">
        <v>0</v>
      </c>
      <c r="F83">
        <v>205011</v>
      </c>
    </row>
    <row r="84" spans="1:6" x14ac:dyDescent="0.25">
      <c r="A84" t="s">
        <v>27</v>
      </c>
      <c r="B84" t="s">
        <v>1639</v>
      </c>
      <c r="C84">
        <v>11706</v>
      </c>
      <c r="D84">
        <v>0</v>
      </c>
      <c r="E84">
        <v>0</v>
      </c>
      <c r="F84">
        <v>0</v>
      </c>
    </row>
    <row r="85" spans="1:6" x14ac:dyDescent="0.25">
      <c r="A85" t="s">
        <v>531</v>
      </c>
      <c r="B85" t="s">
        <v>1640</v>
      </c>
      <c r="C85">
        <v>11707</v>
      </c>
      <c r="D85">
        <v>0</v>
      </c>
      <c r="E85">
        <v>0</v>
      </c>
      <c r="F85">
        <v>0</v>
      </c>
    </row>
    <row r="86" spans="1:6" x14ac:dyDescent="0.25">
      <c r="A86" t="s">
        <v>1583</v>
      </c>
      <c r="B86" t="s">
        <v>1641</v>
      </c>
      <c r="C86">
        <v>11708</v>
      </c>
      <c r="D86">
        <v>23068</v>
      </c>
      <c r="E86">
        <v>0</v>
      </c>
      <c r="F86">
        <v>23068</v>
      </c>
    </row>
    <row r="87" spans="1:6" x14ac:dyDescent="0.25">
      <c r="B87" t="s">
        <v>1646</v>
      </c>
      <c r="D87">
        <v>1483875</v>
      </c>
      <c r="E87">
        <v>0</v>
      </c>
      <c r="F87">
        <v>1483875</v>
      </c>
    </row>
    <row r="88" spans="1:6" x14ac:dyDescent="0.25">
      <c r="B88" t="s">
        <v>1647</v>
      </c>
    </row>
    <row r="89" spans="1:6" x14ac:dyDescent="0.25">
      <c r="A89" t="s">
        <v>2</v>
      </c>
      <c r="B89" t="s">
        <v>1648</v>
      </c>
      <c r="C89">
        <v>11801</v>
      </c>
      <c r="D89">
        <v>0</v>
      </c>
      <c r="E89">
        <v>0</v>
      </c>
      <c r="F89">
        <v>0</v>
      </c>
    </row>
    <row r="90" spans="1:6" x14ac:dyDescent="0.25">
      <c r="A90" t="s">
        <v>15</v>
      </c>
      <c r="B90" t="s">
        <v>1649</v>
      </c>
      <c r="C90">
        <v>11802</v>
      </c>
      <c r="D90">
        <v>0</v>
      </c>
      <c r="E90">
        <v>0</v>
      </c>
      <c r="F90">
        <v>0</v>
      </c>
    </row>
    <row r="91" spans="1:6" x14ac:dyDescent="0.25">
      <c r="A91" t="s">
        <v>16</v>
      </c>
      <c r="B91" t="s">
        <v>1637</v>
      </c>
      <c r="C91">
        <v>11803</v>
      </c>
      <c r="D91">
        <v>48</v>
      </c>
      <c r="E91">
        <v>0</v>
      </c>
      <c r="F91">
        <v>48</v>
      </c>
    </row>
    <row r="92" spans="1:6" x14ac:dyDescent="0.25">
      <c r="A92" t="s">
        <v>25</v>
      </c>
      <c r="B92" t="s">
        <v>1638</v>
      </c>
      <c r="C92">
        <v>11804</v>
      </c>
      <c r="D92">
        <v>410832</v>
      </c>
      <c r="E92">
        <v>0</v>
      </c>
      <c r="F92">
        <v>410832</v>
      </c>
    </row>
    <row r="93" spans="1:6" x14ac:dyDescent="0.25">
      <c r="A93" t="s">
        <v>26</v>
      </c>
      <c r="B93" t="s">
        <v>1650</v>
      </c>
      <c r="C93">
        <v>11805</v>
      </c>
      <c r="D93">
        <v>0</v>
      </c>
      <c r="E93">
        <v>0</v>
      </c>
      <c r="F93">
        <v>0</v>
      </c>
    </row>
    <row r="94" spans="1:6" x14ac:dyDescent="0.25">
      <c r="A94" t="s">
        <v>27</v>
      </c>
      <c r="B94" t="s">
        <v>1651</v>
      </c>
      <c r="C94">
        <v>11806</v>
      </c>
      <c r="D94">
        <v>0</v>
      </c>
      <c r="E94">
        <v>0</v>
      </c>
      <c r="F94">
        <v>0</v>
      </c>
    </row>
    <row r="95" spans="1:6" x14ac:dyDescent="0.25">
      <c r="A95" t="s">
        <v>531</v>
      </c>
      <c r="B95" t="s">
        <v>1640</v>
      </c>
      <c r="C95">
        <v>11807</v>
      </c>
      <c r="D95">
        <v>0</v>
      </c>
      <c r="E95">
        <v>0</v>
      </c>
      <c r="F95">
        <v>0</v>
      </c>
    </row>
    <row r="96" spans="1:6" x14ac:dyDescent="0.25">
      <c r="A96" t="s">
        <v>1583</v>
      </c>
      <c r="B96" t="s">
        <v>1641</v>
      </c>
      <c r="C96">
        <v>11808</v>
      </c>
      <c r="D96">
        <v>0</v>
      </c>
      <c r="E96">
        <v>0</v>
      </c>
      <c r="F96">
        <v>0</v>
      </c>
    </row>
    <row r="97" spans="1:6" x14ac:dyDescent="0.25">
      <c r="B97" t="s">
        <v>1652</v>
      </c>
      <c r="D97">
        <v>410880</v>
      </c>
      <c r="E97">
        <v>0</v>
      </c>
      <c r="F97">
        <v>410880</v>
      </c>
    </row>
    <row r="98" spans="1:6" x14ac:dyDescent="0.25">
      <c r="B98" t="s">
        <v>1653</v>
      </c>
      <c r="D98">
        <v>32423696</v>
      </c>
      <c r="E98">
        <v>201580</v>
      </c>
      <c r="F98">
        <v>32625276</v>
      </c>
    </row>
    <row r="99" spans="1:6" x14ac:dyDescent="0.25">
      <c r="B99" t="s">
        <v>1654</v>
      </c>
    </row>
    <row r="100" spans="1:6" x14ac:dyDescent="0.25">
      <c r="B100" t="s">
        <v>1575</v>
      </c>
    </row>
    <row r="101" spans="1:6" x14ac:dyDescent="0.25">
      <c r="A101" t="s">
        <v>2</v>
      </c>
      <c r="B101" t="s">
        <v>1576</v>
      </c>
      <c r="C101">
        <v>12101</v>
      </c>
      <c r="D101">
        <v>0</v>
      </c>
      <c r="E101">
        <v>0</v>
      </c>
      <c r="F101">
        <v>0</v>
      </c>
    </row>
    <row r="102" spans="1:6" x14ac:dyDescent="0.25">
      <c r="A102" t="s">
        <v>15</v>
      </c>
      <c r="B102" t="s">
        <v>1577</v>
      </c>
      <c r="C102">
        <v>12102</v>
      </c>
      <c r="D102">
        <v>0</v>
      </c>
      <c r="E102">
        <v>0</v>
      </c>
      <c r="F102">
        <v>0</v>
      </c>
    </row>
    <row r="103" spans="1:6" x14ac:dyDescent="0.25">
      <c r="A103" t="s">
        <v>16</v>
      </c>
      <c r="B103" t="s">
        <v>1578</v>
      </c>
      <c r="C103">
        <v>12103</v>
      </c>
      <c r="D103">
        <v>0</v>
      </c>
      <c r="E103">
        <v>0</v>
      </c>
      <c r="F103">
        <v>0</v>
      </c>
    </row>
    <row r="104" spans="1:6" x14ac:dyDescent="0.25">
      <c r="A104" t="s">
        <v>25</v>
      </c>
      <c r="B104" t="s">
        <v>1579</v>
      </c>
      <c r="C104">
        <v>12104</v>
      </c>
      <c r="D104">
        <v>0</v>
      </c>
      <c r="E104">
        <v>0</v>
      </c>
      <c r="F104">
        <v>0</v>
      </c>
    </row>
    <row r="105" spans="1:6" x14ac:dyDescent="0.25">
      <c r="A105" t="s">
        <v>26</v>
      </c>
      <c r="B105" t="s">
        <v>1580</v>
      </c>
      <c r="C105">
        <v>12105</v>
      </c>
      <c r="D105">
        <v>0</v>
      </c>
      <c r="E105">
        <v>0</v>
      </c>
      <c r="F105">
        <v>0</v>
      </c>
    </row>
    <row r="106" spans="1:6" x14ac:dyDescent="0.25">
      <c r="A106" t="s">
        <v>27</v>
      </c>
      <c r="B106" t="s">
        <v>1581</v>
      </c>
      <c r="C106">
        <v>12106</v>
      </c>
      <c r="D106">
        <v>0</v>
      </c>
      <c r="E106">
        <v>0</v>
      </c>
      <c r="F106">
        <v>0</v>
      </c>
    </row>
    <row r="107" spans="1:6" x14ac:dyDescent="0.25">
      <c r="A107" t="s">
        <v>531</v>
      </c>
      <c r="B107" t="s">
        <v>1582</v>
      </c>
      <c r="C107">
        <v>12107</v>
      </c>
      <c r="D107">
        <v>0</v>
      </c>
      <c r="E107">
        <v>0</v>
      </c>
      <c r="F107">
        <v>0</v>
      </c>
    </row>
    <row r="108" spans="1:6" x14ac:dyDescent="0.25">
      <c r="A108" t="s">
        <v>1583</v>
      </c>
      <c r="B108" t="s">
        <v>1584</v>
      </c>
      <c r="C108">
        <v>12108</v>
      </c>
      <c r="D108">
        <v>0</v>
      </c>
      <c r="E108">
        <v>0</v>
      </c>
      <c r="F108">
        <v>0</v>
      </c>
    </row>
    <row r="109" spans="1:6" x14ac:dyDescent="0.25">
      <c r="A109" t="s">
        <v>1585</v>
      </c>
      <c r="B109" t="s">
        <v>1586</v>
      </c>
      <c r="C109">
        <v>12109</v>
      </c>
      <c r="D109">
        <v>0</v>
      </c>
      <c r="E109">
        <v>0</v>
      </c>
      <c r="F109">
        <v>0</v>
      </c>
    </row>
    <row r="110" spans="1:6" x14ac:dyDescent="0.25">
      <c r="A110" t="s">
        <v>1587</v>
      </c>
      <c r="B110" t="s">
        <v>1588</v>
      </c>
      <c r="C110">
        <v>12110</v>
      </c>
      <c r="D110">
        <v>0</v>
      </c>
      <c r="E110">
        <v>0</v>
      </c>
      <c r="F110">
        <v>0</v>
      </c>
    </row>
    <row r="111" spans="1:6" x14ac:dyDescent="0.25">
      <c r="A111" t="s">
        <v>1589</v>
      </c>
      <c r="B111" t="s">
        <v>1590</v>
      </c>
      <c r="C111">
        <v>12111</v>
      </c>
      <c r="D111">
        <v>0</v>
      </c>
      <c r="E111">
        <v>0</v>
      </c>
      <c r="F111">
        <v>0</v>
      </c>
    </row>
    <row r="112" spans="1:6" x14ac:dyDescent="0.25">
      <c r="A112" t="s">
        <v>1591</v>
      </c>
      <c r="B112" t="s">
        <v>1592</v>
      </c>
      <c r="C112">
        <v>12112</v>
      </c>
      <c r="D112">
        <v>464</v>
      </c>
      <c r="E112">
        <v>0</v>
      </c>
      <c r="F112">
        <v>464</v>
      </c>
    </row>
    <row r="113" spans="1:6" x14ac:dyDescent="0.25">
      <c r="A113" t="s">
        <v>1593</v>
      </c>
      <c r="B113" t="s">
        <v>1594</v>
      </c>
      <c r="C113">
        <v>12113</v>
      </c>
      <c r="D113">
        <v>0</v>
      </c>
      <c r="E113">
        <v>0</v>
      </c>
      <c r="F113">
        <v>0</v>
      </c>
    </row>
    <row r="114" spans="1:6" x14ac:dyDescent="0.25">
      <c r="A114" t="s">
        <v>1595</v>
      </c>
      <c r="B114" t="s">
        <v>1596</v>
      </c>
      <c r="C114">
        <v>12114</v>
      </c>
      <c r="D114">
        <v>362</v>
      </c>
      <c r="E114">
        <v>0</v>
      </c>
      <c r="F114">
        <v>362</v>
      </c>
    </row>
    <row r="115" spans="1:6" x14ac:dyDescent="0.25">
      <c r="A115" t="s">
        <v>1597</v>
      </c>
      <c r="B115" t="s">
        <v>1598</v>
      </c>
      <c r="C115">
        <v>12115</v>
      </c>
      <c r="D115">
        <v>0</v>
      </c>
      <c r="E115">
        <v>0</v>
      </c>
      <c r="F115">
        <v>0</v>
      </c>
    </row>
    <row r="116" spans="1:6" x14ac:dyDescent="0.25">
      <c r="A116" t="s">
        <v>1599</v>
      </c>
      <c r="B116" t="s">
        <v>1600</v>
      </c>
      <c r="C116">
        <v>12116</v>
      </c>
      <c r="D116">
        <v>0</v>
      </c>
      <c r="E116">
        <v>0</v>
      </c>
      <c r="F116">
        <v>0</v>
      </c>
    </row>
    <row r="117" spans="1:6" x14ac:dyDescent="0.25">
      <c r="A117" t="s">
        <v>1601</v>
      </c>
      <c r="B117" t="s">
        <v>1602</v>
      </c>
      <c r="C117">
        <v>12117</v>
      </c>
      <c r="D117">
        <v>0</v>
      </c>
      <c r="E117">
        <v>0</v>
      </c>
      <c r="F117">
        <v>0</v>
      </c>
    </row>
    <row r="118" spans="1:6" x14ac:dyDescent="0.25">
      <c r="A118" t="s">
        <v>1603</v>
      </c>
      <c r="B118" t="s">
        <v>1604</v>
      </c>
      <c r="C118">
        <v>12118</v>
      </c>
      <c r="D118">
        <v>0</v>
      </c>
      <c r="E118">
        <v>0</v>
      </c>
      <c r="F118">
        <v>0</v>
      </c>
    </row>
    <row r="119" spans="1:6" x14ac:dyDescent="0.25">
      <c r="A119" t="s">
        <v>1605</v>
      </c>
      <c r="B119" t="s">
        <v>1606</v>
      </c>
      <c r="C119">
        <v>12119</v>
      </c>
      <c r="D119">
        <v>0</v>
      </c>
      <c r="E119">
        <v>20710</v>
      </c>
      <c r="F119">
        <v>20710</v>
      </c>
    </row>
    <row r="120" spans="1:6" x14ac:dyDescent="0.25">
      <c r="A120" t="s">
        <v>1607</v>
      </c>
      <c r="B120" t="s">
        <v>1608</v>
      </c>
      <c r="C120">
        <v>12120</v>
      </c>
      <c r="D120">
        <v>0</v>
      </c>
      <c r="E120">
        <v>0</v>
      </c>
      <c r="F120">
        <v>0</v>
      </c>
    </row>
    <row r="121" spans="1:6" x14ac:dyDescent="0.25">
      <c r="B121" t="s">
        <v>1655</v>
      </c>
      <c r="D121">
        <v>826</v>
      </c>
      <c r="E121">
        <v>20710</v>
      </c>
      <c r="F121">
        <v>21536</v>
      </c>
    </row>
    <row r="122" spans="1:6" x14ac:dyDescent="0.25">
      <c r="B122" t="s">
        <v>1656</v>
      </c>
    </row>
    <row r="123" spans="1:6" x14ac:dyDescent="0.25">
      <c r="A123" t="s">
        <v>2</v>
      </c>
      <c r="B123" t="s">
        <v>1611</v>
      </c>
      <c r="C123">
        <v>12201</v>
      </c>
      <c r="D123">
        <v>0</v>
      </c>
      <c r="E123">
        <v>0</v>
      </c>
      <c r="F123">
        <v>0</v>
      </c>
    </row>
    <row r="124" spans="1:6" x14ac:dyDescent="0.25">
      <c r="A124" t="s">
        <v>15</v>
      </c>
      <c r="B124" t="s">
        <v>1612</v>
      </c>
      <c r="C124">
        <v>12202</v>
      </c>
      <c r="D124">
        <v>0</v>
      </c>
      <c r="E124">
        <v>0</v>
      </c>
      <c r="F124">
        <v>0</v>
      </c>
    </row>
    <row r="125" spans="1:6" x14ac:dyDescent="0.25">
      <c r="A125" t="s">
        <v>16</v>
      </c>
      <c r="B125" t="s">
        <v>1613</v>
      </c>
      <c r="C125">
        <v>12203</v>
      </c>
      <c r="D125">
        <v>0</v>
      </c>
      <c r="E125">
        <v>0</v>
      </c>
      <c r="F125">
        <v>0</v>
      </c>
    </row>
    <row r="126" spans="1:6" x14ac:dyDescent="0.25">
      <c r="A126" t="s">
        <v>25</v>
      </c>
      <c r="B126" t="s">
        <v>1614</v>
      </c>
      <c r="C126">
        <v>12204</v>
      </c>
      <c r="D126">
        <v>0</v>
      </c>
      <c r="E126">
        <v>0</v>
      </c>
      <c r="F126">
        <v>0</v>
      </c>
    </row>
    <row r="127" spans="1:6" x14ac:dyDescent="0.25">
      <c r="A127" t="s">
        <v>26</v>
      </c>
      <c r="B127" t="s">
        <v>1615</v>
      </c>
      <c r="C127">
        <v>12205</v>
      </c>
      <c r="D127">
        <v>0</v>
      </c>
      <c r="E127">
        <v>0</v>
      </c>
      <c r="F127">
        <v>0</v>
      </c>
    </row>
    <row r="128" spans="1:6" x14ac:dyDescent="0.25">
      <c r="A128" t="s">
        <v>27</v>
      </c>
      <c r="B128" t="s">
        <v>1616</v>
      </c>
      <c r="C128">
        <v>12206</v>
      </c>
      <c r="D128">
        <v>0</v>
      </c>
      <c r="E128">
        <v>0</v>
      </c>
      <c r="F128">
        <v>0</v>
      </c>
    </row>
    <row r="129" spans="1:6" x14ac:dyDescent="0.25">
      <c r="A129" t="s">
        <v>531</v>
      </c>
      <c r="B129" t="s">
        <v>1617</v>
      </c>
      <c r="C129">
        <v>12207</v>
      </c>
      <c r="D129">
        <v>0</v>
      </c>
      <c r="E129">
        <v>0</v>
      </c>
      <c r="F129">
        <v>0</v>
      </c>
    </row>
    <row r="130" spans="1:6" x14ac:dyDescent="0.25">
      <c r="A130" t="s">
        <v>1583</v>
      </c>
      <c r="B130" t="s">
        <v>1618</v>
      </c>
      <c r="C130">
        <v>12208</v>
      </c>
      <c r="D130">
        <v>0</v>
      </c>
      <c r="E130">
        <v>0</v>
      </c>
      <c r="F130">
        <v>0</v>
      </c>
    </row>
    <row r="131" spans="1:6" x14ac:dyDescent="0.25">
      <c r="A131" t="s">
        <v>1585</v>
      </c>
      <c r="B131" t="s">
        <v>1619</v>
      </c>
      <c r="C131">
        <v>12209</v>
      </c>
      <c r="D131">
        <v>0</v>
      </c>
      <c r="E131">
        <v>0</v>
      </c>
      <c r="F131">
        <v>0</v>
      </c>
    </row>
    <row r="132" spans="1:6" x14ac:dyDescent="0.25">
      <c r="A132" t="s">
        <v>1587</v>
      </c>
      <c r="B132" t="s">
        <v>1620</v>
      </c>
      <c r="C132">
        <v>12210</v>
      </c>
      <c r="D132">
        <v>0</v>
      </c>
      <c r="E132">
        <v>0</v>
      </c>
      <c r="F132">
        <v>0</v>
      </c>
    </row>
    <row r="133" spans="1:6" x14ac:dyDescent="0.25">
      <c r="A133" t="s">
        <v>1589</v>
      </c>
      <c r="B133" t="s">
        <v>1621</v>
      </c>
      <c r="C133">
        <v>12211</v>
      </c>
      <c r="D133">
        <v>0</v>
      </c>
      <c r="E133">
        <v>0</v>
      </c>
      <c r="F133">
        <v>0</v>
      </c>
    </row>
    <row r="134" spans="1:6" x14ac:dyDescent="0.25">
      <c r="A134" t="s">
        <v>1591</v>
      </c>
      <c r="B134" t="s">
        <v>1622</v>
      </c>
      <c r="C134">
        <v>12212</v>
      </c>
      <c r="D134">
        <v>0</v>
      </c>
      <c r="E134">
        <v>0</v>
      </c>
      <c r="F134">
        <v>0</v>
      </c>
    </row>
    <row r="135" spans="1:6" x14ac:dyDescent="0.25">
      <c r="A135" t="s">
        <v>1593</v>
      </c>
      <c r="B135" t="s">
        <v>1623</v>
      </c>
      <c r="C135">
        <v>12213</v>
      </c>
      <c r="D135">
        <v>0</v>
      </c>
      <c r="E135">
        <v>0</v>
      </c>
      <c r="F135">
        <v>0</v>
      </c>
    </row>
    <row r="136" spans="1:6" x14ac:dyDescent="0.25">
      <c r="A136" t="s">
        <v>1595</v>
      </c>
      <c r="B136" t="s">
        <v>1624</v>
      </c>
      <c r="C136">
        <v>12214</v>
      </c>
      <c r="D136">
        <v>0</v>
      </c>
      <c r="E136">
        <v>0</v>
      </c>
      <c r="F136">
        <v>0</v>
      </c>
    </row>
    <row r="137" spans="1:6" x14ac:dyDescent="0.25">
      <c r="A137" t="s">
        <v>1597</v>
      </c>
      <c r="B137" t="s">
        <v>1625</v>
      </c>
      <c r="C137">
        <v>12215</v>
      </c>
      <c r="D137">
        <v>0</v>
      </c>
      <c r="E137">
        <v>0</v>
      </c>
      <c r="F137">
        <v>0</v>
      </c>
    </row>
    <row r="138" spans="1:6" x14ac:dyDescent="0.25">
      <c r="A138" t="s">
        <v>1599</v>
      </c>
      <c r="B138" t="s">
        <v>1626</v>
      </c>
      <c r="C138">
        <v>12216</v>
      </c>
      <c r="D138">
        <v>0</v>
      </c>
      <c r="E138">
        <v>0</v>
      </c>
      <c r="F138">
        <v>0</v>
      </c>
    </row>
    <row r="139" spans="1:6" x14ac:dyDescent="0.25">
      <c r="A139" t="s">
        <v>1601</v>
      </c>
      <c r="B139" t="s">
        <v>1627</v>
      </c>
      <c r="C139">
        <v>12217</v>
      </c>
      <c r="D139">
        <v>0</v>
      </c>
      <c r="E139">
        <v>0</v>
      </c>
      <c r="F139">
        <v>0</v>
      </c>
    </row>
    <row r="140" spans="1:6" x14ac:dyDescent="0.25">
      <c r="A140" t="s">
        <v>1603</v>
      </c>
      <c r="B140" t="s">
        <v>1596</v>
      </c>
      <c r="C140">
        <v>12218</v>
      </c>
      <c r="D140">
        <v>0</v>
      </c>
      <c r="E140">
        <v>0</v>
      </c>
      <c r="F140">
        <v>0</v>
      </c>
    </row>
    <row r="141" spans="1:6" x14ac:dyDescent="0.25">
      <c r="A141" t="s">
        <v>1605</v>
      </c>
      <c r="B141" t="s">
        <v>1598</v>
      </c>
      <c r="C141">
        <v>12219</v>
      </c>
      <c r="D141">
        <v>0</v>
      </c>
      <c r="E141">
        <v>0</v>
      </c>
      <c r="F141">
        <v>0</v>
      </c>
    </row>
    <row r="142" spans="1:6" x14ac:dyDescent="0.25">
      <c r="A142" t="s">
        <v>1607</v>
      </c>
      <c r="B142" t="s">
        <v>1602</v>
      </c>
      <c r="C142">
        <v>12220</v>
      </c>
      <c r="D142">
        <v>0</v>
      </c>
      <c r="E142">
        <v>0</v>
      </c>
      <c r="F142">
        <v>0</v>
      </c>
    </row>
    <row r="143" spans="1:6" x14ac:dyDescent="0.25">
      <c r="B143" t="s">
        <v>1657</v>
      </c>
      <c r="D143">
        <v>0</v>
      </c>
      <c r="E143">
        <v>0</v>
      </c>
      <c r="F143">
        <v>0</v>
      </c>
    </row>
    <row r="144" spans="1:6" x14ac:dyDescent="0.25">
      <c r="B144" t="s">
        <v>1658</v>
      </c>
    </row>
    <row r="145" spans="1:6" x14ac:dyDescent="0.25">
      <c r="A145" t="s">
        <v>2</v>
      </c>
      <c r="B145" t="s">
        <v>1627</v>
      </c>
      <c r="C145">
        <v>12301</v>
      </c>
      <c r="D145">
        <v>0</v>
      </c>
      <c r="E145">
        <v>0</v>
      </c>
      <c r="F145">
        <v>0</v>
      </c>
    </row>
    <row r="146" spans="1:6" x14ac:dyDescent="0.25">
      <c r="A146" t="s">
        <v>15</v>
      </c>
      <c r="B146" t="s">
        <v>1625</v>
      </c>
      <c r="C146">
        <v>12302</v>
      </c>
      <c r="D146">
        <v>0</v>
      </c>
      <c r="E146">
        <v>0</v>
      </c>
      <c r="F146">
        <v>0</v>
      </c>
    </row>
    <row r="147" spans="1:6" x14ac:dyDescent="0.25">
      <c r="A147" t="s">
        <v>16</v>
      </c>
      <c r="B147" t="s">
        <v>1626</v>
      </c>
      <c r="C147">
        <v>12303</v>
      </c>
      <c r="D147">
        <v>0</v>
      </c>
      <c r="E147">
        <v>0</v>
      </c>
      <c r="F147">
        <v>0</v>
      </c>
    </row>
    <row r="148" spans="1:6" x14ac:dyDescent="0.25">
      <c r="B148" t="s">
        <v>1659</v>
      </c>
      <c r="D148">
        <v>0</v>
      </c>
      <c r="E148">
        <v>0</v>
      </c>
      <c r="F148">
        <v>0</v>
      </c>
    </row>
    <row r="149" spans="1:6" x14ac:dyDescent="0.25">
      <c r="B149" t="s">
        <v>1660</v>
      </c>
      <c r="D149">
        <v>826</v>
      </c>
      <c r="E149">
        <v>20710</v>
      </c>
      <c r="F149">
        <v>21536</v>
      </c>
    </row>
    <row r="150" spans="1:6" x14ac:dyDescent="0.25">
      <c r="B150" t="s">
        <v>1661</v>
      </c>
    </row>
    <row r="151" spans="1:6" x14ac:dyDescent="0.25">
      <c r="B151" t="s">
        <v>1575</v>
      </c>
    </row>
    <row r="152" spans="1:6" x14ac:dyDescent="0.25">
      <c r="A152" t="s">
        <v>2</v>
      </c>
      <c r="B152" t="s">
        <v>1576</v>
      </c>
      <c r="C152">
        <v>13101</v>
      </c>
      <c r="D152">
        <v>0</v>
      </c>
      <c r="E152">
        <v>0</v>
      </c>
      <c r="F152">
        <v>0</v>
      </c>
    </row>
    <row r="153" spans="1:6" x14ac:dyDescent="0.25">
      <c r="A153" t="s">
        <v>15</v>
      </c>
      <c r="B153" t="s">
        <v>1577</v>
      </c>
      <c r="C153">
        <v>13102</v>
      </c>
      <c r="D153">
        <v>0</v>
      </c>
      <c r="E153">
        <v>0</v>
      </c>
      <c r="F153">
        <v>0</v>
      </c>
    </row>
    <row r="154" spans="1:6" x14ac:dyDescent="0.25">
      <c r="A154" t="s">
        <v>16</v>
      </c>
      <c r="B154" t="s">
        <v>1578</v>
      </c>
      <c r="C154">
        <v>13103</v>
      </c>
      <c r="D154">
        <v>0</v>
      </c>
      <c r="E154">
        <v>0</v>
      </c>
      <c r="F154">
        <v>0</v>
      </c>
    </row>
    <row r="155" spans="1:6" x14ac:dyDescent="0.25">
      <c r="A155" t="s">
        <v>25</v>
      </c>
      <c r="B155" t="s">
        <v>1579</v>
      </c>
      <c r="C155">
        <v>13104</v>
      </c>
      <c r="D155">
        <v>0</v>
      </c>
      <c r="E155">
        <v>0</v>
      </c>
      <c r="F155">
        <v>0</v>
      </c>
    </row>
    <row r="156" spans="1:6" x14ac:dyDescent="0.25">
      <c r="A156" t="s">
        <v>26</v>
      </c>
      <c r="B156" t="s">
        <v>1580</v>
      </c>
      <c r="C156">
        <v>13105</v>
      </c>
      <c r="D156">
        <v>0</v>
      </c>
      <c r="E156">
        <v>0</v>
      </c>
      <c r="F156">
        <v>0</v>
      </c>
    </row>
    <row r="157" spans="1:6" x14ac:dyDescent="0.25">
      <c r="A157" t="s">
        <v>27</v>
      </c>
      <c r="B157" t="s">
        <v>1581</v>
      </c>
      <c r="C157">
        <v>13106</v>
      </c>
      <c r="D157">
        <v>0</v>
      </c>
      <c r="E157">
        <v>0</v>
      </c>
      <c r="F157">
        <v>0</v>
      </c>
    </row>
    <row r="158" spans="1:6" x14ac:dyDescent="0.25">
      <c r="A158" t="s">
        <v>531</v>
      </c>
      <c r="B158" t="s">
        <v>1582</v>
      </c>
      <c r="C158">
        <v>13107</v>
      </c>
      <c r="D158">
        <v>0</v>
      </c>
      <c r="E158">
        <v>0</v>
      </c>
      <c r="F158">
        <v>0</v>
      </c>
    </row>
    <row r="159" spans="1:6" x14ac:dyDescent="0.25">
      <c r="A159" t="s">
        <v>1583</v>
      </c>
      <c r="B159" t="s">
        <v>1584</v>
      </c>
      <c r="C159">
        <v>13108</v>
      </c>
      <c r="D159">
        <v>0</v>
      </c>
      <c r="E159">
        <v>0</v>
      </c>
      <c r="F159">
        <v>0</v>
      </c>
    </row>
    <row r="160" spans="1:6" x14ac:dyDescent="0.25">
      <c r="A160" t="s">
        <v>1585</v>
      </c>
      <c r="B160" t="s">
        <v>1586</v>
      </c>
      <c r="C160">
        <v>13109</v>
      </c>
      <c r="D160">
        <v>0</v>
      </c>
      <c r="E160">
        <v>0</v>
      </c>
      <c r="F160">
        <v>0</v>
      </c>
    </row>
    <row r="161" spans="1:6" x14ac:dyDescent="0.25">
      <c r="A161" t="s">
        <v>1587</v>
      </c>
      <c r="B161" t="s">
        <v>1588</v>
      </c>
      <c r="C161">
        <v>13110</v>
      </c>
      <c r="D161">
        <v>0</v>
      </c>
      <c r="E161">
        <v>0</v>
      </c>
      <c r="F161">
        <v>0</v>
      </c>
    </row>
    <row r="162" spans="1:6" x14ac:dyDescent="0.25">
      <c r="A162" t="s">
        <v>1589</v>
      </c>
      <c r="B162" t="s">
        <v>1590</v>
      </c>
      <c r="C162">
        <v>13111</v>
      </c>
      <c r="D162">
        <v>0</v>
      </c>
      <c r="E162">
        <v>0</v>
      </c>
      <c r="F162">
        <v>0</v>
      </c>
    </row>
    <row r="163" spans="1:6" x14ac:dyDescent="0.25">
      <c r="A163" t="s">
        <v>1591</v>
      </c>
      <c r="B163" t="s">
        <v>1592</v>
      </c>
      <c r="C163">
        <v>13112</v>
      </c>
      <c r="D163">
        <v>0</v>
      </c>
      <c r="E163">
        <v>0</v>
      </c>
      <c r="F163">
        <v>0</v>
      </c>
    </row>
    <row r="164" spans="1:6" x14ac:dyDescent="0.25">
      <c r="A164" t="s">
        <v>1593</v>
      </c>
      <c r="B164" t="s">
        <v>1594</v>
      </c>
      <c r="C164">
        <v>13113</v>
      </c>
      <c r="D164">
        <v>0</v>
      </c>
      <c r="E164">
        <v>0</v>
      </c>
      <c r="F164">
        <v>0</v>
      </c>
    </row>
    <row r="165" spans="1:6" x14ac:dyDescent="0.25">
      <c r="A165" t="s">
        <v>1595</v>
      </c>
      <c r="B165" t="s">
        <v>1596</v>
      </c>
      <c r="C165">
        <v>13114</v>
      </c>
      <c r="D165">
        <v>0</v>
      </c>
      <c r="E165">
        <v>0</v>
      </c>
      <c r="F165">
        <v>0</v>
      </c>
    </row>
    <row r="166" spans="1:6" x14ac:dyDescent="0.25">
      <c r="A166" t="s">
        <v>1597</v>
      </c>
      <c r="B166" t="s">
        <v>1598</v>
      </c>
      <c r="C166">
        <v>13115</v>
      </c>
      <c r="D166">
        <v>0</v>
      </c>
      <c r="E166">
        <v>0</v>
      </c>
      <c r="F166">
        <v>0</v>
      </c>
    </row>
    <row r="167" spans="1:6" x14ac:dyDescent="0.25">
      <c r="A167" t="s">
        <v>1599</v>
      </c>
      <c r="B167" t="s">
        <v>1600</v>
      </c>
      <c r="C167">
        <v>13116</v>
      </c>
      <c r="D167">
        <v>0</v>
      </c>
      <c r="E167">
        <v>0</v>
      </c>
      <c r="F167">
        <v>0</v>
      </c>
    </row>
    <row r="168" spans="1:6" x14ac:dyDescent="0.25">
      <c r="A168" t="s">
        <v>1601</v>
      </c>
      <c r="B168" t="s">
        <v>1602</v>
      </c>
      <c r="C168">
        <v>13117</v>
      </c>
      <c r="D168">
        <v>0</v>
      </c>
      <c r="E168">
        <v>0</v>
      </c>
      <c r="F168">
        <v>0</v>
      </c>
    </row>
    <row r="169" spans="1:6" x14ac:dyDescent="0.25">
      <c r="A169" t="s">
        <v>1603</v>
      </c>
      <c r="B169" t="s">
        <v>1604</v>
      </c>
      <c r="C169">
        <v>13118</v>
      </c>
      <c r="D169">
        <v>0</v>
      </c>
      <c r="E169">
        <v>0</v>
      </c>
      <c r="F169">
        <v>0</v>
      </c>
    </row>
    <row r="170" spans="1:6" x14ac:dyDescent="0.25">
      <c r="A170" t="s">
        <v>1605</v>
      </c>
      <c r="B170" t="s">
        <v>1606</v>
      </c>
      <c r="C170">
        <v>13119</v>
      </c>
      <c r="D170">
        <v>0</v>
      </c>
      <c r="E170">
        <v>0</v>
      </c>
      <c r="F170">
        <v>0</v>
      </c>
    </row>
    <row r="171" spans="1:6" x14ac:dyDescent="0.25">
      <c r="A171" t="s">
        <v>1607</v>
      </c>
      <c r="B171" t="s">
        <v>1608</v>
      </c>
      <c r="C171">
        <v>13120</v>
      </c>
      <c r="D171">
        <v>0</v>
      </c>
      <c r="E171">
        <v>0</v>
      </c>
      <c r="F171">
        <v>0</v>
      </c>
    </row>
    <row r="172" spans="1:6" x14ac:dyDescent="0.25">
      <c r="B172" t="s">
        <v>1662</v>
      </c>
      <c r="D172">
        <v>0</v>
      </c>
      <c r="E172">
        <v>0</v>
      </c>
      <c r="F172">
        <v>0</v>
      </c>
    </row>
    <row r="173" spans="1:6" x14ac:dyDescent="0.25">
      <c r="B173" t="s">
        <v>1656</v>
      </c>
    </row>
    <row r="174" spans="1:6" x14ac:dyDescent="0.25">
      <c r="A174" t="s">
        <v>2</v>
      </c>
      <c r="B174" t="s">
        <v>1611</v>
      </c>
      <c r="C174">
        <v>13201</v>
      </c>
      <c r="D174">
        <v>0</v>
      </c>
      <c r="E174">
        <v>0</v>
      </c>
      <c r="F174">
        <v>0</v>
      </c>
    </row>
    <row r="175" spans="1:6" x14ac:dyDescent="0.25">
      <c r="A175" t="s">
        <v>15</v>
      </c>
      <c r="B175" t="s">
        <v>1612</v>
      </c>
      <c r="C175">
        <v>13202</v>
      </c>
      <c r="D175">
        <v>0</v>
      </c>
      <c r="E175">
        <v>0</v>
      </c>
      <c r="F175">
        <v>0</v>
      </c>
    </row>
    <row r="176" spans="1:6" x14ac:dyDescent="0.25">
      <c r="A176" t="s">
        <v>16</v>
      </c>
      <c r="B176" t="s">
        <v>1613</v>
      </c>
      <c r="C176">
        <v>13203</v>
      </c>
      <c r="D176">
        <v>0</v>
      </c>
      <c r="E176">
        <v>0</v>
      </c>
      <c r="F176">
        <v>0</v>
      </c>
    </row>
    <row r="177" spans="1:6" x14ac:dyDescent="0.25">
      <c r="A177" t="s">
        <v>25</v>
      </c>
      <c r="B177" t="s">
        <v>1614</v>
      </c>
      <c r="C177">
        <v>13204</v>
      </c>
      <c r="D177">
        <v>0</v>
      </c>
      <c r="E177">
        <v>0</v>
      </c>
      <c r="F177">
        <v>0</v>
      </c>
    </row>
    <row r="178" spans="1:6" x14ac:dyDescent="0.25">
      <c r="A178" t="s">
        <v>26</v>
      </c>
      <c r="B178" t="s">
        <v>1615</v>
      </c>
      <c r="C178">
        <v>13205</v>
      </c>
      <c r="D178">
        <v>0</v>
      </c>
      <c r="E178">
        <v>0</v>
      </c>
      <c r="F178">
        <v>0</v>
      </c>
    </row>
    <row r="179" spans="1:6" x14ac:dyDescent="0.25">
      <c r="A179" t="s">
        <v>27</v>
      </c>
      <c r="B179" t="s">
        <v>1616</v>
      </c>
      <c r="C179">
        <v>13206</v>
      </c>
      <c r="D179">
        <v>0</v>
      </c>
      <c r="E179">
        <v>0</v>
      </c>
      <c r="F179">
        <v>0</v>
      </c>
    </row>
    <row r="180" spans="1:6" x14ac:dyDescent="0.25">
      <c r="A180" t="s">
        <v>531</v>
      </c>
      <c r="B180" t="s">
        <v>1617</v>
      </c>
      <c r="C180">
        <v>13207</v>
      </c>
      <c r="D180">
        <v>0</v>
      </c>
      <c r="E180">
        <v>0</v>
      </c>
      <c r="F180">
        <v>0</v>
      </c>
    </row>
    <row r="181" spans="1:6" x14ac:dyDescent="0.25">
      <c r="A181" t="s">
        <v>1583</v>
      </c>
      <c r="B181" t="s">
        <v>1618</v>
      </c>
      <c r="C181">
        <v>13208</v>
      </c>
      <c r="D181">
        <v>0</v>
      </c>
      <c r="E181">
        <v>0</v>
      </c>
      <c r="F181">
        <v>0</v>
      </c>
    </row>
    <row r="182" spans="1:6" x14ac:dyDescent="0.25">
      <c r="A182" t="s">
        <v>1585</v>
      </c>
      <c r="B182" t="s">
        <v>1619</v>
      </c>
      <c r="C182">
        <v>13209</v>
      </c>
      <c r="D182">
        <v>0</v>
      </c>
      <c r="E182">
        <v>0</v>
      </c>
      <c r="F182">
        <v>0</v>
      </c>
    </row>
    <row r="183" spans="1:6" x14ac:dyDescent="0.25">
      <c r="A183" t="s">
        <v>1587</v>
      </c>
      <c r="B183" t="s">
        <v>1620</v>
      </c>
      <c r="C183">
        <v>13210</v>
      </c>
      <c r="D183">
        <v>0</v>
      </c>
      <c r="E183">
        <v>0</v>
      </c>
      <c r="F183">
        <v>0</v>
      </c>
    </row>
    <row r="184" spans="1:6" x14ac:dyDescent="0.25">
      <c r="A184" t="s">
        <v>1589</v>
      </c>
      <c r="B184" t="s">
        <v>1621</v>
      </c>
      <c r="C184">
        <v>13211</v>
      </c>
      <c r="D184">
        <v>0</v>
      </c>
      <c r="E184">
        <v>0</v>
      </c>
      <c r="F184">
        <v>0</v>
      </c>
    </row>
    <row r="185" spans="1:6" x14ac:dyDescent="0.25">
      <c r="A185" t="s">
        <v>1591</v>
      </c>
      <c r="B185" t="s">
        <v>1622</v>
      </c>
      <c r="C185">
        <v>13212</v>
      </c>
      <c r="D185">
        <v>0</v>
      </c>
      <c r="E185">
        <v>0</v>
      </c>
      <c r="F185">
        <v>0</v>
      </c>
    </row>
    <row r="186" spans="1:6" x14ac:dyDescent="0.25">
      <c r="A186" t="s">
        <v>1593</v>
      </c>
      <c r="B186" t="s">
        <v>1623</v>
      </c>
      <c r="C186">
        <v>13213</v>
      </c>
      <c r="D186">
        <v>0</v>
      </c>
      <c r="E186">
        <v>0</v>
      </c>
      <c r="F186">
        <v>0</v>
      </c>
    </row>
    <row r="187" spans="1:6" x14ac:dyDescent="0.25">
      <c r="A187" t="s">
        <v>1595</v>
      </c>
      <c r="B187" t="s">
        <v>1624</v>
      </c>
      <c r="C187">
        <v>13214</v>
      </c>
      <c r="D187">
        <v>0</v>
      </c>
      <c r="E187">
        <v>0</v>
      </c>
      <c r="F187">
        <v>0</v>
      </c>
    </row>
    <row r="188" spans="1:6" x14ac:dyDescent="0.25">
      <c r="A188" t="s">
        <v>1597</v>
      </c>
      <c r="B188" t="s">
        <v>1625</v>
      </c>
      <c r="C188">
        <v>13215</v>
      </c>
      <c r="D188">
        <v>0</v>
      </c>
      <c r="E188">
        <v>0</v>
      </c>
      <c r="F188">
        <v>0</v>
      </c>
    </row>
    <row r="189" spans="1:6" x14ac:dyDescent="0.25">
      <c r="A189" t="s">
        <v>1599</v>
      </c>
      <c r="B189" t="s">
        <v>1626</v>
      </c>
      <c r="C189">
        <v>13216</v>
      </c>
      <c r="D189">
        <v>0</v>
      </c>
      <c r="E189">
        <v>0</v>
      </c>
      <c r="F189">
        <v>0</v>
      </c>
    </row>
    <row r="190" spans="1:6" x14ac:dyDescent="0.25">
      <c r="A190" t="s">
        <v>1601</v>
      </c>
      <c r="B190" t="s">
        <v>1627</v>
      </c>
      <c r="C190">
        <v>13217</v>
      </c>
      <c r="D190">
        <v>0</v>
      </c>
      <c r="E190">
        <v>0</v>
      </c>
      <c r="F190">
        <v>0</v>
      </c>
    </row>
    <row r="191" spans="1:6" x14ac:dyDescent="0.25">
      <c r="A191" t="s">
        <v>1603</v>
      </c>
      <c r="B191" t="s">
        <v>1596</v>
      </c>
      <c r="C191">
        <v>13218</v>
      </c>
      <c r="D191">
        <v>0</v>
      </c>
      <c r="E191">
        <v>0</v>
      </c>
      <c r="F191">
        <v>0</v>
      </c>
    </row>
    <row r="192" spans="1:6" x14ac:dyDescent="0.25">
      <c r="A192" t="s">
        <v>1605</v>
      </c>
      <c r="B192" t="s">
        <v>1598</v>
      </c>
      <c r="C192">
        <v>13219</v>
      </c>
      <c r="D192">
        <v>0</v>
      </c>
      <c r="E192">
        <v>0</v>
      </c>
      <c r="F192">
        <v>0</v>
      </c>
    </row>
    <row r="193" spans="1:6" x14ac:dyDescent="0.25">
      <c r="A193" t="s">
        <v>1607</v>
      </c>
      <c r="B193" t="s">
        <v>1602</v>
      </c>
      <c r="C193">
        <v>13220</v>
      </c>
      <c r="D193">
        <v>0</v>
      </c>
      <c r="E193">
        <v>0</v>
      </c>
      <c r="F193">
        <v>0</v>
      </c>
    </row>
    <row r="194" spans="1:6" x14ac:dyDescent="0.25">
      <c r="B194" t="s">
        <v>1663</v>
      </c>
      <c r="D194">
        <v>0</v>
      </c>
      <c r="E194">
        <v>0</v>
      </c>
      <c r="F194">
        <v>0</v>
      </c>
    </row>
    <row r="195" spans="1:6" x14ac:dyDescent="0.25">
      <c r="B195" t="s">
        <v>1629</v>
      </c>
    </row>
    <row r="196" spans="1:6" x14ac:dyDescent="0.25">
      <c r="A196" t="s">
        <v>2</v>
      </c>
      <c r="B196" t="s">
        <v>1627</v>
      </c>
      <c r="C196">
        <v>13301</v>
      </c>
      <c r="D196">
        <v>0</v>
      </c>
      <c r="E196">
        <v>0</v>
      </c>
      <c r="F196">
        <v>0</v>
      </c>
    </row>
    <row r="197" spans="1:6" x14ac:dyDescent="0.25">
      <c r="A197" t="s">
        <v>15</v>
      </c>
      <c r="B197" t="s">
        <v>1625</v>
      </c>
      <c r="C197">
        <v>13302</v>
      </c>
      <c r="D197">
        <v>0</v>
      </c>
      <c r="E197">
        <v>0</v>
      </c>
      <c r="F197">
        <v>0</v>
      </c>
    </row>
    <row r="198" spans="1:6" x14ac:dyDescent="0.25">
      <c r="A198" t="s">
        <v>16</v>
      </c>
      <c r="B198" t="s">
        <v>1626</v>
      </c>
      <c r="C198">
        <v>13303</v>
      </c>
      <c r="D198">
        <v>0</v>
      </c>
      <c r="E198">
        <v>0</v>
      </c>
      <c r="F198">
        <v>0</v>
      </c>
    </row>
    <row r="199" spans="1:6" x14ac:dyDescent="0.25">
      <c r="B199" t="s">
        <v>1664</v>
      </c>
      <c r="D199">
        <v>0</v>
      </c>
      <c r="E199">
        <v>0</v>
      </c>
      <c r="F199">
        <v>0</v>
      </c>
    </row>
    <row r="200" spans="1:6" x14ac:dyDescent="0.25">
      <c r="B200" t="s">
        <v>1631</v>
      </c>
    </row>
    <row r="201" spans="1:6" x14ac:dyDescent="0.25">
      <c r="A201" t="s">
        <v>2</v>
      </c>
      <c r="B201" t="s">
        <v>1627</v>
      </c>
      <c r="C201">
        <v>13401</v>
      </c>
      <c r="D201">
        <v>0</v>
      </c>
      <c r="E201">
        <v>0</v>
      </c>
      <c r="F201">
        <v>0</v>
      </c>
    </row>
    <row r="202" spans="1:6" x14ac:dyDescent="0.25">
      <c r="A202" t="s">
        <v>15</v>
      </c>
      <c r="B202" t="s">
        <v>1625</v>
      </c>
      <c r="C202">
        <v>13402</v>
      </c>
      <c r="D202">
        <v>0</v>
      </c>
      <c r="E202">
        <v>0</v>
      </c>
      <c r="F202">
        <v>0</v>
      </c>
    </row>
    <row r="203" spans="1:6" x14ac:dyDescent="0.25">
      <c r="A203" t="s">
        <v>16</v>
      </c>
      <c r="B203" t="s">
        <v>1626</v>
      </c>
      <c r="C203">
        <v>13403</v>
      </c>
      <c r="D203">
        <v>0</v>
      </c>
      <c r="E203">
        <v>0</v>
      </c>
      <c r="F203">
        <v>0</v>
      </c>
    </row>
    <row r="204" spans="1:6" x14ac:dyDescent="0.25">
      <c r="B204" t="s">
        <v>1665</v>
      </c>
      <c r="D204">
        <v>0</v>
      </c>
      <c r="E204">
        <v>0</v>
      </c>
      <c r="F204">
        <v>0</v>
      </c>
    </row>
    <row r="205" spans="1:6" x14ac:dyDescent="0.25">
      <c r="B205" t="s">
        <v>1633</v>
      </c>
    </row>
    <row r="206" spans="1:6" x14ac:dyDescent="0.25">
      <c r="A206" t="s">
        <v>2</v>
      </c>
      <c r="B206" t="s">
        <v>1634</v>
      </c>
      <c r="C206">
        <v>13501</v>
      </c>
      <c r="D206">
        <v>0</v>
      </c>
      <c r="E206">
        <v>0</v>
      </c>
      <c r="F206">
        <v>0</v>
      </c>
    </row>
    <row r="207" spans="1:6" x14ac:dyDescent="0.25">
      <c r="A207" t="s">
        <v>15</v>
      </c>
      <c r="B207" t="s">
        <v>1635</v>
      </c>
      <c r="C207">
        <v>13502</v>
      </c>
      <c r="D207">
        <v>0</v>
      </c>
      <c r="E207">
        <v>0</v>
      </c>
      <c r="F207">
        <v>0</v>
      </c>
    </row>
    <row r="208" spans="1:6" x14ac:dyDescent="0.25">
      <c r="A208" t="s">
        <v>16</v>
      </c>
      <c r="B208" t="s">
        <v>1636</v>
      </c>
      <c r="C208">
        <v>13503</v>
      </c>
      <c r="D208">
        <v>0</v>
      </c>
      <c r="E208">
        <v>0</v>
      </c>
      <c r="F208">
        <v>0</v>
      </c>
    </row>
    <row r="209" spans="1:6" x14ac:dyDescent="0.25">
      <c r="A209" t="s">
        <v>25</v>
      </c>
      <c r="B209" t="s">
        <v>1637</v>
      </c>
      <c r="C209">
        <v>13504</v>
      </c>
      <c r="D209">
        <v>0</v>
      </c>
      <c r="E209">
        <v>0</v>
      </c>
      <c r="F209">
        <v>0</v>
      </c>
    </row>
    <row r="210" spans="1:6" x14ac:dyDescent="0.25">
      <c r="A210" t="s">
        <v>26</v>
      </c>
      <c r="B210" t="s">
        <v>1638</v>
      </c>
      <c r="C210">
        <v>13505</v>
      </c>
      <c r="D210">
        <v>0</v>
      </c>
      <c r="E210">
        <v>0</v>
      </c>
      <c r="F210">
        <v>0</v>
      </c>
    </row>
    <row r="211" spans="1:6" x14ac:dyDescent="0.25">
      <c r="A211" t="s">
        <v>27</v>
      </c>
      <c r="B211" t="s">
        <v>1639</v>
      </c>
      <c r="C211">
        <v>13506</v>
      </c>
      <c r="D211">
        <v>0</v>
      </c>
      <c r="E211">
        <v>0</v>
      </c>
      <c r="F211">
        <v>0</v>
      </c>
    </row>
    <row r="212" spans="1:6" x14ac:dyDescent="0.25">
      <c r="A212" t="s">
        <v>531</v>
      </c>
      <c r="B212" t="s">
        <v>1640</v>
      </c>
      <c r="C212">
        <v>13507</v>
      </c>
      <c r="D212">
        <v>0</v>
      </c>
      <c r="E212">
        <v>0</v>
      </c>
      <c r="F212">
        <v>0</v>
      </c>
    </row>
    <row r="213" spans="1:6" x14ac:dyDescent="0.25">
      <c r="A213" t="s">
        <v>1583</v>
      </c>
      <c r="B213" t="s">
        <v>1641</v>
      </c>
      <c r="C213">
        <v>13508</v>
      </c>
      <c r="D213">
        <v>0</v>
      </c>
      <c r="E213">
        <v>0</v>
      </c>
      <c r="F213">
        <v>0</v>
      </c>
    </row>
    <row r="214" spans="1:6" x14ac:dyDescent="0.25">
      <c r="B214" t="s">
        <v>1666</v>
      </c>
      <c r="D214">
        <v>0</v>
      </c>
      <c r="E214">
        <v>0</v>
      </c>
      <c r="F214">
        <v>0</v>
      </c>
    </row>
    <row r="215" spans="1:6" x14ac:dyDescent="0.25">
      <c r="B215" t="s">
        <v>1643</v>
      </c>
    </row>
    <row r="216" spans="1:6" x14ac:dyDescent="0.25">
      <c r="A216" t="s">
        <v>2</v>
      </c>
      <c r="B216" t="s">
        <v>1634</v>
      </c>
      <c r="C216">
        <v>13601</v>
      </c>
      <c r="D216">
        <v>0</v>
      </c>
      <c r="E216">
        <v>0</v>
      </c>
      <c r="F216">
        <v>0</v>
      </c>
    </row>
    <row r="217" spans="1:6" x14ac:dyDescent="0.25">
      <c r="A217" t="s">
        <v>15</v>
      </c>
      <c r="B217" t="s">
        <v>1635</v>
      </c>
      <c r="C217">
        <v>13602</v>
      </c>
      <c r="D217">
        <v>0</v>
      </c>
      <c r="E217">
        <v>0</v>
      </c>
      <c r="F217">
        <v>0</v>
      </c>
    </row>
    <row r="218" spans="1:6" x14ac:dyDescent="0.25">
      <c r="A218" t="s">
        <v>16</v>
      </c>
      <c r="B218" t="s">
        <v>1636</v>
      </c>
      <c r="C218">
        <v>13603</v>
      </c>
      <c r="D218">
        <v>0</v>
      </c>
      <c r="E218">
        <v>0</v>
      </c>
      <c r="F218">
        <v>0</v>
      </c>
    </row>
    <row r="219" spans="1:6" x14ac:dyDescent="0.25">
      <c r="A219" t="s">
        <v>25</v>
      </c>
      <c r="B219" t="s">
        <v>1637</v>
      </c>
      <c r="C219">
        <v>13604</v>
      </c>
      <c r="D219">
        <v>0</v>
      </c>
      <c r="E219">
        <v>0</v>
      </c>
      <c r="F219">
        <v>0</v>
      </c>
    </row>
    <row r="220" spans="1:6" x14ac:dyDescent="0.25">
      <c r="A220" t="s">
        <v>26</v>
      </c>
      <c r="B220" t="s">
        <v>1638</v>
      </c>
      <c r="C220">
        <v>13605</v>
      </c>
      <c r="D220">
        <v>0</v>
      </c>
      <c r="E220">
        <v>0</v>
      </c>
      <c r="F220">
        <v>0</v>
      </c>
    </row>
    <row r="221" spans="1:6" x14ac:dyDescent="0.25">
      <c r="A221" t="s">
        <v>27</v>
      </c>
      <c r="B221" t="s">
        <v>1639</v>
      </c>
      <c r="C221">
        <v>13606</v>
      </c>
      <c r="D221">
        <v>0</v>
      </c>
      <c r="E221">
        <v>0</v>
      </c>
      <c r="F221">
        <v>0</v>
      </c>
    </row>
    <row r="222" spans="1:6" x14ac:dyDescent="0.25">
      <c r="A222" t="s">
        <v>531</v>
      </c>
      <c r="B222" t="s">
        <v>1640</v>
      </c>
      <c r="C222">
        <v>13607</v>
      </c>
      <c r="D222">
        <v>0</v>
      </c>
      <c r="E222">
        <v>0</v>
      </c>
      <c r="F222">
        <v>0</v>
      </c>
    </row>
    <row r="223" spans="1:6" x14ac:dyDescent="0.25">
      <c r="A223" t="s">
        <v>1583</v>
      </c>
      <c r="B223" t="s">
        <v>1641</v>
      </c>
      <c r="C223">
        <v>13608</v>
      </c>
      <c r="D223">
        <v>0</v>
      </c>
      <c r="E223">
        <v>0</v>
      </c>
      <c r="F223">
        <v>0</v>
      </c>
    </row>
    <row r="224" spans="1:6" x14ac:dyDescent="0.25">
      <c r="B224" t="s">
        <v>1667</v>
      </c>
      <c r="D224">
        <v>0</v>
      </c>
      <c r="E224">
        <v>0</v>
      </c>
      <c r="F224">
        <v>0</v>
      </c>
    </row>
    <row r="225" spans="1:6" x14ac:dyDescent="0.25">
      <c r="B225" t="s">
        <v>1645</v>
      </c>
    </row>
    <row r="226" spans="1:6" x14ac:dyDescent="0.25">
      <c r="A226" t="s">
        <v>2</v>
      </c>
      <c r="B226" t="s">
        <v>1634</v>
      </c>
      <c r="C226">
        <v>13701</v>
      </c>
      <c r="D226">
        <v>0</v>
      </c>
      <c r="E226">
        <v>0</v>
      </c>
      <c r="F226">
        <v>0</v>
      </c>
    </row>
    <row r="227" spans="1:6" x14ac:dyDescent="0.25">
      <c r="A227" t="s">
        <v>15</v>
      </c>
      <c r="B227" t="s">
        <v>1635</v>
      </c>
      <c r="C227">
        <v>13702</v>
      </c>
      <c r="D227">
        <v>0</v>
      </c>
      <c r="E227">
        <v>0</v>
      </c>
      <c r="F227">
        <v>0</v>
      </c>
    </row>
    <row r="228" spans="1:6" x14ac:dyDescent="0.25">
      <c r="A228" t="s">
        <v>16</v>
      </c>
      <c r="B228" t="s">
        <v>1636</v>
      </c>
      <c r="C228">
        <v>13703</v>
      </c>
      <c r="D228">
        <v>0</v>
      </c>
      <c r="E228">
        <v>0</v>
      </c>
      <c r="F228">
        <v>0</v>
      </c>
    </row>
    <row r="229" spans="1:6" x14ac:dyDescent="0.25">
      <c r="A229" t="s">
        <v>25</v>
      </c>
      <c r="B229" t="s">
        <v>1637</v>
      </c>
      <c r="C229">
        <v>13704</v>
      </c>
      <c r="D229">
        <v>0</v>
      </c>
      <c r="E229">
        <v>0</v>
      </c>
      <c r="F229">
        <v>0</v>
      </c>
    </row>
    <row r="230" spans="1:6" x14ac:dyDescent="0.25">
      <c r="A230" t="s">
        <v>26</v>
      </c>
      <c r="B230" t="s">
        <v>1638</v>
      </c>
      <c r="C230">
        <v>13705</v>
      </c>
      <c r="D230">
        <v>0</v>
      </c>
      <c r="E230">
        <v>0</v>
      </c>
      <c r="F230">
        <v>0</v>
      </c>
    </row>
    <row r="231" spans="1:6" x14ac:dyDescent="0.25">
      <c r="A231" t="s">
        <v>27</v>
      </c>
      <c r="B231" t="s">
        <v>1639</v>
      </c>
      <c r="C231">
        <v>13706</v>
      </c>
      <c r="D231">
        <v>0</v>
      </c>
      <c r="E231">
        <v>0</v>
      </c>
      <c r="F231">
        <v>0</v>
      </c>
    </row>
    <row r="232" spans="1:6" x14ac:dyDescent="0.25">
      <c r="A232" t="s">
        <v>531</v>
      </c>
      <c r="B232" t="s">
        <v>1640</v>
      </c>
      <c r="C232">
        <v>13707</v>
      </c>
      <c r="D232">
        <v>0</v>
      </c>
      <c r="E232">
        <v>0</v>
      </c>
      <c r="F232">
        <v>0</v>
      </c>
    </row>
    <row r="233" spans="1:6" x14ac:dyDescent="0.25">
      <c r="A233" t="s">
        <v>1583</v>
      </c>
      <c r="B233" t="s">
        <v>1641</v>
      </c>
      <c r="C233">
        <v>13708</v>
      </c>
      <c r="D233">
        <v>0</v>
      </c>
      <c r="E233">
        <v>0</v>
      </c>
      <c r="F233">
        <v>0</v>
      </c>
    </row>
    <row r="234" spans="1:6" x14ac:dyDescent="0.25">
      <c r="B234" t="s">
        <v>1668</v>
      </c>
      <c r="D234">
        <v>0</v>
      </c>
      <c r="E234">
        <v>0</v>
      </c>
      <c r="F234">
        <v>0</v>
      </c>
    </row>
    <row r="235" spans="1:6" x14ac:dyDescent="0.25">
      <c r="B235" t="s">
        <v>1647</v>
      </c>
    </row>
    <row r="236" spans="1:6" x14ac:dyDescent="0.25">
      <c r="A236" t="s">
        <v>2</v>
      </c>
      <c r="B236" t="s">
        <v>1648</v>
      </c>
      <c r="C236">
        <v>13801</v>
      </c>
      <c r="D236">
        <v>0</v>
      </c>
      <c r="E236">
        <v>0</v>
      </c>
      <c r="F236">
        <v>0</v>
      </c>
    </row>
    <row r="237" spans="1:6" x14ac:dyDescent="0.25">
      <c r="A237" t="s">
        <v>15</v>
      </c>
      <c r="B237" t="s">
        <v>1649</v>
      </c>
      <c r="C237">
        <v>13802</v>
      </c>
      <c r="D237">
        <v>0</v>
      </c>
      <c r="E237">
        <v>0</v>
      </c>
      <c r="F237">
        <v>0</v>
      </c>
    </row>
    <row r="238" spans="1:6" x14ac:dyDescent="0.25">
      <c r="A238" t="s">
        <v>16</v>
      </c>
      <c r="B238" t="s">
        <v>1637</v>
      </c>
      <c r="C238">
        <v>13803</v>
      </c>
      <c r="D238">
        <v>0</v>
      </c>
      <c r="E238">
        <v>0</v>
      </c>
      <c r="F238">
        <v>0</v>
      </c>
    </row>
    <row r="239" spans="1:6" x14ac:dyDescent="0.25">
      <c r="A239" t="s">
        <v>25</v>
      </c>
      <c r="B239" t="s">
        <v>1638</v>
      </c>
      <c r="C239">
        <v>13804</v>
      </c>
      <c r="D239">
        <v>0</v>
      </c>
      <c r="E239">
        <v>0</v>
      </c>
      <c r="F239">
        <v>0</v>
      </c>
    </row>
    <row r="240" spans="1:6" x14ac:dyDescent="0.25">
      <c r="A240" t="s">
        <v>26</v>
      </c>
      <c r="B240" t="s">
        <v>1650</v>
      </c>
      <c r="C240">
        <v>13805</v>
      </c>
      <c r="D240">
        <v>0</v>
      </c>
      <c r="E240">
        <v>0</v>
      </c>
      <c r="F240">
        <v>0</v>
      </c>
    </row>
    <row r="241" spans="1:6" x14ac:dyDescent="0.25">
      <c r="A241" t="s">
        <v>27</v>
      </c>
      <c r="B241" t="s">
        <v>1651</v>
      </c>
      <c r="C241">
        <v>13806</v>
      </c>
      <c r="D241">
        <v>0</v>
      </c>
      <c r="E241">
        <v>0</v>
      </c>
      <c r="F241">
        <v>0</v>
      </c>
    </row>
    <row r="242" spans="1:6" x14ac:dyDescent="0.25">
      <c r="A242" t="s">
        <v>531</v>
      </c>
      <c r="B242" t="s">
        <v>1640</v>
      </c>
      <c r="C242">
        <v>13807</v>
      </c>
      <c r="D242">
        <v>0</v>
      </c>
      <c r="E242">
        <v>0</v>
      </c>
      <c r="F242">
        <v>0</v>
      </c>
    </row>
    <row r="243" spans="1:6" x14ac:dyDescent="0.25">
      <c r="A243" t="s">
        <v>1583</v>
      </c>
      <c r="B243" t="s">
        <v>1641</v>
      </c>
      <c r="C243">
        <v>13808</v>
      </c>
      <c r="D243">
        <v>0</v>
      </c>
      <c r="E243">
        <v>0</v>
      </c>
      <c r="F243">
        <v>0</v>
      </c>
    </row>
    <row r="244" spans="1:6" x14ac:dyDescent="0.25">
      <c r="B244" t="s">
        <v>1669</v>
      </c>
      <c r="D244">
        <v>0</v>
      </c>
      <c r="E244">
        <v>0</v>
      </c>
      <c r="F244">
        <v>0</v>
      </c>
    </row>
    <row r="245" spans="1:6" x14ac:dyDescent="0.25">
      <c r="B245" t="s">
        <v>1670</v>
      </c>
      <c r="D245">
        <v>0</v>
      </c>
      <c r="E245">
        <v>0</v>
      </c>
      <c r="F245">
        <v>0</v>
      </c>
    </row>
    <row r="246" spans="1:6" x14ac:dyDescent="0.25">
      <c r="B246" t="s">
        <v>1671</v>
      </c>
    </row>
    <row r="247" spans="1:6" x14ac:dyDescent="0.25">
      <c r="B247" t="s">
        <v>1672</v>
      </c>
    </row>
    <row r="248" spans="1:6" x14ac:dyDescent="0.25">
      <c r="A248" t="s">
        <v>2</v>
      </c>
      <c r="B248" t="s">
        <v>1673</v>
      </c>
      <c r="C248">
        <v>14101</v>
      </c>
      <c r="D248">
        <v>0</v>
      </c>
      <c r="E248">
        <v>0</v>
      </c>
      <c r="F248">
        <v>0</v>
      </c>
    </row>
    <row r="249" spans="1:6" x14ac:dyDescent="0.25">
      <c r="A249" t="s">
        <v>15</v>
      </c>
      <c r="B249" t="s">
        <v>1674</v>
      </c>
      <c r="C249">
        <v>14102</v>
      </c>
      <c r="D249">
        <v>0</v>
      </c>
      <c r="E249">
        <v>0</v>
      </c>
      <c r="F249">
        <v>0</v>
      </c>
    </row>
    <row r="250" spans="1:6" x14ac:dyDescent="0.25">
      <c r="A250" t="s">
        <v>16</v>
      </c>
      <c r="B250" t="s">
        <v>1675</v>
      </c>
      <c r="C250">
        <v>14103</v>
      </c>
      <c r="D250">
        <v>0</v>
      </c>
      <c r="E250">
        <v>0</v>
      </c>
      <c r="F250">
        <v>0</v>
      </c>
    </row>
    <row r="251" spans="1:6" x14ac:dyDescent="0.25">
      <c r="A251" t="s">
        <v>25</v>
      </c>
      <c r="B251" t="s">
        <v>1676</v>
      </c>
      <c r="C251">
        <v>14104</v>
      </c>
      <c r="D251">
        <v>0</v>
      </c>
      <c r="E251">
        <v>0</v>
      </c>
      <c r="F251">
        <v>0</v>
      </c>
    </row>
    <row r="252" spans="1:6" x14ac:dyDescent="0.25">
      <c r="A252" t="s">
        <v>26</v>
      </c>
      <c r="B252" t="s">
        <v>1677</v>
      </c>
      <c r="C252">
        <v>14105</v>
      </c>
      <c r="D252">
        <v>0</v>
      </c>
      <c r="E252">
        <v>0</v>
      </c>
      <c r="F252">
        <v>0</v>
      </c>
    </row>
    <row r="253" spans="1:6" x14ac:dyDescent="0.25">
      <c r="B253" t="s">
        <v>1678</v>
      </c>
      <c r="D253">
        <v>0</v>
      </c>
      <c r="E253">
        <v>0</v>
      </c>
      <c r="F253">
        <v>0</v>
      </c>
    </row>
    <row r="254" spans="1:6" x14ac:dyDescent="0.25">
      <c r="B254" t="s">
        <v>1679</v>
      </c>
    </row>
    <row r="255" spans="1:6" x14ac:dyDescent="0.25">
      <c r="A255" t="s">
        <v>2</v>
      </c>
      <c r="B255" t="s">
        <v>1680</v>
      </c>
      <c r="C255">
        <v>14201</v>
      </c>
      <c r="D255">
        <v>0</v>
      </c>
      <c r="E255">
        <v>0</v>
      </c>
      <c r="F255">
        <v>0</v>
      </c>
    </row>
    <row r="256" spans="1:6" x14ac:dyDescent="0.25">
      <c r="A256" t="s">
        <v>15</v>
      </c>
      <c r="B256" t="s">
        <v>1681</v>
      </c>
      <c r="C256">
        <v>14202</v>
      </c>
      <c r="D256">
        <v>0</v>
      </c>
      <c r="E256">
        <v>0</v>
      </c>
      <c r="F256">
        <v>0</v>
      </c>
    </row>
    <row r="257" spans="1:6" x14ac:dyDescent="0.25">
      <c r="A257" t="s">
        <v>16</v>
      </c>
      <c r="B257" t="s">
        <v>1682</v>
      </c>
      <c r="C257">
        <v>14203</v>
      </c>
      <c r="D257">
        <v>0</v>
      </c>
      <c r="E257">
        <v>0</v>
      </c>
      <c r="F257">
        <v>0</v>
      </c>
    </row>
    <row r="258" spans="1:6" x14ac:dyDescent="0.25">
      <c r="A258" t="s">
        <v>25</v>
      </c>
      <c r="B258" t="s">
        <v>1683</v>
      </c>
      <c r="C258">
        <v>14204</v>
      </c>
      <c r="D258">
        <v>0</v>
      </c>
      <c r="E258">
        <v>0</v>
      </c>
      <c r="F258">
        <v>0</v>
      </c>
    </row>
    <row r="259" spans="1:6" x14ac:dyDescent="0.25">
      <c r="A259" t="s">
        <v>26</v>
      </c>
      <c r="B259" t="s">
        <v>1684</v>
      </c>
      <c r="C259">
        <v>14205</v>
      </c>
      <c r="D259">
        <v>0</v>
      </c>
      <c r="E259">
        <v>0</v>
      </c>
      <c r="F259">
        <v>0</v>
      </c>
    </row>
    <row r="260" spans="1:6" x14ac:dyDescent="0.25">
      <c r="A260" t="s">
        <v>27</v>
      </c>
      <c r="B260" t="s">
        <v>1685</v>
      </c>
      <c r="C260">
        <v>14206</v>
      </c>
      <c r="D260">
        <v>0</v>
      </c>
      <c r="E260">
        <v>0</v>
      </c>
      <c r="F260">
        <v>0</v>
      </c>
    </row>
    <row r="261" spans="1:6" x14ac:dyDescent="0.25">
      <c r="A261" t="s">
        <v>531</v>
      </c>
      <c r="B261" t="s">
        <v>1686</v>
      </c>
      <c r="C261">
        <v>14207</v>
      </c>
      <c r="D261">
        <v>0</v>
      </c>
      <c r="E261">
        <v>0</v>
      </c>
      <c r="F261">
        <v>0</v>
      </c>
    </row>
    <row r="262" spans="1:6" x14ac:dyDescent="0.25">
      <c r="A262" t="s">
        <v>1583</v>
      </c>
      <c r="B262" t="s">
        <v>1687</v>
      </c>
      <c r="C262">
        <v>14208</v>
      </c>
      <c r="D262">
        <v>0</v>
      </c>
      <c r="E262">
        <v>0</v>
      </c>
      <c r="F262">
        <v>0</v>
      </c>
    </row>
    <row r="263" spans="1:6" x14ac:dyDescent="0.25">
      <c r="A263" t="s">
        <v>1585</v>
      </c>
      <c r="B263" t="s">
        <v>1688</v>
      </c>
      <c r="C263">
        <v>14209</v>
      </c>
      <c r="D263">
        <v>0</v>
      </c>
      <c r="E263">
        <v>0</v>
      </c>
      <c r="F263">
        <v>0</v>
      </c>
    </row>
    <row r="264" spans="1:6" x14ac:dyDescent="0.25">
      <c r="A264" t="s">
        <v>1587</v>
      </c>
      <c r="B264" t="s">
        <v>1637</v>
      </c>
      <c r="C264">
        <v>14210</v>
      </c>
      <c r="D264">
        <v>0</v>
      </c>
      <c r="E264">
        <v>0</v>
      </c>
      <c r="F264">
        <v>0</v>
      </c>
    </row>
    <row r="265" spans="1:6" x14ac:dyDescent="0.25">
      <c r="A265" t="s">
        <v>1589</v>
      </c>
      <c r="B265" t="s">
        <v>1640</v>
      </c>
      <c r="C265">
        <v>14211</v>
      </c>
      <c r="D265">
        <v>0</v>
      </c>
      <c r="E265">
        <v>0</v>
      </c>
      <c r="F265">
        <v>0</v>
      </c>
    </row>
    <row r="266" spans="1:6" x14ac:dyDescent="0.25">
      <c r="A266" t="s">
        <v>1591</v>
      </c>
      <c r="B266" t="s">
        <v>1689</v>
      </c>
      <c r="C266">
        <v>14212</v>
      </c>
      <c r="D266">
        <v>0</v>
      </c>
      <c r="E266">
        <v>0</v>
      </c>
      <c r="F266">
        <v>0</v>
      </c>
    </row>
    <row r="267" spans="1:6" x14ac:dyDescent="0.25">
      <c r="A267" t="s">
        <v>1593</v>
      </c>
      <c r="B267" t="s">
        <v>1690</v>
      </c>
      <c r="C267">
        <v>14213</v>
      </c>
      <c r="D267">
        <v>0</v>
      </c>
      <c r="E267">
        <v>0</v>
      </c>
      <c r="F267">
        <v>0</v>
      </c>
    </row>
    <row r="268" spans="1:6" x14ac:dyDescent="0.25">
      <c r="B268" t="s">
        <v>1691</v>
      </c>
      <c r="D268">
        <v>0</v>
      </c>
      <c r="E268">
        <v>0</v>
      </c>
      <c r="F268">
        <v>0</v>
      </c>
    </row>
    <row r="269" spans="1:6" x14ac:dyDescent="0.25">
      <c r="B269" t="s">
        <v>1692</v>
      </c>
    </row>
    <row r="270" spans="1:6" x14ac:dyDescent="0.25">
      <c r="A270" t="s">
        <v>2</v>
      </c>
      <c r="B270" t="s">
        <v>1693</v>
      </c>
      <c r="C270">
        <v>14301</v>
      </c>
      <c r="D270">
        <v>0</v>
      </c>
      <c r="E270">
        <v>0</v>
      </c>
      <c r="F270">
        <v>0</v>
      </c>
    </row>
    <row r="271" spans="1:6" x14ac:dyDescent="0.25">
      <c r="A271" t="s">
        <v>15</v>
      </c>
      <c r="B271" t="s">
        <v>1694</v>
      </c>
      <c r="C271">
        <v>14302</v>
      </c>
      <c r="D271">
        <v>0</v>
      </c>
      <c r="E271">
        <v>0</v>
      </c>
      <c r="F271">
        <v>0</v>
      </c>
    </row>
    <row r="272" spans="1:6" x14ac:dyDescent="0.25">
      <c r="A272" t="s">
        <v>16</v>
      </c>
      <c r="B272" t="s">
        <v>1695</v>
      </c>
      <c r="C272">
        <v>14303</v>
      </c>
      <c r="D272">
        <v>0</v>
      </c>
      <c r="E272">
        <v>0</v>
      </c>
      <c r="F272">
        <v>0</v>
      </c>
    </row>
    <row r="273" spans="1:6" x14ac:dyDescent="0.25">
      <c r="A273" t="s">
        <v>25</v>
      </c>
      <c r="B273" t="s">
        <v>1696</v>
      </c>
      <c r="C273">
        <v>14304</v>
      </c>
      <c r="D273">
        <v>0</v>
      </c>
      <c r="E273">
        <v>0</v>
      </c>
      <c r="F273">
        <v>0</v>
      </c>
    </row>
    <row r="274" spans="1:6" x14ac:dyDescent="0.25">
      <c r="A274" t="s">
        <v>26</v>
      </c>
      <c r="B274" t="s">
        <v>1680</v>
      </c>
      <c r="C274">
        <v>14305</v>
      </c>
      <c r="D274">
        <v>0</v>
      </c>
      <c r="E274">
        <v>0</v>
      </c>
      <c r="F274">
        <v>0</v>
      </c>
    </row>
    <row r="275" spans="1:6" x14ac:dyDescent="0.25">
      <c r="A275" t="s">
        <v>27</v>
      </c>
      <c r="B275" t="s">
        <v>1681</v>
      </c>
      <c r="C275">
        <v>14306</v>
      </c>
      <c r="D275">
        <v>0</v>
      </c>
      <c r="E275">
        <v>0</v>
      </c>
      <c r="F275">
        <v>0</v>
      </c>
    </row>
    <row r="276" spans="1:6" x14ac:dyDescent="0.25">
      <c r="A276" t="s">
        <v>531</v>
      </c>
      <c r="B276" t="s">
        <v>1682</v>
      </c>
      <c r="C276">
        <v>14307</v>
      </c>
      <c r="D276">
        <v>0</v>
      </c>
      <c r="E276">
        <v>0</v>
      </c>
      <c r="F276">
        <v>0</v>
      </c>
    </row>
    <row r="277" spans="1:6" x14ac:dyDescent="0.25">
      <c r="A277" t="s">
        <v>1583</v>
      </c>
      <c r="B277" t="s">
        <v>1683</v>
      </c>
      <c r="C277">
        <v>14308</v>
      </c>
      <c r="D277">
        <v>0</v>
      </c>
      <c r="E277">
        <v>0</v>
      </c>
      <c r="F277">
        <v>0</v>
      </c>
    </row>
    <row r="278" spans="1:6" x14ac:dyDescent="0.25">
      <c r="A278" t="s">
        <v>1585</v>
      </c>
      <c r="B278" t="s">
        <v>1684</v>
      </c>
      <c r="C278">
        <v>14309</v>
      </c>
      <c r="D278">
        <v>0</v>
      </c>
      <c r="E278">
        <v>0</v>
      </c>
      <c r="F278">
        <v>0</v>
      </c>
    </row>
    <row r="279" spans="1:6" x14ac:dyDescent="0.25">
      <c r="A279" t="s">
        <v>1587</v>
      </c>
      <c r="B279" t="s">
        <v>1685</v>
      </c>
      <c r="C279">
        <v>14310</v>
      </c>
      <c r="D279">
        <v>0</v>
      </c>
      <c r="E279">
        <v>0</v>
      </c>
      <c r="F279">
        <v>0</v>
      </c>
    </row>
    <row r="280" spans="1:6" x14ac:dyDescent="0.25">
      <c r="A280" t="s">
        <v>1589</v>
      </c>
      <c r="B280" t="s">
        <v>1686</v>
      </c>
      <c r="C280">
        <v>14311</v>
      </c>
      <c r="D280">
        <v>0</v>
      </c>
      <c r="E280">
        <v>0</v>
      </c>
      <c r="F280">
        <v>0</v>
      </c>
    </row>
    <row r="281" spans="1:6" x14ac:dyDescent="0.25">
      <c r="A281" t="s">
        <v>1591</v>
      </c>
      <c r="B281" t="s">
        <v>1687</v>
      </c>
      <c r="C281">
        <v>14312</v>
      </c>
      <c r="D281">
        <v>0</v>
      </c>
      <c r="E281">
        <v>0</v>
      </c>
      <c r="F281">
        <v>0</v>
      </c>
    </row>
    <row r="282" spans="1:6" x14ac:dyDescent="0.25">
      <c r="A282" t="s">
        <v>1593</v>
      </c>
      <c r="B282" t="s">
        <v>1688</v>
      </c>
      <c r="C282">
        <v>14313</v>
      </c>
      <c r="D282">
        <v>0</v>
      </c>
      <c r="E282">
        <v>0</v>
      </c>
      <c r="F282">
        <v>0</v>
      </c>
    </row>
    <row r="283" spans="1:6" x14ac:dyDescent="0.25">
      <c r="A283" t="s">
        <v>1595</v>
      </c>
      <c r="B283" t="s">
        <v>1690</v>
      </c>
      <c r="C283">
        <v>14314</v>
      </c>
      <c r="D283">
        <v>0</v>
      </c>
      <c r="E283">
        <v>0</v>
      </c>
      <c r="F283">
        <v>0</v>
      </c>
    </row>
    <row r="284" spans="1:6" x14ac:dyDescent="0.25">
      <c r="A284" t="s">
        <v>1597</v>
      </c>
      <c r="B284" t="s">
        <v>1637</v>
      </c>
      <c r="C284">
        <v>14315</v>
      </c>
      <c r="D284">
        <v>0</v>
      </c>
      <c r="E284">
        <v>0</v>
      </c>
      <c r="F284">
        <v>0</v>
      </c>
    </row>
    <row r="285" spans="1:6" x14ac:dyDescent="0.25">
      <c r="A285" t="s">
        <v>1599</v>
      </c>
      <c r="B285" t="s">
        <v>1640</v>
      </c>
      <c r="C285">
        <v>14316</v>
      </c>
      <c r="D285">
        <v>0</v>
      </c>
      <c r="E285">
        <v>0</v>
      </c>
      <c r="F285">
        <v>0</v>
      </c>
    </row>
    <row r="286" spans="1:6" x14ac:dyDescent="0.25">
      <c r="A286" t="s">
        <v>1601</v>
      </c>
      <c r="B286" t="s">
        <v>1636</v>
      </c>
      <c r="C286">
        <v>14317</v>
      </c>
      <c r="D286">
        <v>0</v>
      </c>
      <c r="E286">
        <v>0</v>
      </c>
      <c r="F286">
        <v>0</v>
      </c>
    </row>
    <row r="287" spans="1:6" x14ac:dyDescent="0.25">
      <c r="A287" t="s">
        <v>1603</v>
      </c>
      <c r="B287" t="s">
        <v>1689</v>
      </c>
      <c r="C287">
        <v>14318</v>
      </c>
      <c r="D287">
        <v>0</v>
      </c>
      <c r="E287">
        <v>0</v>
      </c>
      <c r="F287">
        <v>0</v>
      </c>
    </row>
    <row r="288" spans="1:6" x14ac:dyDescent="0.25">
      <c r="B288" t="s">
        <v>1697</v>
      </c>
      <c r="D288">
        <v>0</v>
      </c>
      <c r="E288">
        <v>0</v>
      </c>
      <c r="F288">
        <v>0</v>
      </c>
    </row>
    <row r="289" spans="1:6" x14ac:dyDescent="0.25">
      <c r="B289" t="s">
        <v>1698</v>
      </c>
    </row>
    <row r="290" spans="1:6" x14ac:dyDescent="0.25">
      <c r="A290" t="s">
        <v>2</v>
      </c>
      <c r="B290" t="s">
        <v>1699</v>
      </c>
      <c r="C290">
        <v>14401</v>
      </c>
      <c r="D290">
        <v>0</v>
      </c>
      <c r="E290">
        <v>0</v>
      </c>
      <c r="F290">
        <v>0</v>
      </c>
    </row>
    <row r="291" spans="1:6" x14ac:dyDescent="0.25">
      <c r="A291" t="s">
        <v>15</v>
      </c>
      <c r="B291" t="s">
        <v>1694</v>
      </c>
      <c r="C291">
        <v>14402</v>
      </c>
      <c r="D291">
        <v>0</v>
      </c>
      <c r="E291">
        <v>0</v>
      </c>
      <c r="F291">
        <v>0</v>
      </c>
    </row>
    <row r="292" spans="1:6" x14ac:dyDescent="0.25">
      <c r="A292" t="s">
        <v>16</v>
      </c>
      <c r="B292" t="s">
        <v>1695</v>
      </c>
      <c r="C292">
        <v>14403</v>
      </c>
      <c r="D292">
        <v>0</v>
      </c>
      <c r="E292">
        <v>0</v>
      </c>
      <c r="F292">
        <v>0</v>
      </c>
    </row>
    <row r="293" spans="1:6" x14ac:dyDescent="0.25">
      <c r="A293" t="s">
        <v>25</v>
      </c>
      <c r="B293" t="s">
        <v>1696</v>
      </c>
      <c r="C293">
        <v>14404</v>
      </c>
      <c r="D293">
        <v>0</v>
      </c>
      <c r="E293">
        <v>0</v>
      </c>
      <c r="F293">
        <v>0</v>
      </c>
    </row>
    <row r="294" spans="1:6" x14ac:dyDescent="0.25">
      <c r="A294" t="s">
        <v>26</v>
      </c>
      <c r="B294" t="s">
        <v>1680</v>
      </c>
      <c r="C294">
        <v>14405</v>
      </c>
      <c r="D294">
        <v>0</v>
      </c>
      <c r="E294">
        <v>0</v>
      </c>
      <c r="F294">
        <v>0</v>
      </c>
    </row>
    <row r="295" spans="1:6" x14ac:dyDescent="0.25">
      <c r="A295" t="s">
        <v>27</v>
      </c>
      <c r="B295" t="s">
        <v>1681</v>
      </c>
      <c r="C295">
        <v>14406</v>
      </c>
      <c r="D295">
        <v>0</v>
      </c>
      <c r="E295">
        <v>0</v>
      </c>
      <c r="F295">
        <v>0</v>
      </c>
    </row>
    <row r="296" spans="1:6" x14ac:dyDescent="0.25">
      <c r="A296" t="s">
        <v>531</v>
      </c>
      <c r="B296" t="s">
        <v>1682</v>
      </c>
      <c r="C296">
        <v>14407</v>
      </c>
      <c r="D296">
        <v>0</v>
      </c>
      <c r="E296">
        <v>0</v>
      </c>
      <c r="F296">
        <v>0</v>
      </c>
    </row>
    <row r="297" spans="1:6" x14ac:dyDescent="0.25">
      <c r="A297" t="s">
        <v>1583</v>
      </c>
      <c r="B297" t="s">
        <v>1683</v>
      </c>
      <c r="C297">
        <v>14408</v>
      </c>
      <c r="D297">
        <v>0</v>
      </c>
      <c r="E297">
        <v>0</v>
      </c>
      <c r="F297">
        <v>0</v>
      </c>
    </row>
    <row r="298" spans="1:6" x14ac:dyDescent="0.25">
      <c r="A298" t="s">
        <v>1585</v>
      </c>
      <c r="B298" t="s">
        <v>1684</v>
      </c>
      <c r="C298">
        <v>14409</v>
      </c>
      <c r="D298">
        <v>0</v>
      </c>
      <c r="E298">
        <v>0</v>
      </c>
      <c r="F298">
        <v>0</v>
      </c>
    </row>
    <row r="299" spans="1:6" x14ac:dyDescent="0.25">
      <c r="A299" t="s">
        <v>1587</v>
      </c>
      <c r="B299" t="s">
        <v>1685</v>
      </c>
      <c r="C299">
        <v>14410</v>
      </c>
      <c r="D299">
        <v>0</v>
      </c>
      <c r="E299">
        <v>0</v>
      </c>
      <c r="F299">
        <v>0</v>
      </c>
    </row>
    <row r="300" spans="1:6" x14ac:dyDescent="0.25">
      <c r="A300" t="s">
        <v>1589</v>
      </c>
      <c r="B300" t="s">
        <v>1686</v>
      </c>
      <c r="C300">
        <v>14411</v>
      </c>
      <c r="D300">
        <v>0</v>
      </c>
      <c r="E300">
        <v>0</v>
      </c>
      <c r="F300">
        <v>0</v>
      </c>
    </row>
    <row r="301" spans="1:6" x14ac:dyDescent="0.25">
      <c r="A301" t="s">
        <v>1591</v>
      </c>
      <c r="B301" t="s">
        <v>1687</v>
      </c>
      <c r="C301">
        <v>14412</v>
      </c>
      <c r="D301">
        <v>0</v>
      </c>
      <c r="E301">
        <v>0</v>
      </c>
      <c r="F301">
        <v>0</v>
      </c>
    </row>
    <row r="302" spans="1:6" x14ac:dyDescent="0.25">
      <c r="A302" t="s">
        <v>1593</v>
      </c>
      <c r="B302" t="s">
        <v>1688</v>
      </c>
      <c r="C302">
        <v>14413</v>
      </c>
      <c r="D302">
        <v>0</v>
      </c>
      <c r="E302">
        <v>0</v>
      </c>
      <c r="F302">
        <v>0</v>
      </c>
    </row>
    <row r="303" spans="1:6" x14ac:dyDescent="0.25">
      <c r="A303" t="s">
        <v>1595</v>
      </c>
      <c r="B303" t="s">
        <v>1690</v>
      </c>
      <c r="C303">
        <v>14414</v>
      </c>
      <c r="D303">
        <v>0</v>
      </c>
      <c r="E303">
        <v>0</v>
      </c>
      <c r="F303">
        <v>0</v>
      </c>
    </row>
    <row r="304" spans="1:6" x14ac:dyDescent="0.25">
      <c r="A304" t="s">
        <v>1597</v>
      </c>
      <c r="B304" t="s">
        <v>1637</v>
      </c>
      <c r="C304">
        <v>14415</v>
      </c>
      <c r="D304">
        <v>0</v>
      </c>
      <c r="E304">
        <v>0</v>
      </c>
      <c r="F304">
        <v>0</v>
      </c>
    </row>
    <row r="305" spans="1:6" x14ac:dyDescent="0.25">
      <c r="A305" t="s">
        <v>1599</v>
      </c>
      <c r="B305" t="s">
        <v>1640</v>
      </c>
      <c r="C305">
        <v>14416</v>
      </c>
      <c r="D305">
        <v>0</v>
      </c>
      <c r="E305">
        <v>0</v>
      </c>
      <c r="F305">
        <v>0</v>
      </c>
    </row>
    <row r="306" spans="1:6" x14ac:dyDescent="0.25">
      <c r="A306" t="s">
        <v>1601</v>
      </c>
      <c r="B306" t="s">
        <v>1636</v>
      </c>
      <c r="C306">
        <v>14417</v>
      </c>
      <c r="D306">
        <v>0</v>
      </c>
      <c r="E306">
        <v>0</v>
      </c>
      <c r="F306">
        <v>0</v>
      </c>
    </row>
    <row r="307" spans="1:6" x14ac:dyDescent="0.25">
      <c r="A307" t="s">
        <v>1603</v>
      </c>
      <c r="B307" t="s">
        <v>1689</v>
      </c>
      <c r="C307">
        <v>14418</v>
      </c>
      <c r="D307">
        <v>0</v>
      </c>
      <c r="E307">
        <v>0</v>
      </c>
      <c r="F307">
        <v>0</v>
      </c>
    </row>
    <row r="308" spans="1:6" x14ac:dyDescent="0.25">
      <c r="B308" t="s">
        <v>1700</v>
      </c>
      <c r="D308">
        <v>0</v>
      </c>
      <c r="E308">
        <v>0</v>
      </c>
      <c r="F308">
        <v>0</v>
      </c>
    </row>
    <row r="309" spans="1:6" x14ac:dyDescent="0.25">
      <c r="B309" t="s">
        <v>1701</v>
      </c>
    </row>
    <row r="310" spans="1:6" x14ac:dyDescent="0.25">
      <c r="A310" t="s">
        <v>2</v>
      </c>
      <c r="B310" t="s">
        <v>1702</v>
      </c>
      <c r="C310">
        <v>14501</v>
      </c>
      <c r="D310">
        <v>0</v>
      </c>
      <c r="E310">
        <v>0</v>
      </c>
      <c r="F310">
        <v>0</v>
      </c>
    </row>
    <row r="311" spans="1:6" x14ac:dyDescent="0.25">
      <c r="A311" t="s">
        <v>15</v>
      </c>
      <c r="B311" t="s">
        <v>1703</v>
      </c>
      <c r="C311">
        <v>14502</v>
      </c>
      <c r="D311">
        <v>0</v>
      </c>
      <c r="E311">
        <v>0</v>
      </c>
      <c r="F311">
        <v>0</v>
      </c>
    </row>
    <row r="312" spans="1:6" x14ac:dyDescent="0.25">
      <c r="B312" t="s">
        <v>1704</v>
      </c>
      <c r="D312">
        <v>0</v>
      </c>
      <c r="E312">
        <v>0</v>
      </c>
      <c r="F312">
        <v>0</v>
      </c>
    </row>
    <row r="313" spans="1:6" x14ac:dyDescent="0.25">
      <c r="B313" t="s">
        <v>1705</v>
      </c>
    </row>
    <row r="314" spans="1:6" x14ac:dyDescent="0.25">
      <c r="A314" t="s">
        <v>2</v>
      </c>
      <c r="B314" t="s">
        <v>1702</v>
      </c>
      <c r="C314">
        <v>14601</v>
      </c>
      <c r="D314">
        <v>0</v>
      </c>
      <c r="E314">
        <v>0</v>
      </c>
      <c r="F314">
        <v>0</v>
      </c>
    </row>
    <row r="315" spans="1:6" x14ac:dyDescent="0.25">
      <c r="A315" t="s">
        <v>15</v>
      </c>
      <c r="B315" t="s">
        <v>1703</v>
      </c>
      <c r="C315">
        <v>14602</v>
      </c>
      <c r="D315">
        <v>0</v>
      </c>
      <c r="E315">
        <v>0</v>
      </c>
      <c r="F315">
        <v>0</v>
      </c>
    </row>
    <row r="316" spans="1:6" x14ac:dyDescent="0.25">
      <c r="B316" t="s">
        <v>1706</v>
      </c>
      <c r="D316">
        <v>0</v>
      </c>
      <c r="E316">
        <v>0</v>
      </c>
      <c r="F316">
        <v>0</v>
      </c>
    </row>
    <row r="317" spans="1:6" x14ac:dyDescent="0.25">
      <c r="B317" t="s">
        <v>1707</v>
      </c>
    </row>
    <row r="318" spans="1:6" x14ac:dyDescent="0.25">
      <c r="A318" t="s">
        <v>2</v>
      </c>
      <c r="B318" t="s">
        <v>1702</v>
      </c>
      <c r="C318">
        <v>14701</v>
      </c>
      <c r="D318">
        <v>0</v>
      </c>
      <c r="E318">
        <v>0</v>
      </c>
      <c r="F318">
        <v>0</v>
      </c>
    </row>
    <row r="319" spans="1:6" x14ac:dyDescent="0.25">
      <c r="A319" t="s">
        <v>15</v>
      </c>
      <c r="B319" t="s">
        <v>1703</v>
      </c>
      <c r="C319">
        <v>14702</v>
      </c>
      <c r="D319">
        <v>0</v>
      </c>
      <c r="E319">
        <v>0</v>
      </c>
      <c r="F319">
        <v>0</v>
      </c>
    </row>
    <row r="320" spans="1:6" x14ac:dyDescent="0.25">
      <c r="B320" t="s">
        <v>1708</v>
      </c>
      <c r="D320">
        <v>0</v>
      </c>
      <c r="E320">
        <v>0</v>
      </c>
      <c r="F320">
        <v>0</v>
      </c>
    </row>
    <row r="321" spans="1:6" x14ac:dyDescent="0.25">
      <c r="B321" t="s">
        <v>1709</v>
      </c>
    </row>
    <row r="322" spans="1:6" x14ac:dyDescent="0.25">
      <c r="A322" t="s">
        <v>2</v>
      </c>
      <c r="B322" t="s">
        <v>1710</v>
      </c>
      <c r="C322">
        <v>14801</v>
      </c>
      <c r="D322">
        <v>0</v>
      </c>
      <c r="E322">
        <v>0</v>
      </c>
      <c r="F322">
        <v>0</v>
      </c>
    </row>
    <row r="323" spans="1:6" x14ac:dyDescent="0.25">
      <c r="A323" t="s">
        <v>15</v>
      </c>
      <c r="B323" t="s">
        <v>1711</v>
      </c>
      <c r="C323">
        <v>14802</v>
      </c>
      <c r="D323">
        <v>0</v>
      </c>
      <c r="E323">
        <v>0</v>
      </c>
      <c r="F323">
        <v>0</v>
      </c>
    </row>
    <row r="324" spans="1:6" x14ac:dyDescent="0.25">
      <c r="A324" t="s">
        <v>16</v>
      </c>
      <c r="B324" t="s">
        <v>1712</v>
      </c>
      <c r="C324">
        <v>14803</v>
      </c>
      <c r="D324">
        <v>0</v>
      </c>
      <c r="E324">
        <v>0</v>
      </c>
      <c r="F324">
        <v>0</v>
      </c>
    </row>
    <row r="325" spans="1:6" x14ac:dyDescent="0.25">
      <c r="A325" t="s">
        <v>25</v>
      </c>
      <c r="B325" t="s">
        <v>1713</v>
      </c>
      <c r="C325">
        <v>14804</v>
      </c>
      <c r="D325">
        <v>0</v>
      </c>
      <c r="E325">
        <v>0</v>
      </c>
      <c r="F325">
        <v>0</v>
      </c>
    </row>
    <row r="326" spans="1:6" x14ac:dyDescent="0.25">
      <c r="A326" t="s">
        <v>26</v>
      </c>
      <c r="B326" t="s">
        <v>1714</v>
      </c>
      <c r="C326">
        <v>14805</v>
      </c>
      <c r="D326">
        <v>0</v>
      </c>
      <c r="E326">
        <v>0</v>
      </c>
      <c r="F326">
        <v>0</v>
      </c>
    </row>
    <row r="327" spans="1:6" x14ac:dyDescent="0.25">
      <c r="B327" t="s">
        <v>1715</v>
      </c>
      <c r="D327">
        <v>0</v>
      </c>
      <c r="E327">
        <v>0</v>
      </c>
      <c r="F327">
        <v>0</v>
      </c>
    </row>
    <row r="328" spans="1:6" x14ac:dyDescent="0.25">
      <c r="B328" t="s">
        <v>1716</v>
      </c>
      <c r="D328">
        <v>0</v>
      </c>
      <c r="E328">
        <v>0</v>
      </c>
      <c r="F328">
        <v>0</v>
      </c>
    </row>
    <row r="329" spans="1:6" x14ac:dyDescent="0.25">
      <c r="B329" t="s">
        <v>1717</v>
      </c>
    </row>
    <row r="330" spans="1:6" x14ac:dyDescent="0.25">
      <c r="B330" t="s">
        <v>1575</v>
      </c>
    </row>
    <row r="331" spans="1:6" x14ac:dyDescent="0.25">
      <c r="A331" t="s">
        <v>2</v>
      </c>
      <c r="B331" t="s">
        <v>1576</v>
      </c>
      <c r="C331">
        <v>15101</v>
      </c>
      <c r="D331">
        <v>0</v>
      </c>
      <c r="F331">
        <v>0</v>
      </c>
    </row>
    <row r="332" spans="1:6" x14ac:dyDescent="0.25">
      <c r="A332" t="s">
        <v>15</v>
      </c>
      <c r="B332" t="s">
        <v>1577</v>
      </c>
      <c r="C332">
        <v>15102</v>
      </c>
      <c r="D332">
        <v>0</v>
      </c>
      <c r="F332">
        <v>0</v>
      </c>
    </row>
    <row r="333" spans="1:6" x14ac:dyDescent="0.25">
      <c r="A333" t="s">
        <v>16</v>
      </c>
      <c r="B333" t="s">
        <v>1578</v>
      </c>
      <c r="C333">
        <v>15103</v>
      </c>
      <c r="D333">
        <v>0</v>
      </c>
      <c r="F333">
        <v>0</v>
      </c>
    </row>
    <row r="334" spans="1:6" x14ac:dyDescent="0.25">
      <c r="A334" t="s">
        <v>25</v>
      </c>
      <c r="B334" t="s">
        <v>1579</v>
      </c>
      <c r="C334">
        <v>15104</v>
      </c>
      <c r="D334">
        <v>0</v>
      </c>
      <c r="F334">
        <v>0</v>
      </c>
    </row>
    <row r="335" spans="1:6" x14ac:dyDescent="0.25">
      <c r="A335" t="s">
        <v>26</v>
      </c>
      <c r="B335" t="s">
        <v>1580</v>
      </c>
      <c r="C335">
        <v>15105</v>
      </c>
      <c r="D335">
        <v>0</v>
      </c>
      <c r="F335">
        <v>0</v>
      </c>
    </row>
    <row r="336" spans="1:6" x14ac:dyDescent="0.25">
      <c r="A336" t="s">
        <v>27</v>
      </c>
      <c r="B336" t="s">
        <v>1581</v>
      </c>
      <c r="C336">
        <v>15106</v>
      </c>
      <c r="D336">
        <v>0</v>
      </c>
      <c r="F336">
        <v>0</v>
      </c>
    </row>
    <row r="337" spans="1:6" x14ac:dyDescent="0.25">
      <c r="A337" t="s">
        <v>531</v>
      </c>
      <c r="B337" t="s">
        <v>1582</v>
      </c>
      <c r="C337">
        <v>15107</v>
      </c>
      <c r="D337">
        <v>653</v>
      </c>
      <c r="F337">
        <v>653</v>
      </c>
    </row>
    <row r="338" spans="1:6" x14ac:dyDescent="0.25">
      <c r="A338" t="s">
        <v>1583</v>
      </c>
      <c r="B338" t="s">
        <v>1584</v>
      </c>
      <c r="C338">
        <v>15108</v>
      </c>
      <c r="D338">
        <v>253239</v>
      </c>
      <c r="F338">
        <v>253239</v>
      </c>
    </row>
    <row r="339" spans="1:6" x14ac:dyDescent="0.25">
      <c r="A339" t="s">
        <v>1585</v>
      </c>
      <c r="B339" t="s">
        <v>1586</v>
      </c>
      <c r="C339">
        <v>15109</v>
      </c>
      <c r="D339">
        <v>330</v>
      </c>
      <c r="F339">
        <v>330</v>
      </c>
    </row>
    <row r="340" spans="1:6" x14ac:dyDescent="0.25">
      <c r="A340" t="s">
        <v>1587</v>
      </c>
      <c r="B340" t="s">
        <v>1588</v>
      </c>
      <c r="C340">
        <v>15110</v>
      </c>
      <c r="D340">
        <v>8279</v>
      </c>
      <c r="F340">
        <v>8279</v>
      </c>
    </row>
    <row r="341" spans="1:6" x14ac:dyDescent="0.25">
      <c r="A341" t="s">
        <v>1589</v>
      </c>
      <c r="B341" t="s">
        <v>1590</v>
      </c>
      <c r="C341">
        <v>15111</v>
      </c>
      <c r="D341">
        <v>2337905</v>
      </c>
      <c r="F341">
        <v>2337905</v>
      </c>
    </row>
    <row r="342" spans="1:6" x14ac:dyDescent="0.25">
      <c r="A342" t="s">
        <v>1591</v>
      </c>
      <c r="B342" t="s">
        <v>1592</v>
      </c>
      <c r="C342">
        <v>15112</v>
      </c>
      <c r="D342">
        <v>24415974</v>
      </c>
      <c r="F342">
        <v>24415974</v>
      </c>
    </row>
    <row r="343" spans="1:6" x14ac:dyDescent="0.25">
      <c r="A343" t="s">
        <v>1593</v>
      </c>
      <c r="B343" t="s">
        <v>1594</v>
      </c>
      <c r="C343">
        <v>15113</v>
      </c>
      <c r="D343">
        <v>369</v>
      </c>
      <c r="F343">
        <v>369</v>
      </c>
    </row>
    <row r="344" spans="1:6" x14ac:dyDescent="0.25">
      <c r="A344" t="s">
        <v>1595</v>
      </c>
      <c r="B344" t="s">
        <v>1596</v>
      </c>
      <c r="C344">
        <v>15114</v>
      </c>
      <c r="D344">
        <v>203548</v>
      </c>
      <c r="F344">
        <v>203548</v>
      </c>
    </row>
    <row r="345" spans="1:6" x14ac:dyDescent="0.25">
      <c r="A345" t="s">
        <v>1597</v>
      </c>
      <c r="B345" t="s">
        <v>1598</v>
      </c>
      <c r="C345">
        <v>15115</v>
      </c>
      <c r="D345">
        <v>9018408</v>
      </c>
      <c r="F345">
        <v>9018408</v>
      </c>
    </row>
    <row r="346" spans="1:6" x14ac:dyDescent="0.25">
      <c r="A346" t="s">
        <v>1599</v>
      </c>
      <c r="B346" t="s">
        <v>1600</v>
      </c>
      <c r="C346">
        <v>15116</v>
      </c>
      <c r="D346">
        <v>0</v>
      </c>
      <c r="F346">
        <v>0</v>
      </c>
    </row>
    <row r="347" spans="1:6" x14ac:dyDescent="0.25">
      <c r="A347" t="s">
        <v>1601</v>
      </c>
      <c r="B347" t="s">
        <v>1602</v>
      </c>
      <c r="C347">
        <v>15117</v>
      </c>
      <c r="D347">
        <v>0</v>
      </c>
      <c r="F347">
        <v>0</v>
      </c>
    </row>
    <row r="348" spans="1:6" x14ac:dyDescent="0.25">
      <c r="A348" t="s">
        <v>1603</v>
      </c>
      <c r="B348" t="s">
        <v>1604</v>
      </c>
      <c r="C348">
        <v>15118</v>
      </c>
      <c r="D348">
        <v>458000</v>
      </c>
      <c r="F348">
        <v>458000</v>
      </c>
    </row>
    <row r="349" spans="1:6" x14ac:dyDescent="0.25">
      <c r="A349" t="s">
        <v>1605</v>
      </c>
      <c r="B349" t="s">
        <v>1606</v>
      </c>
      <c r="C349">
        <v>15119</v>
      </c>
      <c r="D349">
        <v>0</v>
      </c>
      <c r="F349">
        <v>0</v>
      </c>
    </row>
    <row r="350" spans="1:6" x14ac:dyDescent="0.25">
      <c r="A350" t="s">
        <v>1607</v>
      </c>
      <c r="B350" t="s">
        <v>1608</v>
      </c>
      <c r="C350">
        <v>15120</v>
      </c>
      <c r="D350">
        <v>0</v>
      </c>
      <c r="F350">
        <v>0</v>
      </c>
    </row>
    <row r="351" spans="1:6" x14ac:dyDescent="0.25">
      <c r="B351" t="s">
        <v>1718</v>
      </c>
      <c r="D351">
        <v>36696705</v>
      </c>
      <c r="F351">
        <v>36696705</v>
      </c>
    </row>
    <row r="352" spans="1:6" x14ac:dyDescent="0.25">
      <c r="B352" t="s">
        <v>1656</v>
      </c>
    </row>
    <row r="353" spans="1:6" x14ac:dyDescent="0.25">
      <c r="A353" t="s">
        <v>2</v>
      </c>
      <c r="B353" t="s">
        <v>1611</v>
      </c>
      <c r="C353">
        <v>15201</v>
      </c>
      <c r="D353">
        <v>0</v>
      </c>
      <c r="F353">
        <v>0</v>
      </c>
    </row>
    <row r="354" spans="1:6" x14ac:dyDescent="0.25">
      <c r="A354" t="s">
        <v>15</v>
      </c>
      <c r="B354" t="s">
        <v>1612</v>
      </c>
      <c r="C354">
        <v>15202</v>
      </c>
      <c r="D354">
        <v>0</v>
      </c>
      <c r="F354">
        <v>0</v>
      </c>
    </row>
    <row r="355" spans="1:6" x14ac:dyDescent="0.25">
      <c r="A355" t="s">
        <v>16</v>
      </c>
      <c r="B355" t="s">
        <v>1613</v>
      </c>
      <c r="C355">
        <v>15203</v>
      </c>
      <c r="D355">
        <v>0</v>
      </c>
      <c r="F355">
        <v>0</v>
      </c>
    </row>
    <row r="356" spans="1:6" x14ac:dyDescent="0.25">
      <c r="A356" t="s">
        <v>25</v>
      </c>
      <c r="B356" t="s">
        <v>1614</v>
      </c>
      <c r="C356">
        <v>15204</v>
      </c>
      <c r="D356">
        <v>46838</v>
      </c>
      <c r="F356">
        <v>46838</v>
      </c>
    </row>
    <row r="357" spans="1:6" x14ac:dyDescent="0.25">
      <c r="A357" t="s">
        <v>26</v>
      </c>
      <c r="B357" t="s">
        <v>1615</v>
      </c>
      <c r="C357">
        <v>15205</v>
      </c>
      <c r="D357">
        <v>0</v>
      </c>
      <c r="F357">
        <v>0</v>
      </c>
    </row>
    <row r="358" spans="1:6" x14ac:dyDescent="0.25">
      <c r="A358" t="s">
        <v>27</v>
      </c>
      <c r="B358" t="s">
        <v>1616</v>
      </c>
      <c r="C358">
        <v>15206</v>
      </c>
      <c r="D358">
        <v>0</v>
      </c>
      <c r="F358">
        <v>0</v>
      </c>
    </row>
    <row r="359" spans="1:6" x14ac:dyDescent="0.25">
      <c r="A359" t="s">
        <v>531</v>
      </c>
      <c r="B359" t="s">
        <v>1617</v>
      </c>
      <c r="C359">
        <v>15207</v>
      </c>
      <c r="D359">
        <v>0</v>
      </c>
      <c r="F359">
        <v>0</v>
      </c>
    </row>
    <row r="360" spans="1:6" x14ac:dyDescent="0.25">
      <c r="A360" t="s">
        <v>1583</v>
      </c>
      <c r="B360" t="s">
        <v>1618</v>
      </c>
      <c r="C360">
        <v>15208</v>
      </c>
      <c r="D360">
        <v>0</v>
      </c>
      <c r="F360">
        <v>0</v>
      </c>
    </row>
    <row r="361" spans="1:6" x14ac:dyDescent="0.25">
      <c r="A361" t="s">
        <v>1585</v>
      </c>
      <c r="B361" t="s">
        <v>1619</v>
      </c>
      <c r="C361">
        <v>15209</v>
      </c>
      <c r="D361">
        <v>0</v>
      </c>
      <c r="F361">
        <v>0</v>
      </c>
    </row>
    <row r="362" spans="1:6" x14ac:dyDescent="0.25">
      <c r="A362" t="s">
        <v>1587</v>
      </c>
      <c r="B362" t="s">
        <v>1620</v>
      </c>
      <c r="C362">
        <v>15210</v>
      </c>
      <c r="D362">
        <v>0</v>
      </c>
      <c r="F362">
        <v>0</v>
      </c>
    </row>
    <row r="363" spans="1:6" x14ac:dyDescent="0.25">
      <c r="A363" t="s">
        <v>1589</v>
      </c>
      <c r="B363" t="s">
        <v>1621</v>
      </c>
      <c r="C363">
        <v>15211</v>
      </c>
      <c r="D363">
        <v>2214870</v>
      </c>
      <c r="F363">
        <v>2214870</v>
      </c>
    </row>
    <row r="364" spans="1:6" x14ac:dyDescent="0.25">
      <c r="A364" t="s">
        <v>1591</v>
      </c>
      <c r="B364" t="s">
        <v>1622</v>
      </c>
      <c r="C364">
        <v>15212</v>
      </c>
      <c r="D364">
        <v>16667792</v>
      </c>
      <c r="F364">
        <v>16667792</v>
      </c>
    </row>
    <row r="365" spans="1:6" x14ac:dyDescent="0.25">
      <c r="A365" t="s">
        <v>1593</v>
      </c>
      <c r="B365" t="s">
        <v>1623</v>
      </c>
      <c r="C365">
        <v>15213</v>
      </c>
      <c r="D365">
        <v>987</v>
      </c>
      <c r="F365">
        <v>987</v>
      </c>
    </row>
    <row r="366" spans="1:6" x14ac:dyDescent="0.25">
      <c r="A366" t="s">
        <v>1595</v>
      </c>
      <c r="B366" t="s">
        <v>1624</v>
      </c>
      <c r="C366">
        <v>15214</v>
      </c>
      <c r="D366">
        <v>256868</v>
      </c>
      <c r="F366">
        <v>256868</v>
      </c>
    </row>
    <row r="367" spans="1:6" x14ac:dyDescent="0.25">
      <c r="A367" t="s">
        <v>1597</v>
      </c>
      <c r="B367" t="s">
        <v>1625</v>
      </c>
      <c r="C367">
        <v>15215</v>
      </c>
      <c r="D367">
        <v>4626</v>
      </c>
      <c r="F367">
        <v>4626</v>
      </c>
    </row>
    <row r="368" spans="1:6" x14ac:dyDescent="0.25">
      <c r="A368" t="s">
        <v>1599</v>
      </c>
      <c r="B368" t="s">
        <v>1626</v>
      </c>
      <c r="C368">
        <v>15216</v>
      </c>
      <c r="D368">
        <v>0</v>
      </c>
      <c r="F368">
        <v>0</v>
      </c>
    </row>
    <row r="369" spans="1:6" x14ac:dyDescent="0.25">
      <c r="A369" t="s">
        <v>1601</v>
      </c>
      <c r="B369" t="s">
        <v>1627</v>
      </c>
      <c r="C369">
        <v>15217</v>
      </c>
      <c r="D369">
        <v>0</v>
      </c>
      <c r="F369">
        <v>0</v>
      </c>
    </row>
    <row r="370" spans="1:6" x14ac:dyDescent="0.25">
      <c r="A370" t="s">
        <v>1603</v>
      </c>
      <c r="B370" t="s">
        <v>1596</v>
      </c>
      <c r="C370">
        <v>15218</v>
      </c>
      <c r="D370">
        <v>106</v>
      </c>
      <c r="F370">
        <v>106</v>
      </c>
    </row>
    <row r="371" spans="1:6" x14ac:dyDescent="0.25">
      <c r="A371" t="s">
        <v>1605</v>
      </c>
      <c r="B371" t="s">
        <v>1598</v>
      </c>
      <c r="C371">
        <v>15219</v>
      </c>
      <c r="D371">
        <v>0</v>
      </c>
      <c r="F371">
        <v>0</v>
      </c>
    </row>
    <row r="372" spans="1:6" x14ac:dyDescent="0.25">
      <c r="A372" t="s">
        <v>1607</v>
      </c>
      <c r="B372" t="s">
        <v>1602</v>
      </c>
      <c r="C372">
        <v>15220</v>
      </c>
      <c r="D372">
        <v>0</v>
      </c>
      <c r="F372">
        <v>0</v>
      </c>
    </row>
    <row r="373" spans="1:6" x14ac:dyDescent="0.25">
      <c r="B373" t="s">
        <v>1719</v>
      </c>
      <c r="D373">
        <v>19192087</v>
      </c>
      <c r="F373">
        <v>19192087</v>
      </c>
    </row>
    <row r="374" spans="1:6" x14ac:dyDescent="0.25">
      <c r="B374" t="s">
        <v>1629</v>
      </c>
    </row>
    <row r="375" spans="1:6" x14ac:dyDescent="0.25">
      <c r="A375" t="s">
        <v>2</v>
      </c>
      <c r="B375" t="s">
        <v>1627</v>
      </c>
      <c r="C375">
        <v>15301</v>
      </c>
      <c r="D375">
        <v>0</v>
      </c>
      <c r="F375">
        <v>0</v>
      </c>
    </row>
    <row r="376" spans="1:6" x14ac:dyDescent="0.25">
      <c r="A376" t="s">
        <v>15</v>
      </c>
      <c r="B376" t="s">
        <v>1625</v>
      </c>
      <c r="C376">
        <v>15302</v>
      </c>
      <c r="D376">
        <v>1020</v>
      </c>
      <c r="F376">
        <v>1020</v>
      </c>
    </row>
    <row r="377" spans="1:6" x14ac:dyDescent="0.25">
      <c r="A377" t="s">
        <v>16</v>
      </c>
      <c r="B377" t="s">
        <v>1626</v>
      </c>
      <c r="C377">
        <v>15303</v>
      </c>
      <c r="D377">
        <v>0</v>
      </c>
      <c r="F377">
        <v>0</v>
      </c>
    </row>
    <row r="378" spans="1:6" x14ac:dyDescent="0.25">
      <c r="B378" t="s">
        <v>1720</v>
      </c>
      <c r="D378">
        <v>1020</v>
      </c>
      <c r="F378">
        <v>1020</v>
      </c>
    </row>
    <row r="379" spans="1:6" x14ac:dyDescent="0.25">
      <c r="B379" t="s">
        <v>1631</v>
      </c>
    </row>
    <row r="380" spans="1:6" x14ac:dyDescent="0.25">
      <c r="A380" t="s">
        <v>2</v>
      </c>
      <c r="B380" t="s">
        <v>1627</v>
      </c>
      <c r="C380">
        <v>15401</v>
      </c>
      <c r="D380">
        <v>0</v>
      </c>
      <c r="F380">
        <v>0</v>
      </c>
    </row>
    <row r="381" spans="1:6" x14ac:dyDescent="0.25">
      <c r="A381" t="s">
        <v>15</v>
      </c>
      <c r="B381" t="s">
        <v>1625</v>
      </c>
      <c r="C381">
        <v>15402</v>
      </c>
      <c r="D381">
        <v>0</v>
      </c>
      <c r="F381">
        <v>0</v>
      </c>
    </row>
    <row r="382" spans="1:6" x14ac:dyDescent="0.25">
      <c r="A382" t="s">
        <v>16</v>
      </c>
      <c r="B382" t="s">
        <v>1626</v>
      </c>
      <c r="C382">
        <v>15403</v>
      </c>
      <c r="D382">
        <v>0</v>
      </c>
      <c r="F382">
        <v>0</v>
      </c>
    </row>
    <row r="383" spans="1:6" x14ac:dyDescent="0.25">
      <c r="B383" t="s">
        <v>1721</v>
      </c>
      <c r="D383">
        <v>0</v>
      </c>
      <c r="F383">
        <v>0</v>
      </c>
    </row>
    <row r="384" spans="1:6" x14ac:dyDescent="0.25">
      <c r="B384" t="s">
        <v>1722</v>
      </c>
    </row>
    <row r="385" spans="1:6" x14ac:dyDescent="0.25">
      <c r="A385" t="s">
        <v>2</v>
      </c>
      <c r="B385" t="s">
        <v>1634</v>
      </c>
      <c r="C385">
        <v>15501</v>
      </c>
      <c r="D385">
        <v>0</v>
      </c>
      <c r="F385">
        <v>0</v>
      </c>
    </row>
    <row r="386" spans="1:6" x14ac:dyDescent="0.25">
      <c r="A386" t="s">
        <v>15</v>
      </c>
      <c r="B386" t="s">
        <v>1635</v>
      </c>
      <c r="C386">
        <v>15502</v>
      </c>
      <c r="D386">
        <v>0</v>
      </c>
      <c r="F386">
        <v>0</v>
      </c>
    </row>
    <row r="387" spans="1:6" x14ac:dyDescent="0.25">
      <c r="A387" t="s">
        <v>16</v>
      </c>
      <c r="B387" t="s">
        <v>1636</v>
      </c>
      <c r="C387">
        <v>15503</v>
      </c>
      <c r="D387">
        <v>0</v>
      </c>
      <c r="F387">
        <v>0</v>
      </c>
    </row>
    <row r="388" spans="1:6" x14ac:dyDescent="0.25">
      <c r="A388" t="s">
        <v>25</v>
      </c>
      <c r="B388" t="s">
        <v>1637</v>
      </c>
      <c r="C388">
        <v>15504</v>
      </c>
      <c r="D388">
        <v>1442</v>
      </c>
      <c r="F388">
        <v>1442</v>
      </c>
    </row>
    <row r="389" spans="1:6" x14ac:dyDescent="0.25">
      <c r="A389" t="s">
        <v>26</v>
      </c>
      <c r="B389" t="s">
        <v>1638</v>
      </c>
      <c r="C389">
        <v>15505</v>
      </c>
      <c r="D389">
        <v>40274</v>
      </c>
      <c r="F389">
        <v>40274</v>
      </c>
    </row>
    <row r="390" spans="1:6" x14ac:dyDescent="0.25">
      <c r="A390" t="s">
        <v>27</v>
      </c>
      <c r="B390" t="s">
        <v>1639</v>
      </c>
      <c r="C390">
        <v>15506</v>
      </c>
      <c r="D390">
        <v>0</v>
      </c>
      <c r="F390">
        <v>0</v>
      </c>
    </row>
    <row r="391" spans="1:6" x14ac:dyDescent="0.25">
      <c r="A391" t="s">
        <v>531</v>
      </c>
      <c r="B391" t="s">
        <v>1640</v>
      </c>
      <c r="C391">
        <v>15507</v>
      </c>
      <c r="D391">
        <v>0</v>
      </c>
      <c r="F391">
        <v>0</v>
      </c>
    </row>
    <row r="392" spans="1:6" x14ac:dyDescent="0.25">
      <c r="A392" t="s">
        <v>1583</v>
      </c>
      <c r="B392" t="s">
        <v>1641</v>
      </c>
      <c r="C392">
        <v>15508</v>
      </c>
      <c r="D392">
        <v>0</v>
      </c>
      <c r="F392">
        <v>0</v>
      </c>
    </row>
    <row r="393" spans="1:6" x14ac:dyDescent="0.25">
      <c r="B393" t="s">
        <v>1723</v>
      </c>
      <c r="D393">
        <v>41716</v>
      </c>
      <c r="F393">
        <v>41716</v>
      </c>
    </row>
    <row r="394" spans="1:6" x14ac:dyDescent="0.25">
      <c r="B394" t="s">
        <v>1724</v>
      </c>
    </row>
    <row r="395" spans="1:6" x14ac:dyDescent="0.25">
      <c r="A395" t="s">
        <v>2</v>
      </c>
      <c r="B395" t="s">
        <v>1634</v>
      </c>
      <c r="C395">
        <v>15601</v>
      </c>
      <c r="D395">
        <v>0</v>
      </c>
      <c r="F395">
        <v>0</v>
      </c>
    </row>
    <row r="396" spans="1:6" x14ac:dyDescent="0.25">
      <c r="A396" t="s">
        <v>15</v>
      </c>
      <c r="B396" t="s">
        <v>1635</v>
      </c>
      <c r="C396">
        <v>15602</v>
      </c>
      <c r="D396">
        <v>0</v>
      </c>
      <c r="F396">
        <v>0</v>
      </c>
    </row>
    <row r="397" spans="1:6" x14ac:dyDescent="0.25">
      <c r="A397" t="s">
        <v>16</v>
      </c>
      <c r="B397" t="s">
        <v>1636</v>
      </c>
      <c r="C397">
        <v>15603</v>
      </c>
      <c r="D397">
        <v>0</v>
      </c>
      <c r="F397">
        <v>0</v>
      </c>
    </row>
    <row r="398" spans="1:6" x14ac:dyDescent="0.25">
      <c r="A398" t="s">
        <v>25</v>
      </c>
      <c r="B398" t="s">
        <v>1637</v>
      </c>
      <c r="C398">
        <v>15604</v>
      </c>
      <c r="D398">
        <v>0</v>
      </c>
      <c r="F398">
        <v>0</v>
      </c>
    </row>
    <row r="399" spans="1:6" x14ac:dyDescent="0.25">
      <c r="A399" t="s">
        <v>26</v>
      </c>
      <c r="B399" t="s">
        <v>1638</v>
      </c>
      <c r="C399">
        <v>15605</v>
      </c>
      <c r="D399">
        <v>0</v>
      </c>
      <c r="F399">
        <v>0</v>
      </c>
    </row>
    <row r="400" spans="1:6" x14ac:dyDescent="0.25">
      <c r="A400" t="s">
        <v>27</v>
      </c>
      <c r="B400" t="s">
        <v>1639</v>
      </c>
      <c r="C400">
        <v>15606</v>
      </c>
      <c r="D400">
        <v>0</v>
      </c>
      <c r="F400">
        <v>0</v>
      </c>
    </row>
    <row r="401" spans="1:6" x14ac:dyDescent="0.25">
      <c r="A401" t="s">
        <v>531</v>
      </c>
      <c r="B401" t="s">
        <v>1640</v>
      </c>
      <c r="C401">
        <v>15607</v>
      </c>
      <c r="D401">
        <v>0</v>
      </c>
      <c r="F401">
        <v>0</v>
      </c>
    </row>
    <row r="402" spans="1:6" x14ac:dyDescent="0.25">
      <c r="A402" t="s">
        <v>1583</v>
      </c>
      <c r="B402" t="s">
        <v>1641</v>
      </c>
      <c r="C402">
        <v>15608</v>
      </c>
      <c r="D402">
        <v>53074</v>
      </c>
      <c r="F402">
        <v>53074</v>
      </c>
    </row>
    <row r="403" spans="1:6" x14ac:dyDescent="0.25">
      <c r="B403" t="s">
        <v>1725</v>
      </c>
      <c r="D403">
        <v>53074</v>
      </c>
      <c r="F403">
        <v>53074</v>
      </c>
    </row>
    <row r="404" spans="1:6" x14ac:dyDescent="0.25">
      <c r="B404" t="s">
        <v>1726</v>
      </c>
    </row>
    <row r="405" spans="1:6" x14ac:dyDescent="0.25">
      <c r="A405" t="s">
        <v>2</v>
      </c>
      <c r="B405" t="s">
        <v>1648</v>
      </c>
      <c r="C405">
        <v>15701</v>
      </c>
      <c r="D405">
        <v>0</v>
      </c>
      <c r="F405">
        <v>0</v>
      </c>
    </row>
    <row r="406" spans="1:6" x14ac:dyDescent="0.25">
      <c r="A406" t="s">
        <v>15</v>
      </c>
      <c r="B406" t="s">
        <v>1649</v>
      </c>
      <c r="C406">
        <v>15702</v>
      </c>
      <c r="D406">
        <v>0</v>
      </c>
      <c r="F406">
        <v>0</v>
      </c>
    </row>
    <row r="407" spans="1:6" x14ac:dyDescent="0.25">
      <c r="A407" t="s">
        <v>16</v>
      </c>
      <c r="B407" t="s">
        <v>1637</v>
      </c>
      <c r="C407">
        <v>15703</v>
      </c>
      <c r="D407">
        <v>0</v>
      </c>
      <c r="F407">
        <v>0</v>
      </c>
    </row>
    <row r="408" spans="1:6" x14ac:dyDescent="0.25">
      <c r="A408" t="s">
        <v>25</v>
      </c>
      <c r="B408" t="s">
        <v>1638</v>
      </c>
      <c r="C408">
        <v>15704</v>
      </c>
      <c r="D408">
        <v>3850038</v>
      </c>
      <c r="F408">
        <v>3850038</v>
      </c>
    </row>
    <row r="409" spans="1:6" x14ac:dyDescent="0.25">
      <c r="A409" t="s">
        <v>26</v>
      </c>
      <c r="B409" t="s">
        <v>1650</v>
      </c>
      <c r="C409">
        <v>15705</v>
      </c>
      <c r="D409">
        <v>0</v>
      </c>
      <c r="F409">
        <v>0</v>
      </c>
    </row>
    <row r="410" spans="1:6" x14ac:dyDescent="0.25">
      <c r="A410" t="s">
        <v>27</v>
      </c>
      <c r="B410" t="s">
        <v>1651</v>
      </c>
      <c r="C410">
        <v>15706</v>
      </c>
      <c r="D410">
        <v>0</v>
      </c>
      <c r="F410">
        <v>0</v>
      </c>
    </row>
    <row r="411" spans="1:6" x14ac:dyDescent="0.25">
      <c r="A411" t="s">
        <v>531</v>
      </c>
      <c r="B411" t="s">
        <v>1640</v>
      </c>
      <c r="C411">
        <v>15707</v>
      </c>
      <c r="D411">
        <v>0</v>
      </c>
      <c r="F411">
        <v>0</v>
      </c>
    </row>
    <row r="412" spans="1:6" x14ac:dyDescent="0.25">
      <c r="A412" t="s">
        <v>1583</v>
      </c>
      <c r="B412" t="s">
        <v>1641</v>
      </c>
      <c r="C412">
        <v>15708</v>
      </c>
      <c r="D412">
        <v>0</v>
      </c>
      <c r="F412">
        <v>0</v>
      </c>
    </row>
    <row r="413" spans="1:6" x14ac:dyDescent="0.25">
      <c r="B413" t="s">
        <v>1727</v>
      </c>
      <c r="D413">
        <v>3850038</v>
      </c>
      <c r="F413">
        <v>3850038</v>
      </c>
    </row>
    <row r="414" spans="1:6" x14ac:dyDescent="0.25">
      <c r="B414" t="s">
        <v>1728</v>
      </c>
      <c r="D414">
        <v>59834640</v>
      </c>
      <c r="F414">
        <v>59834640</v>
      </c>
    </row>
    <row r="415" spans="1:6" x14ac:dyDescent="0.25">
      <c r="B415" t="s">
        <v>1729</v>
      </c>
    </row>
    <row r="416" spans="1:6" x14ac:dyDescent="0.25">
      <c r="B416" t="s">
        <v>1730</v>
      </c>
    </row>
    <row r="417" spans="1:6" x14ac:dyDescent="0.25">
      <c r="A417" t="s">
        <v>2</v>
      </c>
      <c r="B417" t="s">
        <v>1710</v>
      </c>
      <c r="C417">
        <v>16101</v>
      </c>
      <c r="D417">
        <v>0</v>
      </c>
      <c r="E417">
        <v>0</v>
      </c>
      <c r="F417">
        <v>0</v>
      </c>
    </row>
    <row r="418" spans="1:6" x14ac:dyDescent="0.25">
      <c r="A418" t="s">
        <v>15</v>
      </c>
      <c r="B418" t="s">
        <v>1711</v>
      </c>
      <c r="C418">
        <v>16102</v>
      </c>
      <c r="D418">
        <v>0</v>
      </c>
      <c r="E418">
        <v>0</v>
      </c>
      <c r="F418">
        <v>0</v>
      </c>
    </row>
    <row r="419" spans="1:6" x14ac:dyDescent="0.25">
      <c r="A419" t="s">
        <v>16</v>
      </c>
      <c r="B419" t="s">
        <v>1712</v>
      </c>
      <c r="C419">
        <v>16103</v>
      </c>
      <c r="D419">
        <v>0</v>
      </c>
      <c r="E419">
        <v>0</v>
      </c>
      <c r="F419">
        <v>0</v>
      </c>
    </row>
    <row r="420" spans="1:6" x14ac:dyDescent="0.25">
      <c r="A420" t="s">
        <v>25</v>
      </c>
      <c r="B420" t="s">
        <v>1713</v>
      </c>
      <c r="C420">
        <v>16104</v>
      </c>
      <c r="D420">
        <v>0</v>
      </c>
      <c r="E420">
        <v>0</v>
      </c>
      <c r="F420">
        <v>0</v>
      </c>
    </row>
    <row r="421" spans="1:6" x14ac:dyDescent="0.25">
      <c r="A421" t="s">
        <v>26</v>
      </c>
      <c r="B421" t="s">
        <v>1714</v>
      </c>
      <c r="C421">
        <v>16105</v>
      </c>
      <c r="D421">
        <v>0</v>
      </c>
      <c r="E421">
        <v>0</v>
      </c>
      <c r="F421">
        <v>0</v>
      </c>
    </row>
    <row r="422" spans="1:6" x14ac:dyDescent="0.25">
      <c r="B422" t="s">
        <v>1731</v>
      </c>
      <c r="D422">
        <v>0</v>
      </c>
      <c r="E422">
        <v>0</v>
      </c>
      <c r="F422">
        <v>0</v>
      </c>
    </row>
    <row r="423" spans="1:6" x14ac:dyDescent="0.25">
      <c r="B423" t="s">
        <v>1732</v>
      </c>
      <c r="D423">
        <v>0</v>
      </c>
      <c r="E423">
        <v>0</v>
      </c>
      <c r="F423">
        <v>0</v>
      </c>
    </row>
    <row r="424" spans="1:6" x14ac:dyDescent="0.25">
      <c r="B424" t="s">
        <v>1733</v>
      </c>
      <c r="D424">
        <v>92259162</v>
      </c>
      <c r="E424">
        <v>222290</v>
      </c>
      <c r="F424">
        <v>92481452</v>
      </c>
    </row>
    <row r="425" spans="1:6" x14ac:dyDescent="0.25">
      <c r="B425" t="s">
        <v>1734</v>
      </c>
    </row>
    <row r="426" spans="1:6" x14ac:dyDescent="0.25">
      <c r="B426" t="s">
        <v>1735</v>
      </c>
    </row>
    <row r="427" spans="1:6" x14ac:dyDescent="0.25">
      <c r="B427" t="s">
        <v>1736</v>
      </c>
    </row>
    <row r="428" spans="1:6" x14ac:dyDescent="0.25">
      <c r="A428" t="s">
        <v>2</v>
      </c>
      <c r="B428" t="s">
        <v>1576</v>
      </c>
      <c r="C428">
        <v>21101</v>
      </c>
      <c r="D428">
        <v>0</v>
      </c>
      <c r="E428">
        <v>0</v>
      </c>
      <c r="F428">
        <v>0</v>
      </c>
    </row>
    <row r="429" spans="1:6" x14ac:dyDescent="0.25">
      <c r="A429" t="s">
        <v>15</v>
      </c>
      <c r="B429" t="s">
        <v>1577</v>
      </c>
      <c r="C429">
        <v>21102</v>
      </c>
      <c r="D429">
        <v>0</v>
      </c>
      <c r="E429">
        <v>0</v>
      </c>
      <c r="F429">
        <v>0</v>
      </c>
    </row>
    <row r="430" spans="1:6" x14ac:dyDescent="0.25">
      <c r="A430" t="s">
        <v>16</v>
      </c>
      <c r="B430" t="s">
        <v>1578</v>
      </c>
      <c r="C430">
        <v>21103</v>
      </c>
      <c r="D430">
        <v>0</v>
      </c>
      <c r="E430">
        <v>0</v>
      </c>
      <c r="F430">
        <v>0</v>
      </c>
    </row>
    <row r="431" spans="1:6" x14ac:dyDescent="0.25">
      <c r="A431" t="s">
        <v>25</v>
      </c>
      <c r="B431" t="s">
        <v>1579</v>
      </c>
      <c r="C431">
        <v>21104</v>
      </c>
      <c r="D431">
        <v>0</v>
      </c>
      <c r="E431">
        <v>0</v>
      </c>
      <c r="F431">
        <v>0</v>
      </c>
    </row>
    <row r="432" spans="1:6" x14ac:dyDescent="0.25">
      <c r="A432" t="s">
        <v>26</v>
      </c>
      <c r="B432" t="s">
        <v>1580</v>
      </c>
      <c r="C432">
        <v>21105</v>
      </c>
      <c r="D432">
        <v>0</v>
      </c>
      <c r="E432">
        <v>0</v>
      </c>
      <c r="F432">
        <v>0</v>
      </c>
    </row>
    <row r="433" spans="1:6" x14ac:dyDescent="0.25">
      <c r="A433" t="s">
        <v>27</v>
      </c>
      <c r="B433" t="s">
        <v>1581</v>
      </c>
      <c r="C433">
        <v>21106</v>
      </c>
      <c r="D433">
        <v>0</v>
      </c>
      <c r="E433">
        <v>0</v>
      </c>
      <c r="F433">
        <v>0</v>
      </c>
    </row>
    <row r="434" spans="1:6" x14ac:dyDescent="0.25">
      <c r="A434" t="s">
        <v>531</v>
      </c>
      <c r="B434" t="s">
        <v>1582</v>
      </c>
      <c r="C434">
        <v>21107</v>
      </c>
      <c r="D434">
        <v>0</v>
      </c>
      <c r="E434">
        <v>0</v>
      </c>
      <c r="F434">
        <v>0</v>
      </c>
    </row>
    <row r="435" spans="1:6" x14ac:dyDescent="0.25">
      <c r="A435" t="s">
        <v>1583</v>
      </c>
      <c r="B435" t="s">
        <v>1584</v>
      </c>
      <c r="C435">
        <v>21108</v>
      </c>
      <c r="D435">
        <v>0</v>
      </c>
      <c r="E435">
        <v>0</v>
      </c>
      <c r="F435">
        <v>0</v>
      </c>
    </row>
    <row r="436" spans="1:6" x14ac:dyDescent="0.25">
      <c r="A436" t="s">
        <v>1585</v>
      </c>
      <c r="B436" t="s">
        <v>1586</v>
      </c>
      <c r="C436">
        <v>21109</v>
      </c>
      <c r="D436">
        <v>0</v>
      </c>
      <c r="E436">
        <v>0</v>
      </c>
      <c r="F436">
        <v>0</v>
      </c>
    </row>
    <row r="437" spans="1:6" x14ac:dyDescent="0.25">
      <c r="A437" t="s">
        <v>1587</v>
      </c>
      <c r="B437" t="s">
        <v>1588</v>
      </c>
      <c r="C437">
        <v>21110</v>
      </c>
      <c r="D437">
        <v>0</v>
      </c>
      <c r="E437">
        <v>0</v>
      </c>
      <c r="F437">
        <v>0</v>
      </c>
    </row>
    <row r="438" spans="1:6" x14ac:dyDescent="0.25">
      <c r="A438" t="s">
        <v>1589</v>
      </c>
      <c r="B438" t="s">
        <v>1590</v>
      </c>
      <c r="C438">
        <v>21111</v>
      </c>
      <c r="D438">
        <v>0</v>
      </c>
      <c r="E438">
        <v>0</v>
      </c>
      <c r="F438">
        <v>0</v>
      </c>
    </row>
    <row r="439" spans="1:6" x14ac:dyDescent="0.25">
      <c r="A439" t="s">
        <v>1591</v>
      </c>
      <c r="B439" t="s">
        <v>1592</v>
      </c>
      <c r="C439">
        <v>21112</v>
      </c>
      <c r="D439">
        <v>69873</v>
      </c>
      <c r="E439">
        <v>0</v>
      </c>
      <c r="F439">
        <v>69873</v>
      </c>
    </row>
    <row r="440" spans="1:6" x14ac:dyDescent="0.25">
      <c r="A440" t="s">
        <v>1593</v>
      </c>
      <c r="B440" t="s">
        <v>1594</v>
      </c>
      <c r="C440">
        <v>21113</v>
      </c>
      <c r="D440">
        <v>16116</v>
      </c>
      <c r="E440">
        <v>0</v>
      </c>
      <c r="F440">
        <v>16116</v>
      </c>
    </row>
    <row r="441" spans="1:6" x14ac:dyDescent="0.25">
      <c r="A441" t="s">
        <v>1595</v>
      </c>
      <c r="B441" t="s">
        <v>1596</v>
      </c>
      <c r="C441">
        <v>21114</v>
      </c>
      <c r="D441">
        <v>1348</v>
      </c>
      <c r="E441">
        <v>0</v>
      </c>
      <c r="F441">
        <v>1348</v>
      </c>
    </row>
    <row r="442" spans="1:6" x14ac:dyDescent="0.25">
      <c r="A442" t="s">
        <v>1597</v>
      </c>
      <c r="B442" t="s">
        <v>1598</v>
      </c>
      <c r="C442">
        <v>21115</v>
      </c>
      <c r="D442">
        <v>86322</v>
      </c>
      <c r="E442">
        <v>0</v>
      </c>
      <c r="F442">
        <v>86322</v>
      </c>
    </row>
    <row r="443" spans="1:6" x14ac:dyDescent="0.25">
      <c r="A443" t="s">
        <v>1599</v>
      </c>
      <c r="B443" t="s">
        <v>1600</v>
      </c>
      <c r="C443">
        <v>21116</v>
      </c>
      <c r="D443">
        <v>0</v>
      </c>
      <c r="E443">
        <v>0</v>
      </c>
      <c r="F443">
        <v>0</v>
      </c>
    </row>
    <row r="444" spans="1:6" x14ac:dyDescent="0.25">
      <c r="A444" t="s">
        <v>1601</v>
      </c>
      <c r="B444" t="s">
        <v>1602</v>
      </c>
      <c r="C444">
        <v>21117</v>
      </c>
      <c r="D444">
        <v>0</v>
      </c>
      <c r="E444">
        <v>0</v>
      </c>
      <c r="F444">
        <v>0</v>
      </c>
    </row>
    <row r="445" spans="1:6" x14ac:dyDescent="0.25">
      <c r="A445" t="s">
        <v>1603</v>
      </c>
      <c r="B445" t="s">
        <v>1604</v>
      </c>
      <c r="C445">
        <v>21118</v>
      </c>
      <c r="D445">
        <v>0</v>
      </c>
      <c r="E445">
        <v>0</v>
      </c>
      <c r="F445">
        <v>0</v>
      </c>
    </row>
    <row r="446" spans="1:6" x14ac:dyDescent="0.25">
      <c r="A446" t="s">
        <v>1605</v>
      </c>
      <c r="B446" t="s">
        <v>1606</v>
      </c>
      <c r="C446">
        <v>21119</v>
      </c>
      <c r="D446">
        <v>0</v>
      </c>
      <c r="E446">
        <v>0</v>
      </c>
      <c r="F446">
        <v>0</v>
      </c>
    </row>
    <row r="447" spans="1:6" x14ac:dyDescent="0.25">
      <c r="A447" t="s">
        <v>1607</v>
      </c>
      <c r="B447" t="s">
        <v>1608</v>
      </c>
      <c r="C447">
        <v>21120</v>
      </c>
      <c r="D447">
        <v>0</v>
      </c>
      <c r="E447">
        <v>0</v>
      </c>
      <c r="F447">
        <v>0</v>
      </c>
    </row>
    <row r="448" spans="1:6" x14ac:dyDescent="0.25">
      <c r="B448" t="s">
        <v>1737</v>
      </c>
      <c r="D448">
        <v>173659</v>
      </c>
      <c r="E448">
        <v>0</v>
      </c>
      <c r="F448">
        <v>173659</v>
      </c>
    </row>
    <row r="449" spans="1:6" x14ac:dyDescent="0.25">
      <c r="B449" t="s">
        <v>1738</v>
      </c>
    </row>
    <row r="450" spans="1:6" x14ac:dyDescent="0.25">
      <c r="A450" t="s">
        <v>2</v>
      </c>
      <c r="B450" t="s">
        <v>1611</v>
      </c>
      <c r="C450">
        <v>21201</v>
      </c>
      <c r="D450">
        <v>0</v>
      </c>
      <c r="E450">
        <v>0</v>
      </c>
      <c r="F450">
        <v>0</v>
      </c>
    </row>
    <row r="451" spans="1:6" x14ac:dyDescent="0.25">
      <c r="A451" t="s">
        <v>15</v>
      </c>
      <c r="B451" t="s">
        <v>1612</v>
      </c>
      <c r="C451">
        <v>21202</v>
      </c>
      <c r="D451">
        <v>0</v>
      </c>
      <c r="E451">
        <v>0</v>
      </c>
      <c r="F451">
        <v>0</v>
      </c>
    </row>
    <row r="452" spans="1:6" x14ac:dyDescent="0.25">
      <c r="A452" t="s">
        <v>16</v>
      </c>
      <c r="B452" t="s">
        <v>1613</v>
      </c>
      <c r="C452">
        <v>21203</v>
      </c>
      <c r="D452">
        <v>0</v>
      </c>
      <c r="E452">
        <v>0</v>
      </c>
      <c r="F452">
        <v>0</v>
      </c>
    </row>
    <row r="453" spans="1:6" x14ac:dyDescent="0.25">
      <c r="A453" t="s">
        <v>25</v>
      </c>
      <c r="B453" t="s">
        <v>1614</v>
      </c>
      <c r="C453">
        <v>21204</v>
      </c>
      <c r="D453">
        <v>0</v>
      </c>
      <c r="E453">
        <v>0</v>
      </c>
      <c r="F453">
        <v>0</v>
      </c>
    </row>
    <row r="454" spans="1:6" x14ac:dyDescent="0.25">
      <c r="A454" t="s">
        <v>26</v>
      </c>
      <c r="B454" t="s">
        <v>1615</v>
      </c>
      <c r="C454">
        <v>21205</v>
      </c>
      <c r="D454">
        <v>0</v>
      </c>
      <c r="E454">
        <v>0</v>
      </c>
      <c r="F454">
        <v>0</v>
      </c>
    </row>
    <row r="455" spans="1:6" x14ac:dyDescent="0.25">
      <c r="A455" t="s">
        <v>27</v>
      </c>
      <c r="B455" t="s">
        <v>1616</v>
      </c>
      <c r="C455">
        <v>21206</v>
      </c>
      <c r="D455">
        <v>0</v>
      </c>
      <c r="E455">
        <v>0</v>
      </c>
      <c r="F455">
        <v>0</v>
      </c>
    </row>
    <row r="456" spans="1:6" x14ac:dyDescent="0.25">
      <c r="A456" t="s">
        <v>531</v>
      </c>
      <c r="B456" t="s">
        <v>1617</v>
      </c>
      <c r="C456">
        <v>21207</v>
      </c>
      <c r="D456">
        <v>0</v>
      </c>
      <c r="E456">
        <v>0</v>
      </c>
      <c r="F456">
        <v>0</v>
      </c>
    </row>
    <row r="457" spans="1:6" x14ac:dyDescent="0.25">
      <c r="A457" t="s">
        <v>1583</v>
      </c>
      <c r="B457" t="s">
        <v>1618</v>
      </c>
      <c r="C457">
        <v>21208</v>
      </c>
      <c r="D457">
        <v>0</v>
      </c>
      <c r="E457">
        <v>0</v>
      </c>
      <c r="F457">
        <v>0</v>
      </c>
    </row>
    <row r="458" spans="1:6" x14ac:dyDescent="0.25">
      <c r="A458" t="s">
        <v>1585</v>
      </c>
      <c r="B458" t="s">
        <v>1619</v>
      </c>
      <c r="C458">
        <v>21209</v>
      </c>
      <c r="D458">
        <v>0</v>
      </c>
      <c r="E458">
        <v>0</v>
      </c>
      <c r="F458">
        <v>0</v>
      </c>
    </row>
    <row r="459" spans="1:6" x14ac:dyDescent="0.25">
      <c r="A459" t="s">
        <v>1587</v>
      </c>
      <c r="B459" t="s">
        <v>1620</v>
      </c>
      <c r="C459">
        <v>21210</v>
      </c>
      <c r="D459">
        <v>0</v>
      </c>
      <c r="E459">
        <v>0</v>
      </c>
      <c r="F459">
        <v>0</v>
      </c>
    </row>
    <row r="460" spans="1:6" x14ac:dyDescent="0.25">
      <c r="A460" t="s">
        <v>1589</v>
      </c>
      <c r="B460" t="s">
        <v>1621</v>
      </c>
      <c r="C460">
        <v>21211</v>
      </c>
      <c r="D460">
        <v>0</v>
      </c>
      <c r="E460">
        <v>0</v>
      </c>
      <c r="F460">
        <v>0</v>
      </c>
    </row>
    <row r="461" spans="1:6" x14ac:dyDescent="0.25">
      <c r="A461" t="s">
        <v>1591</v>
      </c>
      <c r="B461" t="s">
        <v>1622</v>
      </c>
      <c r="C461">
        <v>21212</v>
      </c>
      <c r="D461">
        <v>0</v>
      </c>
      <c r="E461">
        <v>0</v>
      </c>
      <c r="F461">
        <v>0</v>
      </c>
    </row>
    <row r="462" spans="1:6" x14ac:dyDescent="0.25">
      <c r="A462" t="s">
        <v>1593</v>
      </c>
      <c r="B462" t="s">
        <v>1623</v>
      </c>
      <c r="C462">
        <v>21213</v>
      </c>
      <c r="D462">
        <v>0</v>
      </c>
      <c r="E462">
        <v>0</v>
      </c>
      <c r="F462">
        <v>0</v>
      </c>
    </row>
    <row r="463" spans="1:6" x14ac:dyDescent="0.25">
      <c r="A463" t="s">
        <v>1595</v>
      </c>
      <c r="B463" t="s">
        <v>1624</v>
      </c>
      <c r="C463">
        <v>21214</v>
      </c>
      <c r="D463">
        <v>0</v>
      </c>
      <c r="E463">
        <v>0</v>
      </c>
      <c r="F463">
        <v>0</v>
      </c>
    </row>
    <row r="464" spans="1:6" x14ac:dyDescent="0.25">
      <c r="A464" t="s">
        <v>1597</v>
      </c>
      <c r="B464" t="s">
        <v>1625</v>
      </c>
      <c r="C464">
        <v>21215</v>
      </c>
      <c r="D464">
        <v>0</v>
      </c>
      <c r="E464">
        <v>0</v>
      </c>
      <c r="F464">
        <v>0</v>
      </c>
    </row>
    <row r="465" spans="1:6" x14ac:dyDescent="0.25">
      <c r="A465" t="s">
        <v>1599</v>
      </c>
      <c r="B465" t="s">
        <v>1626</v>
      </c>
      <c r="C465">
        <v>21216</v>
      </c>
      <c r="D465">
        <v>0</v>
      </c>
      <c r="E465">
        <v>0</v>
      </c>
      <c r="F465">
        <v>0</v>
      </c>
    </row>
    <row r="466" spans="1:6" x14ac:dyDescent="0.25">
      <c r="A466" t="s">
        <v>1601</v>
      </c>
      <c r="B466" t="s">
        <v>1627</v>
      </c>
      <c r="C466">
        <v>21217</v>
      </c>
      <c r="D466">
        <v>0</v>
      </c>
      <c r="E466">
        <v>0</v>
      </c>
      <c r="F466">
        <v>0</v>
      </c>
    </row>
    <row r="467" spans="1:6" x14ac:dyDescent="0.25">
      <c r="A467" t="s">
        <v>1603</v>
      </c>
      <c r="B467" t="s">
        <v>1596</v>
      </c>
      <c r="C467">
        <v>21218</v>
      </c>
      <c r="D467">
        <v>0</v>
      </c>
      <c r="E467">
        <v>0</v>
      </c>
      <c r="F467">
        <v>0</v>
      </c>
    </row>
    <row r="468" spans="1:6" x14ac:dyDescent="0.25">
      <c r="A468" t="s">
        <v>1605</v>
      </c>
      <c r="B468" t="s">
        <v>1598</v>
      </c>
      <c r="C468">
        <v>21219</v>
      </c>
      <c r="D468">
        <v>0</v>
      </c>
      <c r="E468">
        <v>0</v>
      </c>
      <c r="F468">
        <v>0</v>
      </c>
    </row>
    <row r="469" spans="1:6" x14ac:dyDescent="0.25">
      <c r="A469" t="s">
        <v>1607</v>
      </c>
      <c r="B469" t="s">
        <v>1602</v>
      </c>
      <c r="C469">
        <v>21220</v>
      </c>
      <c r="D469">
        <v>0</v>
      </c>
      <c r="E469">
        <v>0</v>
      </c>
      <c r="F469">
        <v>0</v>
      </c>
    </row>
    <row r="470" spans="1:6" x14ac:dyDescent="0.25">
      <c r="B470" t="s">
        <v>1739</v>
      </c>
      <c r="D470">
        <v>0</v>
      </c>
      <c r="E470">
        <v>0</v>
      </c>
      <c r="F470">
        <v>0</v>
      </c>
    </row>
    <row r="471" spans="1:6" x14ac:dyDescent="0.25">
      <c r="B471" t="s">
        <v>1740</v>
      </c>
    </row>
    <row r="472" spans="1:6" x14ac:dyDescent="0.25">
      <c r="A472" t="s">
        <v>2</v>
      </c>
      <c r="B472" t="s">
        <v>1627</v>
      </c>
      <c r="C472">
        <v>21301</v>
      </c>
      <c r="D472">
        <v>0</v>
      </c>
      <c r="E472">
        <v>0</v>
      </c>
      <c r="F472">
        <v>0</v>
      </c>
    </row>
    <row r="473" spans="1:6" x14ac:dyDescent="0.25">
      <c r="A473" t="s">
        <v>15</v>
      </c>
      <c r="B473" t="s">
        <v>1625</v>
      </c>
      <c r="C473">
        <v>21302</v>
      </c>
      <c r="D473">
        <v>0</v>
      </c>
      <c r="E473">
        <v>0</v>
      </c>
      <c r="F473">
        <v>0</v>
      </c>
    </row>
    <row r="474" spans="1:6" x14ac:dyDescent="0.25">
      <c r="A474" t="s">
        <v>16</v>
      </c>
      <c r="B474" t="s">
        <v>1626</v>
      </c>
      <c r="C474">
        <v>21303</v>
      </c>
      <c r="D474">
        <v>0</v>
      </c>
      <c r="E474">
        <v>0</v>
      </c>
      <c r="F474">
        <v>0</v>
      </c>
    </row>
    <row r="475" spans="1:6" x14ac:dyDescent="0.25">
      <c r="B475" t="s">
        <v>1741</v>
      </c>
      <c r="D475">
        <v>0</v>
      </c>
      <c r="E475">
        <v>0</v>
      </c>
      <c r="F475">
        <v>0</v>
      </c>
    </row>
    <row r="476" spans="1:6" x14ac:dyDescent="0.25">
      <c r="B476" t="s">
        <v>1653</v>
      </c>
      <c r="D476">
        <v>173659</v>
      </c>
      <c r="E476">
        <v>0</v>
      </c>
      <c r="F476">
        <v>173659</v>
      </c>
    </row>
    <row r="477" spans="1:6" x14ac:dyDescent="0.25">
      <c r="B477" t="s">
        <v>1742</v>
      </c>
    </row>
    <row r="478" spans="1:6" x14ac:dyDescent="0.25">
      <c r="B478" t="s">
        <v>1743</v>
      </c>
    </row>
    <row r="479" spans="1:6" x14ac:dyDescent="0.25">
      <c r="A479" t="s">
        <v>2</v>
      </c>
      <c r="B479" t="s">
        <v>1634</v>
      </c>
      <c r="C479">
        <v>22101</v>
      </c>
      <c r="D479">
        <v>0</v>
      </c>
      <c r="F479">
        <v>0</v>
      </c>
    </row>
    <row r="480" spans="1:6" x14ac:dyDescent="0.25">
      <c r="A480" t="s">
        <v>15</v>
      </c>
      <c r="B480" t="s">
        <v>1635</v>
      </c>
      <c r="C480">
        <v>22102</v>
      </c>
      <c r="D480">
        <v>0</v>
      </c>
      <c r="F480">
        <v>0</v>
      </c>
    </row>
    <row r="481" spans="1:6" x14ac:dyDescent="0.25">
      <c r="A481" t="s">
        <v>16</v>
      </c>
      <c r="B481" t="s">
        <v>1636</v>
      </c>
      <c r="C481">
        <v>22103</v>
      </c>
      <c r="D481">
        <v>0</v>
      </c>
      <c r="F481">
        <v>0</v>
      </c>
    </row>
    <row r="482" spans="1:6" x14ac:dyDescent="0.25">
      <c r="A482" t="s">
        <v>25</v>
      </c>
      <c r="B482" t="s">
        <v>1637</v>
      </c>
      <c r="C482">
        <v>22104</v>
      </c>
      <c r="D482">
        <v>0</v>
      </c>
      <c r="F482">
        <v>0</v>
      </c>
    </row>
    <row r="483" spans="1:6" x14ac:dyDescent="0.25">
      <c r="A483" t="s">
        <v>26</v>
      </c>
      <c r="B483" t="s">
        <v>1638</v>
      </c>
      <c r="C483">
        <v>22105</v>
      </c>
      <c r="D483">
        <v>0</v>
      </c>
      <c r="F483">
        <v>0</v>
      </c>
    </row>
    <row r="484" spans="1:6" x14ac:dyDescent="0.25">
      <c r="A484" t="s">
        <v>27</v>
      </c>
      <c r="B484" t="s">
        <v>1639</v>
      </c>
      <c r="C484">
        <v>22106</v>
      </c>
      <c r="D484">
        <v>0</v>
      </c>
      <c r="F484">
        <v>0</v>
      </c>
    </row>
    <row r="485" spans="1:6" x14ac:dyDescent="0.25">
      <c r="A485" t="s">
        <v>531</v>
      </c>
      <c r="B485" t="s">
        <v>1640</v>
      </c>
      <c r="C485">
        <v>22107</v>
      </c>
      <c r="D485">
        <v>0</v>
      </c>
      <c r="F485">
        <v>0</v>
      </c>
    </row>
    <row r="486" spans="1:6" x14ac:dyDescent="0.25">
      <c r="A486" t="s">
        <v>1583</v>
      </c>
      <c r="B486" t="s">
        <v>1641</v>
      </c>
      <c r="C486">
        <v>22108</v>
      </c>
      <c r="D486">
        <v>0</v>
      </c>
      <c r="F486">
        <v>0</v>
      </c>
    </row>
    <row r="487" spans="1:6" x14ac:dyDescent="0.25">
      <c r="B487" t="s">
        <v>1744</v>
      </c>
      <c r="D487">
        <v>0</v>
      </c>
      <c r="F487">
        <v>0</v>
      </c>
    </row>
    <row r="488" spans="1:6" x14ac:dyDescent="0.25">
      <c r="B488" t="s">
        <v>1745</v>
      </c>
    </row>
    <row r="489" spans="1:6" x14ac:dyDescent="0.25">
      <c r="A489" t="s">
        <v>2</v>
      </c>
      <c r="B489" t="s">
        <v>1634</v>
      </c>
      <c r="C489">
        <v>22201</v>
      </c>
      <c r="D489">
        <v>0</v>
      </c>
      <c r="F489">
        <v>0</v>
      </c>
    </row>
    <row r="490" spans="1:6" x14ac:dyDescent="0.25">
      <c r="A490" t="s">
        <v>15</v>
      </c>
      <c r="B490" t="s">
        <v>1635</v>
      </c>
      <c r="C490">
        <v>22202</v>
      </c>
      <c r="D490">
        <v>0</v>
      </c>
      <c r="F490">
        <v>0</v>
      </c>
    </row>
    <row r="491" spans="1:6" x14ac:dyDescent="0.25">
      <c r="A491" t="s">
        <v>16</v>
      </c>
      <c r="B491" t="s">
        <v>1636</v>
      </c>
      <c r="C491">
        <v>22203</v>
      </c>
      <c r="D491">
        <v>0</v>
      </c>
      <c r="F491">
        <v>0</v>
      </c>
    </row>
    <row r="492" spans="1:6" x14ac:dyDescent="0.25">
      <c r="A492" t="s">
        <v>25</v>
      </c>
      <c r="B492" t="s">
        <v>1637</v>
      </c>
      <c r="C492">
        <v>22204</v>
      </c>
      <c r="D492">
        <v>0</v>
      </c>
      <c r="F492">
        <v>0</v>
      </c>
    </row>
    <row r="493" spans="1:6" x14ac:dyDescent="0.25">
      <c r="A493" t="s">
        <v>26</v>
      </c>
      <c r="B493" t="s">
        <v>1638</v>
      </c>
      <c r="C493">
        <v>22205</v>
      </c>
      <c r="D493">
        <v>0</v>
      </c>
      <c r="F493">
        <v>0</v>
      </c>
    </row>
    <row r="494" spans="1:6" x14ac:dyDescent="0.25">
      <c r="A494" t="s">
        <v>27</v>
      </c>
      <c r="B494" t="s">
        <v>1639</v>
      </c>
      <c r="C494">
        <v>22206</v>
      </c>
      <c r="D494">
        <v>0</v>
      </c>
      <c r="F494">
        <v>0</v>
      </c>
    </row>
    <row r="495" spans="1:6" x14ac:dyDescent="0.25">
      <c r="A495" t="s">
        <v>531</v>
      </c>
      <c r="B495" t="s">
        <v>1640</v>
      </c>
      <c r="C495">
        <v>22207</v>
      </c>
      <c r="D495">
        <v>0</v>
      </c>
      <c r="F495">
        <v>0</v>
      </c>
    </row>
    <row r="496" spans="1:6" x14ac:dyDescent="0.25">
      <c r="A496" t="s">
        <v>1583</v>
      </c>
      <c r="B496" t="s">
        <v>1641</v>
      </c>
      <c r="C496">
        <v>22208</v>
      </c>
      <c r="D496">
        <v>0</v>
      </c>
      <c r="F496">
        <v>0</v>
      </c>
    </row>
    <row r="497" spans="1:6" x14ac:dyDescent="0.25">
      <c r="B497" t="s">
        <v>1746</v>
      </c>
      <c r="D497">
        <v>0</v>
      </c>
      <c r="F497">
        <v>0</v>
      </c>
    </row>
    <row r="498" spans="1:6" x14ac:dyDescent="0.25">
      <c r="B498" t="s">
        <v>1747</v>
      </c>
    </row>
    <row r="499" spans="1:6" x14ac:dyDescent="0.25">
      <c r="A499" t="s">
        <v>2</v>
      </c>
      <c r="B499" t="s">
        <v>1634</v>
      </c>
      <c r="C499">
        <v>22301</v>
      </c>
      <c r="D499">
        <v>210649</v>
      </c>
      <c r="F499">
        <v>210649</v>
      </c>
    </row>
    <row r="500" spans="1:6" x14ac:dyDescent="0.25">
      <c r="A500" t="s">
        <v>15</v>
      </c>
      <c r="B500" t="s">
        <v>1635</v>
      </c>
      <c r="C500">
        <v>22302</v>
      </c>
      <c r="D500">
        <v>9511</v>
      </c>
      <c r="F500">
        <v>9511</v>
      </c>
    </row>
    <row r="501" spans="1:6" x14ac:dyDescent="0.25">
      <c r="A501" t="s">
        <v>16</v>
      </c>
      <c r="B501" t="s">
        <v>1636</v>
      </c>
      <c r="C501">
        <v>22303</v>
      </c>
      <c r="D501">
        <v>51</v>
      </c>
      <c r="F501">
        <v>51</v>
      </c>
    </row>
    <row r="502" spans="1:6" x14ac:dyDescent="0.25">
      <c r="A502" t="s">
        <v>25</v>
      </c>
      <c r="B502" t="s">
        <v>1637</v>
      </c>
      <c r="C502">
        <v>22304</v>
      </c>
      <c r="D502">
        <v>26052</v>
      </c>
      <c r="F502">
        <v>26052</v>
      </c>
    </row>
    <row r="503" spans="1:6" x14ac:dyDescent="0.25">
      <c r="A503" t="s">
        <v>26</v>
      </c>
      <c r="B503" t="s">
        <v>1638</v>
      </c>
      <c r="C503">
        <v>22305</v>
      </c>
      <c r="D503">
        <v>68690</v>
      </c>
      <c r="F503">
        <v>68690</v>
      </c>
    </row>
    <row r="504" spans="1:6" x14ac:dyDescent="0.25">
      <c r="A504" t="s">
        <v>27</v>
      </c>
      <c r="B504" t="s">
        <v>1639</v>
      </c>
      <c r="C504">
        <v>22306</v>
      </c>
      <c r="D504">
        <v>0</v>
      </c>
      <c r="F504">
        <v>0</v>
      </c>
    </row>
    <row r="505" spans="1:6" x14ac:dyDescent="0.25">
      <c r="A505" t="s">
        <v>531</v>
      </c>
      <c r="B505" t="s">
        <v>1640</v>
      </c>
      <c r="C505">
        <v>22307</v>
      </c>
      <c r="D505">
        <v>0</v>
      </c>
      <c r="F505">
        <v>0</v>
      </c>
    </row>
    <row r="506" spans="1:6" x14ac:dyDescent="0.25">
      <c r="A506" t="s">
        <v>1583</v>
      </c>
      <c r="B506" t="s">
        <v>1641</v>
      </c>
      <c r="C506">
        <v>22308</v>
      </c>
      <c r="D506">
        <v>102271</v>
      </c>
      <c r="F506">
        <v>102271</v>
      </c>
    </row>
    <row r="507" spans="1:6" x14ac:dyDescent="0.25">
      <c r="B507" t="s">
        <v>1748</v>
      </c>
      <c r="D507">
        <v>417224</v>
      </c>
      <c r="F507">
        <v>417224</v>
      </c>
    </row>
    <row r="508" spans="1:6" x14ac:dyDescent="0.25">
      <c r="B508" t="s">
        <v>1749</v>
      </c>
    </row>
    <row r="509" spans="1:6" x14ac:dyDescent="0.25">
      <c r="A509" t="s">
        <v>2</v>
      </c>
      <c r="B509" t="s">
        <v>1634</v>
      </c>
      <c r="C509">
        <v>22401</v>
      </c>
      <c r="D509">
        <v>0</v>
      </c>
      <c r="F509">
        <v>0</v>
      </c>
    </row>
    <row r="510" spans="1:6" x14ac:dyDescent="0.25">
      <c r="A510" t="s">
        <v>15</v>
      </c>
      <c r="B510" t="s">
        <v>1635</v>
      </c>
      <c r="C510">
        <v>22402</v>
      </c>
      <c r="D510">
        <v>0</v>
      </c>
      <c r="F510">
        <v>0</v>
      </c>
    </row>
    <row r="511" spans="1:6" x14ac:dyDescent="0.25">
      <c r="A511" t="s">
        <v>16</v>
      </c>
      <c r="B511" t="s">
        <v>1636</v>
      </c>
      <c r="C511">
        <v>22403</v>
      </c>
      <c r="D511">
        <v>0</v>
      </c>
      <c r="F511">
        <v>0</v>
      </c>
    </row>
    <row r="512" spans="1:6" x14ac:dyDescent="0.25">
      <c r="A512" t="s">
        <v>25</v>
      </c>
      <c r="B512" t="s">
        <v>1637</v>
      </c>
      <c r="C512">
        <v>22404</v>
      </c>
      <c r="D512">
        <v>0</v>
      </c>
      <c r="F512">
        <v>0</v>
      </c>
    </row>
    <row r="513" spans="1:6" x14ac:dyDescent="0.25">
      <c r="A513" t="s">
        <v>26</v>
      </c>
      <c r="B513" t="s">
        <v>1638</v>
      </c>
      <c r="C513">
        <v>22405</v>
      </c>
      <c r="D513">
        <v>0</v>
      </c>
      <c r="F513">
        <v>0</v>
      </c>
    </row>
    <row r="514" spans="1:6" x14ac:dyDescent="0.25">
      <c r="A514" t="s">
        <v>27</v>
      </c>
      <c r="B514" t="s">
        <v>1639</v>
      </c>
      <c r="C514">
        <v>22406</v>
      </c>
      <c r="D514">
        <v>0</v>
      </c>
      <c r="F514">
        <v>0</v>
      </c>
    </row>
    <row r="515" spans="1:6" x14ac:dyDescent="0.25">
      <c r="A515" t="s">
        <v>531</v>
      </c>
      <c r="B515" t="s">
        <v>1640</v>
      </c>
      <c r="C515">
        <v>22407</v>
      </c>
      <c r="D515">
        <v>0</v>
      </c>
      <c r="F515">
        <v>0</v>
      </c>
    </row>
    <row r="516" spans="1:6" x14ac:dyDescent="0.25">
      <c r="A516" t="s">
        <v>1583</v>
      </c>
      <c r="B516" t="s">
        <v>1641</v>
      </c>
      <c r="C516">
        <v>22408</v>
      </c>
      <c r="D516">
        <v>0</v>
      </c>
      <c r="F516">
        <v>0</v>
      </c>
    </row>
    <row r="517" spans="1:6" x14ac:dyDescent="0.25">
      <c r="B517" t="s">
        <v>1750</v>
      </c>
      <c r="D517">
        <v>0</v>
      </c>
      <c r="F517">
        <v>0</v>
      </c>
    </row>
    <row r="518" spans="1:6" x14ac:dyDescent="0.25">
      <c r="B518" t="s">
        <v>1751</v>
      </c>
    </row>
    <row r="519" spans="1:6" x14ac:dyDescent="0.25">
      <c r="A519" t="s">
        <v>2</v>
      </c>
      <c r="B519" t="s">
        <v>1648</v>
      </c>
      <c r="C519">
        <v>22501</v>
      </c>
      <c r="D519">
        <v>0</v>
      </c>
      <c r="F519">
        <v>0</v>
      </c>
    </row>
    <row r="520" spans="1:6" x14ac:dyDescent="0.25">
      <c r="A520" t="s">
        <v>15</v>
      </c>
      <c r="B520" t="s">
        <v>1649</v>
      </c>
      <c r="C520">
        <v>22502</v>
      </c>
      <c r="D520">
        <v>0</v>
      </c>
      <c r="F520">
        <v>0</v>
      </c>
    </row>
    <row r="521" spans="1:6" x14ac:dyDescent="0.25">
      <c r="A521" t="s">
        <v>16</v>
      </c>
      <c r="B521" t="s">
        <v>1637</v>
      </c>
      <c r="C521">
        <v>22503</v>
      </c>
      <c r="D521">
        <v>194</v>
      </c>
      <c r="F521">
        <v>194</v>
      </c>
    </row>
    <row r="522" spans="1:6" x14ac:dyDescent="0.25">
      <c r="A522" t="s">
        <v>25</v>
      </c>
      <c r="B522" t="s">
        <v>1638</v>
      </c>
      <c r="C522">
        <v>22504</v>
      </c>
      <c r="D522">
        <v>121</v>
      </c>
      <c r="F522">
        <v>121</v>
      </c>
    </row>
    <row r="523" spans="1:6" x14ac:dyDescent="0.25">
      <c r="A523" t="s">
        <v>26</v>
      </c>
      <c r="B523" t="s">
        <v>1650</v>
      </c>
      <c r="C523">
        <v>22505</v>
      </c>
      <c r="D523">
        <v>0</v>
      </c>
      <c r="F523">
        <v>0</v>
      </c>
    </row>
    <row r="524" spans="1:6" x14ac:dyDescent="0.25">
      <c r="A524" t="s">
        <v>27</v>
      </c>
      <c r="B524" t="s">
        <v>1651</v>
      </c>
      <c r="C524">
        <v>22506</v>
      </c>
      <c r="D524">
        <v>0</v>
      </c>
      <c r="F524">
        <v>0</v>
      </c>
    </row>
    <row r="525" spans="1:6" x14ac:dyDescent="0.25">
      <c r="A525" t="s">
        <v>531</v>
      </c>
      <c r="B525" t="s">
        <v>1640</v>
      </c>
      <c r="C525">
        <v>22507</v>
      </c>
      <c r="D525">
        <v>0</v>
      </c>
      <c r="F525">
        <v>0</v>
      </c>
    </row>
    <row r="526" spans="1:6" x14ac:dyDescent="0.25">
      <c r="A526" t="s">
        <v>1583</v>
      </c>
      <c r="B526" t="s">
        <v>1641</v>
      </c>
      <c r="C526">
        <v>22508</v>
      </c>
      <c r="D526">
        <v>0</v>
      </c>
      <c r="F526">
        <v>0</v>
      </c>
    </row>
    <row r="527" spans="1:6" x14ac:dyDescent="0.25">
      <c r="B527" t="s">
        <v>1752</v>
      </c>
      <c r="D527">
        <v>315</v>
      </c>
      <c r="F527">
        <v>315</v>
      </c>
    </row>
    <row r="528" spans="1:6" x14ac:dyDescent="0.25">
      <c r="B528" t="s">
        <v>1660</v>
      </c>
      <c r="D528">
        <v>417539</v>
      </c>
      <c r="F528">
        <v>417539</v>
      </c>
    </row>
    <row r="529" spans="1:6" x14ac:dyDescent="0.25">
      <c r="B529" t="s">
        <v>1753</v>
      </c>
    </row>
    <row r="530" spans="1:6" x14ac:dyDescent="0.25">
      <c r="B530" t="s">
        <v>1754</v>
      </c>
    </row>
    <row r="531" spans="1:6" x14ac:dyDescent="0.25">
      <c r="A531" t="s">
        <v>2</v>
      </c>
      <c r="B531" t="s">
        <v>1637</v>
      </c>
      <c r="C531">
        <v>23101</v>
      </c>
      <c r="D531">
        <v>58374</v>
      </c>
      <c r="F531">
        <v>58374</v>
      </c>
    </row>
    <row r="532" spans="1:6" x14ac:dyDescent="0.25">
      <c r="A532" t="s">
        <v>15</v>
      </c>
      <c r="B532" t="s">
        <v>1638</v>
      </c>
      <c r="C532">
        <v>23102</v>
      </c>
      <c r="D532">
        <v>97063</v>
      </c>
      <c r="F532">
        <v>97063</v>
      </c>
    </row>
    <row r="533" spans="1:6" x14ac:dyDescent="0.25">
      <c r="A533" t="s">
        <v>16</v>
      </c>
      <c r="B533" t="s">
        <v>1640</v>
      </c>
      <c r="C533">
        <v>23103</v>
      </c>
      <c r="D533">
        <v>0</v>
      </c>
      <c r="F533">
        <v>0</v>
      </c>
    </row>
    <row r="534" spans="1:6" x14ac:dyDescent="0.25">
      <c r="A534" t="s">
        <v>25</v>
      </c>
      <c r="B534" t="s">
        <v>1641</v>
      </c>
      <c r="C534">
        <v>23104</v>
      </c>
      <c r="D534">
        <v>0</v>
      </c>
      <c r="F534">
        <v>0</v>
      </c>
    </row>
    <row r="535" spans="1:6" x14ac:dyDescent="0.25">
      <c r="B535" t="s">
        <v>1755</v>
      </c>
      <c r="D535">
        <v>155437</v>
      </c>
      <c r="F535">
        <v>155437</v>
      </c>
    </row>
    <row r="536" spans="1:6" x14ac:dyDescent="0.25">
      <c r="B536" t="s">
        <v>1756</v>
      </c>
    </row>
    <row r="537" spans="1:6" x14ac:dyDescent="0.25">
      <c r="A537" t="s">
        <v>2</v>
      </c>
      <c r="B537" t="s">
        <v>1637</v>
      </c>
      <c r="C537">
        <v>23201</v>
      </c>
      <c r="D537">
        <v>130801</v>
      </c>
      <c r="F537">
        <v>130801</v>
      </c>
    </row>
    <row r="538" spans="1:6" x14ac:dyDescent="0.25">
      <c r="A538" t="s">
        <v>15</v>
      </c>
      <c r="B538" t="s">
        <v>1638</v>
      </c>
      <c r="C538">
        <v>23202</v>
      </c>
      <c r="D538">
        <v>1552264</v>
      </c>
      <c r="F538">
        <v>1552264</v>
      </c>
    </row>
    <row r="539" spans="1:6" x14ac:dyDescent="0.25">
      <c r="A539" t="s">
        <v>16</v>
      </c>
      <c r="B539" t="s">
        <v>1640</v>
      </c>
      <c r="C539">
        <v>23203</v>
      </c>
      <c r="D539">
        <v>50960</v>
      </c>
      <c r="F539">
        <v>50960</v>
      </c>
    </row>
    <row r="540" spans="1:6" x14ac:dyDescent="0.25">
      <c r="A540" t="s">
        <v>25</v>
      </c>
      <c r="B540" t="s">
        <v>1641</v>
      </c>
      <c r="C540">
        <v>23204</v>
      </c>
      <c r="D540">
        <v>0</v>
      </c>
      <c r="F540">
        <v>0</v>
      </c>
    </row>
    <row r="541" spans="1:6" x14ac:dyDescent="0.25">
      <c r="B541" t="s">
        <v>1757</v>
      </c>
      <c r="D541">
        <v>1734025</v>
      </c>
      <c r="F541">
        <v>1734025</v>
      </c>
    </row>
    <row r="542" spans="1:6" x14ac:dyDescent="0.25">
      <c r="B542" t="s">
        <v>1758</v>
      </c>
    </row>
    <row r="543" spans="1:6" x14ac:dyDescent="0.25">
      <c r="A543" t="s">
        <v>2</v>
      </c>
      <c r="B543" t="s">
        <v>1637</v>
      </c>
      <c r="C543">
        <v>23301</v>
      </c>
      <c r="D543">
        <v>0</v>
      </c>
      <c r="F543">
        <v>0</v>
      </c>
    </row>
    <row r="544" spans="1:6" x14ac:dyDescent="0.25">
      <c r="A544" t="s">
        <v>15</v>
      </c>
      <c r="B544" t="s">
        <v>1638</v>
      </c>
      <c r="C544">
        <v>23302</v>
      </c>
      <c r="D544">
        <v>16743428</v>
      </c>
      <c r="F544">
        <v>16743428</v>
      </c>
    </row>
    <row r="545" spans="1:6" x14ac:dyDescent="0.25">
      <c r="A545" t="s">
        <v>16</v>
      </c>
      <c r="B545" t="s">
        <v>1640</v>
      </c>
      <c r="C545">
        <v>23303</v>
      </c>
      <c r="D545">
        <v>0</v>
      </c>
      <c r="F545">
        <v>0</v>
      </c>
    </row>
    <row r="546" spans="1:6" x14ac:dyDescent="0.25">
      <c r="A546" t="s">
        <v>25</v>
      </c>
      <c r="B546" t="s">
        <v>1641</v>
      </c>
      <c r="C546">
        <v>23304</v>
      </c>
      <c r="D546">
        <v>0</v>
      </c>
      <c r="F546">
        <v>0</v>
      </c>
    </row>
    <row r="547" spans="1:6" x14ac:dyDescent="0.25">
      <c r="B547" t="s">
        <v>1759</v>
      </c>
      <c r="D547">
        <v>16743428</v>
      </c>
      <c r="F547">
        <v>16743428</v>
      </c>
    </row>
    <row r="548" spans="1:6" x14ac:dyDescent="0.25">
      <c r="B548" t="s">
        <v>1760</v>
      </c>
    </row>
    <row r="549" spans="1:6" x14ac:dyDescent="0.25">
      <c r="A549" t="s">
        <v>2</v>
      </c>
      <c r="B549" t="s">
        <v>1637</v>
      </c>
      <c r="C549">
        <v>23401</v>
      </c>
      <c r="D549">
        <v>0</v>
      </c>
      <c r="F549">
        <v>0</v>
      </c>
    </row>
    <row r="550" spans="1:6" x14ac:dyDescent="0.25">
      <c r="A550" t="s">
        <v>15</v>
      </c>
      <c r="B550" t="s">
        <v>1638</v>
      </c>
      <c r="C550">
        <v>23402</v>
      </c>
      <c r="D550">
        <v>1494</v>
      </c>
      <c r="F550">
        <v>1494</v>
      </c>
    </row>
    <row r="551" spans="1:6" x14ac:dyDescent="0.25">
      <c r="A551" t="s">
        <v>16</v>
      </c>
      <c r="B551" t="s">
        <v>1640</v>
      </c>
      <c r="C551">
        <v>23403</v>
      </c>
      <c r="D551">
        <v>0</v>
      </c>
      <c r="F551">
        <v>0</v>
      </c>
    </row>
    <row r="552" spans="1:6" x14ac:dyDescent="0.25">
      <c r="A552" t="s">
        <v>25</v>
      </c>
      <c r="B552" t="s">
        <v>1641</v>
      </c>
      <c r="C552">
        <v>23404</v>
      </c>
      <c r="D552">
        <v>19670</v>
      </c>
      <c r="F552">
        <v>19670</v>
      </c>
    </row>
    <row r="553" spans="1:6" x14ac:dyDescent="0.25">
      <c r="B553" t="s">
        <v>1761</v>
      </c>
      <c r="D553">
        <v>21164</v>
      </c>
      <c r="F553">
        <v>21164</v>
      </c>
    </row>
    <row r="554" spans="1:6" x14ac:dyDescent="0.25">
      <c r="B554" t="s">
        <v>1762</v>
      </c>
    </row>
    <row r="555" spans="1:6" x14ac:dyDescent="0.25">
      <c r="A555" t="s">
        <v>2</v>
      </c>
      <c r="B555" t="s">
        <v>1637</v>
      </c>
      <c r="C555">
        <v>23501</v>
      </c>
      <c r="D555">
        <v>6329</v>
      </c>
      <c r="E555">
        <v>0</v>
      </c>
      <c r="F555">
        <v>6329</v>
      </c>
    </row>
    <row r="556" spans="1:6" x14ac:dyDescent="0.25">
      <c r="A556" t="s">
        <v>15</v>
      </c>
      <c r="B556" t="s">
        <v>1763</v>
      </c>
      <c r="C556">
        <v>23502</v>
      </c>
      <c r="D556">
        <v>3226043</v>
      </c>
      <c r="E556">
        <v>0</v>
      </c>
      <c r="F556">
        <v>3226043</v>
      </c>
    </row>
    <row r="557" spans="1:6" x14ac:dyDescent="0.25">
      <c r="A557" t="s">
        <v>16</v>
      </c>
      <c r="B557" t="s">
        <v>1640</v>
      </c>
      <c r="C557">
        <v>23503</v>
      </c>
      <c r="D557">
        <v>33571</v>
      </c>
      <c r="E557">
        <v>0</v>
      </c>
      <c r="F557">
        <v>33571</v>
      </c>
    </row>
    <row r="558" spans="1:6" x14ac:dyDescent="0.25">
      <c r="A558" t="s">
        <v>25</v>
      </c>
      <c r="B558" t="s">
        <v>1764</v>
      </c>
      <c r="C558">
        <v>23504</v>
      </c>
      <c r="D558">
        <v>0</v>
      </c>
      <c r="E558">
        <v>0</v>
      </c>
      <c r="F558">
        <v>0</v>
      </c>
    </row>
    <row r="559" spans="1:6" x14ac:dyDescent="0.25">
      <c r="B559" t="s">
        <v>1765</v>
      </c>
      <c r="D559">
        <v>3265943</v>
      </c>
      <c r="E559">
        <v>0</v>
      </c>
      <c r="F559">
        <v>3265943</v>
      </c>
    </row>
    <row r="560" spans="1:6" x14ac:dyDescent="0.25">
      <c r="B560" t="s">
        <v>1766</v>
      </c>
    </row>
    <row r="561" spans="1:6" x14ac:dyDescent="0.25">
      <c r="A561" t="s">
        <v>2</v>
      </c>
      <c r="B561" t="s">
        <v>1637</v>
      </c>
      <c r="C561">
        <v>23601</v>
      </c>
      <c r="D561">
        <v>0</v>
      </c>
      <c r="E561">
        <v>0</v>
      </c>
      <c r="F561">
        <v>0</v>
      </c>
    </row>
    <row r="562" spans="1:6" x14ac:dyDescent="0.25">
      <c r="A562" t="s">
        <v>15</v>
      </c>
      <c r="B562" t="s">
        <v>1763</v>
      </c>
      <c r="C562">
        <v>23602</v>
      </c>
      <c r="D562">
        <v>93420</v>
      </c>
      <c r="E562">
        <v>0</v>
      </c>
      <c r="F562">
        <v>93420</v>
      </c>
    </row>
    <row r="563" spans="1:6" x14ac:dyDescent="0.25">
      <c r="A563" t="s">
        <v>16</v>
      </c>
      <c r="B563" t="s">
        <v>1640</v>
      </c>
      <c r="C563">
        <v>23603</v>
      </c>
      <c r="D563">
        <v>0</v>
      </c>
      <c r="E563">
        <v>0</v>
      </c>
      <c r="F563">
        <v>0</v>
      </c>
    </row>
    <row r="564" spans="1:6" x14ac:dyDescent="0.25">
      <c r="A564" t="s">
        <v>25</v>
      </c>
      <c r="B564" t="s">
        <v>1764</v>
      </c>
      <c r="C564">
        <v>23604</v>
      </c>
      <c r="D564">
        <v>0</v>
      </c>
      <c r="E564">
        <v>0</v>
      </c>
      <c r="F564">
        <v>0</v>
      </c>
    </row>
    <row r="565" spans="1:6" x14ac:dyDescent="0.25">
      <c r="B565" t="s">
        <v>1767</v>
      </c>
      <c r="D565">
        <v>93420</v>
      </c>
      <c r="E565">
        <v>0</v>
      </c>
      <c r="F565">
        <v>93420</v>
      </c>
    </row>
    <row r="566" spans="1:6" x14ac:dyDescent="0.25">
      <c r="B566" t="s">
        <v>1768</v>
      </c>
    </row>
    <row r="567" spans="1:6" x14ac:dyDescent="0.25">
      <c r="A567" t="s">
        <v>2</v>
      </c>
      <c r="B567" t="s">
        <v>1769</v>
      </c>
      <c r="C567">
        <v>23701</v>
      </c>
      <c r="D567">
        <v>0</v>
      </c>
      <c r="E567">
        <v>0</v>
      </c>
      <c r="F567">
        <v>0</v>
      </c>
    </row>
    <row r="568" spans="1:6" x14ac:dyDescent="0.25">
      <c r="A568" t="s">
        <v>15</v>
      </c>
      <c r="B568" t="s">
        <v>1770</v>
      </c>
      <c r="C568">
        <v>23702</v>
      </c>
      <c r="D568">
        <v>0</v>
      </c>
      <c r="E568">
        <v>0</v>
      </c>
      <c r="F568">
        <v>0</v>
      </c>
    </row>
    <row r="569" spans="1:6" x14ac:dyDescent="0.25">
      <c r="A569" t="s">
        <v>16</v>
      </c>
      <c r="B569" t="s">
        <v>1771</v>
      </c>
      <c r="C569">
        <v>23703</v>
      </c>
      <c r="D569">
        <v>0</v>
      </c>
      <c r="E569">
        <v>0</v>
      </c>
      <c r="F569">
        <v>0</v>
      </c>
    </row>
    <row r="570" spans="1:6" x14ac:dyDescent="0.25">
      <c r="A570" t="s">
        <v>25</v>
      </c>
      <c r="B570" t="s">
        <v>1772</v>
      </c>
      <c r="C570">
        <v>23704</v>
      </c>
      <c r="D570">
        <v>0</v>
      </c>
      <c r="E570">
        <v>0</v>
      </c>
      <c r="F570">
        <v>0</v>
      </c>
    </row>
    <row r="571" spans="1:6" x14ac:dyDescent="0.25">
      <c r="B571" t="s">
        <v>1773</v>
      </c>
      <c r="D571">
        <v>0</v>
      </c>
      <c r="E571">
        <v>0</v>
      </c>
      <c r="F571">
        <v>0</v>
      </c>
    </row>
    <row r="572" spans="1:6" x14ac:dyDescent="0.25">
      <c r="B572" t="s">
        <v>1774</v>
      </c>
    </row>
    <row r="573" spans="1:6" x14ac:dyDescent="0.25">
      <c r="A573" t="s">
        <v>2</v>
      </c>
      <c r="B573" t="s">
        <v>1769</v>
      </c>
      <c r="C573">
        <v>23801</v>
      </c>
      <c r="D573">
        <v>0</v>
      </c>
      <c r="E573">
        <v>0</v>
      </c>
      <c r="F573">
        <v>0</v>
      </c>
    </row>
    <row r="574" spans="1:6" x14ac:dyDescent="0.25">
      <c r="A574" t="s">
        <v>15</v>
      </c>
      <c r="B574" t="s">
        <v>1770</v>
      </c>
      <c r="C574">
        <v>23802</v>
      </c>
      <c r="D574">
        <v>0</v>
      </c>
      <c r="E574">
        <v>0</v>
      </c>
      <c r="F574">
        <v>0</v>
      </c>
    </row>
    <row r="575" spans="1:6" x14ac:dyDescent="0.25">
      <c r="A575" t="s">
        <v>16</v>
      </c>
      <c r="B575" t="s">
        <v>1771</v>
      </c>
      <c r="C575">
        <v>23803</v>
      </c>
      <c r="D575">
        <v>0</v>
      </c>
      <c r="E575">
        <v>0</v>
      </c>
      <c r="F575">
        <v>0</v>
      </c>
    </row>
    <row r="576" spans="1:6" x14ac:dyDescent="0.25">
      <c r="A576" t="s">
        <v>25</v>
      </c>
      <c r="B576" t="s">
        <v>1772</v>
      </c>
      <c r="C576">
        <v>23804</v>
      </c>
      <c r="D576">
        <v>0</v>
      </c>
      <c r="E576">
        <v>0</v>
      </c>
      <c r="F576">
        <v>0</v>
      </c>
    </row>
    <row r="577" spans="1:6" x14ac:dyDescent="0.25">
      <c r="B577" t="s">
        <v>1775</v>
      </c>
      <c r="D577">
        <v>0</v>
      </c>
      <c r="E577">
        <v>0</v>
      </c>
      <c r="F577">
        <v>0</v>
      </c>
    </row>
    <row r="578" spans="1:6" x14ac:dyDescent="0.25">
      <c r="B578" t="s">
        <v>1776</v>
      </c>
    </row>
    <row r="579" spans="1:6" x14ac:dyDescent="0.25">
      <c r="A579" t="s">
        <v>2</v>
      </c>
      <c r="B579" t="s">
        <v>1637</v>
      </c>
      <c r="C579">
        <v>23901</v>
      </c>
      <c r="D579">
        <v>0</v>
      </c>
      <c r="F579">
        <v>0</v>
      </c>
    </row>
    <row r="580" spans="1:6" x14ac:dyDescent="0.25">
      <c r="A580" t="s">
        <v>15</v>
      </c>
      <c r="B580" t="s">
        <v>1763</v>
      </c>
      <c r="C580">
        <v>23902</v>
      </c>
      <c r="D580">
        <v>0</v>
      </c>
      <c r="F580">
        <v>0</v>
      </c>
    </row>
    <row r="581" spans="1:6" x14ac:dyDescent="0.25">
      <c r="A581" t="s">
        <v>16</v>
      </c>
      <c r="B581" t="s">
        <v>1777</v>
      </c>
      <c r="C581">
        <v>23903</v>
      </c>
      <c r="D581">
        <v>0</v>
      </c>
      <c r="F581">
        <v>0</v>
      </c>
    </row>
    <row r="582" spans="1:6" x14ac:dyDescent="0.25">
      <c r="A582" t="s">
        <v>25</v>
      </c>
      <c r="B582" t="s">
        <v>1764</v>
      </c>
      <c r="C582">
        <v>23904</v>
      </c>
      <c r="D582">
        <v>0</v>
      </c>
      <c r="F582">
        <v>0</v>
      </c>
    </row>
    <row r="583" spans="1:6" x14ac:dyDescent="0.25">
      <c r="B583" t="s">
        <v>1778</v>
      </c>
      <c r="D583">
        <v>0</v>
      </c>
      <c r="F583">
        <v>0</v>
      </c>
    </row>
    <row r="584" spans="1:6" x14ac:dyDescent="0.25">
      <c r="B584" t="s">
        <v>1670</v>
      </c>
      <c r="D584">
        <v>22013417</v>
      </c>
      <c r="E584">
        <v>0</v>
      </c>
      <c r="F584">
        <v>22013417</v>
      </c>
    </row>
    <row r="585" spans="1:6" x14ac:dyDescent="0.25">
      <c r="B585" t="s">
        <v>1779</v>
      </c>
    </row>
    <row r="586" spans="1:6" x14ac:dyDescent="0.25">
      <c r="B586" t="s">
        <v>1672</v>
      </c>
    </row>
    <row r="587" spans="1:6" x14ac:dyDescent="0.25">
      <c r="A587" t="s">
        <v>2</v>
      </c>
      <c r="B587" t="s">
        <v>1673</v>
      </c>
      <c r="C587">
        <v>24101</v>
      </c>
      <c r="D587">
        <v>0</v>
      </c>
      <c r="E587">
        <v>0</v>
      </c>
      <c r="F587">
        <v>0</v>
      </c>
    </row>
    <row r="588" spans="1:6" x14ac:dyDescent="0.25">
      <c r="A588" t="s">
        <v>15</v>
      </c>
      <c r="B588" t="s">
        <v>1674</v>
      </c>
      <c r="C588">
        <v>24102</v>
      </c>
      <c r="D588">
        <v>0</v>
      </c>
      <c r="E588">
        <v>0</v>
      </c>
      <c r="F588">
        <v>0</v>
      </c>
    </row>
    <row r="589" spans="1:6" x14ac:dyDescent="0.25">
      <c r="A589" t="s">
        <v>16</v>
      </c>
      <c r="B589" t="s">
        <v>1675</v>
      </c>
      <c r="C589">
        <v>24103</v>
      </c>
      <c r="D589">
        <v>0</v>
      </c>
      <c r="E589">
        <v>0</v>
      </c>
      <c r="F589">
        <v>0</v>
      </c>
    </row>
    <row r="590" spans="1:6" x14ac:dyDescent="0.25">
      <c r="A590" t="s">
        <v>25</v>
      </c>
      <c r="B590" t="s">
        <v>1676</v>
      </c>
      <c r="C590">
        <v>24104</v>
      </c>
      <c r="D590">
        <v>0</v>
      </c>
      <c r="E590">
        <v>0</v>
      </c>
      <c r="F590">
        <v>0</v>
      </c>
    </row>
    <row r="591" spans="1:6" x14ac:dyDescent="0.25">
      <c r="A591" t="s">
        <v>26</v>
      </c>
      <c r="B591" t="s">
        <v>1677</v>
      </c>
      <c r="C591">
        <v>24105</v>
      </c>
      <c r="D591">
        <v>15146</v>
      </c>
      <c r="E591">
        <v>0</v>
      </c>
      <c r="F591">
        <v>15146</v>
      </c>
    </row>
    <row r="592" spans="1:6" x14ac:dyDescent="0.25">
      <c r="B592" t="s">
        <v>1780</v>
      </c>
      <c r="D592">
        <v>15146</v>
      </c>
      <c r="E592">
        <v>0</v>
      </c>
      <c r="F592">
        <v>15146</v>
      </c>
    </row>
    <row r="593" spans="1:6" x14ac:dyDescent="0.25">
      <c r="B593" t="s">
        <v>1781</v>
      </c>
    </row>
    <row r="594" spans="1:6" x14ac:dyDescent="0.25">
      <c r="A594" t="s">
        <v>2</v>
      </c>
      <c r="B594" t="s">
        <v>1693</v>
      </c>
      <c r="C594">
        <v>24201</v>
      </c>
      <c r="D594">
        <v>0</v>
      </c>
      <c r="E594">
        <v>0</v>
      </c>
      <c r="F594">
        <v>0</v>
      </c>
    </row>
    <row r="595" spans="1:6" x14ac:dyDescent="0.25">
      <c r="A595" t="s">
        <v>15</v>
      </c>
      <c r="B595" t="s">
        <v>1694</v>
      </c>
      <c r="C595">
        <v>24202</v>
      </c>
      <c r="D595">
        <v>0</v>
      </c>
      <c r="E595">
        <v>0</v>
      </c>
      <c r="F595">
        <v>0</v>
      </c>
    </row>
    <row r="596" spans="1:6" x14ac:dyDescent="0.25">
      <c r="A596" t="s">
        <v>16</v>
      </c>
      <c r="B596" t="s">
        <v>1695</v>
      </c>
      <c r="C596">
        <v>24203</v>
      </c>
      <c r="D596">
        <v>0</v>
      </c>
      <c r="E596">
        <v>0</v>
      </c>
      <c r="F596">
        <v>0</v>
      </c>
    </row>
    <row r="597" spans="1:6" x14ac:dyDescent="0.25">
      <c r="A597" t="s">
        <v>25</v>
      </c>
      <c r="B597" t="s">
        <v>1696</v>
      </c>
      <c r="C597">
        <v>24204</v>
      </c>
      <c r="D597">
        <v>0</v>
      </c>
      <c r="E597">
        <v>0</v>
      </c>
      <c r="F597">
        <v>0</v>
      </c>
    </row>
    <row r="598" spans="1:6" x14ac:dyDescent="0.25">
      <c r="A598" t="s">
        <v>26</v>
      </c>
      <c r="B598" t="s">
        <v>1680</v>
      </c>
      <c r="C598">
        <v>24205</v>
      </c>
      <c r="D598">
        <v>0</v>
      </c>
      <c r="E598">
        <v>0</v>
      </c>
      <c r="F598">
        <v>0</v>
      </c>
    </row>
    <row r="599" spans="1:6" x14ac:dyDescent="0.25">
      <c r="A599" t="s">
        <v>27</v>
      </c>
      <c r="B599" t="s">
        <v>1681</v>
      </c>
      <c r="C599">
        <v>24206</v>
      </c>
      <c r="D599">
        <v>0</v>
      </c>
      <c r="E599">
        <v>0</v>
      </c>
      <c r="F599">
        <v>0</v>
      </c>
    </row>
    <row r="600" spans="1:6" x14ac:dyDescent="0.25">
      <c r="A600" t="s">
        <v>531</v>
      </c>
      <c r="B600" t="s">
        <v>1682</v>
      </c>
      <c r="C600">
        <v>24207</v>
      </c>
      <c r="D600">
        <v>0</v>
      </c>
      <c r="E600">
        <v>0</v>
      </c>
      <c r="F600">
        <v>0</v>
      </c>
    </row>
    <row r="601" spans="1:6" x14ac:dyDescent="0.25">
      <c r="A601" t="s">
        <v>1583</v>
      </c>
      <c r="B601" t="s">
        <v>1683</v>
      </c>
      <c r="C601">
        <v>24208</v>
      </c>
      <c r="D601">
        <v>0</v>
      </c>
      <c r="E601">
        <v>0</v>
      </c>
      <c r="F601">
        <v>0</v>
      </c>
    </row>
    <row r="602" spans="1:6" x14ac:dyDescent="0.25">
      <c r="A602" t="s">
        <v>1585</v>
      </c>
      <c r="B602" t="s">
        <v>1684</v>
      </c>
      <c r="C602">
        <v>24209</v>
      </c>
      <c r="D602">
        <v>1147</v>
      </c>
      <c r="E602">
        <v>0</v>
      </c>
      <c r="F602">
        <v>1147</v>
      </c>
    </row>
    <row r="603" spans="1:6" x14ac:dyDescent="0.25">
      <c r="A603" t="s">
        <v>1587</v>
      </c>
      <c r="B603" t="s">
        <v>1685</v>
      </c>
      <c r="C603">
        <v>24210</v>
      </c>
      <c r="D603">
        <v>20</v>
      </c>
      <c r="E603">
        <v>0</v>
      </c>
      <c r="F603">
        <v>20</v>
      </c>
    </row>
    <row r="604" spans="1:6" x14ac:dyDescent="0.25">
      <c r="A604" t="s">
        <v>1589</v>
      </c>
      <c r="B604" t="s">
        <v>1686</v>
      </c>
      <c r="C604">
        <v>24211</v>
      </c>
      <c r="D604">
        <v>16069</v>
      </c>
      <c r="E604">
        <v>0</v>
      </c>
      <c r="F604">
        <v>16069</v>
      </c>
    </row>
    <row r="605" spans="1:6" x14ac:dyDescent="0.25">
      <c r="A605" t="s">
        <v>1591</v>
      </c>
      <c r="B605" t="s">
        <v>1687</v>
      </c>
      <c r="C605">
        <v>24212</v>
      </c>
      <c r="D605">
        <v>163548</v>
      </c>
      <c r="E605">
        <v>3187</v>
      </c>
      <c r="F605">
        <v>166735</v>
      </c>
    </row>
    <row r="606" spans="1:6" x14ac:dyDescent="0.25">
      <c r="A606" t="s">
        <v>1593</v>
      </c>
      <c r="B606" t="s">
        <v>1688</v>
      </c>
      <c r="C606">
        <v>24213</v>
      </c>
      <c r="D606">
        <v>541</v>
      </c>
      <c r="E606">
        <v>0</v>
      </c>
      <c r="F606">
        <v>541</v>
      </c>
    </row>
    <row r="607" spans="1:6" x14ac:dyDescent="0.25">
      <c r="A607" t="s">
        <v>1595</v>
      </c>
      <c r="B607" t="s">
        <v>1690</v>
      </c>
      <c r="C607">
        <v>24214</v>
      </c>
      <c r="D607">
        <v>0</v>
      </c>
      <c r="E607">
        <v>0</v>
      </c>
      <c r="F607">
        <v>0</v>
      </c>
    </row>
    <row r="608" spans="1:6" x14ac:dyDescent="0.25">
      <c r="A608" t="s">
        <v>1597</v>
      </c>
      <c r="B608" t="s">
        <v>1637</v>
      </c>
      <c r="C608">
        <v>24215</v>
      </c>
      <c r="D608">
        <v>0</v>
      </c>
      <c r="E608">
        <v>0</v>
      </c>
      <c r="F608">
        <v>0</v>
      </c>
    </row>
    <row r="609" spans="1:6" x14ac:dyDescent="0.25">
      <c r="A609" t="s">
        <v>1599</v>
      </c>
      <c r="B609" t="s">
        <v>1640</v>
      </c>
      <c r="C609">
        <v>24216</v>
      </c>
      <c r="D609">
        <v>0</v>
      </c>
      <c r="E609">
        <v>0</v>
      </c>
      <c r="F609">
        <v>0</v>
      </c>
    </row>
    <row r="610" spans="1:6" x14ac:dyDescent="0.25">
      <c r="A610" t="s">
        <v>1601</v>
      </c>
      <c r="B610" t="s">
        <v>1636</v>
      </c>
      <c r="C610">
        <v>24217</v>
      </c>
      <c r="D610">
        <v>0</v>
      </c>
      <c r="E610">
        <v>0</v>
      </c>
      <c r="F610">
        <v>0</v>
      </c>
    </row>
    <row r="611" spans="1:6" x14ac:dyDescent="0.25">
      <c r="A611" t="s">
        <v>1603</v>
      </c>
      <c r="B611" t="s">
        <v>1689</v>
      </c>
      <c r="C611">
        <v>24218</v>
      </c>
      <c r="D611">
        <v>168</v>
      </c>
      <c r="E611">
        <v>0</v>
      </c>
      <c r="F611">
        <v>168</v>
      </c>
    </row>
    <row r="612" spans="1:6" x14ac:dyDescent="0.25">
      <c r="B612" t="s">
        <v>1782</v>
      </c>
      <c r="D612">
        <v>181493</v>
      </c>
      <c r="E612">
        <v>3187</v>
      </c>
      <c r="F612">
        <v>184680</v>
      </c>
    </row>
    <row r="613" spans="1:6" x14ac:dyDescent="0.25">
      <c r="B613" t="s">
        <v>1783</v>
      </c>
    </row>
    <row r="614" spans="1:6" x14ac:dyDescent="0.25">
      <c r="A614" t="s">
        <v>2</v>
      </c>
      <c r="B614" t="s">
        <v>1699</v>
      </c>
      <c r="C614">
        <v>24301</v>
      </c>
      <c r="D614">
        <v>0</v>
      </c>
      <c r="E614">
        <v>0</v>
      </c>
      <c r="F614">
        <v>0</v>
      </c>
    </row>
    <row r="615" spans="1:6" x14ac:dyDescent="0.25">
      <c r="A615" t="s">
        <v>15</v>
      </c>
      <c r="B615" t="s">
        <v>1694</v>
      </c>
      <c r="C615">
        <v>24302</v>
      </c>
      <c r="D615">
        <v>0</v>
      </c>
      <c r="E615">
        <v>0</v>
      </c>
      <c r="F615">
        <v>0</v>
      </c>
    </row>
    <row r="616" spans="1:6" x14ac:dyDescent="0.25">
      <c r="A616" t="s">
        <v>16</v>
      </c>
      <c r="B616" t="s">
        <v>1695</v>
      </c>
      <c r="C616">
        <v>24303</v>
      </c>
      <c r="D616">
        <v>0</v>
      </c>
      <c r="E616">
        <v>0</v>
      </c>
      <c r="F616">
        <v>0</v>
      </c>
    </row>
    <row r="617" spans="1:6" x14ac:dyDescent="0.25">
      <c r="A617" t="s">
        <v>25</v>
      </c>
      <c r="B617" t="s">
        <v>1696</v>
      </c>
      <c r="C617">
        <v>24304</v>
      </c>
      <c r="D617">
        <v>0</v>
      </c>
      <c r="E617">
        <v>0</v>
      </c>
      <c r="F617">
        <v>0</v>
      </c>
    </row>
    <row r="618" spans="1:6" x14ac:dyDescent="0.25">
      <c r="A618" t="s">
        <v>26</v>
      </c>
      <c r="B618" t="s">
        <v>1680</v>
      </c>
      <c r="C618">
        <v>24305</v>
      </c>
      <c r="D618">
        <v>0</v>
      </c>
      <c r="E618">
        <v>0</v>
      </c>
      <c r="F618">
        <v>0</v>
      </c>
    </row>
    <row r="619" spans="1:6" x14ac:dyDescent="0.25">
      <c r="A619" t="s">
        <v>27</v>
      </c>
      <c r="B619" t="s">
        <v>1681</v>
      </c>
      <c r="C619">
        <v>24306</v>
      </c>
      <c r="D619">
        <v>0</v>
      </c>
      <c r="E619">
        <v>0</v>
      </c>
      <c r="F619">
        <v>0</v>
      </c>
    </row>
    <row r="620" spans="1:6" x14ac:dyDescent="0.25">
      <c r="A620" t="s">
        <v>531</v>
      </c>
      <c r="B620" t="s">
        <v>1682</v>
      </c>
      <c r="C620">
        <v>24307</v>
      </c>
      <c r="D620">
        <v>0</v>
      </c>
      <c r="E620">
        <v>0</v>
      </c>
      <c r="F620">
        <v>0</v>
      </c>
    </row>
    <row r="621" spans="1:6" x14ac:dyDescent="0.25">
      <c r="A621" t="s">
        <v>1583</v>
      </c>
      <c r="B621" t="s">
        <v>1683</v>
      </c>
      <c r="C621">
        <v>24308</v>
      </c>
      <c r="D621">
        <v>0</v>
      </c>
      <c r="E621">
        <v>0</v>
      </c>
      <c r="F621">
        <v>0</v>
      </c>
    </row>
    <row r="622" spans="1:6" x14ac:dyDescent="0.25">
      <c r="A622" t="s">
        <v>1585</v>
      </c>
      <c r="B622" t="s">
        <v>1684</v>
      </c>
      <c r="C622">
        <v>24309</v>
      </c>
      <c r="D622">
        <v>0</v>
      </c>
      <c r="E622">
        <v>0</v>
      </c>
      <c r="F622">
        <v>0</v>
      </c>
    </row>
    <row r="623" spans="1:6" x14ac:dyDescent="0.25">
      <c r="A623" t="s">
        <v>1587</v>
      </c>
      <c r="B623" t="s">
        <v>1685</v>
      </c>
      <c r="C623">
        <v>24310</v>
      </c>
      <c r="D623">
        <v>0</v>
      </c>
      <c r="E623">
        <v>0</v>
      </c>
      <c r="F623">
        <v>0</v>
      </c>
    </row>
    <row r="624" spans="1:6" x14ac:dyDescent="0.25">
      <c r="A624" t="s">
        <v>1589</v>
      </c>
      <c r="B624" t="s">
        <v>1686</v>
      </c>
      <c r="C624">
        <v>24311</v>
      </c>
      <c r="D624">
        <v>0</v>
      </c>
      <c r="E624">
        <v>0</v>
      </c>
      <c r="F624">
        <v>0</v>
      </c>
    </row>
    <row r="625" spans="1:6" x14ac:dyDescent="0.25">
      <c r="A625" t="s">
        <v>1591</v>
      </c>
      <c r="B625" t="s">
        <v>1687</v>
      </c>
      <c r="C625">
        <v>24312</v>
      </c>
      <c r="D625">
        <v>0</v>
      </c>
      <c r="E625">
        <v>0</v>
      </c>
      <c r="F625">
        <v>0</v>
      </c>
    </row>
    <row r="626" spans="1:6" x14ac:dyDescent="0.25">
      <c r="A626" t="s">
        <v>1593</v>
      </c>
      <c r="B626" t="s">
        <v>1688</v>
      </c>
      <c r="C626">
        <v>24313</v>
      </c>
      <c r="D626">
        <v>26</v>
      </c>
      <c r="E626">
        <v>0</v>
      </c>
      <c r="F626">
        <v>26</v>
      </c>
    </row>
    <row r="627" spans="1:6" x14ac:dyDescent="0.25">
      <c r="A627" t="s">
        <v>1595</v>
      </c>
      <c r="B627" t="s">
        <v>1690</v>
      </c>
      <c r="C627">
        <v>24314</v>
      </c>
      <c r="D627">
        <v>0</v>
      </c>
      <c r="E627">
        <v>0</v>
      </c>
      <c r="F627">
        <v>0</v>
      </c>
    </row>
    <row r="628" spans="1:6" x14ac:dyDescent="0.25">
      <c r="A628" t="s">
        <v>1597</v>
      </c>
      <c r="B628" t="s">
        <v>1637</v>
      </c>
      <c r="C628">
        <v>24315</v>
      </c>
      <c r="D628">
        <v>0</v>
      </c>
      <c r="E628">
        <v>0</v>
      </c>
      <c r="F628">
        <v>0</v>
      </c>
    </row>
    <row r="629" spans="1:6" x14ac:dyDescent="0.25">
      <c r="A629" t="s">
        <v>1599</v>
      </c>
      <c r="B629" t="s">
        <v>1640</v>
      </c>
      <c r="C629">
        <v>24316</v>
      </c>
      <c r="D629">
        <v>0</v>
      </c>
      <c r="E629">
        <v>0</v>
      </c>
      <c r="F629">
        <v>0</v>
      </c>
    </row>
    <row r="630" spans="1:6" x14ac:dyDescent="0.25">
      <c r="A630" t="s">
        <v>1601</v>
      </c>
      <c r="B630" t="s">
        <v>1636</v>
      </c>
      <c r="C630">
        <v>24317</v>
      </c>
      <c r="D630">
        <v>0</v>
      </c>
      <c r="E630">
        <v>0</v>
      </c>
      <c r="F630">
        <v>0</v>
      </c>
    </row>
    <row r="631" spans="1:6" x14ac:dyDescent="0.25">
      <c r="A631" t="s">
        <v>1603</v>
      </c>
      <c r="B631" t="s">
        <v>1689</v>
      </c>
      <c r="C631">
        <v>24318</v>
      </c>
      <c r="D631">
        <v>0</v>
      </c>
      <c r="E631">
        <v>0</v>
      </c>
      <c r="F631">
        <v>0</v>
      </c>
    </row>
    <row r="632" spans="1:6" x14ac:dyDescent="0.25">
      <c r="B632" t="s">
        <v>1784</v>
      </c>
      <c r="D632">
        <v>26</v>
      </c>
      <c r="E632">
        <v>0</v>
      </c>
      <c r="F632">
        <v>26</v>
      </c>
    </row>
    <row r="633" spans="1:6" x14ac:dyDescent="0.25">
      <c r="B633" t="s">
        <v>1785</v>
      </c>
    </row>
    <row r="634" spans="1:6" x14ac:dyDescent="0.25">
      <c r="A634" t="s">
        <v>2</v>
      </c>
      <c r="B634" t="s">
        <v>1702</v>
      </c>
      <c r="C634">
        <v>24401</v>
      </c>
      <c r="D634">
        <v>197800</v>
      </c>
      <c r="E634">
        <v>11765</v>
      </c>
      <c r="F634">
        <v>209565</v>
      </c>
    </row>
    <row r="635" spans="1:6" x14ac:dyDescent="0.25">
      <c r="A635" t="s">
        <v>15</v>
      </c>
      <c r="B635" t="s">
        <v>1703</v>
      </c>
      <c r="C635">
        <v>24402</v>
      </c>
      <c r="D635">
        <v>1123</v>
      </c>
      <c r="E635">
        <v>572</v>
      </c>
      <c r="F635">
        <v>1695</v>
      </c>
    </row>
    <row r="636" spans="1:6" x14ac:dyDescent="0.25">
      <c r="B636" t="s">
        <v>1786</v>
      </c>
      <c r="D636">
        <v>198923</v>
      </c>
      <c r="E636">
        <v>12337</v>
      </c>
      <c r="F636">
        <v>211260</v>
      </c>
    </row>
    <row r="637" spans="1:6" x14ac:dyDescent="0.25">
      <c r="B637" t="s">
        <v>1787</v>
      </c>
    </row>
    <row r="638" spans="1:6" x14ac:dyDescent="0.25">
      <c r="A638" t="s">
        <v>2</v>
      </c>
      <c r="B638" t="s">
        <v>1702</v>
      </c>
      <c r="C638">
        <v>24501</v>
      </c>
      <c r="D638">
        <v>0</v>
      </c>
      <c r="E638">
        <v>0</v>
      </c>
      <c r="F638">
        <v>0</v>
      </c>
    </row>
    <row r="639" spans="1:6" x14ac:dyDescent="0.25">
      <c r="A639" t="s">
        <v>15</v>
      </c>
      <c r="B639" t="s">
        <v>1703</v>
      </c>
      <c r="C639">
        <v>24502</v>
      </c>
      <c r="D639">
        <v>0</v>
      </c>
      <c r="E639">
        <v>0</v>
      </c>
      <c r="F639">
        <v>0</v>
      </c>
    </row>
    <row r="640" spans="1:6" x14ac:dyDescent="0.25">
      <c r="B640" t="s">
        <v>1788</v>
      </c>
      <c r="D640">
        <v>0</v>
      </c>
      <c r="E640">
        <v>0</v>
      </c>
      <c r="F640">
        <v>0</v>
      </c>
    </row>
    <row r="641" spans="1:6" x14ac:dyDescent="0.25">
      <c r="B641" t="s">
        <v>1789</v>
      </c>
    </row>
    <row r="642" spans="1:6" x14ac:dyDescent="0.25">
      <c r="A642" t="s">
        <v>2</v>
      </c>
      <c r="B642" t="s">
        <v>1710</v>
      </c>
      <c r="C642">
        <v>24601</v>
      </c>
      <c r="D642">
        <v>0</v>
      </c>
      <c r="E642">
        <v>0</v>
      </c>
      <c r="F642">
        <v>0</v>
      </c>
    </row>
    <row r="643" spans="1:6" x14ac:dyDescent="0.25">
      <c r="A643" t="s">
        <v>15</v>
      </c>
      <c r="B643" t="s">
        <v>1711</v>
      </c>
      <c r="C643">
        <v>24602</v>
      </c>
      <c r="D643">
        <v>0</v>
      </c>
      <c r="E643">
        <v>0</v>
      </c>
      <c r="F643">
        <v>0</v>
      </c>
    </row>
    <row r="644" spans="1:6" x14ac:dyDescent="0.25">
      <c r="A644" t="s">
        <v>16</v>
      </c>
      <c r="B644" t="s">
        <v>1712</v>
      </c>
      <c r="C644">
        <v>24603</v>
      </c>
      <c r="D644">
        <v>5833</v>
      </c>
      <c r="E644">
        <v>0</v>
      </c>
      <c r="F644">
        <v>5833</v>
      </c>
    </row>
    <row r="645" spans="1:6" x14ac:dyDescent="0.25">
      <c r="A645" t="s">
        <v>25</v>
      </c>
      <c r="B645" t="s">
        <v>1713</v>
      </c>
      <c r="C645">
        <v>24604</v>
      </c>
      <c r="D645">
        <v>1167</v>
      </c>
      <c r="E645">
        <v>0</v>
      </c>
      <c r="F645">
        <v>1167</v>
      </c>
    </row>
    <row r="646" spans="1:6" x14ac:dyDescent="0.25">
      <c r="A646" t="s">
        <v>26</v>
      </c>
      <c r="B646" t="s">
        <v>1714</v>
      </c>
      <c r="C646">
        <v>24605</v>
      </c>
      <c r="D646">
        <v>0</v>
      </c>
      <c r="E646">
        <v>0</v>
      </c>
      <c r="F646">
        <v>0</v>
      </c>
    </row>
    <row r="647" spans="1:6" x14ac:dyDescent="0.25">
      <c r="B647" t="s">
        <v>1790</v>
      </c>
      <c r="D647">
        <v>7000</v>
      </c>
      <c r="E647">
        <v>0</v>
      </c>
      <c r="F647">
        <v>7000</v>
      </c>
    </row>
    <row r="648" spans="1:6" x14ac:dyDescent="0.25">
      <c r="B648" t="s">
        <v>1716</v>
      </c>
      <c r="D648">
        <v>402588</v>
      </c>
      <c r="E648">
        <v>15524</v>
      </c>
      <c r="F648">
        <v>418112</v>
      </c>
    </row>
    <row r="649" spans="1:6" x14ac:dyDescent="0.25">
      <c r="B649" t="s">
        <v>1791</v>
      </c>
    </row>
    <row r="650" spans="1:6" x14ac:dyDescent="0.25">
      <c r="B650" t="s">
        <v>1792</v>
      </c>
    </row>
    <row r="651" spans="1:6" x14ac:dyDescent="0.25">
      <c r="A651" t="s">
        <v>2</v>
      </c>
      <c r="B651" t="s">
        <v>1793</v>
      </c>
      <c r="C651">
        <v>25101</v>
      </c>
      <c r="D651">
        <v>3467012</v>
      </c>
      <c r="F651">
        <v>3467012</v>
      </c>
    </row>
    <row r="652" spans="1:6" x14ac:dyDescent="0.25">
      <c r="A652" t="s">
        <v>15</v>
      </c>
      <c r="B652" t="s">
        <v>1794</v>
      </c>
      <c r="C652">
        <v>25102</v>
      </c>
      <c r="D652">
        <v>984</v>
      </c>
      <c r="F652">
        <v>984</v>
      </c>
    </row>
    <row r="653" spans="1:6" x14ac:dyDescent="0.25">
      <c r="A653" t="s">
        <v>16</v>
      </c>
      <c r="B653" t="s">
        <v>1795</v>
      </c>
      <c r="C653">
        <v>25103</v>
      </c>
      <c r="D653">
        <v>0</v>
      </c>
      <c r="F653">
        <v>0</v>
      </c>
    </row>
    <row r="654" spans="1:6" x14ac:dyDescent="0.25">
      <c r="A654" t="s">
        <v>25</v>
      </c>
      <c r="B654" t="s">
        <v>1796</v>
      </c>
      <c r="C654">
        <v>25104</v>
      </c>
      <c r="D654">
        <v>1546838</v>
      </c>
      <c r="F654">
        <v>1546838</v>
      </c>
    </row>
    <row r="655" spans="1:6" x14ac:dyDescent="0.25">
      <c r="A655" t="s">
        <v>26</v>
      </c>
      <c r="B655" t="s">
        <v>1797</v>
      </c>
      <c r="C655">
        <v>25105</v>
      </c>
      <c r="D655">
        <v>0</v>
      </c>
      <c r="F655">
        <v>0</v>
      </c>
    </row>
    <row r="656" spans="1:6" x14ac:dyDescent="0.25">
      <c r="B656" t="s">
        <v>1798</v>
      </c>
      <c r="D656">
        <v>5014834</v>
      </c>
      <c r="F656">
        <v>5014834</v>
      </c>
    </row>
    <row r="657" spans="1:6" x14ac:dyDescent="0.25">
      <c r="B657" t="s">
        <v>1799</v>
      </c>
    </row>
    <row r="658" spans="1:6" x14ac:dyDescent="0.25">
      <c r="A658" t="s">
        <v>2</v>
      </c>
      <c r="B658" t="s">
        <v>1793</v>
      </c>
      <c r="C658">
        <v>25201</v>
      </c>
      <c r="D658">
        <v>0</v>
      </c>
      <c r="F658">
        <v>0</v>
      </c>
    </row>
    <row r="659" spans="1:6" x14ac:dyDescent="0.25">
      <c r="A659" t="s">
        <v>15</v>
      </c>
      <c r="B659" t="s">
        <v>1794</v>
      </c>
      <c r="C659">
        <v>25202</v>
      </c>
      <c r="D659">
        <v>0</v>
      </c>
      <c r="F659">
        <v>0</v>
      </c>
    </row>
    <row r="660" spans="1:6" x14ac:dyDescent="0.25">
      <c r="A660" t="s">
        <v>16</v>
      </c>
      <c r="B660" t="s">
        <v>1795</v>
      </c>
      <c r="C660">
        <v>25203</v>
      </c>
      <c r="D660">
        <v>0</v>
      </c>
      <c r="F660">
        <v>0</v>
      </c>
    </row>
    <row r="661" spans="1:6" x14ac:dyDescent="0.25">
      <c r="A661" t="s">
        <v>25</v>
      </c>
      <c r="B661" t="s">
        <v>1796</v>
      </c>
      <c r="C661">
        <v>25204</v>
      </c>
      <c r="D661">
        <v>0</v>
      </c>
      <c r="F661">
        <v>0</v>
      </c>
    </row>
    <row r="662" spans="1:6" x14ac:dyDescent="0.25">
      <c r="A662" t="s">
        <v>26</v>
      </c>
      <c r="B662" t="s">
        <v>1797</v>
      </c>
      <c r="C662">
        <v>25205</v>
      </c>
      <c r="D662">
        <v>0</v>
      </c>
      <c r="F662">
        <v>0</v>
      </c>
    </row>
    <row r="663" spans="1:6" x14ac:dyDescent="0.25">
      <c r="B663" t="s">
        <v>1800</v>
      </c>
      <c r="D663">
        <v>0</v>
      </c>
      <c r="F663">
        <v>0</v>
      </c>
    </row>
    <row r="664" spans="1:6" x14ac:dyDescent="0.25">
      <c r="B664" t="s">
        <v>1801</v>
      </c>
    </row>
    <row r="665" spans="1:6" x14ac:dyDescent="0.25">
      <c r="A665" t="s">
        <v>2</v>
      </c>
      <c r="B665" t="s">
        <v>1793</v>
      </c>
      <c r="C665">
        <v>25301</v>
      </c>
      <c r="D665">
        <v>0</v>
      </c>
      <c r="F665">
        <v>0</v>
      </c>
    </row>
    <row r="666" spans="1:6" x14ac:dyDescent="0.25">
      <c r="A666" t="s">
        <v>15</v>
      </c>
      <c r="B666" t="s">
        <v>1794</v>
      </c>
      <c r="C666">
        <v>25302</v>
      </c>
      <c r="D666">
        <v>0</v>
      </c>
      <c r="F666">
        <v>0</v>
      </c>
    </row>
    <row r="667" spans="1:6" x14ac:dyDescent="0.25">
      <c r="A667" t="s">
        <v>16</v>
      </c>
      <c r="B667" t="s">
        <v>1795</v>
      </c>
      <c r="C667">
        <v>25303</v>
      </c>
      <c r="D667">
        <v>0</v>
      </c>
      <c r="F667">
        <v>0</v>
      </c>
    </row>
    <row r="668" spans="1:6" x14ac:dyDescent="0.25">
      <c r="A668" t="s">
        <v>25</v>
      </c>
      <c r="B668" t="s">
        <v>1796</v>
      </c>
      <c r="C668">
        <v>25304</v>
      </c>
      <c r="D668">
        <v>0</v>
      </c>
      <c r="F668">
        <v>0</v>
      </c>
    </row>
    <row r="669" spans="1:6" x14ac:dyDescent="0.25">
      <c r="A669" t="s">
        <v>26</v>
      </c>
      <c r="B669" t="s">
        <v>1797</v>
      </c>
      <c r="C669">
        <v>25305</v>
      </c>
      <c r="D669">
        <v>0</v>
      </c>
      <c r="F669">
        <v>0</v>
      </c>
    </row>
    <row r="670" spans="1:6" x14ac:dyDescent="0.25">
      <c r="B670" t="s">
        <v>1802</v>
      </c>
      <c r="D670">
        <v>0</v>
      </c>
      <c r="F670">
        <v>0</v>
      </c>
    </row>
    <row r="671" spans="1:6" x14ac:dyDescent="0.25">
      <c r="B671" t="s">
        <v>1803</v>
      </c>
    </row>
    <row r="672" spans="1:6" x14ac:dyDescent="0.25">
      <c r="A672" t="s">
        <v>2</v>
      </c>
      <c r="B672" t="s">
        <v>1793</v>
      </c>
      <c r="C672">
        <v>25401</v>
      </c>
      <c r="D672">
        <v>0</v>
      </c>
      <c r="F672">
        <v>0</v>
      </c>
    </row>
    <row r="673" spans="1:6" x14ac:dyDescent="0.25">
      <c r="A673" t="s">
        <v>15</v>
      </c>
      <c r="B673" t="s">
        <v>1794</v>
      </c>
      <c r="C673">
        <v>25402</v>
      </c>
      <c r="D673">
        <v>0</v>
      </c>
      <c r="F673">
        <v>0</v>
      </c>
    </row>
    <row r="674" spans="1:6" x14ac:dyDescent="0.25">
      <c r="A674" t="s">
        <v>16</v>
      </c>
      <c r="B674" t="s">
        <v>1795</v>
      </c>
      <c r="C674">
        <v>25403</v>
      </c>
      <c r="D674">
        <v>0</v>
      </c>
      <c r="F674">
        <v>0</v>
      </c>
    </row>
    <row r="675" spans="1:6" x14ac:dyDescent="0.25">
      <c r="A675" t="s">
        <v>25</v>
      </c>
      <c r="B675" t="s">
        <v>1796</v>
      </c>
      <c r="C675">
        <v>25404</v>
      </c>
      <c r="D675">
        <v>0</v>
      </c>
      <c r="F675">
        <v>0</v>
      </c>
    </row>
    <row r="676" spans="1:6" x14ac:dyDescent="0.25">
      <c r="A676" t="s">
        <v>26</v>
      </c>
      <c r="B676" t="s">
        <v>1797</v>
      </c>
      <c r="C676">
        <v>25405</v>
      </c>
      <c r="D676">
        <v>0</v>
      </c>
      <c r="F676">
        <v>0</v>
      </c>
    </row>
    <row r="677" spans="1:6" x14ac:dyDescent="0.25">
      <c r="B677" t="s">
        <v>1804</v>
      </c>
      <c r="D677">
        <v>0</v>
      </c>
      <c r="F677">
        <v>0</v>
      </c>
    </row>
    <row r="678" spans="1:6" x14ac:dyDescent="0.25">
      <c r="B678" t="s">
        <v>1805</v>
      </c>
    </row>
    <row r="679" spans="1:6" x14ac:dyDescent="0.25">
      <c r="A679" t="s">
        <v>2</v>
      </c>
      <c r="B679" t="s">
        <v>1793</v>
      </c>
      <c r="C679">
        <v>25501</v>
      </c>
      <c r="D679">
        <v>0</v>
      </c>
      <c r="F679">
        <v>0</v>
      </c>
    </row>
    <row r="680" spans="1:6" x14ac:dyDescent="0.25">
      <c r="A680" t="s">
        <v>15</v>
      </c>
      <c r="B680" t="s">
        <v>1794</v>
      </c>
      <c r="C680">
        <v>25502</v>
      </c>
      <c r="D680">
        <v>0</v>
      </c>
      <c r="F680">
        <v>0</v>
      </c>
    </row>
    <row r="681" spans="1:6" x14ac:dyDescent="0.25">
      <c r="A681" t="s">
        <v>16</v>
      </c>
      <c r="B681" t="s">
        <v>1795</v>
      </c>
      <c r="C681">
        <v>25503</v>
      </c>
      <c r="D681">
        <v>0</v>
      </c>
      <c r="F681">
        <v>0</v>
      </c>
    </row>
    <row r="682" spans="1:6" x14ac:dyDescent="0.25">
      <c r="A682" t="s">
        <v>25</v>
      </c>
      <c r="B682" t="s">
        <v>1796</v>
      </c>
      <c r="C682">
        <v>25504</v>
      </c>
      <c r="D682">
        <v>0</v>
      </c>
      <c r="F682">
        <v>0</v>
      </c>
    </row>
    <row r="683" spans="1:6" x14ac:dyDescent="0.25">
      <c r="A683" t="s">
        <v>26</v>
      </c>
      <c r="B683" t="s">
        <v>1797</v>
      </c>
      <c r="C683">
        <v>25505</v>
      </c>
      <c r="D683">
        <v>0</v>
      </c>
      <c r="F683">
        <v>0</v>
      </c>
    </row>
    <row r="684" spans="1:6" x14ac:dyDescent="0.25">
      <c r="B684" t="s">
        <v>1806</v>
      </c>
      <c r="D684">
        <v>0</v>
      </c>
      <c r="F684">
        <v>0</v>
      </c>
    </row>
    <row r="685" spans="1:6" x14ac:dyDescent="0.25">
      <c r="B685" t="s">
        <v>1807</v>
      </c>
    </row>
    <row r="686" spans="1:6" x14ac:dyDescent="0.25">
      <c r="A686" t="s">
        <v>2</v>
      </c>
      <c r="B686" t="s">
        <v>1808</v>
      </c>
      <c r="C686">
        <v>25601</v>
      </c>
      <c r="D686">
        <v>1373</v>
      </c>
      <c r="F686">
        <v>1373</v>
      </c>
    </row>
    <row r="687" spans="1:6" x14ac:dyDescent="0.25">
      <c r="B687" t="s">
        <v>1728</v>
      </c>
      <c r="D687">
        <v>5016207</v>
      </c>
      <c r="F687">
        <v>5016207</v>
      </c>
    </row>
    <row r="688" spans="1:6" x14ac:dyDescent="0.25">
      <c r="B688" t="s">
        <v>1809</v>
      </c>
    </row>
    <row r="689" spans="1:6" x14ac:dyDescent="0.25">
      <c r="B689" t="s">
        <v>1810</v>
      </c>
    </row>
    <row r="690" spans="1:6" x14ac:dyDescent="0.25">
      <c r="A690" t="s">
        <v>2</v>
      </c>
      <c r="B690" t="s">
        <v>1811</v>
      </c>
      <c r="C690">
        <v>26101</v>
      </c>
      <c r="D690">
        <v>96343</v>
      </c>
      <c r="F690">
        <v>96343</v>
      </c>
    </row>
    <row r="691" spans="1:6" x14ac:dyDescent="0.25">
      <c r="A691" t="s">
        <v>15</v>
      </c>
      <c r="B691" t="s">
        <v>1008</v>
      </c>
      <c r="C691">
        <v>26102</v>
      </c>
      <c r="D691">
        <v>36558</v>
      </c>
      <c r="F691">
        <v>36558</v>
      </c>
    </row>
    <row r="692" spans="1:6" x14ac:dyDescent="0.25">
      <c r="A692" t="s">
        <v>16</v>
      </c>
      <c r="B692" t="s">
        <v>1812</v>
      </c>
      <c r="C692">
        <v>26103</v>
      </c>
      <c r="D692">
        <v>2419</v>
      </c>
      <c r="F692">
        <v>2419</v>
      </c>
    </row>
    <row r="693" spans="1:6" x14ac:dyDescent="0.25">
      <c r="A693" t="s">
        <v>25</v>
      </c>
      <c r="B693" t="s">
        <v>1813</v>
      </c>
      <c r="C693">
        <v>26104</v>
      </c>
      <c r="D693">
        <v>2553</v>
      </c>
      <c r="F693">
        <v>2553</v>
      </c>
    </row>
    <row r="694" spans="1:6" x14ac:dyDescent="0.25">
      <c r="A694" t="s">
        <v>26</v>
      </c>
      <c r="B694" t="s">
        <v>1814</v>
      </c>
      <c r="C694">
        <v>26105</v>
      </c>
      <c r="D694">
        <v>0</v>
      </c>
      <c r="F694">
        <v>0</v>
      </c>
    </row>
    <row r="695" spans="1:6" x14ac:dyDescent="0.25">
      <c r="A695" t="s">
        <v>27</v>
      </c>
      <c r="B695" t="s">
        <v>1815</v>
      </c>
      <c r="C695">
        <v>26106</v>
      </c>
      <c r="D695">
        <v>2155</v>
      </c>
      <c r="F695">
        <v>2155</v>
      </c>
    </row>
    <row r="696" spans="1:6" x14ac:dyDescent="0.25">
      <c r="B696" t="s">
        <v>1816</v>
      </c>
      <c r="D696">
        <v>140028</v>
      </c>
      <c r="F696">
        <v>140028</v>
      </c>
    </row>
    <row r="697" spans="1:6" x14ac:dyDescent="0.25">
      <c r="B697" t="s">
        <v>1817</v>
      </c>
    </row>
    <row r="698" spans="1:6" x14ac:dyDescent="0.25">
      <c r="A698" t="s">
        <v>2</v>
      </c>
      <c r="B698" t="s">
        <v>1811</v>
      </c>
      <c r="C698">
        <v>26201</v>
      </c>
      <c r="D698">
        <v>1295507</v>
      </c>
      <c r="F698">
        <v>1295507</v>
      </c>
    </row>
    <row r="699" spans="1:6" x14ac:dyDescent="0.25">
      <c r="A699" t="s">
        <v>15</v>
      </c>
      <c r="B699" t="s">
        <v>1008</v>
      </c>
      <c r="C699">
        <v>26202</v>
      </c>
      <c r="D699">
        <v>2471591</v>
      </c>
      <c r="F699">
        <v>2471591</v>
      </c>
    </row>
    <row r="700" spans="1:6" x14ac:dyDescent="0.25">
      <c r="A700" t="s">
        <v>16</v>
      </c>
      <c r="B700" t="s">
        <v>1812</v>
      </c>
      <c r="C700">
        <v>26203</v>
      </c>
      <c r="D700">
        <v>1281</v>
      </c>
      <c r="F700">
        <v>1281</v>
      </c>
    </row>
    <row r="701" spans="1:6" x14ac:dyDescent="0.25">
      <c r="A701" t="s">
        <v>25</v>
      </c>
      <c r="B701" t="s">
        <v>1813</v>
      </c>
      <c r="C701">
        <v>26204</v>
      </c>
      <c r="D701">
        <v>1650</v>
      </c>
      <c r="F701">
        <v>1650</v>
      </c>
    </row>
    <row r="702" spans="1:6" x14ac:dyDescent="0.25">
      <c r="A702" t="s">
        <v>26</v>
      </c>
      <c r="B702" t="s">
        <v>1814</v>
      </c>
      <c r="C702">
        <v>26205</v>
      </c>
      <c r="D702">
        <v>0</v>
      </c>
      <c r="F702">
        <v>0</v>
      </c>
    </row>
    <row r="703" spans="1:6" x14ac:dyDescent="0.25">
      <c r="A703" t="s">
        <v>27</v>
      </c>
      <c r="B703" t="s">
        <v>1815</v>
      </c>
      <c r="C703">
        <v>26206</v>
      </c>
      <c r="D703">
        <v>2714</v>
      </c>
      <c r="F703">
        <v>2714</v>
      </c>
    </row>
    <row r="704" spans="1:6" x14ac:dyDescent="0.25">
      <c r="B704" t="s">
        <v>1818</v>
      </c>
      <c r="D704">
        <v>3772743</v>
      </c>
      <c r="F704">
        <v>3772743</v>
      </c>
    </row>
    <row r="705" spans="1:6" x14ac:dyDescent="0.25">
      <c r="B705" t="s">
        <v>1819</v>
      </c>
    </row>
    <row r="706" spans="1:6" x14ac:dyDescent="0.25">
      <c r="A706" t="s">
        <v>2</v>
      </c>
      <c r="B706" t="s">
        <v>1820</v>
      </c>
      <c r="C706">
        <v>26301</v>
      </c>
      <c r="D706">
        <v>95605513</v>
      </c>
      <c r="F706">
        <v>95605513</v>
      </c>
    </row>
    <row r="707" spans="1:6" x14ac:dyDescent="0.25">
      <c r="A707" t="s">
        <v>15</v>
      </c>
      <c r="B707" t="s">
        <v>1821</v>
      </c>
      <c r="C707">
        <v>26302</v>
      </c>
      <c r="D707">
        <v>15801217</v>
      </c>
      <c r="F707">
        <v>15801217</v>
      </c>
    </row>
    <row r="708" spans="1:6" x14ac:dyDescent="0.25">
      <c r="A708" t="s">
        <v>16</v>
      </c>
      <c r="B708" t="s">
        <v>1822</v>
      </c>
      <c r="C708">
        <v>26303</v>
      </c>
      <c r="D708">
        <v>419893</v>
      </c>
      <c r="F708">
        <v>419893</v>
      </c>
    </row>
    <row r="709" spans="1:6" x14ac:dyDescent="0.25">
      <c r="A709" t="s">
        <v>25</v>
      </c>
      <c r="B709" t="s">
        <v>1823</v>
      </c>
      <c r="C709">
        <v>26304</v>
      </c>
      <c r="D709">
        <v>382094</v>
      </c>
      <c r="F709">
        <v>382094</v>
      </c>
    </row>
    <row r="710" spans="1:6" x14ac:dyDescent="0.25">
      <c r="A710" t="s">
        <v>26</v>
      </c>
      <c r="B710" t="s">
        <v>1824</v>
      </c>
      <c r="C710">
        <v>26305</v>
      </c>
      <c r="D710">
        <v>4324</v>
      </c>
      <c r="F710">
        <v>4324</v>
      </c>
    </row>
    <row r="711" spans="1:6" x14ac:dyDescent="0.25">
      <c r="A711" t="s">
        <v>27</v>
      </c>
      <c r="B711" t="s">
        <v>1825</v>
      </c>
      <c r="C711">
        <v>26306</v>
      </c>
      <c r="D711">
        <v>1109977</v>
      </c>
      <c r="F711">
        <v>1109977</v>
      </c>
    </row>
    <row r="712" spans="1:6" x14ac:dyDescent="0.25">
      <c r="B712" t="s">
        <v>1826</v>
      </c>
      <c r="D712">
        <v>113323018</v>
      </c>
      <c r="F712">
        <v>113323018</v>
      </c>
    </row>
    <row r="713" spans="1:6" x14ac:dyDescent="0.25">
      <c r="B713" t="s">
        <v>1827</v>
      </c>
    </row>
    <row r="714" spans="1:6" x14ac:dyDescent="0.25">
      <c r="A714" t="s">
        <v>2</v>
      </c>
      <c r="B714" t="s">
        <v>1828</v>
      </c>
      <c r="C714">
        <v>26401</v>
      </c>
      <c r="D714">
        <v>16876</v>
      </c>
      <c r="F714">
        <v>16876</v>
      </c>
    </row>
    <row r="715" spans="1:6" x14ac:dyDescent="0.25">
      <c r="A715" t="s">
        <v>15</v>
      </c>
      <c r="B715" t="s">
        <v>1829</v>
      </c>
      <c r="C715">
        <v>26402</v>
      </c>
      <c r="D715">
        <v>554</v>
      </c>
      <c r="F715">
        <v>554</v>
      </c>
    </row>
    <row r="716" spans="1:6" x14ac:dyDescent="0.25">
      <c r="A716" t="s">
        <v>16</v>
      </c>
      <c r="B716" t="s">
        <v>1830</v>
      </c>
      <c r="C716">
        <v>26403</v>
      </c>
      <c r="D716">
        <v>4820</v>
      </c>
      <c r="F716">
        <v>4820</v>
      </c>
    </row>
    <row r="717" spans="1:6" x14ac:dyDescent="0.25">
      <c r="A717" t="s">
        <v>25</v>
      </c>
      <c r="B717" t="s">
        <v>1831</v>
      </c>
      <c r="C717">
        <v>26404</v>
      </c>
      <c r="D717">
        <v>1587</v>
      </c>
      <c r="F717">
        <v>1587</v>
      </c>
    </row>
    <row r="718" spans="1:6" x14ac:dyDescent="0.25">
      <c r="A718" t="s">
        <v>26</v>
      </c>
      <c r="B718" t="s">
        <v>1832</v>
      </c>
      <c r="C718">
        <v>26405</v>
      </c>
      <c r="D718">
        <v>0</v>
      </c>
      <c r="F718">
        <v>0</v>
      </c>
    </row>
    <row r="719" spans="1:6" x14ac:dyDescent="0.25">
      <c r="B719" t="s">
        <v>1833</v>
      </c>
      <c r="D719">
        <v>23837</v>
      </c>
      <c r="F719">
        <v>23837</v>
      </c>
    </row>
    <row r="720" spans="1:6" x14ac:dyDescent="0.25">
      <c r="B720" t="s">
        <v>1834</v>
      </c>
    </row>
    <row r="721" spans="1:6" x14ac:dyDescent="0.25">
      <c r="A721" t="s">
        <v>2</v>
      </c>
      <c r="B721" t="s">
        <v>1828</v>
      </c>
      <c r="C721">
        <v>26501</v>
      </c>
      <c r="D721">
        <v>1879280</v>
      </c>
      <c r="F721">
        <v>1879280</v>
      </c>
    </row>
    <row r="722" spans="1:6" x14ac:dyDescent="0.25">
      <c r="A722" t="s">
        <v>15</v>
      </c>
      <c r="B722" t="s">
        <v>1829</v>
      </c>
      <c r="C722">
        <v>26502</v>
      </c>
      <c r="D722">
        <v>99642</v>
      </c>
      <c r="F722">
        <v>99642</v>
      </c>
    </row>
    <row r="723" spans="1:6" x14ac:dyDescent="0.25">
      <c r="A723" t="s">
        <v>16</v>
      </c>
      <c r="B723" t="s">
        <v>1830</v>
      </c>
      <c r="C723">
        <v>26503</v>
      </c>
      <c r="D723">
        <v>858665</v>
      </c>
      <c r="F723">
        <v>858665</v>
      </c>
    </row>
    <row r="724" spans="1:6" x14ac:dyDescent="0.25">
      <c r="A724" t="s">
        <v>25</v>
      </c>
      <c r="B724" t="s">
        <v>1831</v>
      </c>
      <c r="C724">
        <v>26504</v>
      </c>
      <c r="D724">
        <v>305782</v>
      </c>
      <c r="F724">
        <v>305782</v>
      </c>
    </row>
    <row r="725" spans="1:6" x14ac:dyDescent="0.25">
      <c r="A725" t="s">
        <v>26</v>
      </c>
      <c r="B725" t="s">
        <v>1832</v>
      </c>
      <c r="C725">
        <v>26505</v>
      </c>
      <c r="D725">
        <v>0</v>
      </c>
      <c r="F725">
        <v>0</v>
      </c>
    </row>
    <row r="726" spans="1:6" x14ac:dyDescent="0.25">
      <c r="B726" t="s">
        <v>1835</v>
      </c>
      <c r="D726">
        <v>3143369</v>
      </c>
      <c r="F726">
        <v>3143369</v>
      </c>
    </row>
    <row r="727" spans="1:6" x14ac:dyDescent="0.25">
      <c r="B727" t="s">
        <v>1732</v>
      </c>
      <c r="D727">
        <v>120402995</v>
      </c>
      <c r="F727">
        <v>120402995</v>
      </c>
    </row>
    <row r="728" spans="1:6" x14ac:dyDescent="0.25">
      <c r="B728" t="s">
        <v>1836</v>
      </c>
    </row>
    <row r="729" spans="1:6" x14ac:dyDescent="0.25">
      <c r="B729" t="s">
        <v>1385</v>
      </c>
    </row>
    <row r="730" spans="1:6" x14ac:dyDescent="0.25">
      <c r="A730" t="s">
        <v>2</v>
      </c>
      <c r="B730" t="s">
        <v>1837</v>
      </c>
      <c r="C730">
        <v>27101</v>
      </c>
      <c r="D730">
        <v>0</v>
      </c>
      <c r="E730">
        <v>0</v>
      </c>
      <c r="F730">
        <v>0</v>
      </c>
    </row>
    <row r="731" spans="1:6" x14ac:dyDescent="0.25">
      <c r="A731" t="s">
        <v>15</v>
      </c>
      <c r="B731" t="s">
        <v>1838</v>
      </c>
      <c r="C731">
        <v>27102</v>
      </c>
      <c r="D731">
        <v>135147</v>
      </c>
      <c r="E731">
        <v>553</v>
      </c>
      <c r="F731">
        <v>135700</v>
      </c>
    </row>
    <row r="732" spans="1:6" x14ac:dyDescent="0.25">
      <c r="A732" t="s">
        <v>16</v>
      </c>
      <c r="B732" t="s">
        <v>1689</v>
      </c>
      <c r="C732">
        <v>27103</v>
      </c>
      <c r="D732">
        <v>89835</v>
      </c>
      <c r="E732">
        <v>12</v>
      </c>
      <c r="F732">
        <v>89847</v>
      </c>
    </row>
    <row r="733" spans="1:6" x14ac:dyDescent="0.25">
      <c r="A733" t="s">
        <v>25</v>
      </c>
      <c r="B733" t="s">
        <v>1839</v>
      </c>
      <c r="C733">
        <v>27104</v>
      </c>
      <c r="D733">
        <v>26182</v>
      </c>
      <c r="E733">
        <v>83</v>
      </c>
      <c r="F733">
        <v>26265</v>
      </c>
    </row>
    <row r="734" spans="1:6" x14ac:dyDescent="0.25">
      <c r="B734" t="s">
        <v>1840</v>
      </c>
      <c r="D734">
        <v>251164</v>
      </c>
      <c r="E734">
        <v>648</v>
      </c>
      <c r="F734">
        <v>251812</v>
      </c>
    </row>
    <row r="735" spans="1:6" x14ac:dyDescent="0.25">
      <c r="B735" t="s">
        <v>1386</v>
      </c>
    </row>
    <row r="736" spans="1:6" x14ac:dyDescent="0.25">
      <c r="A736" t="s">
        <v>2</v>
      </c>
      <c r="B736" t="s">
        <v>1837</v>
      </c>
      <c r="C736">
        <v>27201</v>
      </c>
      <c r="D736">
        <v>0</v>
      </c>
      <c r="E736">
        <v>0</v>
      </c>
      <c r="F736">
        <v>0</v>
      </c>
    </row>
    <row r="737" spans="1:6" x14ac:dyDescent="0.25">
      <c r="A737" t="s">
        <v>15</v>
      </c>
      <c r="B737" t="s">
        <v>1838</v>
      </c>
      <c r="C737">
        <v>27202</v>
      </c>
      <c r="D737">
        <v>392589</v>
      </c>
      <c r="E737">
        <v>12864</v>
      </c>
      <c r="F737">
        <v>405453</v>
      </c>
    </row>
    <row r="738" spans="1:6" x14ac:dyDescent="0.25">
      <c r="A738" t="s">
        <v>16</v>
      </c>
      <c r="B738" t="s">
        <v>1689</v>
      </c>
      <c r="C738">
        <v>27203</v>
      </c>
      <c r="D738">
        <v>169023</v>
      </c>
      <c r="E738">
        <v>199</v>
      </c>
      <c r="F738">
        <v>169222</v>
      </c>
    </row>
    <row r="739" spans="1:6" x14ac:dyDescent="0.25">
      <c r="A739" t="s">
        <v>25</v>
      </c>
      <c r="B739" t="s">
        <v>1839</v>
      </c>
      <c r="C739">
        <v>27204</v>
      </c>
      <c r="D739">
        <v>1828378</v>
      </c>
      <c r="E739">
        <v>44847</v>
      </c>
      <c r="F739">
        <v>1873225</v>
      </c>
    </row>
    <row r="740" spans="1:6" x14ac:dyDescent="0.25">
      <c r="B740" t="s">
        <v>1841</v>
      </c>
      <c r="D740">
        <v>2389990</v>
      </c>
      <c r="E740">
        <v>57910</v>
      </c>
      <c r="F740">
        <v>2447900</v>
      </c>
    </row>
    <row r="741" spans="1:6" x14ac:dyDescent="0.25">
      <c r="B741" t="s">
        <v>1387</v>
      </c>
    </row>
    <row r="742" spans="1:6" x14ac:dyDescent="0.25">
      <c r="A742" t="s">
        <v>2</v>
      </c>
      <c r="B742" t="s">
        <v>1842</v>
      </c>
      <c r="C742">
        <v>27301</v>
      </c>
      <c r="D742">
        <v>0</v>
      </c>
      <c r="E742">
        <v>8713</v>
      </c>
      <c r="F742">
        <v>8713</v>
      </c>
    </row>
    <row r="743" spans="1:6" x14ac:dyDescent="0.25">
      <c r="A743" t="s">
        <v>15</v>
      </c>
      <c r="B743" t="s">
        <v>1843</v>
      </c>
      <c r="C743">
        <v>27302</v>
      </c>
      <c r="D743">
        <v>0</v>
      </c>
      <c r="E743">
        <v>0</v>
      </c>
      <c r="F743">
        <v>0</v>
      </c>
    </row>
    <row r="744" spans="1:6" x14ac:dyDescent="0.25">
      <c r="A744" t="s">
        <v>16</v>
      </c>
      <c r="B744" t="s">
        <v>1844</v>
      </c>
      <c r="C744">
        <v>27303</v>
      </c>
      <c r="D744">
        <v>0</v>
      </c>
      <c r="E744">
        <v>0</v>
      </c>
      <c r="F744">
        <v>0</v>
      </c>
    </row>
    <row r="745" spans="1:6" x14ac:dyDescent="0.25">
      <c r="A745" t="s">
        <v>25</v>
      </c>
      <c r="B745" t="s">
        <v>1845</v>
      </c>
      <c r="C745">
        <v>27304</v>
      </c>
      <c r="D745">
        <v>0</v>
      </c>
      <c r="E745">
        <v>13792</v>
      </c>
      <c r="F745">
        <v>13792</v>
      </c>
    </row>
    <row r="746" spans="1:6" x14ac:dyDescent="0.25">
      <c r="B746" t="s">
        <v>1846</v>
      </c>
      <c r="D746">
        <v>0</v>
      </c>
      <c r="E746">
        <v>22505</v>
      </c>
      <c r="F746">
        <v>22505</v>
      </c>
    </row>
    <row r="747" spans="1:6" x14ac:dyDescent="0.25">
      <c r="B747" t="s">
        <v>1388</v>
      </c>
    </row>
    <row r="748" spans="1:6" x14ac:dyDescent="0.25">
      <c r="A748" t="s">
        <v>2</v>
      </c>
      <c r="B748" t="s">
        <v>1847</v>
      </c>
      <c r="C748">
        <v>27401</v>
      </c>
      <c r="D748">
        <v>0</v>
      </c>
      <c r="E748">
        <v>0</v>
      </c>
      <c r="F748">
        <v>0</v>
      </c>
    </row>
    <row r="749" spans="1:6" x14ac:dyDescent="0.25">
      <c r="A749" t="s">
        <v>15</v>
      </c>
      <c r="B749" t="s">
        <v>1848</v>
      </c>
      <c r="C749">
        <v>27402</v>
      </c>
      <c r="D749">
        <v>326789</v>
      </c>
      <c r="E749">
        <v>10840</v>
      </c>
      <c r="F749">
        <v>337629</v>
      </c>
    </row>
    <row r="750" spans="1:6" x14ac:dyDescent="0.25">
      <c r="A750" t="s">
        <v>16</v>
      </c>
      <c r="B750" t="s">
        <v>1849</v>
      </c>
      <c r="C750">
        <v>27403</v>
      </c>
      <c r="D750">
        <v>138992</v>
      </c>
      <c r="E750">
        <v>135</v>
      </c>
      <c r="F750">
        <v>139127</v>
      </c>
    </row>
    <row r="751" spans="1:6" x14ac:dyDescent="0.25">
      <c r="A751" t="s">
        <v>25</v>
      </c>
      <c r="B751" t="s">
        <v>1850</v>
      </c>
      <c r="C751">
        <v>27404</v>
      </c>
      <c r="D751">
        <v>125916</v>
      </c>
      <c r="E751">
        <v>13134</v>
      </c>
      <c r="F751">
        <v>139050</v>
      </c>
    </row>
    <row r="752" spans="1:6" x14ac:dyDescent="0.25">
      <c r="A752" t="s">
        <v>26</v>
      </c>
      <c r="B752" t="s">
        <v>1851</v>
      </c>
      <c r="C752">
        <v>27405</v>
      </c>
      <c r="D752">
        <v>0</v>
      </c>
      <c r="E752">
        <v>0</v>
      </c>
      <c r="F752">
        <v>0</v>
      </c>
    </row>
    <row r="753" spans="1:6" x14ac:dyDescent="0.25">
      <c r="A753" t="s">
        <v>27</v>
      </c>
      <c r="B753" t="s">
        <v>1852</v>
      </c>
      <c r="C753">
        <v>27406</v>
      </c>
      <c r="D753">
        <v>0</v>
      </c>
      <c r="E753">
        <v>0</v>
      </c>
      <c r="F753">
        <v>0</v>
      </c>
    </row>
    <row r="754" spans="1:6" x14ac:dyDescent="0.25">
      <c r="A754" t="s">
        <v>531</v>
      </c>
      <c r="B754" t="s">
        <v>1853</v>
      </c>
      <c r="C754">
        <v>27407</v>
      </c>
      <c r="D754">
        <v>0</v>
      </c>
      <c r="E754">
        <v>0</v>
      </c>
      <c r="F754">
        <v>0</v>
      </c>
    </row>
    <row r="755" spans="1:6" x14ac:dyDescent="0.25">
      <c r="A755" t="s">
        <v>1583</v>
      </c>
      <c r="B755" t="s">
        <v>1854</v>
      </c>
      <c r="C755">
        <v>27408</v>
      </c>
      <c r="D755">
        <v>126375</v>
      </c>
      <c r="E755">
        <v>13236</v>
      </c>
      <c r="F755">
        <v>139611</v>
      </c>
    </row>
    <row r="756" spans="1:6" x14ac:dyDescent="0.25">
      <c r="A756" t="s">
        <v>1585</v>
      </c>
      <c r="B756" t="s">
        <v>1855</v>
      </c>
      <c r="C756">
        <v>27409</v>
      </c>
      <c r="D756">
        <v>120118</v>
      </c>
      <c r="E756">
        <v>2943</v>
      </c>
      <c r="F756">
        <v>123061</v>
      </c>
    </row>
    <row r="757" spans="1:6" x14ac:dyDescent="0.25">
      <c r="B757" t="s">
        <v>1856</v>
      </c>
      <c r="D757">
        <v>838190</v>
      </c>
      <c r="E757">
        <v>40288</v>
      </c>
      <c r="F757">
        <v>878478</v>
      </c>
    </row>
    <row r="758" spans="1:6" x14ac:dyDescent="0.25">
      <c r="B758" t="s">
        <v>1857</v>
      </c>
    </row>
    <row r="759" spans="1:6" x14ac:dyDescent="0.25">
      <c r="A759" t="s">
        <v>2</v>
      </c>
      <c r="B759" t="s">
        <v>1842</v>
      </c>
      <c r="C759">
        <v>27501</v>
      </c>
      <c r="D759">
        <v>0</v>
      </c>
      <c r="E759">
        <v>0</v>
      </c>
      <c r="F759">
        <v>0</v>
      </c>
    </row>
    <row r="760" spans="1:6" x14ac:dyDescent="0.25">
      <c r="A760" t="s">
        <v>15</v>
      </c>
      <c r="B760" t="s">
        <v>1843</v>
      </c>
      <c r="C760">
        <v>27502</v>
      </c>
      <c r="D760">
        <v>485763</v>
      </c>
      <c r="E760">
        <v>2110</v>
      </c>
      <c r="F760">
        <v>487873</v>
      </c>
    </row>
    <row r="761" spans="1:6" x14ac:dyDescent="0.25">
      <c r="A761" t="s">
        <v>16</v>
      </c>
      <c r="B761" t="s">
        <v>1844</v>
      </c>
      <c r="C761">
        <v>27503</v>
      </c>
      <c r="D761">
        <v>624</v>
      </c>
      <c r="E761">
        <v>0</v>
      </c>
      <c r="F761">
        <v>624</v>
      </c>
    </row>
    <row r="762" spans="1:6" x14ac:dyDescent="0.25">
      <c r="A762" t="s">
        <v>25</v>
      </c>
      <c r="B762" t="s">
        <v>1845</v>
      </c>
      <c r="C762">
        <v>27504</v>
      </c>
      <c r="D762">
        <v>0</v>
      </c>
      <c r="E762">
        <v>0</v>
      </c>
      <c r="F762">
        <v>0</v>
      </c>
    </row>
    <row r="763" spans="1:6" x14ac:dyDescent="0.25">
      <c r="B763" t="s">
        <v>1858</v>
      </c>
      <c r="D763">
        <v>486387</v>
      </c>
      <c r="E763">
        <v>2110</v>
      </c>
      <c r="F763">
        <v>488497</v>
      </c>
    </row>
    <row r="764" spans="1:6" x14ac:dyDescent="0.25">
      <c r="B764" t="s">
        <v>1390</v>
      </c>
    </row>
    <row r="765" spans="1:6" x14ac:dyDescent="0.25">
      <c r="A765" t="s">
        <v>2</v>
      </c>
      <c r="B765" t="s">
        <v>1859</v>
      </c>
      <c r="C765">
        <v>27601</v>
      </c>
      <c r="D765">
        <v>422</v>
      </c>
      <c r="E765">
        <v>0</v>
      </c>
      <c r="F765">
        <v>422</v>
      </c>
    </row>
    <row r="766" spans="1:6" x14ac:dyDescent="0.25">
      <c r="A766" t="s">
        <v>15</v>
      </c>
      <c r="B766" t="s">
        <v>1860</v>
      </c>
      <c r="C766">
        <v>27602</v>
      </c>
      <c r="D766">
        <v>273073</v>
      </c>
      <c r="E766">
        <v>0</v>
      </c>
      <c r="F766">
        <v>273073</v>
      </c>
    </row>
    <row r="767" spans="1:6" x14ac:dyDescent="0.25">
      <c r="A767" t="s">
        <v>16</v>
      </c>
      <c r="B767" t="s">
        <v>1596</v>
      </c>
      <c r="C767">
        <v>27603</v>
      </c>
      <c r="D767">
        <v>0</v>
      </c>
      <c r="E767">
        <v>0</v>
      </c>
      <c r="F767">
        <v>0</v>
      </c>
    </row>
    <row r="768" spans="1:6" x14ac:dyDescent="0.25">
      <c r="A768" t="s">
        <v>25</v>
      </c>
      <c r="B768" t="s">
        <v>1861</v>
      </c>
      <c r="C768">
        <v>27604</v>
      </c>
      <c r="D768">
        <v>1504</v>
      </c>
      <c r="E768">
        <v>0</v>
      </c>
      <c r="F768">
        <v>1504</v>
      </c>
    </row>
    <row r="769" spans="1:6" x14ac:dyDescent="0.25">
      <c r="B769" t="s">
        <v>1862</v>
      </c>
      <c r="D769">
        <v>274999</v>
      </c>
      <c r="E769">
        <v>0</v>
      </c>
      <c r="F769">
        <v>274999</v>
      </c>
    </row>
    <row r="770" spans="1:6" x14ac:dyDescent="0.25">
      <c r="B770" t="s">
        <v>1391</v>
      </c>
    </row>
    <row r="771" spans="1:6" x14ac:dyDescent="0.25">
      <c r="A771" t="s">
        <v>2</v>
      </c>
      <c r="B771" t="s">
        <v>1837</v>
      </c>
      <c r="C771">
        <v>27701</v>
      </c>
      <c r="D771">
        <v>0</v>
      </c>
      <c r="E771">
        <v>0</v>
      </c>
      <c r="F771">
        <v>0</v>
      </c>
    </row>
    <row r="772" spans="1:6" x14ac:dyDescent="0.25">
      <c r="A772" t="s">
        <v>15</v>
      </c>
      <c r="B772" t="s">
        <v>1838</v>
      </c>
      <c r="C772">
        <v>27702</v>
      </c>
      <c r="D772">
        <v>0</v>
      </c>
      <c r="E772">
        <v>0</v>
      </c>
      <c r="F772">
        <v>0</v>
      </c>
    </row>
    <row r="773" spans="1:6" x14ac:dyDescent="0.25">
      <c r="A773" t="s">
        <v>16</v>
      </c>
      <c r="B773" t="s">
        <v>1689</v>
      </c>
      <c r="C773">
        <v>27703</v>
      </c>
      <c r="D773">
        <v>0</v>
      </c>
      <c r="E773">
        <v>0</v>
      </c>
      <c r="F773">
        <v>0</v>
      </c>
    </row>
    <row r="774" spans="1:6" x14ac:dyDescent="0.25">
      <c r="A774" t="s">
        <v>25</v>
      </c>
      <c r="B774" t="s">
        <v>1839</v>
      </c>
      <c r="C774">
        <v>27704</v>
      </c>
      <c r="D774">
        <v>105</v>
      </c>
      <c r="E774">
        <v>0</v>
      </c>
      <c r="F774">
        <v>105</v>
      </c>
    </row>
    <row r="775" spans="1:6" x14ac:dyDescent="0.25">
      <c r="B775" t="s">
        <v>1863</v>
      </c>
      <c r="D775">
        <v>105</v>
      </c>
      <c r="E775">
        <v>0</v>
      </c>
      <c r="F775">
        <v>105</v>
      </c>
    </row>
    <row r="776" spans="1:6" x14ac:dyDescent="0.25">
      <c r="B776" t="s">
        <v>1392</v>
      </c>
    </row>
    <row r="777" spans="1:6" x14ac:dyDescent="0.25">
      <c r="A777" t="s">
        <v>2</v>
      </c>
      <c r="B777" t="s">
        <v>1859</v>
      </c>
      <c r="C777">
        <v>27801</v>
      </c>
      <c r="D777">
        <v>0</v>
      </c>
      <c r="E777">
        <v>0</v>
      </c>
      <c r="F777">
        <v>0</v>
      </c>
    </row>
    <row r="778" spans="1:6" x14ac:dyDescent="0.25">
      <c r="A778" t="s">
        <v>15</v>
      </c>
      <c r="B778" t="s">
        <v>1860</v>
      </c>
      <c r="C778">
        <v>27802</v>
      </c>
      <c r="D778">
        <v>97259</v>
      </c>
      <c r="E778">
        <v>349</v>
      </c>
      <c r="F778">
        <v>97608</v>
      </c>
    </row>
    <row r="779" spans="1:6" x14ac:dyDescent="0.25">
      <c r="A779" t="s">
        <v>16</v>
      </c>
      <c r="B779" t="s">
        <v>1596</v>
      </c>
      <c r="C779">
        <v>27803</v>
      </c>
      <c r="D779">
        <v>4085</v>
      </c>
      <c r="E779">
        <v>0</v>
      </c>
      <c r="F779">
        <v>4085</v>
      </c>
    </row>
    <row r="780" spans="1:6" x14ac:dyDescent="0.25">
      <c r="A780" t="s">
        <v>25</v>
      </c>
      <c r="B780" t="s">
        <v>1861</v>
      </c>
      <c r="C780">
        <v>27804</v>
      </c>
      <c r="D780">
        <v>0</v>
      </c>
      <c r="E780">
        <v>0</v>
      </c>
      <c r="F780">
        <v>0</v>
      </c>
    </row>
    <row r="781" spans="1:6" x14ac:dyDescent="0.25">
      <c r="B781" t="s">
        <v>1864</v>
      </c>
      <c r="D781">
        <v>101344</v>
      </c>
      <c r="E781">
        <v>349</v>
      </c>
      <c r="F781">
        <v>101693</v>
      </c>
    </row>
    <row r="782" spans="1:6" x14ac:dyDescent="0.25">
      <c r="B782" t="s">
        <v>1393</v>
      </c>
    </row>
    <row r="783" spans="1:6" x14ac:dyDescent="0.25">
      <c r="A783" t="s">
        <v>2</v>
      </c>
      <c r="B783" t="s">
        <v>1842</v>
      </c>
      <c r="C783">
        <v>27901</v>
      </c>
      <c r="D783">
        <v>8</v>
      </c>
      <c r="E783">
        <v>29395</v>
      </c>
      <c r="F783">
        <v>29403</v>
      </c>
    </row>
    <row r="784" spans="1:6" x14ac:dyDescent="0.25">
      <c r="A784" t="s">
        <v>15</v>
      </c>
      <c r="B784" t="s">
        <v>1843</v>
      </c>
      <c r="C784">
        <v>27902</v>
      </c>
      <c r="D784">
        <v>49313</v>
      </c>
      <c r="E784">
        <v>1</v>
      </c>
      <c r="F784">
        <v>49314</v>
      </c>
    </row>
    <row r="785" spans="1:6" x14ac:dyDescent="0.25">
      <c r="A785" t="s">
        <v>16</v>
      </c>
      <c r="B785" t="s">
        <v>1844</v>
      </c>
      <c r="C785">
        <v>27903</v>
      </c>
      <c r="D785">
        <v>17232</v>
      </c>
      <c r="E785">
        <v>0</v>
      </c>
      <c r="F785">
        <v>17232</v>
      </c>
    </row>
    <row r="786" spans="1:6" x14ac:dyDescent="0.25">
      <c r="A786" t="s">
        <v>25</v>
      </c>
      <c r="B786" t="s">
        <v>1845</v>
      </c>
      <c r="C786">
        <v>27904</v>
      </c>
      <c r="D786">
        <v>4995</v>
      </c>
      <c r="E786">
        <v>1</v>
      </c>
      <c r="F786">
        <v>4996</v>
      </c>
    </row>
    <row r="787" spans="1:6" x14ac:dyDescent="0.25">
      <c r="A787" t="s">
        <v>26</v>
      </c>
      <c r="B787" t="s">
        <v>1865</v>
      </c>
      <c r="C787">
        <v>27900</v>
      </c>
      <c r="D787">
        <v>71548</v>
      </c>
      <c r="E787">
        <v>29397</v>
      </c>
      <c r="F787">
        <v>100945</v>
      </c>
    </row>
    <row r="788" spans="1:6" x14ac:dyDescent="0.25">
      <c r="B788" t="s">
        <v>1866</v>
      </c>
      <c r="D788">
        <v>4413727</v>
      </c>
      <c r="E788">
        <v>153207</v>
      </c>
      <c r="F788">
        <v>4566934</v>
      </c>
    </row>
    <row r="789" spans="1:6" x14ac:dyDescent="0.25">
      <c r="B789" t="s">
        <v>1867</v>
      </c>
    </row>
    <row r="790" spans="1:6" x14ac:dyDescent="0.25">
      <c r="B790" t="s">
        <v>1868</v>
      </c>
    </row>
    <row r="791" spans="1:6" x14ac:dyDescent="0.25">
      <c r="A791" t="s">
        <v>2</v>
      </c>
      <c r="B791" t="s">
        <v>1869</v>
      </c>
      <c r="C791">
        <v>28101</v>
      </c>
      <c r="D791">
        <v>0</v>
      </c>
      <c r="F791">
        <v>0</v>
      </c>
    </row>
    <row r="792" spans="1:6" x14ac:dyDescent="0.25">
      <c r="A792" t="s">
        <v>15</v>
      </c>
      <c r="B792" t="s">
        <v>1870</v>
      </c>
      <c r="C792">
        <v>28102</v>
      </c>
      <c r="D792">
        <v>0</v>
      </c>
      <c r="F792">
        <v>0</v>
      </c>
    </row>
    <row r="793" spans="1:6" x14ac:dyDescent="0.25">
      <c r="A793" t="s">
        <v>16</v>
      </c>
      <c r="B793" t="s">
        <v>1871</v>
      </c>
      <c r="C793">
        <v>28103</v>
      </c>
      <c r="D793">
        <v>0</v>
      </c>
      <c r="F793">
        <v>0</v>
      </c>
    </row>
    <row r="794" spans="1:6" x14ac:dyDescent="0.25">
      <c r="A794" t="s">
        <v>25</v>
      </c>
      <c r="B794" t="s">
        <v>1872</v>
      </c>
      <c r="C794">
        <v>28104</v>
      </c>
      <c r="D794">
        <v>0</v>
      </c>
      <c r="F794">
        <v>0</v>
      </c>
    </row>
    <row r="795" spans="1:6" x14ac:dyDescent="0.25">
      <c r="B795" t="s">
        <v>1873</v>
      </c>
      <c r="D795">
        <v>0</v>
      </c>
      <c r="F795">
        <v>0</v>
      </c>
    </row>
    <row r="796" spans="1:6" x14ac:dyDescent="0.25">
      <c r="B796" t="s">
        <v>1874</v>
      </c>
    </row>
    <row r="797" spans="1:6" x14ac:dyDescent="0.25">
      <c r="A797" t="s">
        <v>2</v>
      </c>
      <c r="B797" t="s">
        <v>1875</v>
      </c>
      <c r="C797">
        <v>28201</v>
      </c>
      <c r="D797">
        <v>0</v>
      </c>
      <c r="F797">
        <v>0</v>
      </c>
    </row>
    <row r="798" spans="1:6" x14ac:dyDescent="0.25">
      <c r="A798" t="s">
        <v>15</v>
      </c>
      <c r="B798" t="s">
        <v>1876</v>
      </c>
      <c r="C798">
        <v>28202</v>
      </c>
      <c r="D798">
        <v>11280188</v>
      </c>
      <c r="F798">
        <v>11280188</v>
      </c>
    </row>
    <row r="799" spans="1:6" x14ac:dyDescent="0.25">
      <c r="A799" t="s">
        <v>16</v>
      </c>
      <c r="B799" t="s">
        <v>1877</v>
      </c>
      <c r="C799">
        <v>28203</v>
      </c>
      <c r="D799">
        <v>0</v>
      </c>
      <c r="F799">
        <v>0</v>
      </c>
    </row>
    <row r="800" spans="1:6" x14ac:dyDescent="0.25">
      <c r="A800" t="s">
        <v>25</v>
      </c>
      <c r="B800" t="s">
        <v>1878</v>
      </c>
      <c r="C800">
        <v>28204</v>
      </c>
      <c r="D800">
        <v>1125860</v>
      </c>
      <c r="F800">
        <v>1125860</v>
      </c>
    </row>
    <row r="801" spans="1:6" x14ac:dyDescent="0.25">
      <c r="B801" t="s">
        <v>1879</v>
      </c>
      <c r="D801">
        <v>12406048</v>
      </c>
      <c r="F801">
        <v>12406048</v>
      </c>
    </row>
    <row r="802" spans="1:6" x14ac:dyDescent="0.25">
      <c r="B802" t="s">
        <v>1880</v>
      </c>
    </row>
    <row r="803" spans="1:6" x14ac:dyDescent="0.25">
      <c r="A803" t="s">
        <v>2</v>
      </c>
      <c r="B803" t="s">
        <v>1881</v>
      </c>
      <c r="C803">
        <v>28301</v>
      </c>
      <c r="D803">
        <v>5140</v>
      </c>
      <c r="E803">
        <v>0</v>
      </c>
      <c r="F803">
        <v>5140</v>
      </c>
    </row>
    <row r="804" spans="1:6" x14ac:dyDescent="0.25">
      <c r="A804" t="s">
        <v>15</v>
      </c>
      <c r="B804" t="s">
        <v>1882</v>
      </c>
      <c r="C804">
        <v>28302</v>
      </c>
      <c r="D804">
        <v>36033</v>
      </c>
      <c r="E804">
        <v>0</v>
      </c>
      <c r="F804">
        <v>36033</v>
      </c>
    </row>
    <row r="805" spans="1:6" x14ac:dyDescent="0.25">
      <c r="A805" t="s">
        <v>16</v>
      </c>
      <c r="B805" t="s">
        <v>1883</v>
      </c>
      <c r="C805">
        <v>28303</v>
      </c>
      <c r="D805">
        <v>0</v>
      </c>
      <c r="E805">
        <v>0</v>
      </c>
      <c r="F805">
        <v>0</v>
      </c>
    </row>
    <row r="806" spans="1:6" x14ac:dyDescent="0.25">
      <c r="B806" t="s">
        <v>1884</v>
      </c>
      <c r="D806">
        <v>41173</v>
      </c>
      <c r="E806">
        <v>0</v>
      </c>
      <c r="F806">
        <v>41173</v>
      </c>
    </row>
    <row r="807" spans="1:6" x14ac:dyDescent="0.25">
      <c r="B807" t="s">
        <v>1885</v>
      </c>
    </row>
    <row r="808" spans="1:6" x14ac:dyDescent="0.25">
      <c r="A808" t="s">
        <v>2</v>
      </c>
      <c r="B808" t="s">
        <v>1886</v>
      </c>
      <c r="C808">
        <v>28401</v>
      </c>
      <c r="D808">
        <v>134476</v>
      </c>
      <c r="E808">
        <v>7</v>
      </c>
      <c r="F808">
        <v>134483</v>
      </c>
    </row>
    <row r="809" spans="1:6" x14ac:dyDescent="0.25">
      <c r="A809" t="s">
        <v>15</v>
      </c>
      <c r="B809" t="s">
        <v>1887</v>
      </c>
      <c r="C809">
        <v>28402</v>
      </c>
      <c r="D809">
        <v>1556</v>
      </c>
      <c r="E809">
        <v>133</v>
      </c>
      <c r="F809">
        <v>1689</v>
      </c>
    </row>
    <row r="810" spans="1:6" x14ac:dyDescent="0.25">
      <c r="B810" t="s">
        <v>1888</v>
      </c>
      <c r="D810">
        <v>136032</v>
      </c>
      <c r="E810">
        <v>140</v>
      </c>
      <c r="F810">
        <v>136172</v>
      </c>
    </row>
    <row r="811" spans="1:6" x14ac:dyDescent="0.25">
      <c r="B811" t="s">
        <v>1889</v>
      </c>
    </row>
    <row r="812" spans="1:6" x14ac:dyDescent="0.25">
      <c r="A812" t="s">
        <v>2</v>
      </c>
      <c r="B812" t="s">
        <v>1890</v>
      </c>
      <c r="C812">
        <v>28501</v>
      </c>
      <c r="D812">
        <v>0</v>
      </c>
      <c r="F812">
        <v>0</v>
      </c>
    </row>
    <row r="813" spans="1:6" x14ac:dyDescent="0.25">
      <c r="A813" t="s">
        <v>15</v>
      </c>
      <c r="B813" t="s">
        <v>1891</v>
      </c>
      <c r="C813">
        <v>28502</v>
      </c>
      <c r="D813">
        <v>0</v>
      </c>
      <c r="E813">
        <v>0</v>
      </c>
      <c r="F813">
        <v>0</v>
      </c>
    </row>
    <row r="814" spans="1:6" x14ac:dyDescent="0.25">
      <c r="A814" t="s">
        <v>16</v>
      </c>
      <c r="B814" t="s">
        <v>1892</v>
      </c>
      <c r="C814">
        <v>28503</v>
      </c>
      <c r="D814">
        <v>0</v>
      </c>
      <c r="F814">
        <v>0</v>
      </c>
    </row>
    <row r="815" spans="1:6" x14ac:dyDescent="0.25">
      <c r="A815" t="s">
        <v>25</v>
      </c>
      <c r="B815" t="s">
        <v>1893</v>
      </c>
      <c r="C815">
        <v>28504</v>
      </c>
      <c r="D815">
        <v>6532</v>
      </c>
      <c r="F815">
        <v>6532</v>
      </c>
    </row>
    <row r="816" spans="1:6" x14ac:dyDescent="0.25">
      <c r="B816" t="s">
        <v>1894</v>
      </c>
      <c r="D816">
        <v>6532</v>
      </c>
      <c r="E816">
        <v>0</v>
      </c>
      <c r="F816">
        <v>6532</v>
      </c>
    </row>
    <row r="817" spans="1:6" x14ac:dyDescent="0.25">
      <c r="B817" t="s">
        <v>1895</v>
      </c>
    </row>
    <row r="818" spans="1:6" x14ac:dyDescent="0.25">
      <c r="A818" t="s">
        <v>2</v>
      </c>
      <c r="B818" t="s">
        <v>1896</v>
      </c>
      <c r="C818">
        <v>28601</v>
      </c>
      <c r="D818">
        <v>13508</v>
      </c>
      <c r="F818">
        <v>13508</v>
      </c>
    </row>
    <row r="819" spans="1:6" x14ac:dyDescent="0.25">
      <c r="A819" t="s">
        <v>15</v>
      </c>
      <c r="B819" t="s">
        <v>1897</v>
      </c>
      <c r="C819">
        <v>28602</v>
      </c>
      <c r="D819">
        <v>83418</v>
      </c>
      <c r="F819">
        <v>83418</v>
      </c>
    </row>
    <row r="820" spans="1:6" x14ac:dyDescent="0.25">
      <c r="B820" t="s">
        <v>1898</v>
      </c>
      <c r="D820">
        <v>96926</v>
      </c>
      <c r="F820">
        <v>96926</v>
      </c>
    </row>
    <row r="821" spans="1:6" x14ac:dyDescent="0.25">
      <c r="B821" t="s">
        <v>1899</v>
      </c>
    </row>
    <row r="822" spans="1:6" x14ac:dyDescent="0.25">
      <c r="A822" t="s">
        <v>2</v>
      </c>
      <c r="B822" t="s">
        <v>1900</v>
      </c>
      <c r="C822">
        <v>28701</v>
      </c>
      <c r="D822">
        <v>0</v>
      </c>
      <c r="F822">
        <v>0</v>
      </c>
    </row>
    <row r="823" spans="1:6" x14ac:dyDescent="0.25">
      <c r="A823" t="s">
        <v>15</v>
      </c>
      <c r="B823" t="s">
        <v>1901</v>
      </c>
      <c r="C823">
        <v>28702</v>
      </c>
      <c r="D823">
        <v>86</v>
      </c>
      <c r="F823">
        <v>86</v>
      </c>
    </row>
    <row r="824" spans="1:6" x14ac:dyDescent="0.25">
      <c r="A824" t="s">
        <v>16</v>
      </c>
      <c r="B824" t="s">
        <v>1902</v>
      </c>
      <c r="C824">
        <v>28703</v>
      </c>
      <c r="D824">
        <v>0</v>
      </c>
      <c r="F824">
        <v>0</v>
      </c>
    </row>
    <row r="825" spans="1:6" x14ac:dyDescent="0.25">
      <c r="A825" t="s">
        <v>25</v>
      </c>
      <c r="B825" t="s">
        <v>1903</v>
      </c>
      <c r="C825">
        <v>28704</v>
      </c>
      <c r="D825">
        <v>0</v>
      </c>
      <c r="F825">
        <v>0</v>
      </c>
    </row>
    <row r="826" spans="1:6" x14ac:dyDescent="0.25">
      <c r="B826" t="s">
        <v>1904</v>
      </c>
      <c r="D826">
        <v>86</v>
      </c>
      <c r="F826">
        <v>86</v>
      </c>
    </row>
    <row r="827" spans="1:6" x14ac:dyDescent="0.25">
      <c r="B827" t="s">
        <v>1905</v>
      </c>
    </row>
    <row r="828" spans="1:6" x14ac:dyDescent="0.25">
      <c r="A828" t="s">
        <v>2</v>
      </c>
      <c r="B828" t="s">
        <v>1906</v>
      </c>
      <c r="C828">
        <v>28801</v>
      </c>
      <c r="D828">
        <v>484154</v>
      </c>
      <c r="E828">
        <v>0</v>
      </c>
      <c r="F828">
        <v>484154</v>
      </c>
    </row>
    <row r="829" spans="1:6" x14ac:dyDescent="0.25">
      <c r="A829" t="s">
        <v>15</v>
      </c>
      <c r="B829" t="s">
        <v>1907</v>
      </c>
      <c r="C829">
        <v>28802</v>
      </c>
      <c r="D829">
        <v>63729</v>
      </c>
      <c r="E829">
        <v>0</v>
      </c>
      <c r="F829">
        <v>63729</v>
      </c>
    </row>
    <row r="830" spans="1:6" x14ac:dyDescent="0.25">
      <c r="A830" t="s">
        <v>16</v>
      </c>
      <c r="B830" t="s">
        <v>1908</v>
      </c>
      <c r="C830">
        <v>28803</v>
      </c>
      <c r="D830">
        <v>161</v>
      </c>
      <c r="E830">
        <v>0</v>
      </c>
      <c r="F830">
        <v>161</v>
      </c>
    </row>
    <row r="831" spans="1:6" x14ac:dyDescent="0.25">
      <c r="B831" t="s">
        <v>1909</v>
      </c>
      <c r="D831">
        <v>548044</v>
      </c>
      <c r="E831">
        <v>0</v>
      </c>
      <c r="F831">
        <v>548044</v>
      </c>
    </row>
    <row r="832" spans="1:6" x14ac:dyDescent="0.25">
      <c r="B832" t="s">
        <v>1910</v>
      </c>
      <c r="D832">
        <v>13234841</v>
      </c>
      <c r="E832">
        <v>140</v>
      </c>
      <c r="F832">
        <v>13234981</v>
      </c>
    </row>
    <row r="833" spans="1:6" x14ac:dyDescent="0.25">
      <c r="B833" t="s">
        <v>1911</v>
      </c>
    </row>
    <row r="834" spans="1:6" x14ac:dyDescent="0.25">
      <c r="B834" t="s">
        <v>1912</v>
      </c>
    </row>
    <row r="835" spans="1:6" x14ac:dyDescent="0.25">
      <c r="A835" t="s">
        <v>2</v>
      </c>
      <c r="B835" t="s">
        <v>1913</v>
      </c>
      <c r="C835">
        <v>29101</v>
      </c>
      <c r="D835">
        <v>6546</v>
      </c>
      <c r="F835">
        <v>6546</v>
      </c>
    </row>
    <row r="836" spans="1:6" x14ac:dyDescent="0.25">
      <c r="A836" t="s">
        <v>15</v>
      </c>
      <c r="B836" t="s">
        <v>1914</v>
      </c>
      <c r="C836">
        <v>29102</v>
      </c>
      <c r="D836">
        <v>0</v>
      </c>
      <c r="F836">
        <v>0</v>
      </c>
    </row>
    <row r="837" spans="1:6" x14ac:dyDescent="0.25">
      <c r="A837" t="s">
        <v>16</v>
      </c>
      <c r="B837" t="s">
        <v>1915</v>
      </c>
      <c r="C837">
        <v>29103</v>
      </c>
      <c r="D837">
        <v>7848</v>
      </c>
      <c r="F837">
        <v>7848</v>
      </c>
    </row>
    <row r="838" spans="1:6" x14ac:dyDescent="0.25">
      <c r="A838" t="s">
        <v>25</v>
      </c>
      <c r="B838" t="s">
        <v>1916</v>
      </c>
      <c r="C838">
        <v>29104</v>
      </c>
      <c r="D838">
        <v>0</v>
      </c>
      <c r="F838">
        <v>0</v>
      </c>
    </row>
    <row r="839" spans="1:6" x14ac:dyDescent="0.25">
      <c r="A839" t="s">
        <v>26</v>
      </c>
      <c r="B839" t="s">
        <v>1917</v>
      </c>
      <c r="C839">
        <v>29105</v>
      </c>
      <c r="D839">
        <v>0</v>
      </c>
      <c r="F839">
        <v>0</v>
      </c>
    </row>
    <row r="840" spans="1:6" x14ac:dyDescent="0.25">
      <c r="A840" t="s">
        <v>27</v>
      </c>
      <c r="B840" t="s">
        <v>1918</v>
      </c>
      <c r="C840">
        <v>29106</v>
      </c>
      <c r="D840">
        <v>0</v>
      </c>
      <c r="F840">
        <v>0</v>
      </c>
    </row>
    <row r="841" spans="1:6" x14ac:dyDescent="0.25">
      <c r="A841" t="s">
        <v>531</v>
      </c>
      <c r="B841" t="s">
        <v>1919</v>
      </c>
      <c r="C841">
        <v>29107</v>
      </c>
      <c r="D841">
        <v>0</v>
      </c>
      <c r="F841">
        <v>0</v>
      </c>
    </row>
    <row r="842" spans="1:6" x14ac:dyDescent="0.25">
      <c r="B842" t="s">
        <v>1920</v>
      </c>
      <c r="D842">
        <v>14394</v>
      </c>
      <c r="F842">
        <v>14394</v>
      </c>
    </row>
    <row r="843" spans="1:6" x14ac:dyDescent="0.25">
      <c r="B843" t="s">
        <v>1921</v>
      </c>
    </row>
    <row r="844" spans="1:6" x14ac:dyDescent="0.25">
      <c r="A844" t="s">
        <v>2</v>
      </c>
      <c r="B844" t="s">
        <v>1922</v>
      </c>
      <c r="C844">
        <v>29201</v>
      </c>
      <c r="D844">
        <v>0</v>
      </c>
      <c r="E844">
        <v>0</v>
      </c>
      <c r="F844">
        <v>0</v>
      </c>
    </row>
    <row r="845" spans="1:6" x14ac:dyDescent="0.25">
      <c r="A845" t="s">
        <v>15</v>
      </c>
      <c r="B845" t="s">
        <v>1923</v>
      </c>
      <c r="C845">
        <v>29202</v>
      </c>
      <c r="D845">
        <v>0</v>
      </c>
      <c r="E845">
        <v>0</v>
      </c>
      <c r="F845">
        <v>0</v>
      </c>
    </row>
    <row r="846" spans="1:6" x14ac:dyDescent="0.25">
      <c r="A846" t="s">
        <v>16</v>
      </c>
      <c r="B846" t="s">
        <v>1924</v>
      </c>
      <c r="C846">
        <v>29203</v>
      </c>
      <c r="D846">
        <v>0</v>
      </c>
      <c r="E846">
        <v>0</v>
      </c>
      <c r="F846">
        <v>0</v>
      </c>
    </row>
    <row r="847" spans="1:6" x14ac:dyDescent="0.25">
      <c r="A847" t="s">
        <v>25</v>
      </c>
      <c r="B847" t="s">
        <v>1925</v>
      </c>
      <c r="C847">
        <v>29204</v>
      </c>
      <c r="D847">
        <v>0</v>
      </c>
      <c r="E847">
        <v>0</v>
      </c>
      <c r="F847">
        <v>0</v>
      </c>
    </row>
    <row r="848" spans="1:6" x14ac:dyDescent="0.25">
      <c r="A848" t="s">
        <v>26</v>
      </c>
      <c r="B848" t="s">
        <v>1926</v>
      </c>
      <c r="C848">
        <v>29205</v>
      </c>
      <c r="D848">
        <v>10</v>
      </c>
      <c r="E848">
        <v>0</v>
      </c>
      <c r="F848">
        <v>10</v>
      </c>
    </row>
    <row r="849" spans="1:6" x14ac:dyDescent="0.25">
      <c r="A849" t="s">
        <v>27</v>
      </c>
      <c r="B849" t="s">
        <v>1927</v>
      </c>
      <c r="C849">
        <v>29206</v>
      </c>
      <c r="D849">
        <v>0</v>
      </c>
      <c r="E849">
        <v>0</v>
      </c>
      <c r="F849">
        <v>0</v>
      </c>
    </row>
    <row r="850" spans="1:6" x14ac:dyDescent="0.25">
      <c r="A850" t="s">
        <v>531</v>
      </c>
      <c r="B850" t="s">
        <v>1928</v>
      </c>
      <c r="C850">
        <v>29207</v>
      </c>
      <c r="D850">
        <v>0</v>
      </c>
      <c r="E850">
        <v>0</v>
      </c>
      <c r="F850">
        <v>0</v>
      </c>
    </row>
    <row r="851" spans="1:6" x14ac:dyDescent="0.25">
      <c r="A851" t="s">
        <v>1583</v>
      </c>
      <c r="B851" t="s">
        <v>1929</v>
      </c>
      <c r="C851">
        <v>29208</v>
      </c>
      <c r="D851">
        <v>0</v>
      </c>
      <c r="E851">
        <v>0</v>
      </c>
      <c r="F851">
        <v>0</v>
      </c>
    </row>
    <row r="852" spans="1:6" x14ac:dyDescent="0.25">
      <c r="B852" t="s">
        <v>1930</v>
      </c>
      <c r="D852">
        <v>10</v>
      </c>
      <c r="E852">
        <v>0</v>
      </c>
      <c r="F852">
        <v>10</v>
      </c>
    </row>
    <row r="853" spans="1:6" x14ac:dyDescent="0.25">
      <c r="B853" t="s">
        <v>1931</v>
      </c>
    </row>
    <row r="854" spans="1:6" x14ac:dyDescent="0.25">
      <c r="A854" t="s">
        <v>2</v>
      </c>
      <c r="B854" t="s">
        <v>1932</v>
      </c>
      <c r="C854">
        <v>29301</v>
      </c>
      <c r="D854">
        <v>0</v>
      </c>
      <c r="F854">
        <v>0</v>
      </c>
    </row>
    <row r="855" spans="1:6" x14ac:dyDescent="0.25">
      <c r="A855" t="s">
        <v>15</v>
      </c>
      <c r="B855" t="s">
        <v>1933</v>
      </c>
      <c r="C855">
        <v>29302</v>
      </c>
      <c r="D855">
        <v>12925</v>
      </c>
      <c r="F855">
        <v>12925</v>
      </c>
    </row>
    <row r="856" spans="1:6" x14ac:dyDescent="0.25">
      <c r="A856" t="s">
        <v>16</v>
      </c>
      <c r="B856" t="s">
        <v>1934</v>
      </c>
      <c r="C856">
        <v>29303</v>
      </c>
      <c r="D856">
        <v>0</v>
      </c>
      <c r="F856">
        <v>0</v>
      </c>
    </row>
    <row r="857" spans="1:6" x14ac:dyDescent="0.25">
      <c r="A857" t="s">
        <v>25</v>
      </c>
      <c r="B857" t="s">
        <v>1935</v>
      </c>
      <c r="C857">
        <v>29304</v>
      </c>
      <c r="D857">
        <v>64</v>
      </c>
      <c r="F857">
        <v>64</v>
      </c>
    </row>
    <row r="858" spans="1:6" x14ac:dyDescent="0.25">
      <c r="B858" t="s">
        <v>1936</v>
      </c>
      <c r="D858">
        <v>12989</v>
      </c>
      <c r="F858">
        <v>12989</v>
      </c>
    </row>
    <row r="859" spans="1:6" x14ac:dyDescent="0.25">
      <c r="B859" t="s">
        <v>1937</v>
      </c>
    </row>
    <row r="860" spans="1:6" x14ac:dyDescent="0.25">
      <c r="A860" t="s">
        <v>2</v>
      </c>
      <c r="B860" t="s">
        <v>1938</v>
      </c>
      <c r="C860">
        <v>29401</v>
      </c>
      <c r="D860">
        <v>41</v>
      </c>
      <c r="E860">
        <v>0</v>
      </c>
      <c r="F860">
        <v>41</v>
      </c>
    </row>
    <row r="861" spans="1:6" x14ac:dyDescent="0.25">
      <c r="A861" t="s">
        <v>15</v>
      </c>
      <c r="B861" t="s">
        <v>1939</v>
      </c>
      <c r="C861">
        <v>29402</v>
      </c>
      <c r="D861">
        <v>562</v>
      </c>
      <c r="E861">
        <v>0</v>
      </c>
      <c r="F861">
        <v>562</v>
      </c>
    </row>
    <row r="862" spans="1:6" x14ac:dyDescent="0.25">
      <c r="A862" t="s">
        <v>16</v>
      </c>
      <c r="B862" t="s">
        <v>1940</v>
      </c>
      <c r="C862">
        <v>29403</v>
      </c>
      <c r="D862">
        <v>560</v>
      </c>
      <c r="E862">
        <v>0</v>
      </c>
      <c r="F862">
        <v>560</v>
      </c>
    </row>
    <row r="863" spans="1:6" x14ac:dyDescent="0.25">
      <c r="A863" t="s">
        <v>25</v>
      </c>
      <c r="B863" t="s">
        <v>1941</v>
      </c>
      <c r="C863">
        <v>29404</v>
      </c>
      <c r="D863">
        <v>0</v>
      </c>
      <c r="E863">
        <v>0</v>
      </c>
      <c r="F863">
        <v>0</v>
      </c>
    </row>
    <row r="864" spans="1:6" x14ac:dyDescent="0.25">
      <c r="A864" t="s">
        <v>26</v>
      </c>
      <c r="B864" t="s">
        <v>1942</v>
      </c>
      <c r="C864">
        <v>29405</v>
      </c>
      <c r="D864">
        <v>2936</v>
      </c>
      <c r="E864">
        <v>12</v>
      </c>
      <c r="F864">
        <v>2948</v>
      </c>
    </row>
    <row r="865" spans="1:6" x14ac:dyDescent="0.25">
      <c r="A865" t="s">
        <v>27</v>
      </c>
      <c r="B865" t="s">
        <v>1943</v>
      </c>
      <c r="C865">
        <v>29406</v>
      </c>
      <c r="D865">
        <v>10593</v>
      </c>
      <c r="E865">
        <v>202</v>
      </c>
      <c r="F865">
        <v>10795</v>
      </c>
    </row>
    <row r="866" spans="1:6" x14ac:dyDescent="0.25">
      <c r="A866" t="s">
        <v>531</v>
      </c>
      <c r="B866" t="s">
        <v>1944</v>
      </c>
      <c r="C866">
        <v>29407</v>
      </c>
      <c r="D866">
        <v>0</v>
      </c>
      <c r="E866">
        <v>0</v>
      </c>
      <c r="F866">
        <v>0</v>
      </c>
    </row>
    <row r="867" spans="1:6" x14ac:dyDescent="0.25">
      <c r="B867" t="s">
        <v>1945</v>
      </c>
      <c r="D867">
        <v>14692</v>
      </c>
      <c r="E867">
        <v>214</v>
      </c>
      <c r="F867">
        <v>14906</v>
      </c>
    </row>
    <row r="868" spans="1:6" x14ac:dyDescent="0.25">
      <c r="B868" t="s">
        <v>1946</v>
      </c>
      <c r="D868">
        <v>42085</v>
      </c>
      <c r="E868">
        <v>214</v>
      </c>
      <c r="F868">
        <v>42299</v>
      </c>
    </row>
    <row r="869" spans="1:6" x14ac:dyDescent="0.25">
      <c r="B869" t="s">
        <v>1947</v>
      </c>
      <c r="D869">
        <v>166117058</v>
      </c>
      <c r="E869">
        <v>169085</v>
      </c>
      <c r="F869">
        <v>166286143</v>
      </c>
    </row>
    <row r="870" spans="1:6" x14ac:dyDescent="0.25">
      <c r="B870" t="s">
        <v>1948</v>
      </c>
      <c r="D870">
        <v>258376220</v>
      </c>
      <c r="E870">
        <v>391375</v>
      </c>
      <c r="F870">
        <v>258767595</v>
      </c>
    </row>
    <row r="871" spans="1:6" x14ac:dyDescent="0.25">
      <c r="B871" t="s">
        <v>1949</v>
      </c>
    </row>
    <row r="872" spans="1:6" x14ac:dyDescent="0.25">
      <c r="B872" t="s">
        <v>1950</v>
      </c>
    </row>
    <row r="873" spans="1:6" x14ac:dyDescent="0.25">
      <c r="B873" t="s">
        <v>1672</v>
      </c>
    </row>
    <row r="874" spans="1:6" x14ac:dyDescent="0.25">
      <c r="A874" t="s">
        <v>2</v>
      </c>
      <c r="B874" t="s">
        <v>1673</v>
      </c>
      <c r="C874">
        <v>31101</v>
      </c>
      <c r="D874">
        <v>0</v>
      </c>
      <c r="E874">
        <v>0</v>
      </c>
      <c r="F874">
        <v>0</v>
      </c>
    </row>
    <row r="875" spans="1:6" x14ac:dyDescent="0.25">
      <c r="A875" t="s">
        <v>15</v>
      </c>
      <c r="B875" t="s">
        <v>1674</v>
      </c>
      <c r="C875">
        <v>31102</v>
      </c>
      <c r="D875">
        <v>161794</v>
      </c>
      <c r="E875">
        <v>259</v>
      </c>
      <c r="F875">
        <v>162053</v>
      </c>
    </row>
    <row r="876" spans="1:6" x14ac:dyDescent="0.25">
      <c r="A876" t="s">
        <v>16</v>
      </c>
      <c r="B876" t="s">
        <v>1675</v>
      </c>
      <c r="C876">
        <v>31103</v>
      </c>
      <c r="D876">
        <v>0</v>
      </c>
      <c r="E876">
        <v>8276</v>
      </c>
      <c r="F876">
        <v>8276</v>
      </c>
    </row>
    <row r="877" spans="1:6" x14ac:dyDescent="0.25">
      <c r="A877" t="s">
        <v>25</v>
      </c>
      <c r="B877" t="s">
        <v>1676</v>
      </c>
      <c r="C877">
        <v>31104</v>
      </c>
      <c r="D877">
        <v>0</v>
      </c>
      <c r="E877">
        <v>0</v>
      </c>
      <c r="F877">
        <v>0</v>
      </c>
    </row>
    <row r="878" spans="1:6" x14ac:dyDescent="0.25">
      <c r="A878" t="s">
        <v>26</v>
      </c>
      <c r="B878" t="s">
        <v>1677</v>
      </c>
      <c r="C878">
        <v>31105</v>
      </c>
      <c r="D878">
        <v>0</v>
      </c>
      <c r="E878">
        <v>0</v>
      </c>
      <c r="F878">
        <v>0</v>
      </c>
    </row>
    <row r="879" spans="1:6" x14ac:dyDescent="0.25">
      <c r="B879" t="s">
        <v>1951</v>
      </c>
      <c r="D879">
        <v>161794</v>
      </c>
      <c r="E879">
        <v>8535</v>
      </c>
      <c r="F879">
        <v>170329</v>
      </c>
    </row>
    <row r="880" spans="1:6" x14ac:dyDescent="0.25">
      <c r="B880" t="s">
        <v>1679</v>
      </c>
    </row>
    <row r="881" spans="1:6" x14ac:dyDescent="0.25">
      <c r="A881" t="s">
        <v>2</v>
      </c>
      <c r="B881" t="s">
        <v>1680</v>
      </c>
      <c r="C881">
        <v>31201</v>
      </c>
      <c r="D881">
        <v>53</v>
      </c>
      <c r="E881">
        <v>0</v>
      </c>
      <c r="F881">
        <v>53</v>
      </c>
    </row>
    <row r="882" spans="1:6" x14ac:dyDescent="0.25">
      <c r="A882" t="s">
        <v>15</v>
      </c>
      <c r="B882" t="s">
        <v>1681</v>
      </c>
      <c r="C882">
        <v>31202</v>
      </c>
      <c r="D882">
        <v>0</v>
      </c>
      <c r="E882">
        <v>0</v>
      </c>
      <c r="F882">
        <v>0</v>
      </c>
    </row>
    <row r="883" spans="1:6" x14ac:dyDescent="0.25">
      <c r="A883" t="s">
        <v>16</v>
      </c>
      <c r="B883" t="s">
        <v>1682</v>
      </c>
      <c r="C883">
        <v>31203</v>
      </c>
      <c r="D883">
        <v>1218</v>
      </c>
      <c r="E883">
        <v>0</v>
      </c>
      <c r="F883">
        <v>1218</v>
      </c>
    </row>
    <row r="884" spans="1:6" x14ac:dyDescent="0.25">
      <c r="A884" t="s">
        <v>25</v>
      </c>
      <c r="B884" t="s">
        <v>1683</v>
      </c>
      <c r="C884">
        <v>31204</v>
      </c>
      <c r="D884">
        <v>0</v>
      </c>
      <c r="E884">
        <v>0</v>
      </c>
      <c r="F884">
        <v>0</v>
      </c>
    </row>
    <row r="885" spans="1:6" x14ac:dyDescent="0.25">
      <c r="A885" t="s">
        <v>26</v>
      </c>
      <c r="B885" t="s">
        <v>1684</v>
      </c>
      <c r="C885">
        <v>31205</v>
      </c>
      <c r="D885">
        <v>5958</v>
      </c>
      <c r="E885">
        <v>1</v>
      </c>
      <c r="F885">
        <v>5959</v>
      </c>
    </row>
    <row r="886" spans="1:6" x14ac:dyDescent="0.25">
      <c r="A886" t="s">
        <v>27</v>
      </c>
      <c r="B886" t="s">
        <v>1685</v>
      </c>
      <c r="C886">
        <v>31206</v>
      </c>
      <c r="D886">
        <v>2524</v>
      </c>
      <c r="E886">
        <v>0</v>
      </c>
      <c r="F886">
        <v>2524</v>
      </c>
    </row>
    <row r="887" spans="1:6" x14ac:dyDescent="0.25">
      <c r="A887" t="s">
        <v>531</v>
      </c>
      <c r="B887" t="s">
        <v>1686</v>
      </c>
      <c r="C887">
        <v>31207</v>
      </c>
      <c r="D887">
        <v>49227</v>
      </c>
      <c r="E887">
        <v>0</v>
      </c>
      <c r="F887">
        <v>49227</v>
      </c>
    </row>
    <row r="888" spans="1:6" x14ac:dyDescent="0.25">
      <c r="A888" t="s">
        <v>1583</v>
      </c>
      <c r="B888" t="s">
        <v>1687</v>
      </c>
      <c r="C888">
        <v>31208</v>
      </c>
      <c r="D888">
        <v>150619</v>
      </c>
      <c r="E888">
        <v>243</v>
      </c>
      <c r="F888">
        <v>150862</v>
      </c>
    </row>
    <row r="889" spans="1:6" x14ac:dyDescent="0.25">
      <c r="A889" t="s">
        <v>1585</v>
      </c>
      <c r="B889" t="s">
        <v>1688</v>
      </c>
      <c r="C889">
        <v>31209</v>
      </c>
      <c r="D889">
        <v>16657</v>
      </c>
      <c r="E889">
        <v>1</v>
      </c>
      <c r="F889">
        <v>16658</v>
      </c>
    </row>
    <row r="890" spans="1:6" x14ac:dyDescent="0.25">
      <c r="A890" t="s">
        <v>1587</v>
      </c>
      <c r="B890" t="s">
        <v>1637</v>
      </c>
      <c r="C890">
        <v>31210</v>
      </c>
      <c r="D890">
        <v>0</v>
      </c>
      <c r="E890">
        <v>80</v>
      </c>
      <c r="F890">
        <v>80</v>
      </c>
    </row>
    <row r="891" spans="1:6" x14ac:dyDescent="0.25">
      <c r="A891" t="s">
        <v>1589</v>
      </c>
      <c r="B891" t="s">
        <v>1640</v>
      </c>
      <c r="C891">
        <v>31211</v>
      </c>
      <c r="D891">
        <v>0</v>
      </c>
      <c r="E891">
        <v>0</v>
      </c>
      <c r="F891">
        <v>0</v>
      </c>
    </row>
    <row r="892" spans="1:6" x14ac:dyDescent="0.25">
      <c r="A892" t="s">
        <v>1591</v>
      </c>
      <c r="B892" t="s">
        <v>1689</v>
      </c>
      <c r="C892">
        <v>31212</v>
      </c>
      <c r="D892">
        <v>2544</v>
      </c>
      <c r="E892">
        <v>0</v>
      </c>
      <c r="F892">
        <v>2544</v>
      </c>
    </row>
    <row r="893" spans="1:6" x14ac:dyDescent="0.25">
      <c r="A893" t="s">
        <v>1593</v>
      </c>
      <c r="B893" t="s">
        <v>1690</v>
      </c>
      <c r="C893">
        <v>31213</v>
      </c>
      <c r="D893">
        <v>0</v>
      </c>
      <c r="E893">
        <v>0</v>
      </c>
      <c r="F893">
        <v>0</v>
      </c>
    </row>
    <row r="894" spans="1:6" x14ac:dyDescent="0.25">
      <c r="B894" t="s">
        <v>1952</v>
      </c>
      <c r="D894">
        <v>228800</v>
      </c>
      <c r="E894">
        <v>325</v>
      </c>
      <c r="F894">
        <v>229125</v>
      </c>
    </row>
    <row r="895" spans="1:6" x14ac:dyDescent="0.25">
      <c r="B895" t="s">
        <v>1692</v>
      </c>
    </row>
    <row r="896" spans="1:6" x14ac:dyDescent="0.25">
      <c r="A896" t="s">
        <v>2</v>
      </c>
      <c r="B896" t="s">
        <v>1693</v>
      </c>
      <c r="C896">
        <v>31301</v>
      </c>
      <c r="D896">
        <v>0</v>
      </c>
      <c r="E896">
        <v>0</v>
      </c>
      <c r="F896">
        <v>0</v>
      </c>
    </row>
    <row r="897" spans="1:6" x14ac:dyDescent="0.25">
      <c r="A897" t="s">
        <v>15</v>
      </c>
      <c r="B897" t="s">
        <v>1694</v>
      </c>
      <c r="C897">
        <v>31302</v>
      </c>
      <c r="D897">
        <v>1370660</v>
      </c>
      <c r="E897">
        <v>0</v>
      </c>
      <c r="F897">
        <v>1370660</v>
      </c>
    </row>
    <row r="898" spans="1:6" x14ac:dyDescent="0.25">
      <c r="A898" t="s">
        <v>16</v>
      </c>
      <c r="B898" t="s">
        <v>1695</v>
      </c>
      <c r="C898">
        <v>31303</v>
      </c>
      <c r="D898">
        <v>0</v>
      </c>
      <c r="E898">
        <v>0</v>
      </c>
      <c r="F898">
        <v>0</v>
      </c>
    </row>
    <row r="899" spans="1:6" x14ac:dyDescent="0.25">
      <c r="A899" t="s">
        <v>25</v>
      </c>
      <c r="B899" t="s">
        <v>1696</v>
      </c>
      <c r="C899">
        <v>31304</v>
      </c>
      <c r="D899">
        <v>0</v>
      </c>
      <c r="E899">
        <v>0</v>
      </c>
      <c r="F899">
        <v>0</v>
      </c>
    </row>
    <row r="900" spans="1:6" x14ac:dyDescent="0.25">
      <c r="A900" t="s">
        <v>26</v>
      </c>
      <c r="B900" t="s">
        <v>1680</v>
      </c>
      <c r="C900">
        <v>31305</v>
      </c>
      <c r="D900">
        <v>43204</v>
      </c>
      <c r="E900">
        <v>0</v>
      </c>
      <c r="F900">
        <v>43204</v>
      </c>
    </row>
    <row r="901" spans="1:6" x14ac:dyDescent="0.25">
      <c r="A901" t="s">
        <v>27</v>
      </c>
      <c r="B901" t="s">
        <v>1681</v>
      </c>
      <c r="C901">
        <v>31306</v>
      </c>
      <c r="D901">
        <v>64</v>
      </c>
      <c r="E901">
        <v>0</v>
      </c>
      <c r="F901">
        <v>64</v>
      </c>
    </row>
    <row r="902" spans="1:6" x14ac:dyDescent="0.25">
      <c r="A902" t="s">
        <v>531</v>
      </c>
      <c r="B902" t="s">
        <v>1682</v>
      </c>
      <c r="C902">
        <v>31307</v>
      </c>
      <c r="D902">
        <v>434247</v>
      </c>
      <c r="E902">
        <v>0</v>
      </c>
      <c r="F902">
        <v>434247</v>
      </c>
    </row>
    <row r="903" spans="1:6" x14ac:dyDescent="0.25">
      <c r="A903" t="s">
        <v>1583</v>
      </c>
      <c r="B903" t="s">
        <v>1683</v>
      </c>
      <c r="C903">
        <v>31308</v>
      </c>
      <c r="D903">
        <v>33198</v>
      </c>
      <c r="E903">
        <v>0</v>
      </c>
      <c r="F903">
        <v>33198</v>
      </c>
    </row>
    <row r="904" spans="1:6" x14ac:dyDescent="0.25">
      <c r="A904" t="s">
        <v>1585</v>
      </c>
      <c r="B904" t="s">
        <v>1684</v>
      </c>
      <c r="C904">
        <v>31309</v>
      </c>
      <c r="D904">
        <v>479744</v>
      </c>
      <c r="E904">
        <v>0</v>
      </c>
      <c r="F904">
        <v>479744</v>
      </c>
    </row>
    <row r="905" spans="1:6" x14ac:dyDescent="0.25">
      <c r="A905" t="s">
        <v>1587</v>
      </c>
      <c r="B905" t="s">
        <v>1685</v>
      </c>
      <c r="C905">
        <v>31310</v>
      </c>
      <c r="D905">
        <v>831866</v>
      </c>
      <c r="E905">
        <v>0</v>
      </c>
      <c r="F905">
        <v>831866</v>
      </c>
    </row>
    <row r="906" spans="1:6" x14ac:dyDescent="0.25">
      <c r="A906" t="s">
        <v>1589</v>
      </c>
      <c r="B906" t="s">
        <v>1686</v>
      </c>
      <c r="C906">
        <v>31311</v>
      </c>
      <c r="D906">
        <v>574672</v>
      </c>
      <c r="E906">
        <v>0</v>
      </c>
      <c r="F906">
        <v>574672</v>
      </c>
    </row>
    <row r="907" spans="1:6" x14ac:dyDescent="0.25">
      <c r="A907" t="s">
        <v>1591</v>
      </c>
      <c r="B907" t="s">
        <v>1687</v>
      </c>
      <c r="C907">
        <v>31312</v>
      </c>
      <c r="D907">
        <v>2808567</v>
      </c>
      <c r="E907">
        <v>3887</v>
      </c>
      <c r="F907">
        <v>2812454</v>
      </c>
    </row>
    <row r="908" spans="1:6" x14ac:dyDescent="0.25">
      <c r="A908" t="s">
        <v>1593</v>
      </c>
      <c r="B908" t="s">
        <v>1688</v>
      </c>
      <c r="C908">
        <v>31313</v>
      </c>
      <c r="D908">
        <v>2562162</v>
      </c>
      <c r="E908">
        <v>3</v>
      </c>
      <c r="F908">
        <v>2562165</v>
      </c>
    </row>
    <row r="909" spans="1:6" x14ac:dyDescent="0.25">
      <c r="A909" t="s">
        <v>1595</v>
      </c>
      <c r="B909" t="s">
        <v>1690</v>
      </c>
      <c r="C909">
        <v>31314</v>
      </c>
      <c r="D909">
        <v>14126</v>
      </c>
      <c r="E909">
        <v>4421827</v>
      </c>
      <c r="F909">
        <v>4435953</v>
      </c>
    </row>
    <row r="910" spans="1:6" x14ac:dyDescent="0.25">
      <c r="A910" t="s">
        <v>1597</v>
      </c>
      <c r="B910" t="s">
        <v>1637</v>
      </c>
      <c r="C910">
        <v>31315</v>
      </c>
      <c r="D910">
        <v>0</v>
      </c>
      <c r="E910">
        <v>0</v>
      </c>
      <c r="F910">
        <v>0</v>
      </c>
    </row>
    <row r="911" spans="1:6" x14ac:dyDescent="0.25">
      <c r="A911" t="s">
        <v>1599</v>
      </c>
      <c r="B911" t="s">
        <v>1640</v>
      </c>
      <c r="C911">
        <v>31316</v>
      </c>
      <c r="D911">
        <v>0</v>
      </c>
      <c r="E911">
        <v>0</v>
      </c>
      <c r="F911">
        <v>0</v>
      </c>
    </row>
    <row r="912" spans="1:6" x14ac:dyDescent="0.25">
      <c r="A912" t="s">
        <v>1601</v>
      </c>
      <c r="B912" t="s">
        <v>1636</v>
      </c>
      <c r="C912">
        <v>31317</v>
      </c>
      <c r="D912">
        <v>0</v>
      </c>
      <c r="E912">
        <v>0</v>
      </c>
      <c r="F912">
        <v>0</v>
      </c>
    </row>
    <row r="913" spans="1:6" x14ac:dyDescent="0.25">
      <c r="A913" t="s">
        <v>1603</v>
      </c>
      <c r="B913" t="s">
        <v>1689</v>
      </c>
      <c r="C913">
        <v>31318</v>
      </c>
      <c r="D913">
        <v>0</v>
      </c>
      <c r="E913">
        <v>0</v>
      </c>
      <c r="F913">
        <v>0</v>
      </c>
    </row>
    <row r="914" spans="1:6" x14ac:dyDescent="0.25">
      <c r="B914" t="s">
        <v>1953</v>
      </c>
      <c r="D914">
        <v>9152510</v>
      </c>
      <c r="E914">
        <v>4425717</v>
      </c>
      <c r="F914">
        <v>13578227</v>
      </c>
    </row>
    <row r="915" spans="1:6" x14ac:dyDescent="0.25">
      <c r="B915" t="s">
        <v>1698</v>
      </c>
    </row>
    <row r="916" spans="1:6" x14ac:dyDescent="0.25">
      <c r="A916" t="s">
        <v>2</v>
      </c>
      <c r="B916" t="s">
        <v>1699</v>
      </c>
      <c r="C916">
        <v>31401</v>
      </c>
      <c r="D916">
        <v>0</v>
      </c>
      <c r="E916">
        <v>0</v>
      </c>
      <c r="F916">
        <v>0</v>
      </c>
    </row>
    <row r="917" spans="1:6" x14ac:dyDescent="0.25">
      <c r="A917" t="s">
        <v>15</v>
      </c>
      <c r="B917" t="s">
        <v>1694</v>
      </c>
      <c r="C917">
        <v>31402</v>
      </c>
      <c r="D917">
        <v>0</v>
      </c>
      <c r="E917">
        <v>0</v>
      </c>
      <c r="F917">
        <v>0</v>
      </c>
    </row>
    <row r="918" spans="1:6" x14ac:dyDescent="0.25">
      <c r="A918" t="s">
        <v>16</v>
      </c>
      <c r="B918" t="s">
        <v>1695</v>
      </c>
      <c r="C918">
        <v>31403</v>
      </c>
      <c r="D918">
        <v>0</v>
      </c>
      <c r="E918">
        <v>0</v>
      </c>
      <c r="F918">
        <v>0</v>
      </c>
    </row>
    <row r="919" spans="1:6" x14ac:dyDescent="0.25">
      <c r="A919" t="s">
        <v>25</v>
      </c>
      <c r="B919" t="s">
        <v>1696</v>
      </c>
      <c r="C919">
        <v>31404</v>
      </c>
      <c r="D919">
        <v>0</v>
      </c>
      <c r="E919">
        <v>0</v>
      </c>
      <c r="F919">
        <v>0</v>
      </c>
    </row>
    <row r="920" spans="1:6" x14ac:dyDescent="0.25">
      <c r="A920" t="s">
        <v>26</v>
      </c>
      <c r="B920" t="s">
        <v>1680</v>
      </c>
      <c r="C920">
        <v>31405</v>
      </c>
      <c r="D920">
        <v>0</v>
      </c>
      <c r="E920">
        <v>0</v>
      </c>
      <c r="F920">
        <v>0</v>
      </c>
    </row>
    <row r="921" spans="1:6" x14ac:dyDescent="0.25">
      <c r="A921" t="s">
        <v>27</v>
      </c>
      <c r="B921" t="s">
        <v>1681</v>
      </c>
      <c r="C921">
        <v>31406</v>
      </c>
      <c r="D921">
        <v>0</v>
      </c>
      <c r="E921">
        <v>0</v>
      </c>
      <c r="F921">
        <v>0</v>
      </c>
    </row>
    <row r="922" spans="1:6" x14ac:dyDescent="0.25">
      <c r="A922" t="s">
        <v>531</v>
      </c>
      <c r="B922" t="s">
        <v>1682</v>
      </c>
      <c r="C922">
        <v>31407</v>
      </c>
      <c r="D922">
        <v>121075</v>
      </c>
      <c r="E922">
        <v>0</v>
      </c>
      <c r="F922">
        <v>121075</v>
      </c>
    </row>
    <row r="923" spans="1:6" x14ac:dyDescent="0.25">
      <c r="A923" t="s">
        <v>1583</v>
      </c>
      <c r="B923" t="s">
        <v>1683</v>
      </c>
      <c r="C923">
        <v>31408</v>
      </c>
      <c r="D923">
        <v>0</v>
      </c>
      <c r="E923">
        <v>0</v>
      </c>
      <c r="F923">
        <v>0</v>
      </c>
    </row>
    <row r="924" spans="1:6" x14ac:dyDescent="0.25">
      <c r="A924" t="s">
        <v>1585</v>
      </c>
      <c r="B924" t="s">
        <v>1684</v>
      </c>
      <c r="C924">
        <v>31409</v>
      </c>
      <c r="D924">
        <v>0</v>
      </c>
      <c r="E924">
        <v>0</v>
      </c>
      <c r="F924">
        <v>0</v>
      </c>
    </row>
    <row r="925" spans="1:6" x14ac:dyDescent="0.25">
      <c r="A925" t="s">
        <v>1587</v>
      </c>
      <c r="B925" t="s">
        <v>1685</v>
      </c>
      <c r="C925">
        <v>31410</v>
      </c>
      <c r="D925">
        <v>0</v>
      </c>
      <c r="E925">
        <v>0</v>
      </c>
      <c r="F925">
        <v>0</v>
      </c>
    </row>
    <row r="926" spans="1:6" x14ac:dyDescent="0.25">
      <c r="A926" t="s">
        <v>1589</v>
      </c>
      <c r="B926" t="s">
        <v>1686</v>
      </c>
      <c r="C926">
        <v>31411</v>
      </c>
      <c r="D926">
        <v>0</v>
      </c>
      <c r="E926">
        <v>0</v>
      </c>
      <c r="F926">
        <v>0</v>
      </c>
    </row>
    <row r="927" spans="1:6" x14ac:dyDescent="0.25">
      <c r="A927" t="s">
        <v>1591</v>
      </c>
      <c r="B927" t="s">
        <v>1687</v>
      </c>
      <c r="C927">
        <v>31412</v>
      </c>
      <c r="D927">
        <v>14413</v>
      </c>
      <c r="E927">
        <v>0</v>
      </c>
      <c r="F927">
        <v>14413</v>
      </c>
    </row>
    <row r="928" spans="1:6" x14ac:dyDescent="0.25">
      <c r="A928" t="s">
        <v>1593</v>
      </c>
      <c r="B928" t="s">
        <v>1688</v>
      </c>
      <c r="C928">
        <v>31413</v>
      </c>
      <c r="D928">
        <v>0</v>
      </c>
      <c r="E928">
        <v>0</v>
      </c>
      <c r="F928">
        <v>0</v>
      </c>
    </row>
    <row r="929" spans="1:6" x14ac:dyDescent="0.25">
      <c r="A929" t="s">
        <v>1595</v>
      </c>
      <c r="B929" t="s">
        <v>1690</v>
      </c>
      <c r="C929">
        <v>31414</v>
      </c>
      <c r="D929">
        <v>4292</v>
      </c>
      <c r="E929">
        <v>41</v>
      </c>
      <c r="F929">
        <v>4333</v>
      </c>
    </row>
    <row r="930" spans="1:6" x14ac:dyDescent="0.25">
      <c r="A930" t="s">
        <v>1597</v>
      </c>
      <c r="B930" t="s">
        <v>1637</v>
      </c>
      <c r="C930">
        <v>31415</v>
      </c>
      <c r="D930">
        <v>140277</v>
      </c>
      <c r="E930">
        <v>29078</v>
      </c>
      <c r="F930">
        <v>169355</v>
      </c>
    </row>
    <row r="931" spans="1:6" x14ac:dyDescent="0.25">
      <c r="A931" t="s">
        <v>1599</v>
      </c>
      <c r="B931" t="s">
        <v>1640</v>
      </c>
      <c r="C931">
        <v>31416</v>
      </c>
      <c r="D931">
        <v>0</v>
      </c>
      <c r="E931">
        <v>0</v>
      </c>
      <c r="F931">
        <v>0</v>
      </c>
    </row>
    <row r="932" spans="1:6" x14ac:dyDescent="0.25">
      <c r="A932" t="s">
        <v>1601</v>
      </c>
      <c r="B932" t="s">
        <v>1636</v>
      </c>
      <c r="C932">
        <v>31417</v>
      </c>
      <c r="D932">
        <v>0</v>
      </c>
      <c r="E932">
        <v>0</v>
      </c>
      <c r="F932">
        <v>0</v>
      </c>
    </row>
    <row r="933" spans="1:6" x14ac:dyDescent="0.25">
      <c r="A933" t="s">
        <v>1603</v>
      </c>
      <c r="B933" t="s">
        <v>1689</v>
      </c>
      <c r="C933">
        <v>31418</v>
      </c>
      <c r="D933">
        <v>27095</v>
      </c>
      <c r="E933">
        <v>19</v>
      </c>
      <c r="F933">
        <v>27114</v>
      </c>
    </row>
    <row r="934" spans="1:6" x14ac:dyDescent="0.25">
      <c r="B934" t="s">
        <v>1954</v>
      </c>
      <c r="D934">
        <v>307152</v>
      </c>
      <c r="E934">
        <v>29138</v>
      </c>
      <c r="F934">
        <v>336290</v>
      </c>
    </row>
    <row r="935" spans="1:6" x14ac:dyDescent="0.25">
      <c r="B935" t="s">
        <v>1701</v>
      </c>
    </row>
    <row r="936" spans="1:6" x14ac:dyDescent="0.25">
      <c r="A936" t="s">
        <v>2</v>
      </c>
      <c r="B936" t="s">
        <v>1702</v>
      </c>
      <c r="C936">
        <v>31501</v>
      </c>
      <c r="D936">
        <v>14516</v>
      </c>
      <c r="E936">
        <v>0</v>
      </c>
      <c r="F936">
        <v>14516</v>
      </c>
    </row>
    <row r="937" spans="1:6" x14ac:dyDescent="0.25">
      <c r="A937" t="s">
        <v>15</v>
      </c>
      <c r="B937" t="s">
        <v>1703</v>
      </c>
      <c r="C937">
        <v>31502</v>
      </c>
      <c r="D937">
        <v>24</v>
      </c>
      <c r="E937">
        <v>0</v>
      </c>
      <c r="F937">
        <v>24</v>
      </c>
    </row>
    <row r="938" spans="1:6" x14ac:dyDescent="0.25">
      <c r="B938" t="s">
        <v>1955</v>
      </c>
      <c r="D938">
        <v>14540</v>
      </c>
      <c r="E938">
        <v>0</v>
      </c>
      <c r="F938">
        <v>14540</v>
      </c>
    </row>
    <row r="939" spans="1:6" x14ac:dyDescent="0.25">
      <c r="B939" t="s">
        <v>1705</v>
      </c>
    </row>
    <row r="940" spans="1:6" x14ac:dyDescent="0.25">
      <c r="A940" t="s">
        <v>2</v>
      </c>
      <c r="B940" t="s">
        <v>1702</v>
      </c>
      <c r="C940">
        <v>31601</v>
      </c>
      <c r="D940">
        <v>7013847</v>
      </c>
      <c r="E940">
        <v>184668</v>
      </c>
      <c r="F940">
        <v>7198515</v>
      </c>
    </row>
    <row r="941" spans="1:6" x14ac:dyDescent="0.25">
      <c r="A941" t="s">
        <v>15</v>
      </c>
      <c r="B941" t="s">
        <v>1703</v>
      </c>
      <c r="C941">
        <v>31602</v>
      </c>
      <c r="D941">
        <v>13877</v>
      </c>
      <c r="E941">
        <v>2193</v>
      </c>
      <c r="F941">
        <v>16070</v>
      </c>
    </row>
    <row r="942" spans="1:6" x14ac:dyDescent="0.25">
      <c r="B942" t="s">
        <v>1956</v>
      </c>
      <c r="D942">
        <v>7027724</v>
      </c>
      <c r="E942">
        <v>186861</v>
      </c>
      <c r="F942">
        <v>7214585</v>
      </c>
    </row>
    <row r="943" spans="1:6" x14ac:dyDescent="0.25">
      <c r="B943" t="s">
        <v>1707</v>
      </c>
    </row>
    <row r="944" spans="1:6" x14ac:dyDescent="0.25">
      <c r="A944" t="s">
        <v>2</v>
      </c>
      <c r="B944" t="s">
        <v>1702</v>
      </c>
      <c r="C944">
        <v>31701</v>
      </c>
      <c r="D944">
        <v>0</v>
      </c>
      <c r="E944">
        <v>0</v>
      </c>
      <c r="F944">
        <v>0</v>
      </c>
    </row>
    <row r="945" spans="1:6" x14ac:dyDescent="0.25">
      <c r="A945" t="s">
        <v>15</v>
      </c>
      <c r="B945" t="s">
        <v>1703</v>
      </c>
      <c r="C945">
        <v>31702</v>
      </c>
      <c r="D945">
        <v>0</v>
      </c>
      <c r="E945">
        <v>0</v>
      </c>
      <c r="F945">
        <v>0</v>
      </c>
    </row>
    <row r="946" spans="1:6" x14ac:dyDescent="0.25">
      <c r="B946" t="s">
        <v>1957</v>
      </c>
      <c r="D946">
        <v>0</v>
      </c>
      <c r="E946">
        <v>0</v>
      </c>
      <c r="F946">
        <v>0</v>
      </c>
    </row>
    <row r="947" spans="1:6" x14ac:dyDescent="0.25">
      <c r="B947" t="s">
        <v>1709</v>
      </c>
    </row>
    <row r="948" spans="1:6" x14ac:dyDescent="0.25">
      <c r="A948" t="s">
        <v>2</v>
      </c>
      <c r="B948" t="s">
        <v>1710</v>
      </c>
      <c r="C948">
        <v>31801</v>
      </c>
      <c r="D948">
        <v>123475</v>
      </c>
      <c r="E948">
        <v>0</v>
      </c>
      <c r="F948">
        <v>123475</v>
      </c>
    </row>
    <row r="949" spans="1:6" x14ac:dyDescent="0.25">
      <c r="A949" t="s">
        <v>15</v>
      </c>
      <c r="B949" t="s">
        <v>1711</v>
      </c>
      <c r="C949">
        <v>31802</v>
      </c>
      <c r="D949">
        <v>0</v>
      </c>
      <c r="E949">
        <v>0</v>
      </c>
      <c r="F949">
        <v>0</v>
      </c>
    </row>
    <row r="950" spans="1:6" x14ac:dyDescent="0.25">
      <c r="A950" t="s">
        <v>16</v>
      </c>
      <c r="B950" t="s">
        <v>1712</v>
      </c>
      <c r="C950">
        <v>31803</v>
      </c>
      <c r="D950">
        <v>196094</v>
      </c>
      <c r="E950">
        <v>0</v>
      </c>
      <c r="F950">
        <v>196094</v>
      </c>
    </row>
    <row r="951" spans="1:6" x14ac:dyDescent="0.25">
      <c r="A951" t="s">
        <v>25</v>
      </c>
      <c r="B951" t="s">
        <v>1713</v>
      </c>
      <c r="C951">
        <v>31804</v>
      </c>
      <c r="D951">
        <v>1574861</v>
      </c>
      <c r="E951">
        <v>2013</v>
      </c>
      <c r="F951">
        <v>1576874</v>
      </c>
    </row>
    <row r="952" spans="1:6" x14ac:dyDescent="0.25">
      <c r="A952" t="s">
        <v>26</v>
      </c>
      <c r="B952" t="s">
        <v>1714</v>
      </c>
      <c r="C952">
        <v>31805</v>
      </c>
      <c r="D952">
        <v>0</v>
      </c>
      <c r="E952">
        <v>0</v>
      </c>
      <c r="F952">
        <v>0</v>
      </c>
    </row>
    <row r="953" spans="1:6" x14ac:dyDescent="0.25">
      <c r="B953" t="s">
        <v>1958</v>
      </c>
      <c r="D953">
        <v>1894430</v>
      </c>
      <c r="E953">
        <v>2013</v>
      </c>
      <c r="F953">
        <v>1896443</v>
      </c>
    </row>
    <row r="954" spans="1:6" x14ac:dyDescent="0.25">
      <c r="B954" t="s">
        <v>1959</v>
      </c>
    </row>
    <row r="955" spans="1:6" x14ac:dyDescent="0.25">
      <c r="A955" t="s">
        <v>2</v>
      </c>
      <c r="B955" t="s">
        <v>1960</v>
      </c>
      <c r="C955">
        <v>31901</v>
      </c>
      <c r="D955">
        <v>0</v>
      </c>
      <c r="E955">
        <v>8482</v>
      </c>
      <c r="F955">
        <v>8482</v>
      </c>
    </row>
    <row r="956" spans="1:6" x14ac:dyDescent="0.25">
      <c r="A956" t="s">
        <v>15</v>
      </c>
      <c r="B956" t="s">
        <v>1961</v>
      </c>
      <c r="C956">
        <v>31902</v>
      </c>
      <c r="D956">
        <v>0</v>
      </c>
      <c r="E956">
        <v>0</v>
      </c>
      <c r="F956">
        <v>0</v>
      </c>
    </row>
    <row r="957" spans="1:6" x14ac:dyDescent="0.25">
      <c r="A957" t="s">
        <v>16</v>
      </c>
      <c r="B957" t="s">
        <v>1962</v>
      </c>
      <c r="C957">
        <v>31903</v>
      </c>
      <c r="D957">
        <v>0</v>
      </c>
      <c r="E957">
        <v>0</v>
      </c>
      <c r="F957">
        <v>0</v>
      </c>
    </row>
    <row r="958" spans="1:6" x14ac:dyDescent="0.25">
      <c r="B958" t="s">
        <v>1963</v>
      </c>
      <c r="D958">
        <v>0</v>
      </c>
      <c r="E958">
        <v>8482</v>
      </c>
      <c r="F958">
        <v>8482</v>
      </c>
    </row>
    <row r="959" spans="1:6" x14ac:dyDescent="0.25">
      <c r="B959" t="s">
        <v>1653</v>
      </c>
      <c r="D959">
        <v>18786950</v>
      </c>
      <c r="E959">
        <v>4661071</v>
      </c>
      <c r="F959">
        <v>23448021</v>
      </c>
    </row>
    <row r="960" spans="1:6" x14ac:dyDescent="0.25">
      <c r="B960" t="s">
        <v>1964</v>
      </c>
    </row>
    <row r="961" spans="1:6" x14ac:dyDescent="0.25">
      <c r="B961" t="s">
        <v>1672</v>
      </c>
    </row>
    <row r="962" spans="1:6" x14ac:dyDescent="0.25">
      <c r="A962" t="s">
        <v>2</v>
      </c>
      <c r="B962" t="s">
        <v>1673</v>
      </c>
      <c r="C962">
        <v>32101</v>
      </c>
      <c r="D962">
        <v>0</v>
      </c>
      <c r="E962">
        <v>0</v>
      </c>
      <c r="F962">
        <v>0</v>
      </c>
    </row>
    <row r="963" spans="1:6" x14ac:dyDescent="0.25">
      <c r="A963" t="s">
        <v>15</v>
      </c>
      <c r="B963" t="s">
        <v>1674</v>
      </c>
      <c r="C963">
        <v>32102</v>
      </c>
      <c r="D963">
        <v>0</v>
      </c>
      <c r="E963">
        <v>0</v>
      </c>
      <c r="F963">
        <v>0</v>
      </c>
    </row>
    <row r="964" spans="1:6" x14ac:dyDescent="0.25">
      <c r="A964" t="s">
        <v>16</v>
      </c>
      <c r="B964" t="s">
        <v>1675</v>
      </c>
      <c r="C964">
        <v>32103</v>
      </c>
      <c r="D964">
        <v>0</v>
      </c>
      <c r="E964">
        <v>0</v>
      </c>
      <c r="F964">
        <v>0</v>
      </c>
    </row>
    <row r="965" spans="1:6" x14ac:dyDescent="0.25">
      <c r="A965" t="s">
        <v>25</v>
      </c>
      <c r="B965" t="s">
        <v>1676</v>
      </c>
      <c r="C965">
        <v>32104</v>
      </c>
      <c r="D965">
        <v>0</v>
      </c>
      <c r="E965">
        <v>0</v>
      </c>
      <c r="F965">
        <v>0</v>
      </c>
    </row>
    <row r="966" spans="1:6" x14ac:dyDescent="0.25">
      <c r="A966" t="s">
        <v>26</v>
      </c>
      <c r="B966" t="s">
        <v>1677</v>
      </c>
      <c r="C966">
        <v>32105</v>
      </c>
      <c r="D966">
        <v>0</v>
      </c>
      <c r="E966">
        <v>0</v>
      </c>
      <c r="F966">
        <v>0</v>
      </c>
    </row>
    <row r="967" spans="1:6" x14ac:dyDescent="0.25">
      <c r="B967" t="s">
        <v>1965</v>
      </c>
      <c r="D967">
        <v>0</v>
      </c>
      <c r="E967">
        <v>0</v>
      </c>
      <c r="F967">
        <v>0</v>
      </c>
    </row>
    <row r="968" spans="1:6" x14ac:dyDescent="0.25">
      <c r="B968" t="s">
        <v>1781</v>
      </c>
    </row>
    <row r="969" spans="1:6" x14ac:dyDescent="0.25">
      <c r="A969" t="s">
        <v>2</v>
      </c>
      <c r="B969" t="s">
        <v>1693</v>
      </c>
      <c r="C969">
        <v>32201</v>
      </c>
      <c r="D969">
        <v>0</v>
      </c>
      <c r="E969">
        <v>0</v>
      </c>
      <c r="F969">
        <v>0</v>
      </c>
    </row>
    <row r="970" spans="1:6" x14ac:dyDescent="0.25">
      <c r="A970" t="s">
        <v>15</v>
      </c>
      <c r="B970" t="s">
        <v>1694</v>
      </c>
      <c r="C970">
        <v>32202</v>
      </c>
      <c r="D970">
        <v>0</v>
      </c>
      <c r="E970">
        <v>0</v>
      </c>
      <c r="F970">
        <v>0</v>
      </c>
    </row>
    <row r="971" spans="1:6" x14ac:dyDescent="0.25">
      <c r="A971" t="s">
        <v>16</v>
      </c>
      <c r="B971" t="s">
        <v>1695</v>
      </c>
      <c r="C971">
        <v>32203</v>
      </c>
      <c r="D971">
        <v>0</v>
      </c>
      <c r="E971">
        <v>0</v>
      </c>
      <c r="F971">
        <v>0</v>
      </c>
    </row>
    <row r="972" spans="1:6" x14ac:dyDescent="0.25">
      <c r="A972" t="s">
        <v>25</v>
      </c>
      <c r="B972" t="s">
        <v>1696</v>
      </c>
      <c r="C972">
        <v>32204</v>
      </c>
      <c r="D972">
        <v>0</v>
      </c>
      <c r="E972">
        <v>0</v>
      </c>
      <c r="F972">
        <v>0</v>
      </c>
    </row>
    <row r="973" spans="1:6" x14ac:dyDescent="0.25">
      <c r="A973" t="s">
        <v>26</v>
      </c>
      <c r="B973" t="s">
        <v>1680</v>
      </c>
      <c r="C973">
        <v>32205</v>
      </c>
      <c r="D973">
        <v>0</v>
      </c>
      <c r="E973">
        <v>0</v>
      </c>
      <c r="F973">
        <v>0</v>
      </c>
    </row>
    <row r="974" spans="1:6" x14ac:dyDescent="0.25">
      <c r="A974" t="s">
        <v>27</v>
      </c>
      <c r="B974" t="s">
        <v>1681</v>
      </c>
      <c r="C974">
        <v>32206</v>
      </c>
      <c r="D974">
        <v>0</v>
      </c>
      <c r="E974">
        <v>0</v>
      </c>
      <c r="F974">
        <v>0</v>
      </c>
    </row>
    <row r="975" spans="1:6" x14ac:dyDescent="0.25">
      <c r="A975" t="s">
        <v>531</v>
      </c>
      <c r="B975" t="s">
        <v>1682</v>
      </c>
      <c r="C975">
        <v>32207</v>
      </c>
      <c r="D975">
        <v>0</v>
      </c>
      <c r="E975">
        <v>0</v>
      </c>
      <c r="F975">
        <v>0</v>
      </c>
    </row>
    <row r="976" spans="1:6" x14ac:dyDescent="0.25">
      <c r="A976" t="s">
        <v>1583</v>
      </c>
      <c r="B976" t="s">
        <v>1683</v>
      </c>
      <c r="C976">
        <v>32208</v>
      </c>
      <c r="D976">
        <v>0</v>
      </c>
      <c r="E976">
        <v>0</v>
      </c>
      <c r="F976">
        <v>0</v>
      </c>
    </row>
    <row r="977" spans="1:6" x14ac:dyDescent="0.25">
      <c r="A977" t="s">
        <v>1585</v>
      </c>
      <c r="B977" t="s">
        <v>1684</v>
      </c>
      <c r="C977">
        <v>32209</v>
      </c>
      <c r="D977">
        <v>0</v>
      </c>
      <c r="E977">
        <v>0</v>
      </c>
      <c r="F977">
        <v>0</v>
      </c>
    </row>
    <row r="978" spans="1:6" x14ac:dyDescent="0.25">
      <c r="A978" t="s">
        <v>1587</v>
      </c>
      <c r="B978" t="s">
        <v>1685</v>
      </c>
      <c r="C978">
        <v>32210</v>
      </c>
      <c r="D978">
        <v>0</v>
      </c>
      <c r="E978">
        <v>0</v>
      </c>
      <c r="F978">
        <v>0</v>
      </c>
    </row>
    <row r="979" spans="1:6" x14ac:dyDescent="0.25">
      <c r="A979" t="s">
        <v>1589</v>
      </c>
      <c r="B979" t="s">
        <v>1686</v>
      </c>
      <c r="C979">
        <v>32211</v>
      </c>
      <c r="D979">
        <v>0</v>
      </c>
      <c r="E979">
        <v>0</v>
      </c>
      <c r="F979">
        <v>0</v>
      </c>
    </row>
    <row r="980" spans="1:6" x14ac:dyDescent="0.25">
      <c r="A980" t="s">
        <v>1591</v>
      </c>
      <c r="B980" t="s">
        <v>1687</v>
      </c>
      <c r="C980">
        <v>32212</v>
      </c>
      <c r="D980">
        <v>0</v>
      </c>
      <c r="E980">
        <v>0</v>
      </c>
      <c r="F980">
        <v>0</v>
      </c>
    </row>
    <row r="981" spans="1:6" x14ac:dyDescent="0.25">
      <c r="A981" t="s">
        <v>1593</v>
      </c>
      <c r="B981" t="s">
        <v>1688</v>
      </c>
      <c r="C981">
        <v>32213</v>
      </c>
      <c r="D981">
        <v>0</v>
      </c>
      <c r="E981">
        <v>0</v>
      </c>
      <c r="F981">
        <v>0</v>
      </c>
    </row>
    <row r="982" spans="1:6" x14ac:dyDescent="0.25">
      <c r="A982" t="s">
        <v>1595</v>
      </c>
      <c r="B982" t="s">
        <v>1690</v>
      </c>
      <c r="C982">
        <v>32214</v>
      </c>
      <c r="D982">
        <v>0</v>
      </c>
      <c r="E982">
        <v>0</v>
      </c>
      <c r="F982">
        <v>0</v>
      </c>
    </row>
    <row r="983" spans="1:6" x14ac:dyDescent="0.25">
      <c r="A983" t="s">
        <v>1597</v>
      </c>
      <c r="B983" t="s">
        <v>1637</v>
      </c>
      <c r="C983">
        <v>32215</v>
      </c>
      <c r="D983">
        <v>0</v>
      </c>
      <c r="E983">
        <v>0</v>
      </c>
      <c r="F983">
        <v>0</v>
      </c>
    </row>
    <row r="984" spans="1:6" x14ac:dyDescent="0.25">
      <c r="A984" t="s">
        <v>1599</v>
      </c>
      <c r="B984" t="s">
        <v>1640</v>
      </c>
      <c r="C984">
        <v>32216</v>
      </c>
      <c r="D984">
        <v>0</v>
      </c>
      <c r="E984">
        <v>0</v>
      </c>
      <c r="F984">
        <v>0</v>
      </c>
    </row>
    <row r="985" spans="1:6" x14ac:dyDescent="0.25">
      <c r="A985" t="s">
        <v>1601</v>
      </c>
      <c r="B985" t="s">
        <v>1636</v>
      </c>
      <c r="C985">
        <v>32217</v>
      </c>
      <c r="D985">
        <v>0</v>
      </c>
      <c r="E985">
        <v>0</v>
      </c>
      <c r="F985">
        <v>0</v>
      </c>
    </row>
    <row r="986" spans="1:6" x14ac:dyDescent="0.25">
      <c r="A986" t="s">
        <v>1603</v>
      </c>
      <c r="B986" t="s">
        <v>1689</v>
      </c>
      <c r="C986">
        <v>32218</v>
      </c>
      <c r="D986">
        <v>0</v>
      </c>
      <c r="E986">
        <v>0</v>
      </c>
      <c r="F986">
        <v>0</v>
      </c>
    </row>
    <row r="987" spans="1:6" x14ac:dyDescent="0.25">
      <c r="B987" t="s">
        <v>1966</v>
      </c>
      <c r="D987">
        <v>0</v>
      </c>
      <c r="E987">
        <v>0</v>
      </c>
      <c r="F987">
        <v>0</v>
      </c>
    </row>
    <row r="988" spans="1:6" x14ac:dyDescent="0.25">
      <c r="B988" t="s">
        <v>1783</v>
      </c>
    </row>
    <row r="989" spans="1:6" x14ac:dyDescent="0.25">
      <c r="A989" t="s">
        <v>2</v>
      </c>
      <c r="B989" t="s">
        <v>1699</v>
      </c>
      <c r="C989">
        <v>32301</v>
      </c>
      <c r="D989">
        <v>0</v>
      </c>
      <c r="E989">
        <v>0</v>
      </c>
      <c r="F989">
        <v>0</v>
      </c>
    </row>
    <row r="990" spans="1:6" x14ac:dyDescent="0.25">
      <c r="A990" t="s">
        <v>15</v>
      </c>
      <c r="B990" t="s">
        <v>1694</v>
      </c>
      <c r="C990">
        <v>32302</v>
      </c>
      <c r="D990">
        <v>0</v>
      </c>
      <c r="E990">
        <v>0</v>
      </c>
      <c r="F990">
        <v>0</v>
      </c>
    </row>
    <row r="991" spans="1:6" x14ac:dyDescent="0.25">
      <c r="A991" t="s">
        <v>16</v>
      </c>
      <c r="B991" t="s">
        <v>1695</v>
      </c>
      <c r="C991">
        <v>32303</v>
      </c>
      <c r="D991">
        <v>0</v>
      </c>
      <c r="E991">
        <v>0</v>
      </c>
      <c r="F991">
        <v>0</v>
      </c>
    </row>
    <row r="992" spans="1:6" x14ac:dyDescent="0.25">
      <c r="A992" t="s">
        <v>25</v>
      </c>
      <c r="B992" t="s">
        <v>1696</v>
      </c>
      <c r="C992">
        <v>32304</v>
      </c>
      <c r="D992">
        <v>0</v>
      </c>
      <c r="E992">
        <v>0</v>
      </c>
      <c r="F992">
        <v>0</v>
      </c>
    </row>
    <row r="993" spans="1:6" x14ac:dyDescent="0.25">
      <c r="A993" t="s">
        <v>26</v>
      </c>
      <c r="B993" t="s">
        <v>1680</v>
      </c>
      <c r="C993">
        <v>32305</v>
      </c>
      <c r="D993">
        <v>0</v>
      </c>
      <c r="E993">
        <v>0</v>
      </c>
      <c r="F993">
        <v>0</v>
      </c>
    </row>
    <row r="994" spans="1:6" x14ac:dyDescent="0.25">
      <c r="A994" t="s">
        <v>27</v>
      </c>
      <c r="B994" t="s">
        <v>1681</v>
      </c>
      <c r="C994">
        <v>32306</v>
      </c>
      <c r="D994">
        <v>0</v>
      </c>
      <c r="E994">
        <v>0</v>
      </c>
      <c r="F994">
        <v>0</v>
      </c>
    </row>
    <row r="995" spans="1:6" x14ac:dyDescent="0.25">
      <c r="A995" t="s">
        <v>531</v>
      </c>
      <c r="B995" t="s">
        <v>1682</v>
      </c>
      <c r="C995">
        <v>32307</v>
      </c>
      <c r="D995">
        <v>0</v>
      </c>
      <c r="E995">
        <v>0</v>
      </c>
      <c r="F995">
        <v>0</v>
      </c>
    </row>
    <row r="996" spans="1:6" x14ac:dyDescent="0.25">
      <c r="A996" t="s">
        <v>1583</v>
      </c>
      <c r="B996" t="s">
        <v>1683</v>
      </c>
      <c r="C996">
        <v>32308</v>
      </c>
      <c r="D996">
        <v>0</v>
      </c>
      <c r="E996">
        <v>0</v>
      </c>
      <c r="F996">
        <v>0</v>
      </c>
    </row>
    <row r="997" spans="1:6" x14ac:dyDescent="0.25">
      <c r="A997" t="s">
        <v>1585</v>
      </c>
      <c r="B997" t="s">
        <v>1684</v>
      </c>
      <c r="C997">
        <v>32309</v>
      </c>
      <c r="D997">
        <v>0</v>
      </c>
      <c r="E997">
        <v>0</v>
      </c>
      <c r="F997">
        <v>0</v>
      </c>
    </row>
    <row r="998" spans="1:6" x14ac:dyDescent="0.25">
      <c r="A998" t="s">
        <v>1587</v>
      </c>
      <c r="B998" t="s">
        <v>1685</v>
      </c>
      <c r="C998">
        <v>32310</v>
      </c>
      <c r="D998">
        <v>0</v>
      </c>
      <c r="E998">
        <v>0</v>
      </c>
      <c r="F998">
        <v>0</v>
      </c>
    </row>
    <row r="999" spans="1:6" x14ac:dyDescent="0.25">
      <c r="A999" t="s">
        <v>1589</v>
      </c>
      <c r="B999" t="s">
        <v>1686</v>
      </c>
      <c r="C999">
        <v>32311</v>
      </c>
      <c r="D999">
        <v>0</v>
      </c>
      <c r="E999">
        <v>0</v>
      </c>
      <c r="F999">
        <v>0</v>
      </c>
    </row>
    <row r="1000" spans="1:6" x14ac:dyDescent="0.25">
      <c r="A1000" t="s">
        <v>1591</v>
      </c>
      <c r="B1000" t="s">
        <v>1687</v>
      </c>
      <c r="C1000">
        <v>32312</v>
      </c>
      <c r="D1000">
        <v>0</v>
      </c>
      <c r="E1000">
        <v>0</v>
      </c>
      <c r="F1000">
        <v>0</v>
      </c>
    </row>
    <row r="1001" spans="1:6" x14ac:dyDescent="0.25">
      <c r="A1001" t="s">
        <v>1593</v>
      </c>
      <c r="B1001" t="s">
        <v>1688</v>
      </c>
      <c r="C1001">
        <v>32313</v>
      </c>
      <c r="D1001">
        <v>0</v>
      </c>
      <c r="E1001">
        <v>0</v>
      </c>
      <c r="F1001">
        <v>0</v>
      </c>
    </row>
    <row r="1002" spans="1:6" x14ac:dyDescent="0.25">
      <c r="A1002" t="s">
        <v>1595</v>
      </c>
      <c r="B1002" t="s">
        <v>1690</v>
      </c>
      <c r="C1002">
        <v>32314</v>
      </c>
      <c r="D1002">
        <v>0</v>
      </c>
      <c r="E1002">
        <v>0</v>
      </c>
      <c r="F1002">
        <v>0</v>
      </c>
    </row>
    <row r="1003" spans="1:6" x14ac:dyDescent="0.25">
      <c r="A1003" t="s">
        <v>1597</v>
      </c>
      <c r="B1003" t="s">
        <v>1637</v>
      </c>
      <c r="C1003">
        <v>32315</v>
      </c>
      <c r="D1003">
        <v>3870</v>
      </c>
      <c r="E1003">
        <v>0</v>
      </c>
      <c r="F1003">
        <v>3870</v>
      </c>
    </row>
    <row r="1004" spans="1:6" x14ac:dyDescent="0.25">
      <c r="A1004" t="s">
        <v>1599</v>
      </c>
      <c r="B1004" t="s">
        <v>1640</v>
      </c>
      <c r="C1004">
        <v>32316</v>
      </c>
      <c r="D1004">
        <v>0</v>
      </c>
      <c r="E1004">
        <v>0</v>
      </c>
      <c r="F1004">
        <v>0</v>
      </c>
    </row>
    <row r="1005" spans="1:6" x14ac:dyDescent="0.25">
      <c r="A1005" t="s">
        <v>1601</v>
      </c>
      <c r="B1005" t="s">
        <v>1636</v>
      </c>
      <c r="C1005">
        <v>32317</v>
      </c>
      <c r="D1005">
        <v>0</v>
      </c>
      <c r="E1005">
        <v>0</v>
      </c>
      <c r="F1005">
        <v>0</v>
      </c>
    </row>
    <row r="1006" spans="1:6" x14ac:dyDescent="0.25">
      <c r="A1006" t="s">
        <v>1603</v>
      </c>
      <c r="B1006" t="s">
        <v>1689</v>
      </c>
      <c r="C1006">
        <v>32318</v>
      </c>
      <c r="D1006">
        <v>0</v>
      </c>
      <c r="E1006">
        <v>0</v>
      </c>
      <c r="F1006">
        <v>0</v>
      </c>
    </row>
    <row r="1007" spans="1:6" x14ac:dyDescent="0.25">
      <c r="B1007" t="s">
        <v>1967</v>
      </c>
      <c r="D1007">
        <v>3870</v>
      </c>
      <c r="E1007">
        <v>0</v>
      </c>
      <c r="F1007">
        <v>3870</v>
      </c>
    </row>
    <row r="1008" spans="1:6" x14ac:dyDescent="0.25">
      <c r="B1008" t="s">
        <v>1785</v>
      </c>
    </row>
    <row r="1009" spans="1:6" x14ac:dyDescent="0.25">
      <c r="A1009" t="s">
        <v>2</v>
      </c>
      <c r="B1009" t="s">
        <v>1702</v>
      </c>
      <c r="C1009">
        <v>32401</v>
      </c>
      <c r="D1009">
        <v>0</v>
      </c>
      <c r="E1009">
        <v>0</v>
      </c>
      <c r="F1009">
        <v>0</v>
      </c>
    </row>
    <row r="1010" spans="1:6" x14ac:dyDescent="0.25">
      <c r="A1010" t="s">
        <v>15</v>
      </c>
      <c r="B1010" t="s">
        <v>1703</v>
      </c>
      <c r="C1010">
        <v>32402</v>
      </c>
      <c r="D1010">
        <v>0</v>
      </c>
      <c r="E1010">
        <v>0</v>
      </c>
      <c r="F1010">
        <v>0</v>
      </c>
    </row>
    <row r="1011" spans="1:6" x14ac:dyDescent="0.25">
      <c r="B1011" t="s">
        <v>1968</v>
      </c>
      <c r="D1011">
        <v>0</v>
      </c>
      <c r="E1011">
        <v>0</v>
      </c>
      <c r="F1011">
        <v>0</v>
      </c>
    </row>
    <row r="1012" spans="1:6" x14ac:dyDescent="0.25">
      <c r="B1012" t="s">
        <v>1787</v>
      </c>
    </row>
    <row r="1013" spans="1:6" x14ac:dyDescent="0.25">
      <c r="A1013" t="s">
        <v>2</v>
      </c>
      <c r="B1013" t="s">
        <v>1702</v>
      </c>
      <c r="C1013">
        <v>32501</v>
      </c>
      <c r="D1013">
        <v>0</v>
      </c>
      <c r="E1013">
        <v>0</v>
      </c>
      <c r="F1013">
        <v>0</v>
      </c>
    </row>
    <row r="1014" spans="1:6" x14ac:dyDescent="0.25">
      <c r="A1014" t="s">
        <v>15</v>
      </c>
      <c r="B1014" t="s">
        <v>1703</v>
      </c>
      <c r="C1014">
        <v>32502</v>
      </c>
      <c r="D1014">
        <v>0</v>
      </c>
      <c r="E1014">
        <v>0</v>
      </c>
      <c r="F1014">
        <v>0</v>
      </c>
    </row>
    <row r="1015" spans="1:6" x14ac:dyDescent="0.25">
      <c r="B1015" t="s">
        <v>1969</v>
      </c>
      <c r="D1015">
        <v>0</v>
      </c>
      <c r="E1015">
        <v>0</v>
      </c>
      <c r="F1015">
        <v>0</v>
      </c>
    </row>
    <row r="1016" spans="1:6" x14ac:dyDescent="0.25">
      <c r="B1016" t="s">
        <v>1789</v>
      </c>
    </row>
    <row r="1017" spans="1:6" x14ac:dyDescent="0.25">
      <c r="A1017" t="s">
        <v>2</v>
      </c>
      <c r="B1017" t="s">
        <v>1710</v>
      </c>
      <c r="C1017">
        <v>32601</v>
      </c>
      <c r="D1017">
        <v>0</v>
      </c>
      <c r="E1017">
        <v>0</v>
      </c>
      <c r="F1017">
        <v>0</v>
      </c>
    </row>
    <row r="1018" spans="1:6" x14ac:dyDescent="0.25">
      <c r="A1018" t="s">
        <v>15</v>
      </c>
      <c r="B1018" t="s">
        <v>1711</v>
      </c>
      <c r="C1018">
        <v>32602</v>
      </c>
      <c r="D1018">
        <v>0</v>
      </c>
      <c r="E1018">
        <v>0</v>
      </c>
      <c r="F1018">
        <v>0</v>
      </c>
    </row>
    <row r="1019" spans="1:6" x14ac:dyDescent="0.25">
      <c r="A1019" t="s">
        <v>16</v>
      </c>
      <c r="B1019" t="s">
        <v>1712</v>
      </c>
      <c r="C1019">
        <v>32603</v>
      </c>
      <c r="D1019">
        <v>0</v>
      </c>
      <c r="E1019">
        <v>0</v>
      </c>
      <c r="F1019">
        <v>0</v>
      </c>
    </row>
    <row r="1020" spans="1:6" x14ac:dyDescent="0.25">
      <c r="A1020" t="s">
        <v>25</v>
      </c>
      <c r="B1020" t="s">
        <v>1713</v>
      </c>
      <c r="C1020">
        <v>32604</v>
      </c>
      <c r="D1020">
        <v>0</v>
      </c>
      <c r="E1020">
        <v>0</v>
      </c>
      <c r="F1020">
        <v>0</v>
      </c>
    </row>
    <row r="1021" spans="1:6" x14ac:dyDescent="0.25">
      <c r="A1021" t="s">
        <v>26</v>
      </c>
      <c r="B1021" t="s">
        <v>1714</v>
      </c>
      <c r="C1021">
        <v>32605</v>
      </c>
      <c r="D1021">
        <v>0</v>
      </c>
      <c r="E1021">
        <v>0</v>
      </c>
      <c r="F1021">
        <v>0</v>
      </c>
    </row>
    <row r="1022" spans="1:6" x14ac:dyDescent="0.25">
      <c r="B1022" t="s">
        <v>1970</v>
      </c>
      <c r="D1022">
        <v>0</v>
      </c>
      <c r="E1022">
        <v>0</v>
      </c>
      <c r="F1022">
        <v>0</v>
      </c>
    </row>
    <row r="1023" spans="1:6" x14ac:dyDescent="0.25">
      <c r="B1023" t="s">
        <v>1660</v>
      </c>
      <c r="D1023">
        <v>3870</v>
      </c>
      <c r="E1023">
        <v>0</v>
      </c>
      <c r="F1023">
        <v>3870</v>
      </c>
    </row>
    <row r="1024" spans="1:6" x14ac:dyDescent="0.25">
      <c r="B1024" t="s">
        <v>1971</v>
      </c>
    </row>
    <row r="1025" spans="1:6" x14ac:dyDescent="0.25">
      <c r="B1025" t="s">
        <v>1575</v>
      </c>
    </row>
    <row r="1026" spans="1:6" x14ac:dyDescent="0.25">
      <c r="A1026" t="s">
        <v>2</v>
      </c>
      <c r="B1026" t="s">
        <v>1576</v>
      </c>
      <c r="C1026">
        <v>33101</v>
      </c>
      <c r="D1026">
        <v>0</v>
      </c>
      <c r="E1026">
        <v>0</v>
      </c>
      <c r="F1026">
        <v>0</v>
      </c>
    </row>
    <row r="1027" spans="1:6" x14ac:dyDescent="0.25">
      <c r="A1027" t="s">
        <v>15</v>
      </c>
      <c r="B1027" t="s">
        <v>1577</v>
      </c>
      <c r="C1027">
        <v>33102</v>
      </c>
      <c r="D1027">
        <v>0</v>
      </c>
      <c r="E1027">
        <v>0</v>
      </c>
      <c r="F1027">
        <v>0</v>
      </c>
    </row>
    <row r="1028" spans="1:6" x14ac:dyDescent="0.25">
      <c r="A1028" t="s">
        <v>16</v>
      </c>
      <c r="B1028" t="s">
        <v>1578</v>
      </c>
      <c r="C1028">
        <v>33103</v>
      </c>
      <c r="D1028">
        <v>0</v>
      </c>
      <c r="E1028">
        <v>0</v>
      </c>
      <c r="F1028">
        <v>0</v>
      </c>
    </row>
    <row r="1029" spans="1:6" x14ac:dyDescent="0.25">
      <c r="A1029" t="s">
        <v>25</v>
      </c>
      <c r="B1029" t="s">
        <v>1579</v>
      </c>
      <c r="C1029">
        <v>33104</v>
      </c>
      <c r="D1029">
        <v>0</v>
      </c>
      <c r="E1029">
        <v>0</v>
      </c>
      <c r="F1029">
        <v>0</v>
      </c>
    </row>
    <row r="1030" spans="1:6" x14ac:dyDescent="0.25">
      <c r="A1030" t="s">
        <v>26</v>
      </c>
      <c r="B1030" t="s">
        <v>1580</v>
      </c>
      <c r="C1030">
        <v>33105</v>
      </c>
      <c r="D1030">
        <v>0</v>
      </c>
      <c r="E1030">
        <v>0</v>
      </c>
      <c r="F1030">
        <v>0</v>
      </c>
    </row>
    <row r="1031" spans="1:6" x14ac:dyDescent="0.25">
      <c r="A1031" t="s">
        <v>27</v>
      </c>
      <c r="B1031" t="s">
        <v>1581</v>
      </c>
      <c r="C1031">
        <v>33106</v>
      </c>
      <c r="D1031">
        <v>0</v>
      </c>
      <c r="E1031">
        <v>0</v>
      </c>
      <c r="F1031">
        <v>0</v>
      </c>
    </row>
    <row r="1032" spans="1:6" x14ac:dyDescent="0.25">
      <c r="A1032" t="s">
        <v>531</v>
      </c>
      <c r="B1032" t="s">
        <v>1582</v>
      </c>
      <c r="C1032">
        <v>33107</v>
      </c>
      <c r="D1032">
        <v>0</v>
      </c>
      <c r="E1032">
        <v>0</v>
      </c>
      <c r="F1032">
        <v>0</v>
      </c>
    </row>
    <row r="1033" spans="1:6" x14ac:dyDescent="0.25">
      <c r="A1033" t="s">
        <v>1583</v>
      </c>
      <c r="B1033" t="s">
        <v>1584</v>
      </c>
      <c r="C1033">
        <v>33108</v>
      </c>
      <c r="D1033">
        <v>0</v>
      </c>
      <c r="E1033">
        <v>0</v>
      </c>
      <c r="F1033">
        <v>0</v>
      </c>
    </row>
    <row r="1034" spans="1:6" x14ac:dyDescent="0.25">
      <c r="A1034" t="s">
        <v>1585</v>
      </c>
      <c r="B1034" t="s">
        <v>1586</v>
      </c>
      <c r="C1034">
        <v>33109</v>
      </c>
      <c r="D1034">
        <v>0</v>
      </c>
      <c r="E1034">
        <v>0</v>
      </c>
      <c r="F1034">
        <v>0</v>
      </c>
    </row>
    <row r="1035" spans="1:6" x14ac:dyDescent="0.25">
      <c r="A1035" t="s">
        <v>1587</v>
      </c>
      <c r="B1035" t="s">
        <v>1588</v>
      </c>
      <c r="C1035">
        <v>33110</v>
      </c>
      <c r="D1035">
        <v>0</v>
      </c>
      <c r="E1035">
        <v>0</v>
      </c>
      <c r="F1035">
        <v>0</v>
      </c>
    </row>
    <row r="1036" spans="1:6" x14ac:dyDescent="0.25">
      <c r="A1036" t="s">
        <v>1589</v>
      </c>
      <c r="B1036" t="s">
        <v>1590</v>
      </c>
      <c r="C1036">
        <v>33111</v>
      </c>
      <c r="D1036">
        <v>0</v>
      </c>
      <c r="E1036">
        <v>0</v>
      </c>
      <c r="F1036">
        <v>0</v>
      </c>
    </row>
    <row r="1037" spans="1:6" x14ac:dyDescent="0.25">
      <c r="A1037" t="s">
        <v>1591</v>
      </c>
      <c r="B1037" t="s">
        <v>1592</v>
      </c>
      <c r="C1037">
        <v>33112</v>
      </c>
      <c r="D1037">
        <v>0</v>
      </c>
      <c r="E1037">
        <v>0</v>
      </c>
      <c r="F1037">
        <v>0</v>
      </c>
    </row>
    <row r="1038" spans="1:6" x14ac:dyDescent="0.25">
      <c r="A1038" t="s">
        <v>1593</v>
      </c>
      <c r="B1038" t="s">
        <v>1594</v>
      </c>
      <c r="C1038">
        <v>33113</v>
      </c>
      <c r="D1038">
        <v>0</v>
      </c>
      <c r="E1038">
        <v>0</v>
      </c>
      <c r="F1038">
        <v>0</v>
      </c>
    </row>
    <row r="1039" spans="1:6" x14ac:dyDescent="0.25">
      <c r="A1039" t="s">
        <v>1595</v>
      </c>
      <c r="B1039" t="s">
        <v>1596</v>
      </c>
      <c r="C1039">
        <v>33114</v>
      </c>
      <c r="D1039">
        <v>0</v>
      </c>
      <c r="E1039">
        <v>0</v>
      </c>
      <c r="F1039">
        <v>0</v>
      </c>
    </row>
    <row r="1040" spans="1:6" x14ac:dyDescent="0.25">
      <c r="A1040" t="s">
        <v>1597</v>
      </c>
      <c r="B1040" t="s">
        <v>1598</v>
      </c>
      <c r="C1040">
        <v>33115</v>
      </c>
      <c r="D1040">
        <v>2</v>
      </c>
      <c r="E1040">
        <v>0</v>
      </c>
      <c r="F1040">
        <v>2</v>
      </c>
    </row>
    <row r="1041" spans="1:6" x14ac:dyDescent="0.25">
      <c r="A1041" t="s">
        <v>1599</v>
      </c>
      <c r="B1041" t="s">
        <v>1600</v>
      </c>
      <c r="C1041">
        <v>33116</v>
      </c>
      <c r="D1041">
        <v>0</v>
      </c>
      <c r="E1041">
        <v>0</v>
      </c>
      <c r="F1041">
        <v>0</v>
      </c>
    </row>
    <row r="1042" spans="1:6" x14ac:dyDescent="0.25">
      <c r="A1042" t="s">
        <v>1601</v>
      </c>
      <c r="B1042" t="s">
        <v>1602</v>
      </c>
      <c r="C1042">
        <v>33117</v>
      </c>
      <c r="D1042">
        <v>0</v>
      </c>
      <c r="E1042">
        <v>0</v>
      </c>
      <c r="F1042">
        <v>0</v>
      </c>
    </row>
    <row r="1043" spans="1:6" x14ac:dyDescent="0.25">
      <c r="A1043" t="s">
        <v>1603</v>
      </c>
      <c r="B1043" t="s">
        <v>1604</v>
      </c>
      <c r="C1043">
        <v>33118</v>
      </c>
      <c r="D1043">
        <v>0</v>
      </c>
      <c r="E1043">
        <v>0</v>
      </c>
      <c r="F1043">
        <v>0</v>
      </c>
    </row>
    <row r="1044" spans="1:6" x14ac:dyDescent="0.25">
      <c r="A1044" t="s">
        <v>1605</v>
      </c>
      <c r="B1044" t="s">
        <v>1606</v>
      </c>
      <c r="C1044">
        <v>33119</v>
      </c>
      <c r="D1044">
        <v>0</v>
      </c>
      <c r="E1044">
        <v>0</v>
      </c>
      <c r="F1044">
        <v>0</v>
      </c>
    </row>
    <row r="1045" spans="1:6" x14ac:dyDescent="0.25">
      <c r="A1045" t="s">
        <v>1607</v>
      </c>
      <c r="B1045" t="s">
        <v>1608</v>
      </c>
      <c r="C1045">
        <v>33120</v>
      </c>
      <c r="D1045">
        <v>0</v>
      </c>
      <c r="E1045">
        <v>0</v>
      </c>
      <c r="F1045">
        <v>0</v>
      </c>
    </row>
    <row r="1046" spans="1:6" x14ac:dyDescent="0.25">
      <c r="B1046" t="s">
        <v>1972</v>
      </c>
      <c r="D1046">
        <v>2</v>
      </c>
      <c r="E1046">
        <v>0</v>
      </c>
      <c r="F1046">
        <v>2</v>
      </c>
    </row>
    <row r="1047" spans="1:6" x14ac:dyDescent="0.25">
      <c r="B1047" t="s">
        <v>1656</v>
      </c>
    </row>
    <row r="1048" spans="1:6" x14ac:dyDescent="0.25">
      <c r="A1048" t="s">
        <v>2</v>
      </c>
      <c r="B1048" t="s">
        <v>1611</v>
      </c>
      <c r="C1048">
        <v>33201</v>
      </c>
      <c r="D1048">
        <v>0</v>
      </c>
      <c r="E1048">
        <v>0</v>
      </c>
      <c r="F1048">
        <v>0</v>
      </c>
    </row>
    <row r="1049" spans="1:6" x14ac:dyDescent="0.25">
      <c r="A1049" t="s">
        <v>15</v>
      </c>
      <c r="B1049" t="s">
        <v>1973</v>
      </c>
      <c r="C1049">
        <v>33202</v>
      </c>
      <c r="D1049">
        <v>0</v>
      </c>
      <c r="E1049">
        <v>0</v>
      </c>
      <c r="F1049">
        <v>0</v>
      </c>
    </row>
    <row r="1050" spans="1:6" x14ac:dyDescent="0.25">
      <c r="A1050" t="s">
        <v>16</v>
      </c>
      <c r="B1050" t="s">
        <v>1613</v>
      </c>
      <c r="C1050">
        <v>33203</v>
      </c>
      <c r="D1050">
        <v>0</v>
      </c>
      <c r="E1050">
        <v>0</v>
      </c>
      <c r="F1050">
        <v>0</v>
      </c>
    </row>
    <row r="1051" spans="1:6" x14ac:dyDescent="0.25">
      <c r="A1051" t="s">
        <v>25</v>
      </c>
      <c r="B1051" t="s">
        <v>1614</v>
      </c>
      <c r="C1051">
        <v>33204</v>
      </c>
      <c r="D1051">
        <v>0</v>
      </c>
      <c r="E1051">
        <v>0</v>
      </c>
      <c r="F1051">
        <v>0</v>
      </c>
    </row>
    <row r="1052" spans="1:6" x14ac:dyDescent="0.25">
      <c r="A1052" t="s">
        <v>26</v>
      </c>
      <c r="B1052" t="s">
        <v>1615</v>
      </c>
      <c r="C1052">
        <v>33205</v>
      </c>
      <c r="D1052">
        <v>0</v>
      </c>
      <c r="E1052">
        <v>0</v>
      </c>
      <c r="F1052">
        <v>0</v>
      </c>
    </row>
    <row r="1053" spans="1:6" x14ac:dyDescent="0.25">
      <c r="A1053" t="s">
        <v>27</v>
      </c>
      <c r="B1053" t="s">
        <v>1616</v>
      </c>
      <c r="C1053">
        <v>33206</v>
      </c>
      <c r="D1053">
        <v>0</v>
      </c>
      <c r="E1053">
        <v>0</v>
      </c>
      <c r="F1053">
        <v>0</v>
      </c>
    </row>
    <row r="1054" spans="1:6" x14ac:dyDescent="0.25">
      <c r="A1054" t="s">
        <v>531</v>
      </c>
      <c r="B1054" t="s">
        <v>1617</v>
      </c>
      <c r="C1054">
        <v>33207</v>
      </c>
      <c r="D1054">
        <v>0</v>
      </c>
      <c r="E1054">
        <v>0</v>
      </c>
      <c r="F1054">
        <v>0</v>
      </c>
    </row>
    <row r="1055" spans="1:6" x14ac:dyDescent="0.25">
      <c r="A1055" t="s">
        <v>1583</v>
      </c>
      <c r="B1055" t="s">
        <v>1618</v>
      </c>
      <c r="C1055">
        <v>33208</v>
      </c>
      <c r="D1055">
        <v>0</v>
      </c>
      <c r="E1055">
        <v>0</v>
      </c>
      <c r="F1055">
        <v>0</v>
      </c>
    </row>
    <row r="1056" spans="1:6" x14ac:dyDescent="0.25">
      <c r="A1056" t="s">
        <v>1585</v>
      </c>
      <c r="B1056" t="s">
        <v>1619</v>
      </c>
      <c r="C1056">
        <v>33209</v>
      </c>
      <c r="D1056">
        <v>0</v>
      </c>
      <c r="E1056">
        <v>0</v>
      </c>
      <c r="F1056">
        <v>0</v>
      </c>
    </row>
    <row r="1057" spans="1:6" x14ac:dyDescent="0.25">
      <c r="A1057" t="s">
        <v>1587</v>
      </c>
      <c r="B1057" t="s">
        <v>1620</v>
      </c>
      <c r="C1057">
        <v>33210</v>
      </c>
      <c r="D1057">
        <v>0</v>
      </c>
      <c r="E1057">
        <v>0</v>
      </c>
      <c r="F1057">
        <v>0</v>
      </c>
    </row>
    <row r="1058" spans="1:6" x14ac:dyDescent="0.25">
      <c r="A1058" t="s">
        <v>1589</v>
      </c>
      <c r="B1058" t="s">
        <v>1621</v>
      </c>
      <c r="C1058">
        <v>33211</v>
      </c>
      <c r="D1058">
        <v>0</v>
      </c>
      <c r="E1058">
        <v>0</v>
      </c>
      <c r="F1058">
        <v>0</v>
      </c>
    </row>
    <row r="1059" spans="1:6" x14ac:dyDescent="0.25">
      <c r="A1059" t="s">
        <v>1591</v>
      </c>
      <c r="B1059" t="s">
        <v>1622</v>
      </c>
      <c r="C1059">
        <v>33212</v>
      </c>
      <c r="D1059">
        <v>0</v>
      </c>
      <c r="E1059">
        <v>0</v>
      </c>
      <c r="F1059">
        <v>0</v>
      </c>
    </row>
    <row r="1060" spans="1:6" x14ac:dyDescent="0.25">
      <c r="A1060" t="s">
        <v>1593</v>
      </c>
      <c r="B1060" t="s">
        <v>1623</v>
      </c>
      <c r="C1060">
        <v>33213</v>
      </c>
      <c r="D1060">
        <v>0</v>
      </c>
      <c r="E1060">
        <v>0</v>
      </c>
      <c r="F1060">
        <v>0</v>
      </c>
    </row>
    <row r="1061" spans="1:6" x14ac:dyDescent="0.25">
      <c r="A1061" t="s">
        <v>1595</v>
      </c>
      <c r="B1061" t="s">
        <v>1624</v>
      </c>
      <c r="C1061">
        <v>33214</v>
      </c>
      <c r="D1061">
        <v>0</v>
      </c>
      <c r="E1061">
        <v>0</v>
      </c>
      <c r="F1061">
        <v>0</v>
      </c>
    </row>
    <row r="1062" spans="1:6" x14ac:dyDescent="0.25">
      <c r="A1062" t="s">
        <v>1597</v>
      </c>
      <c r="B1062" t="s">
        <v>1625</v>
      </c>
      <c r="C1062">
        <v>33215</v>
      </c>
      <c r="D1062">
        <v>14557</v>
      </c>
      <c r="E1062">
        <v>0</v>
      </c>
      <c r="F1062">
        <v>14557</v>
      </c>
    </row>
    <row r="1063" spans="1:6" x14ac:dyDescent="0.25">
      <c r="A1063" t="s">
        <v>1599</v>
      </c>
      <c r="B1063" t="s">
        <v>1626</v>
      </c>
      <c r="C1063">
        <v>33216</v>
      </c>
      <c r="D1063">
        <v>0</v>
      </c>
      <c r="E1063">
        <v>0</v>
      </c>
      <c r="F1063">
        <v>0</v>
      </c>
    </row>
    <row r="1064" spans="1:6" x14ac:dyDescent="0.25">
      <c r="A1064" t="s">
        <v>1601</v>
      </c>
      <c r="B1064" t="s">
        <v>1627</v>
      </c>
      <c r="C1064">
        <v>33217</v>
      </c>
      <c r="D1064">
        <v>0</v>
      </c>
      <c r="E1064">
        <v>0</v>
      </c>
      <c r="F1064">
        <v>0</v>
      </c>
    </row>
    <row r="1065" spans="1:6" x14ac:dyDescent="0.25">
      <c r="A1065" t="s">
        <v>1603</v>
      </c>
      <c r="B1065" t="s">
        <v>1596</v>
      </c>
      <c r="C1065">
        <v>33218</v>
      </c>
      <c r="D1065">
        <v>0</v>
      </c>
      <c r="E1065">
        <v>0</v>
      </c>
      <c r="F1065">
        <v>0</v>
      </c>
    </row>
    <row r="1066" spans="1:6" x14ac:dyDescent="0.25">
      <c r="A1066" t="s">
        <v>1605</v>
      </c>
      <c r="B1066" t="s">
        <v>1598</v>
      </c>
      <c r="C1066">
        <v>33219</v>
      </c>
      <c r="D1066">
        <v>0</v>
      </c>
      <c r="E1066">
        <v>0</v>
      </c>
      <c r="F1066">
        <v>0</v>
      </c>
    </row>
    <row r="1067" spans="1:6" x14ac:dyDescent="0.25">
      <c r="A1067" t="s">
        <v>1607</v>
      </c>
      <c r="B1067" t="s">
        <v>1602</v>
      </c>
      <c r="C1067">
        <v>33220</v>
      </c>
      <c r="D1067">
        <v>0</v>
      </c>
      <c r="E1067">
        <v>0</v>
      </c>
      <c r="F1067">
        <v>0</v>
      </c>
    </row>
    <row r="1068" spans="1:6" x14ac:dyDescent="0.25">
      <c r="B1068" t="s">
        <v>1974</v>
      </c>
      <c r="D1068">
        <v>14557</v>
      </c>
      <c r="E1068">
        <v>0</v>
      </c>
      <c r="F1068">
        <v>14557</v>
      </c>
    </row>
    <row r="1069" spans="1:6" x14ac:dyDescent="0.25">
      <c r="B1069" t="s">
        <v>1629</v>
      </c>
    </row>
    <row r="1070" spans="1:6" x14ac:dyDescent="0.25">
      <c r="A1070" t="s">
        <v>2</v>
      </c>
      <c r="B1070" t="s">
        <v>1627</v>
      </c>
      <c r="C1070">
        <v>33301</v>
      </c>
      <c r="D1070">
        <v>0</v>
      </c>
      <c r="E1070">
        <v>0</v>
      </c>
      <c r="F1070">
        <v>0</v>
      </c>
    </row>
    <row r="1071" spans="1:6" x14ac:dyDescent="0.25">
      <c r="A1071" t="s">
        <v>15</v>
      </c>
      <c r="B1071" t="s">
        <v>1625</v>
      </c>
      <c r="C1071">
        <v>33302</v>
      </c>
      <c r="D1071">
        <v>0</v>
      </c>
      <c r="E1071">
        <v>0</v>
      </c>
      <c r="F1071">
        <v>0</v>
      </c>
    </row>
    <row r="1072" spans="1:6" x14ac:dyDescent="0.25">
      <c r="A1072" t="s">
        <v>16</v>
      </c>
      <c r="B1072" t="s">
        <v>1626</v>
      </c>
      <c r="C1072">
        <v>33303</v>
      </c>
      <c r="D1072">
        <v>0</v>
      </c>
      <c r="E1072">
        <v>0</v>
      </c>
      <c r="F1072">
        <v>0</v>
      </c>
    </row>
    <row r="1073" spans="1:6" x14ac:dyDescent="0.25">
      <c r="B1073" t="s">
        <v>1975</v>
      </c>
      <c r="D1073">
        <v>0</v>
      </c>
      <c r="E1073">
        <v>0</v>
      </c>
      <c r="F1073">
        <v>0</v>
      </c>
    </row>
    <row r="1074" spans="1:6" x14ac:dyDescent="0.25">
      <c r="B1074" t="s">
        <v>1631</v>
      </c>
    </row>
    <row r="1075" spans="1:6" x14ac:dyDescent="0.25">
      <c r="A1075" t="s">
        <v>2</v>
      </c>
      <c r="B1075" t="s">
        <v>1627</v>
      </c>
      <c r="C1075">
        <v>33401</v>
      </c>
      <c r="D1075">
        <v>0</v>
      </c>
      <c r="E1075">
        <v>0</v>
      </c>
      <c r="F1075">
        <v>0</v>
      </c>
    </row>
    <row r="1076" spans="1:6" x14ac:dyDescent="0.25">
      <c r="A1076" t="s">
        <v>15</v>
      </c>
      <c r="B1076" t="s">
        <v>1625</v>
      </c>
      <c r="C1076">
        <v>33402</v>
      </c>
      <c r="D1076">
        <v>0</v>
      </c>
      <c r="E1076">
        <v>0</v>
      </c>
      <c r="F1076">
        <v>0</v>
      </c>
    </row>
    <row r="1077" spans="1:6" x14ac:dyDescent="0.25">
      <c r="A1077" t="s">
        <v>16</v>
      </c>
      <c r="B1077" t="s">
        <v>1626</v>
      </c>
      <c r="C1077">
        <v>33403</v>
      </c>
      <c r="D1077">
        <v>0</v>
      </c>
      <c r="E1077">
        <v>0</v>
      </c>
      <c r="F1077">
        <v>0</v>
      </c>
    </row>
    <row r="1078" spans="1:6" x14ac:dyDescent="0.25">
      <c r="B1078" t="s">
        <v>1976</v>
      </c>
      <c r="D1078">
        <v>0</v>
      </c>
      <c r="E1078">
        <v>0</v>
      </c>
      <c r="F1078">
        <v>0</v>
      </c>
    </row>
    <row r="1079" spans="1:6" x14ac:dyDescent="0.25">
      <c r="B1079" t="s">
        <v>1633</v>
      </c>
    </row>
    <row r="1080" spans="1:6" x14ac:dyDescent="0.25">
      <c r="A1080" t="s">
        <v>2</v>
      </c>
      <c r="B1080" t="s">
        <v>1634</v>
      </c>
      <c r="C1080">
        <v>33501</v>
      </c>
      <c r="D1080">
        <v>0</v>
      </c>
      <c r="E1080">
        <v>0</v>
      </c>
      <c r="F1080">
        <v>0</v>
      </c>
    </row>
    <row r="1081" spans="1:6" x14ac:dyDescent="0.25">
      <c r="A1081" t="s">
        <v>15</v>
      </c>
      <c r="B1081" t="s">
        <v>1635</v>
      </c>
      <c r="C1081">
        <v>33502</v>
      </c>
      <c r="D1081">
        <v>0</v>
      </c>
      <c r="E1081">
        <v>0</v>
      </c>
      <c r="F1081">
        <v>0</v>
      </c>
    </row>
    <row r="1082" spans="1:6" x14ac:dyDescent="0.25">
      <c r="A1082" t="s">
        <v>16</v>
      </c>
      <c r="B1082" t="s">
        <v>1636</v>
      </c>
      <c r="C1082">
        <v>33503</v>
      </c>
      <c r="D1082">
        <v>0</v>
      </c>
      <c r="E1082">
        <v>0</v>
      </c>
      <c r="F1082">
        <v>0</v>
      </c>
    </row>
    <row r="1083" spans="1:6" x14ac:dyDescent="0.25">
      <c r="A1083" t="s">
        <v>25</v>
      </c>
      <c r="B1083" t="s">
        <v>1637</v>
      </c>
      <c r="C1083">
        <v>33504</v>
      </c>
      <c r="D1083">
        <v>0</v>
      </c>
      <c r="E1083">
        <v>0</v>
      </c>
      <c r="F1083">
        <v>0</v>
      </c>
    </row>
    <row r="1084" spans="1:6" x14ac:dyDescent="0.25">
      <c r="A1084" t="s">
        <v>26</v>
      </c>
      <c r="B1084" t="s">
        <v>1638</v>
      </c>
      <c r="C1084">
        <v>33505</v>
      </c>
      <c r="D1084">
        <v>0</v>
      </c>
      <c r="E1084">
        <v>0</v>
      </c>
      <c r="F1084">
        <v>0</v>
      </c>
    </row>
    <row r="1085" spans="1:6" x14ac:dyDescent="0.25">
      <c r="A1085" t="s">
        <v>27</v>
      </c>
      <c r="B1085" t="s">
        <v>1639</v>
      </c>
      <c r="C1085">
        <v>33506</v>
      </c>
      <c r="D1085">
        <v>0</v>
      </c>
      <c r="E1085">
        <v>0</v>
      </c>
      <c r="F1085">
        <v>0</v>
      </c>
    </row>
    <row r="1086" spans="1:6" x14ac:dyDescent="0.25">
      <c r="A1086" t="s">
        <v>531</v>
      </c>
      <c r="B1086" t="s">
        <v>1640</v>
      </c>
      <c r="C1086">
        <v>33507</v>
      </c>
      <c r="D1086">
        <v>0</v>
      </c>
      <c r="E1086">
        <v>0</v>
      </c>
      <c r="F1086">
        <v>0</v>
      </c>
    </row>
    <row r="1087" spans="1:6" x14ac:dyDescent="0.25">
      <c r="A1087" t="s">
        <v>1583</v>
      </c>
      <c r="B1087" t="s">
        <v>1641</v>
      </c>
      <c r="C1087">
        <v>33508</v>
      </c>
      <c r="D1087">
        <v>0</v>
      </c>
      <c r="E1087">
        <v>0</v>
      </c>
      <c r="F1087">
        <v>0</v>
      </c>
    </row>
    <row r="1088" spans="1:6" x14ac:dyDescent="0.25">
      <c r="B1088" t="s">
        <v>1977</v>
      </c>
      <c r="D1088">
        <v>0</v>
      </c>
      <c r="E1088">
        <v>0</v>
      </c>
      <c r="F1088">
        <v>0</v>
      </c>
    </row>
    <row r="1089" spans="1:6" x14ac:dyDescent="0.25">
      <c r="B1089" t="s">
        <v>1643</v>
      </c>
    </row>
    <row r="1090" spans="1:6" x14ac:dyDescent="0.25">
      <c r="A1090" t="s">
        <v>2</v>
      </c>
      <c r="B1090" t="s">
        <v>1634</v>
      </c>
      <c r="C1090">
        <v>33601</v>
      </c>
      <c r="D1090">
        <v>0</v>
      </c>
      <c r="E1090">
        <v>0</v>
      </c>
      <c r="F1090">
        <v>0</v>
      </c>
    </row>
    <row r="1091" spans="1:6" x14ac:dyDescent="0.25">
      <c r="A1091" t="s">
        <v>15</v>
      </c>
      <c r="B1091" t="s">
        <v>1635</v>
      </c>
      <c r="C1091">
        <v>33602</v>
      </c>
      <c r="D1091">
        <v>0</v>
      </c>
      <c r="E1091">
        <v>0</v>
      </c>
      <c r="F1091">
        <v>0</v>
      </c>
    </row>
    <row r="1092" spans="1:6" x14ac:dyDescent="0.25">
      <c r="A1092" t="s">
        <v>16</v>
      </c>
      <c r="B1092" t="s">
        <v>1636</v>
      </c>
      <c r="C1092">
        <v>33603</v>
      </c>
      <c r="D1092">
        <v>0</v>
      </c>
      <c r="E1092">
        <v>0</v>
      </c>
      <c r="F1092">
        <v>0</v>
      </c>
    </row>
    <row r="1093" spans="1:6" x14ac:dyDescent="0.25">
      <c r="A1093" t="s">
        <v>25</v>
      </c>
      <c r="B1093" t="s">
        <v>1637</v>
      </c>
      <c r="C1093">
        <v>33604</v>
      </c>
      <c r="D1093">
        <v>0</v>
      </c>
      <c r="E1093">
        <v>0</v>
      </c>
      <c r="F1093">
        <v>0</v>
      </c>
    </row>
    <row r="1094" spans="1:6" x14ac:dyDescent="0.25">
      <c r="A1094" t="s">
        <v>26</v>
      </c>
      <c r="B1094" t="s">
        <v>1638</v>
      </c>
      <c r="C1094">
        <v>33605</v>
      </c>
      <c r="D1094">
        <v>0</v>
      </c>
      <c r="E1094">
        <v>0</v>
      </c>
      <c r="F1094">
        <v>0</v>
      </c>
    </row>
    <row r="1095" spans="1:6" x14ac:dyDescent="0.25">
      <c r="A1095" t="s">
        <v>27</v>
      </c>
      <c r="B1095" t="s">
        <v>1639</v>
      </c>
      <c r="C1095">
        <v>33606</v>
      </c>
      <c r="D1095">
        <v>0</v>
      </c>
      <c r="E1095">
        <v>0</v>
      </c>
      <c r="F1095">
        <v>0</v>
      </c>
    </row>
    <row r="1096" spans="1:6" x14ac:dyDescent="0.25">
      <c r="A1096" t="s">
        <v>531</v>
      </c>
      <c r="B1096" t="s">
        <v>1640</v>
      </c>
      <c r="C1096">
        <v>33607</v>
      </c>
      <c r="D1096">
        <v>0</v>
      </c>
      <c r="E1096">
        <v>0</v>
      </c>
      <c r="F1096">
        <v>0</v>
      </c>
    </row>
    <row r="1097" spans="1:6" x14ac:dyDescent="0.25">
      <c r="A1097" t="s">
        <v>1583</v>
      </c>
      <c r="B1097" t="s">
        <v>1641</v>
      </c>
      <c r="C1097">
        <v>33608</v>
      </c>
      <c r="D1097">
        <v>0</v>
      </c>
      <c r="E1097">
        <v>0</v>
      </c>
      <c r="F1097">
        <v>0</v>
      </c>
    </row>
    <row r="1098" spans="1:6" x14ac:dyDescent="0.25">
      <c r="B1098" t="s">
        <v>1978</v>
      </c>
      <c r="D1098">
        <v>0</v>
      </c>
      <c r="E1098">
        <v>0</v>
      </c>
      <c r="F1098">
        <v>0</v>
      </c>
    </row>
    <row r="1099" spans="1:6" x14ac:dyDescent="0.25">
      <c r="B1099" t="s">
        <v>1645</v>
      </c>
    </row>
    <row r="1100" spans="1:6" x14ac:dyDescent="0.25">
      <c r="A1100" t="s">
        <v>2</v>
      </c>
      <c r="B1100" t="s">
        <v>1634</v>
      </c>
      <c r="C1100">
        <v>33701</v>
      </c>
      <c r="D1100">
        <v>0</v>
      </c>
      <c r="E1100">
        <v>0</v>
      </c>
      <c r="F1100">
        <v>0</v>
      </c>
    </row>
    <row r="1101" spans="1:6" x14ac:dyDescent="0.25">
      <c r="A1101" t="s">
        <v>15</v>
      </c>
      <c r="B1101" t="s">
        <v>1635</v>
      </c>
      <c r="C1101">
        <v>33702</v>
      </c>
      <c r="D1101">
        <v>0</v>
      </c>
      <c r="E1101">
        <v>0</v>
      </c>
      <c r="F1101">
        <v>0</v>
      </c>
    </row>
    <row r="1102" spans="1:6" x14ac:dyDescent="0.25">
      <c r="A1102" t="s">
        <v>16</v>
      </c>
      <c r="B1102" t="s">
        <v>1636</v>
      </c>
      <c r="C1102">
        <v>33703</v>
      </c>
      <c r="D1102">
        <v>0</v>
      </c>
      <c r="E1102">
        <v>0</v>
      </c>
      <c r="F1102">
        <v>0</v>
      </c>
    </row>
    <row r="1103" spans="1:6" x14ac:dyDescent="0.25">
      <c r="A1103" t="s">
        <v>25</v>
      </c>
      <c r="B1103" t="s">
        <v>1637</v>
      </c>
      <c r="C1103">
        <v>33704</v>
      </c>
      <c r="D1103">
        <v>0</v>
      </c>
      <c r="E1103">
        <v>0</v>
      </c>
      <c r="F1103">
        <v>0</v>
      </c>
    </row>
    <row r="1104" spans="1:6" x14ac:dyDescent="0.25">
      <c r="A1104" t="s">
        <v>26</v>
      </c>
      <c r="B1104" t="s">
        <v>1638</v>
      </c>
      <c r="C1104">
        <v>33705</v>
      </c>
      <c r="D1104">
        <v>0</v>
      </c>
      <c r="E1104">
        <v>0</v>
      </c>
      <c r="F1104">
        <v>0</v>
      </c>
    </row>
    <row r="1105" spans="1:6" x14ac:dyDescent="0.25">
      <c r="A1105" t="s">
        <v>27</v>
      </c>
      <c r="B1105" t="s">
        <v>1639</v>
      </c>
      <c r="C1105">
        <v>33706</v>
      </c>
      <c r="D1105">
        <v>0</v>
      </c>
      <c r="E1105">
        <v>0</v>
      </c>
      <c r="F1105">
        <v>0</v>
      </c>
    </row>
    <row r="1106" spans="1:6" x14ac:dyDescent="0.25">
      <c r="A1106" t="s">
        <v>531</v>
      </c>
      <c r="B1106" t="s">
        <v>1640</v>
      </c>
      <c r="C1106">
        <v>33707</v>
      </c>
      <c r="D1106">
        <v>0</v>
      </c>
      <c r="E1106">
        <v>0</v>
      </c>
      <c r="F1106">
        <v>0</v>
      </c>
    </row>
    <row r="1107" spans="1:6" x14ac:dyDescent="0.25">
      <c r="A1107" t="s">
        <v>1583</v>
      </c>
      <c r="B1107" t="s">
        <v>1641</v>
      </c>
      <c r="C1107">
        <v>33708</v>
      </c>
      <c r="D1107">
        <v>0</v>
      </c>
      <c r="E1107">
        <v>0</v>
      </c>
      <c r="F1107">
        <v>0</v>
      </c>
    </row>
    <row r="1108" spans="1:6" x14ac:dyDescent="0.25">
      <c r="B1108" t="s">
        <v>1979</v>
      </c>
      <c r="D1108">
        <v>0</v>
      </c>
      <c r="E1108">
        <v>0</v>
      </c>
      <c r="F1108">
        <v>0</v>
      </c>
    </row>
    <row r="1109" spans="1:6" x14ac:dyDescent="0.25">
      <c r="B1109" t="s">
        <v>1647</v>
      </c>
    </row>
    <row r="1110" spans="1:6" x14ac:dyDescent="0.25">
      <c r="A1110" t="s">
        <v>2</v>
      </c>
      <c r="B1110" t="s">
        <v>1648</v>
      </c>
      <c r="C1110">
        <v>33801</v>
      </c>
      <c r="D1110">
        <v>0</v>
      </c>
      <c r="E1110">
        <v>0</v>
      </c>
      <c r="F1110">
        <v>0</v>
      </c>
    </row>
    <row r="1111" spans="1:6" x14ac:dyDescent="0.25">
      <c r="A1111" t="s">
        <v>15</v>
      </c>
      <c r="B1111" t="s">
        <v>1649</v>
      </c>
      <c r="C1111">
        <v>33802</v>
      </c>
      <c r="D1111">
        <v>0</v>
      </c>
      <c r="E1111">
        <v>0</v>
      </c>
      <c r="F1111">
        <v>0</v>
      </c>
    </row>
    <row r="1112" spans="1:6" x14ac:dyDescent="0.25">
      <c r="A1112" t="s">
        <v>16</v>
      </c>
      <c r="B1112" t="s">
        <v>1637</v>
      </c>
      <c r="C1112">
        <v>33803</v>
      </c>
      <c r="D1112">
        <v>0</v>
      </c>
      <c r="E1112">
        <v>0</v>
      </c>
      <c r="F1112">
        <v>0</v>
      </c>
    </row>
    <row r="1113" spans="1:6" x14ac:dyDescent="0.25">
      <c r="A1113" t="s">
        <v>25</v>
      </c>
      <c r="B1113" t="s">
        <v>1638</v>
      </c>
      <c r="C1113">
        <v>33804</v>
      </c>
      <c r="D1113">
        <v>0</v>
      </c>
      <c r="E1113">
        <v>0</v>
      </c>
      <c r="F1113">
        <v>0</v>
      </c>
    </row>
    <row r="1114" spans="1:6" x14ac:dyDescent="0.25">
      <c r="A1114" t="s">
        <v>26</v>
      </c>
      <c r="B1114" t="s">
        <v>1650</v>
      </c>
      <c r="C1114">
        <v>33805</v>
      </c>
      <c r="D1114">
        <v>0</v>
      </c>
      <c r="E1114">
        <v>0</v>
      </c>
      <c r="F1114">
        <v>0</v>
      </c>
    </row>
    <row r="1115" spans="1:6" x14ac:dyDescent="0.25">
      <c r="A1115" t="s">
        <v>27</v>
      </c>
      <c r="B1115" t="s">
        <v>1651</v>
      </c>
      <c r="C1115">
        <v>33806</v>
      </c>
      <c r="D1115">
        <v>0</v>
      </c>
      <c r="E1115">
        <v>0</v>
      </c>
      <c r="F1115">
        <v>0</v>
      </c>
    </row>
    <row r="1116" spans="1:6" x14ac:dyDescent="0.25">
      <c r="A1116" t="s">
        <v>531</v>
      </c>
      <c r="B1116" t="s">
        <v>1640</v>
      </c>
      <c r="C1116">
        <v>33807</v>
      </c>
      <c r="D1116">
        <v>0</v>
      </c>
      <c r="E1116">
        <v>0</v>
      </c>
      <c r="F1116">
        <v>0</v>
      </c>
    </row>
    <row r="1117" spans="1:6" x14ac:dyDescent="0.25">
      <c r="A1117" t="s">
        <v>1583</v>
      </c>
      <c r="B1117" t="s">
        <v>1641</v>
      </c>
      <c r="C1117">
        <v>33808</v>
      </c>
      <c r="D1117">
        <v>0</v>
      </c>
      <c r="E1117">
        <v>0</v>
      </c>
      <c r="F1117">
        <v>0</v>
      </c>
    </row>
    <row r="1118" spans="1:6" x14ac:dyDescent="0.25">
      <c r="B1118" t="s">
        <v>1980</v>
      </c>
      <c r="D1118">
        <v>0</v>
      </c>
      <c r="E1118">
        <v>0</v>
      </c>
      <c r="F1118">
        <v>0</v>
      </c>
    </row>
    <row r="1119" spans="1:6" x14ac:dyDescent="0.25">
      <c r="B1119" t="s">
        <v>1670</v>
      </c>
      <c r="D1119">
        <v>14559</v>
      </c>
      <c r="E1119">
        <v>0</v>
      </c>
      <c r="F1119">
        <v>14559</v>
      </c>
    </row>
    <row r="1120" spans="1:6" x14ac:dyDescent="0.25">
      <c r="B1120" t="s">
        <v>1981</v>
      </c>
    </row>
    <row r="1121" spans="1:6" x14ac:dyDescent="0.25">
      <c r="B1121" t="s">
        <v>1575</v>
      </c>
    </row>
    <row r="1122" spans="1:6" x14ac:dyDescent="0.25">
      <c r="A1122" t="s">
        <v>2</v>
      </c>
      <c r="B1122" t="s">
        <v>1576</v>
      </c>
      <c r="C1122">
        <v>34101</v>
      </c>
      <c r="D1122">
        <v>0</v>
      </c>
      <c r="E1122">
        <v>0</v>
      </c>
      <c r="F1122">
        <v>0</v>
      </c>
    </row>
    <row r="1123" spans="1:6" x14ac:dyDescent="0.25">
      <c r="A1123" t="s">
        <v>15</v>
      </c>
      <c r="B1123" t="s">
        <v>1577</v>
      </c>
      <c r="C1123">
        <v>34102</v>
      </c>
      <c r="D1123">
        <v>0</v>
      </c>
      <c r="E1123">
        <v>0</v>
      </c>
      <c r="F1123">
        <v>0</v>
      </c>
    </row>
    <row r="1124" spans="1:6" x14ac:dyDescent="0.25">
      <c r="A1124" t="s">
        <v>16</v>
      </c>
      <c r="B1124" t="s">
        <v>1578</v>
      </c>
      <c r="C1124">
        <v>34103</v>
      </c>
      <c r="D1124">
        <v>0</v>
      </c>
      <c r="E1124">
        <v>0</v>
      </c>
      <c r="F1124">
        <v>0</v>
      </c>
    </row>
    <row r="1125" spans="1:6" x14ac:dyDescent="0.25">
      <c r="A1125" t="s">
        <v>25</v>
      </c>
      <c r="B1125" t="s">
        <v>1579</v>
      </c>
      <c r="C1125">
        <v>34104</v>
      </c>
      <c r="D1125">
        <v>0</v>
      </c>
      <c r="E1125">
        <v>0</v>
      </c>
      <c r="F1125">
        <v>0</v>
      </c>
    </row>
    <row r="1126" spans="1:6" x14ac:dyDescent="0.25">
      <c r="A1126" t="s">
        <v>26</v>
      </c>
      <c r="B1126" t="s">
        <v>1580</v>
      </c>
      <c r="C1126">
        <v>34105</v>
      </c>
      <c r="D1126">
        <v>0</v>
      </c>
      <c r="E1126">
        <v>0</v>
      </c>
      <c r="F1126">
        <v>0</v>
      </c>
    </row>
    <row r="1127" spans="1:6" x14ac:dyDescent="0.25">
      <c r="A1127" t="s">
        <v>27</v>
      </c>
      <c r="B1127" t="s">
        <v>1581</v>
      </c>
      <c r="C1127">
        <v>34106</v>
      </c>
      <c r="D1127">
        <v>0</v>
      </c>
      <c r="E1127">
        <v>0</v>
      </c>
      <c r="F1127">
        <v>0</v>
      </c>
    </row>
    <row r="1128" spans="1:6" x14ac:dyDescent="0.25">
      <c r="A1128" t="s">
        <v>531</v>
      </c>
      <c r="B1128" t="s">
        <v>1582</v>
      </c>
      <c r="C1128">
        <v>34107</v>
      </c>
      <c r="D1128">
        <v>0</v>
      </c>
      <c r="E1128">
        <v>0</v>
      </c>
      <c r="F1128">
        <v>0</v>
      </c>
    </row>
    <row r="1129" spans="1:6" x14ac:dyDescent="0.25">
      <c r="A1129" t="s">
        <v>1583</v>
      </c>
      <c r="B1129" t="s">
        <v>1584</v>
      </c>
      <c r="C1129">
        <v>34108</v>
      </c>
      <c r="D1129">
        <v>0</v>
      </c>
      <c r="E1129">
        <v>0</v>
      </c>
      <c r="F1129">
        <v>0</v>
      </c>
    </row>
    <row r="1130" spans="1:6" x14ac:dyDescent="0.25">
      <c r="A1130" t="s">
        <v>1585</v>
      </c>
      <c r="B1130" t="s">
        <v>1586</v>
      </c>
      <c r="C1130">
        <v>34109</v>
      </c>
      <c r="D1130">
        <v>0</v>
      </c>
      <c r="E1130">
        <v>0</v>
      </c>
      <c r="F1130">
        <v>0</v>
      </c>
    </row>
    <row r="1131" spans="1:6" x14ac:dyDescent="0.25">
      <c r="A1131" t="s">
        <v>1587</v>
      </c>
      <c r="B1131" t="s">
        <v>1588</v>
      </c>
      <c r="C1131">
        <v>34110</v>
      </c>
      <c r="D1131">
        <v>0</v>
      </c>
      <c r="E1131">
        <v>0</v>
      </c>
      <c r="F1131">
        <v>0</v>
      </c>
    </row>
    <row r="1132" spans="1:6" x14ac:dyDescent="0.25">
      <c r="A1132" t="s">
        <v>1589</v>
      </c>
      <c r="B1132" t="s">
        <v>1590</v>
      </c>
      <c r="C1132">
        <v>34111</v>
      </c>
      <c r="D1132">
        <v>0</v>
      </c>
      <c r="E1132">
        <v>0</v>
      </c>
      <c r="F1132">
        <v>0</v>
      </c>
    </row>
    <row r="1133" spans="1:6" x14ac:dyDescent="0.25">
      <c r="A1133" t="s">
        <v>1591</v>
      </c>
      <c r="B1133" t="s">
        <v>1592</v>
      </c>
      <c r="C1133">
        <v>34112</v>
      </c>
      <c r="D1133">
        <v>0</v>
      </c>
      <c r="E1133">
        <v>0</v>
      </c>
      <c r="F1133">
        <v>0</v>
      </c>
    </row>
    <row r="1134" spans="1:6" x14ac:dyDescent="0.25">
      <c r="A1134" t="s">
        <v>1593</v>
      </c>
      <c r="B1134" t="s">
        <v>1594</v>
      </c>
      <c r="C1134">
        <v>34113</v>
      </c>
      <c r="D1134">
        <v>0</v>
      </c>
      <c r="E1134">
        <v>0</v>
      </c>
      <c r="F1134">
        <v>0</v>
      </c>
    </row>
    <row r="1135" spans="1:6" x14ac:dyDescent="0.25">
      <c r="A1135" t="s">
        <v>1595</v>
      </c>
      <c r="B1135" t="s">
        <v>1596</v>
      </c>
      <c r="C1135">
        <v>34114</v>
      </c>
      <c r="D1135">
        <v>0</v>
      </c>
      <c r="E1135">
        <v>0</v>
      </c>
      <c r="F1135">
        <v>0</v>
      </c>
    </row>
    <row r="1136" spans="1:6" x14ac:dyDescent="0.25">
      <c r="A1136" t="s">
        <v>1597</v>
      </c>
      <c r="B1136" t="s">
        <v>1598</v>
      </c>
      <c r="C1136">
        <v>34115</v>
      </c>
      <c r="D1136">
        <v>0</v>
      </c>
      <c r="E1136">
        <v>0</v>
      </c>
      <c r="F1136">
        <v>0</v>
      </c>
    </row>
    <row r="1137" spans="1:6" x14ac:dyDescent="0.25">
      <c r="A1137" t="s">
        <v>1599</v>
      </c>
      <c r="B1137" t="s">
        <v>1600</v>
      </c>
      <c r="C1137">
        <v>34116</v>
      </c>
      <c r="D1137">
        <v>0</v>
      </c>
      <c r="E1137">
        <v>0</v>
      </c>
      <c r="F1137">
        <v>0</v>
      </c>
    </row>
    <row r="1138" spans="1:6" x14ac:dyDescent="0.25">
      <c r="A1138" t="s">
        <v>1601</v>
      </c>
      <c r="B1138" t="s">
        <v>1602</v>
      </c>
      <c r="C1138">
        <v>34117</v>
      </c>
      <c r="D1138">
        <v>0</v>
      </c>
      <c r="E1138">
        <v>0</v>
      </c>
      <c r="F1138">
        <v>0</v>
      </c>
    </row>
    <row r="1139" spans="1:6" x14ac:dyDescent="0.25">
      <c r="A1139" t="s">
        <v>1603</v>
      </c>
      <c r="B1139" t="s">
        <v>1604</v>
      </c>
      <c r="C1139">
        <v>34118</v>
      </c>
      <c r="D1139">
        <v>110</v>
      </c>
      <c r="E1139">
        <v>0</v>
      </c>
      <c r="F1139">
        <v>110</v>
      </c>
    </row>
    <row r="1140" spans="1:6" x14ac:dyDescent="0.25">
      <c r="A1140" t="s">
        <v>1605</v>
      </c>
      <c r="B1140" t="s">
        <v>1606</v>
      </c>
      <c r="C1140">
        <v>34119</v>
      </c>
      <c r="D1140">
        <v>0</v>
      </c>
      <c r="E1140">
        <v>0</v>
      </c>
      <c r="F1140">
        <v>0</v>
      </c>
    </row>
    <row r="1141" spans="1:6" x14ac:dyDescent="0.25">
      <c r="A1141" t="s">
        <v>1607</v>
      </c>
      <c r="B1141" t="s">
        <v>1608</v>
      </c>
      <c r="C1141">
        <v>34120</v>
      </c>
      <c r="D1141">
        <v>0</v>
      </c>
      <c r="E1141">
        <v>0</v>
      </c>
      <c r="F1141">
        <v>0</v>
      </c>
    </row>
    <row r="1142" spans="1:6" x14ac:dyDescent="0.25">
      <c r="B1142" t="s">
        <v>1982</v>
      </c>
      <c r="D1142">
        <v>110</v>
      </c>
      <c r="E1142">
        <v>0</v>
      </c>
      <c r="F1142">
        <v>110</v>
      </c>
    </row>
    <row r="1143" spans="1:6" x14ac:dyDescent="0.25">
      <c r="B1143" t="s">
        <v>1656</v>
      </c>
    </row>
    <row r="1144" spans="1:6" x14ac:dyDescent="0.25">
      <c r="A1144" t="s">
        <v>2</v>
      </c>
      <c r="B1144" t="s">
        <v>1611</v>
      </c>
      <c r="C1144">
        <v>34201</v>
      </c>
      <c r="D1144">
        <v>0</v>
      </c>
      <c r="E1144">
        <v>0</v>
      </c>
      <c r="F1144">
        <v>0</v>
      </c>
    </row>
    <row r="1145" spans="1:6" x14ac:dyDescent="0.25">
      <c r="A1145" t="s">
        <v>15</v>
      </c>
      <c r="B1145" t="s">
        <v>1973</v>
      </c>
      <c r="C1145">
        <v>34202</v>
      </c>
      <c r="D1145">
        <v>0</v>
      </c>
      <c r="E1145">
        <v>0</v>
      </c>
      <c r="F1145">
        <v>0</v>
      </c>
    </row>
    <row r="1146" spans="1:6" x14ac:dyDescent="0.25">
      <c r="A1146" t="s">
        <v>16</v>
      </c>
      <c r="B1146" t="s">
        <v>1613</v>
      </c>
      <c r="C1146">
        <v>34203</v>
      </c>
      <c r="D1146">
        <v>0</v>
      </c>
      <c r="E1146">
        <v>0</v>
      </c>
      <c r="F1146">
        <v>0</v>
      </c>
    </row>
    <row r="1147" spans="1:6" x14ac:dyDescent="0.25">
      <c r="A1147" t="s">
        <v>25</v>
      </c>
      <c r="B1147" t="s">
        <v>1614</v>
      </c>
      <c r="C1147">
        <v>34204</v>
      </c>
      <c r="D1147">
        <v>253654</v>
      </c>
      <c r="E1147">
        <v>0</v>
      </c>
      <c r="F1147">
        <v>253654</v>
      </c>
    </row>
    <row r="1148" spans="1:6" x14ac:dyDescent="0.25">
      <c r="A1148" t="s">
        <v>26</v>
      </c>
      <c r="B1148" t="s">
        <v>1615</v>
      </c>
      <c r="C1148">
        <v>34205</v>
      </c>
      <c r="D1148">
        <v>0</v>
      </c>
      <c r="E1148">
        <v>0</v>
      </c>
      <c r="F1148">
        <v>0</v>
      </c>
    </row>
    <row r="1149" spans="1:6" x14ac:dyDescent="0.25">
      <c r="A1149" t="s">
        <v>27</v>
      </c>
      <c r="B1149" t="s">
        <v>1616</v>
      </c>
      <c r="C1149">
        <v>34206</v>
      </c>
      <c r="D1149">
        <v>0</v>
      </c>
      <c r="E1149">
        <v>0</v>
      </c>
      <c r="F1149">
        <v>0</v>
      </c>
    </row>
    <row r="1150" spans="1:6" x14ac:dyDescent="0.25">
      <c r="A1150" t="s">
        <v>531</v>
      </c>
      <c r="B1150" t="s">
        <v>1617</v>
      </c>
      <c r="C1150">
        <v>34207</v>
      </c>
      <c r="D1150">
        <v>0</v>
      </c>
      <c r="E1150">
        <v>0</v>
      </c>
      <c r="F1150">
        <v>0</v>
      </c>
    </row>
    <row r="1151" spans="1:6" x14ac:dyDescent="0.25">
      <c r="A1151" t="s">
        <v>1583</v>
      </c>
      <c r="B1151" t="s">
        <v>1618</v>
      </c>
      <c r="C1151">
        <v>34208</v>
      </c>
      <c r="D1151">
        <v>0</v>
      </c>
      <c r="E1151">
        <v>0</v>
      </c>
      <c r="F1151">
        <v>0</v>
      </c>
    </row>
    <row r="1152" spans="1:6" x14ac:dyDescent="0.25">
      <c r="A1152" t="s">
        <v>1585</v>
      </c>
      <c r="B1152" t="s">
        <v>1619</v>
      </c>
      <c r="C1152">
        <v>34209</v>
      </c>
      <c r="D1152">
        <v>0</v>
      </c>
      <c r="E1152">
        <v>0</v>
      </c>
      <c r="F1152">
        <v>0</v>
      </c>
    </row>
    <row r="1153" spans="1:6" x14ac:dyDescent="0.25">
      <c r="A1153" t="s">
        <v>1587</v>
      </c>
      <c r="B1153" t="s">
        <v>1620</v>
      </c>
      <c r="C1153">
        <v>34210</v>
      </c>
      <c r="D1153">
        <v>0</v>
      </c>
      <c r="E1153">
        <v>0</v>
      </c>
      <c r="F1153">
        <v>0</v>
      </c>
    </row>
    <row r="1154" spans="1:6" x14ac:dyDescent="0.25">
      <c r="A1154" t="s">
        <v>1589</v>
      </c>
      <c r="B1154" t="s">
        <v>1621</v>
      </c>
      <c r="C1154">
        <v>34211</v>
      </c>
      <c r="D1154">
        <v>0</v>
      </c>
      <c r="E1154">
        <v>0</v>
      </c>
      <c r="F1154">
        <v>0</v>
      </c>
    </row>
    <row r="1155" spans="1:6" x14ac:dyDescent="0.25">
      <c r="A1155" t="s">
        <v>1591</v>
      </c>
      <c r="B1155" t="s">
        <v>1622</v>
      </c>
      <c r="C1155">
        <v>34212</v>
      </c>
      <c r="D1155">
        <v>0</v>
      </c>
      <c r="E1155">
        <v>0</v>
      </c>
      <c r="F1155">
        <v>0</v>
      </c>
    </row>
    <row r="1156" spans="1:6" x14ac:dyDescent="0.25">
      <c r="A1156" t="s">
        <v>1593</v>
      </c>
      <c r="B1156" t="s">
        <v>1623</v>
      </c>
      <c r="C1156">
        <v>34213</v>
      </c>
      <c r="D1156">
        <v>0</v>
      </c>
      <c r="E1156">
        <v>0</v>
      </c>
      <c r="F1156">
        <v>0</v>
      </c>
    </row>
    <row r="1157" spans="1:6" x14ac:dyDescent="0.25">
      <c r="A1157" t="s">
        <v>1595</v>
      </c>
      <c r="B1157" t="s">
        <v>1624</v>
      </c>
      <c r="C1157">
        <v>34214</v>
      </c>
      <c r="D1157">
        <v>0</v>
      </c>
      <c r="E1157">
        <v>0</v>
      </c>
      <c r="F1157">
        <v>0</v>
      </c>
    </row>
    <row r="1158" spans="1:6" x14ac:dyDescent="0.25">
      <c r="A1158" t="s">
        <v>1597</v>
      </c>
      <c r="B1158" t="s">
        <v>1625</v>
      </c>
      <c r="C1158">
        <v>34215</v>
      </c>
      <c r="D1158">
        <v>0</v>
      </c>
      <c r="E1158">
        <v>0</v>
      </c>
      <c r="F1158">
        <v>0</v>
      </c>
    </row>
    <row r="1159" spans="1:6" x14ac:dyDescent="0.25">
      <c r="A1159" t="s">
        <v>1599</v>
      </c>
      <c r="B1159" t="s">
        <v>1626</v>
      </c>
      <c r="C1159">
        <v>34216</v>
      </c>
      <c r="D1159">
        <v>0</v>
      </c>
      <c r="E1159">
        <v>0</v>
      </c>
      <c r="F1159">
        <v>0</v>
      </c>
    </row>
    <row r="1160" spans="1:6" x14ac:dyDescent="0.25">
      <c r="A1160" t="s">
        <v>1601</v>
      </c>
      <c r="B1160" t="s">
        <v>1627</v>
      </c>
      <c r="C1160">
        <v>34217</v>
      </c>
      <c r="D1160">
        <v>0</v>
      </c>
      <c r="E1160">
        <v>0</v>
      </c>
      <c r="F1160">
        <v>0</v>
      </c>
    </row>
    <row r="1161" spans="1:6" x14ac:dyDescent="0.25">
      <c r="A1161" t="s">
        <v>1603</v>
      </c>
      <c r="B1161" t="s">
        <v>1596</v>
      </c>
      <c r="C1161">
        <v>34218</v>
      </c>
      <c r="D1161">
        <v>0</v>
      </c>
      <c r="E1161">
        <v>0</v>
      </c>
      <c r="F1161">
        <v>0</v>
      </c>
    </row>
    <row r="1162" spans="1:6" x14ac:dyDescent="0.25">
      <c r="A1162" t="s">
        <v>1605</v>
      </c>
      <c r="B1162" t="s">
        <v>1598</v>
      </c>
      <c r="C1162">
        <v>34219</v>
      </c>
      <c r="D1162">
        <v>0</v>
      </c>
      <c r="E1162">
        <v>0</v>
      </c>
      <c r="F1162">
        <v>0</v>
      </c>
    </row>
    <row r="1163" spans="1:6" x14ac:dyDescent="0.25">
      <c r="A1163" t="s">
        <v>1607</v>
      </c>
      <c r="B1163" t="s">
        <v>1602</v>
      </c>
      <c r="C1163">
        <v>34220</v>
      </c>
      <c r="D1163">
        <v>0</v>
      </c>
      <c r="E1163">
        <v>0</v>
      </c>
      <c r="F1163">
        <v>0</v>
      </c>
    </row>
    <row r="1164" spans="1:6" x14ac:dyDescent="0.25">
      <c r="B1164" t="s">
        <v>1983</v>
      </c>
      <c r="D1164">
        <v>253654</v>
      </c>
      <c r="E1164">
        <v>0</v>
      </c>
      <c r="F1164">
        <v>253654</v>
      </c>
    </row>
    <row r="1165" spans="1:6" x14ac:dyDescent="0.25">
      <c r="B1165" t="s">
        <v>1984</v>
      </c>
    </row>
    <row r="1166" spans="1:6" x14ac:dyDescent="0.25">
      <c r="A1166" t="s">
        <v>2</v>
      </c>
      <c r="B1166" t="s">
        <v>1634</v>
      </c>
      <c r="C1166">
        <v>34301</v>
      </c>
      <c r="D1166">
        <v>0</v>
      </c>
      <c r="E1166">
        <v>0</v>
      </c>
      <c r="F1166">
        <v>0</v>
      </c>
    </row>
    <row r="1167" spans="1:6" x14ac:dyDescent="0.25">
      <c r="A1167" t="s">
        <v>15</v>
      </c>
      <c r="B1167" t="s">
        <v>1635</v>
      </c>
      <c r="C1167">
        <v>34302</v>
      </c>
      <c r="D1167">
        <v>0</v>
      </c>
      <c r="E1167">
        <v>0</v>
      </c>
      <c r="F1167">
        <v>0</v>
      </c>
    </row>
    <row r="1168" spans="1:6" x14ac:dyDescent="0.25">
      <c r="A1168" t="s">
        <v>16</v>
      </c>
      <c r="B1168" t="s">
        <v>1636</v>
      </c>
      <c r="C1168">
        <v>34303</v>
      </c>
      <c r="D1168">
        <v>0</v>
      </c>
      <c r="E1168">
        <v>0</v>
      </c>
      <c r="F1168">
        <v>0</v>
      </c>
    </row>
    <row r="1169" spans="1:6" x14ac:dyDescent="0.25">
      <c r="A1169" t="s">
        <v>25</v>
      </c>
      <c r="B1169" t="s">
        <v>1637</v>
      </c>
      <c r="C1169">
        <v>34304</v>
      </c>
      <c r="D1169">
        <v>0</v>
      </c>
      <c r="E1169">
        <v>0</v>
      </c>
      <c r="F1169">
        <v>0</v>
      </c>
    </row>
    <row r="1170" spans="1:6" x14ac:dyDescent="0.25">
      <c r="A1170" t="s">
        <v>26</v>
      </c>
      <c r="B1170" t="s">
        <v>1638</v>
      </c>
      <c r="C1170">
        <v>34305</v>
      </c>
      <c r="D1170">
        <v>0</v>
      </c>
      <c r="E1170">
        <v>0</v>
      </c>
      <c r="F1170">
        <v>0</v>
      </c>
    </row>
    <row r="1171" spans="1:6" x14ac:dyDescent="0.25">
      <c r="A1171" t="s">
        <v>27</v>
      </c>
      <c r="B1171" t="s">
        <v>1639</v>
      </c>
      <c r="C1171">
        <v>34306</v>
      </c>
      <c r="D1171">
        <v>0</v>
      </c>
      <c r="E1171">
        <v>0</v>
      </c>
      <c r="F1171">
        <v>0</v>
      </c>
    </row>
    <row r="1172" spans="1:6" x14ac:dyDescent="0.25">
      <c r="A1172" t="s">
        <v>531</v>
      </c>
      <c r="B1172" t="s">
        <v>1640</v>
      </c>
      <c r="C1172">
        <v>34307</v>
      </c>
      <c r="D1172">
        <v>0</v>
      </c>
      <c r="E1172">
        <v>0</v>
      </c>
      <c r="F1172">
        <v>0</v>
      </c>
    </row>
    <row r="1173" spans="1:6" x14ac:dyDescent="0.25">
      <c r="A1173" t="s">
        <v>1583</v>
      </c>
      <c r="B1173" t="s">
        <v>1641</v>
      </c>
      <c r="C1173">
        <v>34308</v>
      </c>
      <c r="D1173">
        <v>0</v>
      </c>
      <c r="E1173">
        <v>0</v>
      </c>
      <c r="F1173">
        <v>0</v>
      </c>
    </row>
    <row r="1174" spans="1:6" x14ac:dyDescent="0.25">
      <c r="B1174" t="s">
        <v>1985</v>
      </c>
      <c r="D1174">
        <v>0</v>
      </c>
      <c r="E1174">
        <v>0</v>
      </c>
      <c r="F1174">
        <v>0</v>
      </c>
    </row>
    <row r="1175" spans="1:6" x14ac:dyDescent="0.25">
      <c r="B1175" t="s">
        <v>1986</v>
      </c>
    </row>
    <row r="1176" spans="1:6" x14ac:dyDescent="0.25">
      <c r="A1176" t="s">
        <v>2</v>
      </c>
      <c r="B1176" t="s">
        <v>1634</v>
      </c>
      <c r="C1176">
        <v>34401</v>
      </c>
      <c r="D1176">
        <v>33508</v>
      </c>
      <c r="E1176">
        <v>0</v>
      </c>
      <c r="F1176">
        <v>33508</v>
      </c>
    </row>
    <row r="1177" spans="1:6" x14ac:dyDescent="0.25">
      <c r="A1177" t="s">
        <v>15</v>
      </c>
      <c r="B1177" t="s">
        <v>1635</v>
      </c>
      <c r="C1177">
        <v>34402</v>
      </c>
      <c r="D1177">
        <v>16</v>
      </c>
      <c r="E1177">
        <v>0</v>
      </c>
      <c r="F1177">
        <v>16</v>
      </c>
    </row>
    <row r="1178" spans="1:6" x14ac:dyDescent="0.25">
      <c r="A1178" t="s">
        <v>16</v>
      </c>
      <c r="B1178" t="s">
        <v>1636</v>
      </c>
      <c r="C1178">
        <v>34403</v>
      </c>
      <c r="D1178">
        <v>0</v>
      </c>
      <c r="E1178">
        <v>0</v>
      </c>
      <c r="F1178">
        <v>0</v>
      </c>
    </row>
    <row r="1179" spans="1:6" x14ac:dyDescent="0.25">
      <c r="A1179" t="s">
        <v>25</v>
      </c>
      <c r="B1179" t="s">
        <v>1637</v>
      </c>
      <c r="C1179">
        <v>34404</v>
      </c>
      <c r="D1179">
        <v>1716</v>
      </c>
      <c r="E1179">
        <v>0</v>
      </c>
      <c r="F1179">
        <v>1716</v>
      </c>
    </row>
    <row r="1180" spans="1:6" x14ac:dyDescent="0.25">
      <c r="A1180" t="s">
        <v>26</v>
      </c>
      <c r="B1180" t="s">
        <v>1638</v>
      </c>
      <c r="C1180">
        <v>34405</v>
      </c>
      <c r="D1180">
        <v>3108</v>
      </c>
      <c r="E1180">
        <v>0</v>
      </c>
      <c r="F1180">
        <v>3108</v>
      </c>
    </row>
    <row r="1181" spans="1:6" x14ac:dyDescent="0.25">
      <c r="A1181" t="s">
        <v>27</v>
      </c>
      <c r="B1181" t="s">
        <v>1639</v>
      </c>
      <c r="C1181">
        <v>34406</v>
      </c>
      <c r="D1181">
        <v>0</v>
      </c>
      <c r="E1181">
        <v>0</v>
      </c>
      <c r="F1181">
        <v>0</v>
      </c>
    </row>
    <row r="1182" spans="1:6" x14ac:dyDescent="0.25">
      <c r="A1182" t="s">
        <v>531</v>
      </c>
      <c r="B1182" t="s">
        <v>1640</v>
      </c>
      <c r="C1182">
        <v>34407</v>
      </c>
      <c r="D1182">
        <v>0</v>
      </c>
      <c r="E1182">
        <v>0</v>
      </c>
      <c r="F1182">
        <v>0</v>
      </c>
    </row>
    <row r="1183" spans="1:6" x14ac:dyDescent="0.25">
      <c r="A1183" t="s">
        <v>1583</v>
      </c>
      <c r="B1183" t="s">
        <v>1641</v>
      </c>
      <c r="C1183">
        <v>34408</v>
      </c>
      <c r="D1183">
        <v>270819</v>
      </c>
      <c r="E1183">
        <v>0</v>
      </c>
      <c r="F1183">
        <v>270819</v>
      </c>
    </row>
    <row r="1184" spans="1:6" x14ac:dyDescent="0.25">
      <c r="B1184" t="s">
        <v>1987</v>
      </c>
      <c r="D1184">
        <v>309167</v>
      </c>
      <c r="E1184">
        <v>0</v>
      </c>
      <c r="F1184">
        <v>309167</v>
      </c>
    </row>
    <row r="1185" spans="1:6" x14ac:dyDescent="0.25">
      <c r="B1185" t="s">
        <v>1988</v>
      </c>
    </row>
    <row r="1186" spans="1:6" x14ac:dyDescent="0.25">
      <c r="A1186" t="s">
        <v>2</v>
      </c>
      <c r="B1186" t="s">
        <v>1634</v>
      </c>
      <c r="C1186">
        <v>34501</v>
      </c>
      <c r="D1186">
        <v>0</v>
      </c>
      <c r="E1186">
        <v>0</v>
      </c>
      <c r="F1186">
        <v>0</v>
      </c>
    </row>
    <row r="1187" spans="1:6" x14ac:dyDescent="0.25">
      <c r="A1187" t="s">
        <v>15</v>
      </c>
      <c r="B1187" t="s">
        <v>1635</v>
      </c>
      <c r="C1187">
        <v>34502</v>
      </c>
      <c r="D1187">
        <v>0</v>
      </c>
      <c r="E1187">
        <v>0</v>
      </c>
      <c r="F1187">
        <v>0</v>
      </c>
    </row>
    <row r="1188" spans="1:6" x14ac:dyDescent="0.25">
      <c r="A1188" t="s">
        <v>16</v>
      </c>
      <c r="B1188" t="s">
        <v>1636</v>
      </c>
      <c r="C1188">
        <v>34503</v>
      </c>
      <c r="D1188">
        <v>0</v>
      </c>
      <c r="E1188">
        <v>0</v>
      </c>
      <c r="F1188">
        <v>0</v>
      </c>
    </row>
    <row r="1189" spans="1:6" x14ac:dyDescent="0.25">
      <c r="A1189" t="s">
        <v>25</v>
      </c>
      <c r="B1189" t="s">
        <v>1637</v>
      </c>
      <c r="C1189">
        <v>34504</v>
      </c>
      <c r="D1189">
        <v>0</v>
      </c>
      <c r="E1189">
        <v>0</v>
      </c>
      <c r="F1189">
        <v>0</v>
      </c>
    </row>
    <row r="1190" spans="1:6" x14ac:dyDescent="0.25">
      <c r="A1190" t="s">
        <v>26</v>
      </c>
      <c r="B1190" t="s">
        <v>1638</v>
      </c>
      <c r="C1190">
        <v>34505</v>
      </c>
      <c r="D1190">
        <v>0</v>
      </c>
      <c r="E1190">
        <v>0</v>
      </c>
      <c r="F1190">
        <v>0</v>
      </c>
    </row>
    <row r="1191" spans="1:6" x14ac:dyDescent="0.25">
      <c r="A1191" t="s">
        <v>27</v>
      </c>
      <c r="B1191" t="s">
        <v>1639</v>
      </c>
      <c r="C1191">
        <v>34506</v>
      </c>
      <c r="D1191">
        <v>0</v>
      </c>
      <c r="E1191">
        <v>0</v>
      </c>
      <c r="F1191">
        <v>0</v>
      </c>
    </row>
    <row r="1192" spans="1:6" x14ac:dyDescent="0.25">
      <c r="A1192" t="s">
        <v>531</v>
      </c>
      <c r="B1192" t="s">
        <v>1640</v>
      </c>
      <c r="C1192">
        <v>34507</v>
      </c>
      <c r="D1192">
        <v>0</v>
      </c>
      <c r="E1192">
        <v>0</v>
      </c>
      <c r="F1192">
        <v>0</v>
      </c>
    </row>
    <row r="1193" spans="1:6" x14ac:dyDescent="0.25">
      <c r="A1193" t="s">
        <v>1583</v>
      </c>
      <c r="B1193" t="s">
        <v>1641</v>
      </c>
      <c r="C1193">
        <v>34508</v>
      </c>
      <c r="D1193">
        <v>0</v>
      </c>
      <c r="E1193">
        <v>0</v>
      </c>
      <c r="F1193">
        <v>0</v>
      </c>
    </row>
    <row r="1194" spans="1:6" x14ac:dyDescent="0.25">
      <c r="B1194" t="s">
        <v>1989</v>
      </c>
      <c r="D1194">
        <v>0</v>
      </c>
      <c r="E1194">
        <v>0</v>
      </c>
      <c r="F1194">
        <v>0</v>
      </c>
    </row>
    <row r="1195" spans="1:6" x14ac:dyDescent="0.25">
      <c r="B1195" t="s">
        <v>1990</v>
      </c>
    </row>
    <row r="1196" spans="1:6" x14ac:dyDescent="0.25">
      <c r="A1196" t="s">
        <v>2</v>
      </c>
      <c r="B1196" t="s">
        <v>1648</v>
      </c>
      <c r="C1196">
        <v>34601</v>
      </c>
      <c r="D1196">
        <v>0</v>
      </c>
      <c r="E1196">
        <v>0</v>
      </c>
      <c r="F1196">
        <v>0</v>
      </c>
    </row>
    <row r="1197" spans="1:6" x14ac:dyDescent="0.25">
      <c r="A1197" t="s">
        <v>15</v>
      </c>
      <c r="B1197" t="s">
        <v>1649</v>
      </c>
      <c r="C1197">
        <v>34602</v>
      </c>
      <c r="D1197">
        <v>0</v>
      </c>
      <c r="E1197">
        <v>0</v>
      </c>
      <c r="F1197">
        <v>0</v>
      </c>
    </row>
    <row r="1198" spans="1:6" x14ac:dyDescent="0.25">
      <c r="A1198" t="s">
        <v>16</v>
      </c>
      <c r="B1198" t="s">
        <v>1637</v>
      </c>
      <c r="C1198">
        <v>34603</v>
      </c>
      <c r="D1198">
        <v>0</v>
      </c>
      <c r="E1198">
        <v>0</v>
      </c>
      <c r="F1198">
        <v>0</v>
      </c>
    </row>
    <row r="1199" spans="1:6" x14ac:dyDescent="0.25">
      <c r="A1199" t="s">
        <v>25</v>
      </c>
      <c r="B1199" t="s">
        <v>1638</v>
      </c>
      <c r="C1199">
        <v>34604</v>
      </c>
      <c r="D1199">
        <v>0</v>
      </c>
      <c r="E1199">
        <v>0</v>
      </c>
      <c r="F1199">
        <v>0</v>
      </c>
    </row>
    <row r="1200" spans="1:6" x14ac:dyDescent="0.25">
      <c r="A1200" t="s">
        <v>26</v>
      </c>
      <c r="B1200" t="s">
        <v>1650</v>
      </c>
      <c r="C1200">
        <v>34605</v>
      </c>
      <c r="D1200">
        <v>0</v>
      </c>
      <c r="E1200">
        <v>0</v>
      </c>
      <c r="F1200">
        <v>0</v>
      </c>
    </row>
    <row r="1201" spans="1:6" x14ac:dyDescent="0.25">
      <c r="A1201" t="s">
        <v>27</v>
      </c>
      <c r="B1201" t="s">
        <v>1651</v>
      </c>
      <c r="C1201">
        <v>34606</v>
      </c>
      <c r="D1201">
        <v>0</v>
      </c>
      <c r="E1201">
        <v>0</v>
      </c>
      <c r="F1201">
        <v>0</v>
      </c>
    </row>
    <row r="1202" spans="1:6" x14ac:dyDescent="0.25">
      <c r="A1202" t="s">
        <v>531</v>
      </c>
      <c r="B1202" t="s">
        <v>1640</v>
      </c>
      <c r="C1202">
        <v>34607</v>
      </c>
      <c r="D1202">
        <v>0</v>
      </c>
      <c r="E1202">
        <v>0</v>
      </c>
      <c r="F1202">
        <v>0</v>
      </c>
    </row>
    <row r="1203" spans="1:6" x14ac:dyDescent="0.25">
      <c r="A1203" t="s">
        <v>1583</v>
      </c>
      <c r="B1203" t="s">
        <v>1641</v>
      </c>
      <c r="C1203">
        <v>34608</v>
      </c>
      <c r="D1203">
        <v>0</v>
      </c>
      <c r="E1203">
        <v>0</v>
      </c>
      <c r="F1203">
        <v>0</v>
      </c>
    </row>
    <row r="1204" spans="1:6" x14ac:dyDescent="0.25">
      <c r="B1204" t="s">
        <v>1991</v>
      </c>
      <c r="D1204">
        <v>0</v>
      </c>
      <c r="E1204">
        <v>0</v>
      </c>
      <c r="F1204">
        <v>0</v>
      </c>
    </row>
    <row r="1205" spans="1:6" x14ac:dyDescent="0.25">
      <c r="B1205" t="s">
        <v>1716</v>
      </c>
      <c r="D1205">
        <v>562931</v>
      </c>
      <c r="E1205">
        <v>0</v>
      </c>
      <c r="F1205">
        <v>562931</v>
      </c>
    </row>
    <row r="1206" spans="1:6" x14ac:dyDescent="0.25">
      <c r="B1206" t="s">
        <v>1992</v>
      </c>
    </row>
    <row r="1207" spans="1:6" x14ac:dyDescent="0.25">
      <c r="B1207" t="s">
        <v>1575</v>
      </c>
    </row>
    <row r="1208" spans="1:6" x14ac:dyDescent="0.25">
      <c r="A1208" t="s">
        <v>2</v>
      </c>
      <c r="B1208" t="s">
        <v>1576</v>
      </c>
      <c r="C1208">
        <v>35101</v>
      </c>
      <c r="D1208">
        <v>0</v>
      </c>
      <c r="E1208">
        <v>0</v>
      </c>
      <c r="F1208">
        <v>0</v>
      </c>
    </row>
    <row r="1209" spans="1:6" x14ac:dyDescent="0.25">
      <c r="A1209" t="s">
        <v>15</v>
      </c>
      <c r="B1209" t="s">
        <v>1577</v>
      </c>
      <c r="C1209">
        <v>35102</v>
      </c>
      <c r="D1209">
        <v>0</v>
      </c>
      <c r="E1209">
        <v>0</v>
      </c>
      <c r="F1209">
        <v>0</v>
      </c>
    </row>
    <row r="1210" spans="1:6" x14ac:dyDescent="0.25">
      <c r="A1210" t="s">
        <v>16</v>
      </c>
      <c r="B1210" t="s">
        <v>1578</v>
      </c>
      <c r="C1210">
        <v>35103</v>
      </c>
      <c r="D1210">
        <v>0</v>
      </c>
      <c r="E1210">
        <v>0</v>
      </c>
      <c r="F1210">
        <v>0</v>
      </c>
    </row>
    <row r="1211" spans="1:6" x14ac:dyDescent="0.25">
      <c r="A1211" t="s">
        <v>25</v>
      </c>
      <c r="B1211" t="s">
        <v>1579</v>
      </c>
      <c r="C1211">
        <v>35104</v>
      </c>
      <c r="D1211">
        <v>0</v>
      </c>
      <c r="E1211">
        <v>0</v>
      </c>
      <c r="F1211">
        <v>0</v>
      </c>
    </row>
    <row r="1212" spans="1:6" x14ac:dyDescent="0.25">
      <c r="A1212" t="s">
        <v>26</v>
      </c>
      <c r="B1212" t="s">
        <v>1580</v>
      </c>
      <c r="C1212">
        <v>35105</v>
      </c>
      <c r="D1212">
        <v>0</v>
      </c>
      <c r="E1212">
        <v>0</v>
      </c>
      <c r="F1212">
        <v>0</v>
      </c>
    </row>
    <row r="1213" spans="1:6" x14ac:dyDescent="0.25">
      <c r="A1213" t="s">
        <v>27</v>
      </c>
      <c r="B1213" t="s">
        <v>1581</v>
      </c>
      <c r="C1213">
        <v>35106</v>
      </c>
      <c r="D1213">
        <v>0</v>
      </c>
      <c r="E1213">
        <v>0</v>
      </c>
      <c r="F1213">
        <v>0</v>
      </c>
    </row>
    <row r="1214" spans="1:6" x14ac:dyDescent="0.25">
      <c r="A1214" t="s">
        <v>531</v>
      </c>
      <c r="B1214" t="s">
        <v>1582</v>
      </c>
      <c r="C1214">
        <v>35107</v>
      </c>
      <c r="D1214">
        <v>0</v>
      </c>
      <c r="E1214">
        <v>0</v>
      </c>
      <c r="F1214">
        <v>0</v>
      </c>
    </row>
    <row r="1215" spans="1:6" x14ac:dyDescent="0.25">
      <c r="A1215" t="s">
        <v>1583</v>
      </c>
      <c r="B1215" t="s">
        <v>1584</v>
      </c>
      <c r="C1215">
        <v>35108</v>
      </c>
      <c r="D1215">
        <v>0</v>
      </c>
      <c r="E1215">
        <v>0</v>
      </c>
      <c r="F1215">
        <v>0</v>
      </c>
    </row>
    <row r="1216" spans="1:6" x14ac:dyDescent="0.25">
      <c r="A1216" t="s">
        <v>1585</v>
      </c>
      <c r="B1216" t="s">
        <v>1586</v>
      </c>
      <c r="C1216">
        <v>35109</v>
      </c>
      <c r="D1216">
        <v>0</v>
      </c>
      <c r="E1216">
        <v>0</v>
      </c>
      <c r="F1216">
        <v>0</v>
      </c>
    </row>
    <row r="1217" spans="1:6" x14ac:dyDescent="0.25">
      <c r="A1217" t="s">
        <v>1587</v>
      </c>
      <c r="B1217" t="s">
        <v>1588</v>
      </c>
      <c r="C1217">
        <v>35110</v>
      </c>
      <c r="D1217">
        <v>0</v>
      </c>
      <c r="E1217">
        <v>0</v>
      </c>
      <c r="F1217">
        <v>0</v>
      </c>
    </row>
    <row r="1218" spans="1:6" x14ac:dyDescent="0.25">
      <c r="A1218" t="s">
        <v>1589</v>
      </c>
      <c r="B1218" t="s">
        <v>1590</v>
      </c>
      <c r="C1218">
        <v>35111</v>
      </c>
      <c r="D1218">
        <v>0</v>
      </c>
      <c r="E1218">
        <v>0</v>
      </c>
      <c r="F1218">
        <v>0</v>
      </c>
    </row>
    <row r="1219" spans="1:6" x14ac:dyDescent="0.25">
      <c r="A1219" t="s">
        <v>1591</v>
      </c>
      <c r="B1219" t="s">
        <v>1592</v>
      </c>
      <c r="C1219">
        <v>35112</v>
      </c>
      <c r="D1219">
        <v>0</v>
      </c>
      <c r="E1219">
        <v>0</v>
      </c>
      <c r="F1219">
        <v>0</v>
      </c>
    </row>
    <row r="1220" spans="1:6" x14ac:dyDescent="0.25">
      <c r="A1220" t="s">
        <v>1593</v>
      </c>
      <c r="B1220" t="s">
        <v>1594</v>
      </c>
      <c r="C1220">
        <v>35113</v>
      </c>
      <c r="D1220">
        <v>0</v>
      </c>
      <c r="E1220">
        <v>0</v>
      </c>
      <c r="F1220">
        <v>0</v>
      </c>
    </row>
    <row r="1221" spans="1:6" x14ac:dyDescent="0.25">
      <c r="A1221" t="s">
        <v>1595</v>
      </c>
      <c r="B1221" t="s">
        <v>1596</v>
      </c>
      <c r="C1221">
        <v>35114</v>
      </c>
      <c r="D1221">
        <v>0</v>
      </c>
      <c r="E1221">
        <v>0</v>
      </c>
      <c r="F1221">
        <v>0</v>
      </c>
    </row>
    <row r="1222" spans="1:6" x14ac:dyDescent="0.25">
      <c r="A1222" t="s">
        <v>1597</v>
      </c>
      <c r="B1222" t="s">
        <v>1598</v>
      </c>
      <c r="C1222">
        <v>35115</v>
      </c>
      <c r="D1222">
        <v>0</v>
      </c>
      <c r="E1222">
        <v>0</v>
      </c>
      <c r="F1222">
        <v>0</v>
      </c>
    </row>
    <row r="1223" spans="1:6" x14ac:dyDescent="0.25">
      <c r="A1223" t="s">
        <v>1599</v>
      </c>
      <c r="B1223" t="s">
        <v>1600</v>
      </c>
      <c r="C1223">
        <v>35116</v>
      </c>
      <c r="D1223">
        <v>0</v>
      </c>
      <c r="E1223">
        <v>0</v>
      </c>
      <c r="F1223">
        <v>0</v>
      </c>
    </row>
    <row r="1224" spans="1:6" x14ac:dyDescent="0.25">
      <c r="A1224" t="s">
        <v>1601</v>
      </c>
      <c r="B1224" t="s">
        <v>1602</v>
      </c>
      <c r="C1224">
        <v>35117</v>
      </c>
      <c r="D1224">
        <v>0</v>
      </c>
      <c r="E1224">
        <v>0</v>
      </c>
      <c r="F1224">
        <v>0</v>
      </c>
    </row>
    <row r="1225" spans="1:6" x14ac:dyDescent="0.25">
      <c r="A1225" t="s">
        <v>1603</v>
      </c>
      <c r="B1225" t="s">
        <v>1604</v>
      </c>
      <c r="C1225">
        <v>35118</v>
      </c>
      <c r="D1225">
        <v>0</v>
      </c>
      <c r="E1225">
        <v>0</v>
      </c>
      <c r="F1225">
        <v>0</v>
      </c>
    </row>
    <row r="1226" spans="1:6" x14ac:dyDescent="0.25">
      <c r="A1226" t="s">
        <v>1605</v>
      </c>
      <c r="B1226" t="s">
        <v>1606</v>
      </c>
      <c r="C1226">
        <v>35119</v>
      </c>
      <c r="D1226">
        <v>0</v>
      </c>
      <c r="E1226">
        <v>0</v>
      </c>
      <c r="F1226">
        <v>0</v>
      </c>
    </row>
    <row r="1227" spans="1:6" x14ac:dyDescent="0.25">
      <c r="A1227" t="s">
        <v>1607</v>
      </c>
      <c r="B1227" t="s">
        <v>1608</v>
      </c>
      <c r="C1227">
        <v>35120</v>
      </c>
      <c r="D1227">
        <v>0</v>
      </c>
      <c r="E1227">
        <v>0</v>
      </c>
      <c r="F1227">
        <v>0</v>
      </c>
    </row>
    <row r="1228" spans="1:6" x14ac:dyDescent="0.25">
      <c r="B1228" t="s">
        <v>1993</v>
      </c>
      <c r="D1228">
        <v>0</v>
      </c>
      <c r="E1228">
        <v>0</v>
      </c>
      <c r="F1228">
        <v>0</v>
      </c>
    </row>
    <row r="1229" spans="1:6" x14ac:dyDescent="0.25">
      <c r="B1229" t="s">
        <v>1656</v>
      </c>
    </row>
    <row r="1230" spans="1:6" x14ac:dyDescent="0.25">
      <c r="A1230" t="s">
        <v>2</v>
      </c>
      <c r="B1230" t="s">
        <v>1611</v>
      </c>
      <c r="C1230">
        <v>35201</v>
      </c>
      <c r="D1230">
        <v>0</v>
      </c>
      <c r="E1230">
        <v>0</v>
      </c>
      <c r="F1230">
        <v>0</v>
      </c>
    </row>
    <row r="1231" spans="1:6" x14ac:dyDescent="0.25">
      <c r="A1231" t="s">
        <v>15</v>
      </c>
      <c r="B1231" t="s">
        <v>1612</v>
      </c>
      <c r="C1231">
        <v>35202</v>
      </c>
      <c r="D1231">
        <v>0</v>
      </c>
      <c r="E1231">
        <v>0</v>
      </c>
      <c r="F1231">
        <v>0</v>
      </c>
    </row>
    <row r="1232" spans="1:6" x14ac:dyDescent="0.25">
      <c r="A1232" t="s">
        <v>16</v>
      </c>
      <c r="B1232" t="s">
        <v>1613</v>
      </c>
      <c r="C1232">
        <v>35203</v>
      </c>
      <c r="D1232">
        <v>0</v>
      </c>
      <c r="E1232">
        <v>0</v>
      </c>
      <c r="F1232">
        <v>0</v>
      </c>
    </row>
    <row r="1233" spans="1:6" x14ac:dyDescent="0.25">
      <c r="A1233" t="s">
        <v>25</v>
      </c>
      <c r="B1233" t="s">
        <v>1614</v>
      </c>
      <c r="C1233">
        <v>35204</v>
      </c>
      <c r="D1233">
        <v>0</v>
      </c>
      <c r="E1233">
        <v>0</v>
      </c>
      <c r="F1233">
        <v>0</v>
      </c>
    </row>
    <row r="1234" spans="1:6" x14ac:dyDescent="0.25">
      <c r="A1234" t="s">
        <v>26</v>
      </c>
      <c r="B1234" t="s">
        <v>1615</v>
      </c>
      <c r="C1234">
        <v>35205</v>
      </c>
      <c r="D1234">
        <v>0</v>
      </c>
      <c r="E1234">
        <v>0</v>
      </c>
      <c r="F1234">
        <v>0</v>
      </c>
    </row>
    <row r="1235" spans="1:6" x14ac:dyDescent="0.25">
      <c r="A1235" t="s">
        <v>27</v>
      </c>
      <c r="B1235" t="s">
        <v>1616</v>
      </c>
      <c r="C1235">
        <v>35206</v>
      </c>
      <c r="D1235">
        <v>0</v>
      </c>
      <c r="E1235">
        <v>0</v>
      </c>
      <c r="F1235">
        <v>0</v>
      </c>
    </row>
    <row r="1236" spans="1:6" x14ac:dyDescent="0.25">
      <c r="A1236" t="s">
        <v>531</v>
      </c>
      <c r="B1236" t="s">
        <v>1617</v>
      </c>
      <c r="C1236">
        <v>35207</v>
      </c>
      <c r="D1236">
        <v>0</v>
      </c>
      <c r="E1236">
        <v>0</v>
      </c>
      <c r="F1236">
        <v>0</v>
      </c>
    </row>
    <row r="1237" spans="1:6" x14ac:dyDescent="0.25">
      <c r="A1237" t="s">
        <v>1583</v>
      </c>
      <c r="B1237" t="s">
        <v>1618</v>
      </c>
      <c r="C1237">
        <v>35208</v>
      </c>
      <c r="D1237">
        <v>0</v>
      </c>
      <c r="E1237">
        <v>0</v>
      </c>
      <c r="F1237">
        <v>0</v>
      </c>
    </row>
    <row r="1238" spans="1:6" x14ac:dyDescent="0.25">
      <c r="A1238" t="s">
        <v>1585</v>
      </c>
      <c r="B1238" t="s">
        <v>1619</v>
      </c>
      <c r="C1238">
        <v>35209</v>
      </c>
      <c r="D1238">
        <v>0</v>
      </c>
      <c r="E1238">
        <v>0</v>
      </c>
      <c r="F1238">
        <v>0</v>
      </c>
    </row>
    <row r="1239" spans="1:6" x14ac:dyDescent="0.25">
      <c r="A1239" t="s">
        <v>1587</v>
      </c>
      <c r="B1239" t="s">
        <v>1620</v>
      </c>
      <c r="C1239">
        <v>35210</v>
      </c>
      <c r="D1239">
        <v>0</v>
      </c>
      <c r="E1239">
        <v>0</v>
      </c>
      <c r="F1239">
        <v>0</v>
      </c>
    </row>
    <row r="1240" spans="1:6" x14ac:dyDescent="0.25">
      <c r="A1240" t="s">
        <v>1589</v>
      </c>
      <c r="B1240" t="s">
        <v>1621</v>
      </c>
      <c r="C1240">
        <v>35211</v>
      </c>
      <c r="D1240">
        <v>0</v>
      </c>
      <c r="E1240">
        <v>0</v>
      </c>
      <c r="F1240">
        <v>0</v>
      </c>
    </row>
    <row r="1241" spans="1:6" x14ac:dyDescent="0.25">
      <c r="A1241" t="s">
        <v>1591</v>
      </c>
      <c r="B1241" t="s">
        <v>1622</v>
      </c>
      <c r="C1241">
        <v>35212</v>
      </c>
      <c r="D1241">
        <v>0</v>
      </c>
      <c r="E1241">
        <v>0</v>
      </c>
      <c r="F1241">
        <v>0</v>
      </c>
    </row>
    <row r="1242" spans="1:6" x14ac:dyDescent="0.25">
      <c r="A1242" t="s">
        <v>1593</v>
      </c>
      <c r="B1242" t="s">
        <v>1623</v>
      </c>
      <c r="C1242">
        <v>35213</v>
      </c>
      <c r="D1242">
        <v>0</v>
      </c>
      <c r="E1242">
        <v>0</v>
      </c>
      <c r="F1242">
        <v>0</v>
      </c>
    </row>
    <row r="1243" spans="1:6" x14ac:dyDescent="0.25">
      <c r="A1243" t="s">
        <v>1595</v>
      </c>
      <c r="B1243" t="s">
        <v>1624</v>
      </c>
      <c r="C1243">
        <v>35214</v>
      </c>
      <c r="D1243">
        <v>0</v>
      </c>
      <c r="E1243">
        <v>0</v>
      </c>
      <c r="F1243">
        <v>0</v>
      </c>
    </row>
    <row r="1244" spans="1:6" x14ac:dyDescent="0.25">
      <c r="A1244" t="s">
        <v>1597</v>
      </c>
      <c r="B1244" t="s">
        <v>1625</v>
      </c>
      <c r="C1244">
        <v>35215</v>
      </c>
      <c r="D1244">
        <v>0</v>
      </c>
      <c r="E1244">
        <v>0</v>
      </c>
      <c r="F1244">
        <v>0</v>
      </c>
    </row>
    <row r="1245" spans="1:6" x14ac:dyDescent="0.25">
      <c r="A1245" t="s">
        <v>1599</v>
      </c>
      <c r="B1245" t="s">
        <v>1626</v>
      </c>
      <c r="C1245">
        <v>35216</v>
      </c>
      <c r="D1245">
        <v>0</v>
      </c>
      <c r="E1245">
        <v>0</v>
      </c>
      <c r="F1245">
        <v>0</v>
      </c>
    </row>
    <row r="1246" spans="1:6" x14ac:dyDescent="0.25">
      <c r="A1246" t="s">
        <v>1601</v>
      </c>
      <c r="B1246" t="s">
        <v>1627</v>
      </c>
      <c r="C1246">
        <v>35217</v>
      </c>
      <c r="D1246">
        <v>0</v>
      </c>
      <c r="E1246">
        <v>0</v>
      </c>
      <c r="F1246">
        <v>0</v>
      </c>
    </row>
    <row r="1247" spans="1:6" x14ac:dyDescent="0.25">
      <c r="A1247" t="s">
        <v>1603</v>
      </c>
      <c r="B1247" t="s">
        <v>1596</v>
      </c>
      <c r="C1247">
        <v>35218</v>
      </c>
      <c r="D1247">
        <v>0</v>
      </c>
      <c r="E1247">
        <v>0</v>
      </c>
      <c r="F1247">
        <v>0</v>
      </c>
    </row>
    <row r="1248" spans="1:6" x14ac:dyDescent="0.25">
      <c r="A1248" t="s">
        <v>1605</v>
      </c>
      <c r="B1248" t="s">
        <v>1598</v>
      </c>
      <c r="C1248">
        <v>35219</v>
      </c>
      <c r="D1248">
        <v>0</v>
      </c>
      <c r="E1248">
        <v>0</v>
      </c>
      <c r="F1248">
        <v>0</v>
      </c>
    </row>
    <row r="1249" spans="1:6" x14ac:dyDescent="0.25">
      <c r="A1249" t="s">
        <v>1607</v>
      </c>
      <c r="B1249" t="s">
        <v>1602</v>
      </c>
      <c r="C1249">
        <v>35220</v>
      </c>
      <c r="D1249">
        <v>0</v>
      </c>
      <c r="E1249">
        <v>0</v>
      </c>
      <c r="F1249">
        <v>0</v>
      </c>
    </row>
    <row r="1250" spans="1:6" x14ac:dyDescent="0.25">
      <c r="B1250" t="s">
        <v>1994</v>
      </c>
      <c r="D1250">
        <v>0</v>
      </c>
      <c r="E1250">
        <v>0</v>
      </c>
      <c r="F1250">
        <v>0</v>
      </c>
    </row>
    <row r="1251" spans="1:6" x14ac:dyDescent="0.25">
      <c r="B1251" t="s">
        <v>1629</v>
      </c>
    </row>
    <row r="1252" spans="1:6" x14ac:dyDescent="0.25">
      <c r="A1252" t="s">
        <v>2</v>
      </c>
      <c r="B1252" t="s">
        <v>1627</v>
      </c>
      <c r="C1252">
        <v>35301</v>
      </c>
      <c r="D1252">
        <v>0</v>
      </c>
      <c r="E1252">
        <v>0</v>
      </c>
      <c r="F1252">
        <v>0</v>
      </c>
    </row>
    <row r="1253" spans="1:6" x14ac:dyDescent="0.25">
      <c r="A1253" t="s">
        <v>15</v>
      </c>
      <c r="B1253" t="s">
        <v>1625</v>
      </c>
      <c r="C1253">
        <v>35302</v>
      </c>
      <c r="D1253">
        <v>0</v>
      </c>
      <c r="E1253">
        <v>0</v>
      </c>
      <c r="F1253">
        <v>0</v>
      </c>
    </row>
    <row r="1254" spans="1:6" x14ac:dyDescent="0.25">
      <c r="A1254" t="s">
        <v>16</v>
      </c>
      <c r="B1254" t="s">
        <v>1626</v>
      </c>
      <c r="C1254">
        <v>35303</v>
      </c>
      <c r="D1254">
        <v>0</v>
      </c>
      <c r="E1254">
        <v>0</v>
      </c>
      <c r="F1254">
        <v>0</v>
      </c>
    </row>
    <row r="1255" spans="1:6" x14ac:dyDescent="0.25">
      <c r="B1255" t="s">
        <v>1995</v>
      </c>
      <c r="D1255">
        <v>0</v>
      </c>
      <c r="E1255">
        <v>0</v>
      </c>
      <c r="F1255">
        <v>0</v>
      </c>
    </row>
    <row r="1256" spans="1:6" x14ac:dyDescent="0.25">
      <c r="B1256" t="s">
        <v>1631</v>
      </c>
    </row>
    <row r="1257" spans="1:6" x14ac:dyDescent="0.25">
      <c r="A1257" t="s">
        <v>2</v>
      </c>
      <c r="B1257" t="s">
        <v>1627</v>
      </c>
      <c r="C1257">
        <v>35401</v>
      </c>
      <c r="D1257">
        <v>0</v>
      </c>
      <c r="E1257">
        <v>0</v>
      </c>
      <c r="F1257">
        <v>0</v>
      </c>
    </row>
    <row r="1258" spans="1:6" x14ac:dyDescent="0.25">
      <c r="A1258" t="s">
        <v>15</v>
      </c>
      <c r="B1258" t="s">
        <v>1625</v>
      </c>
      <c r="C1258">
        <v>35402</v>
      </c>
      <c r="D1258">
        <v>0</v>
      </c>
      <c r="E1258">
        <v>0</v>
      </c>
      <c r="F1258">
        <v>0</v>
      </c>
    </row>
    <row r="1259" spans="1:6" x14ac:dyDescent="0.25">
      <c r="A1259" t="s">
        <v>16</v>
      </c>
      <c r="B1259" t="s">
        <v>1626</v>
      </c>
      <c r="C1259">
        <v>35403</v>
      </c>
      <c r="D1259">
        <v>0</v>
      </c>
      <c r="E1259">
        <v>0</v>
      </c>
      <c r="F1259">
        <v>0</v>
      </c>
    </row>
    <row r="1260" spans="1:6" x14ac:dyDescent="0.25">
      <c r="B1260" t="s">
        <v>1996</v>
      </c>
      <c r="D1260">
        <v>0</v>
      </c>
      <c r="E1260">
        <v>0</v>
      </c>
      <c r="F1260">
        <v>0</v>
      </c>
    </row>
    <row r="1261" spans="1:6" x14ac:dyDescent="0.25">
      <c r="B1261" t="s">
        <v>1633</v>
      </c>
    </row>
    <row r="1262" spans="1:6" x14ac:dyDescent="0.25">
      <c r="A1262" t="s">
        <v>2</v>
      </c>
      <c r="B1262" t="s">
        <v>1634</v>
      </c>
      <c r="C1262">
        <v>35501</v>
      </c>
      <c r="D1262">
        <v>0</v>
      </c>
      <c r="E1262">
        <v>0</v>
      </c>
      <c r="F1262">
        <v>0</v>
      </c>
    </row>
    <row r="1263" spans="1:6" x14ac:dyDescent="0.25">
      <c r="A1263" t="s">
        <v>15</v>
      </c>
      <c r="B1263" t="s">
        <v>1635</v>
      </c>
      <c r="C1263">
        <v>35502</v>
      </c>
      <c r="D1263">
        <v>0</v>
      </c>
      <c r="E1263">
        <v>0</v>
      </c>
      <c r="F1263">
        <v>0</v>
      </c>
    </row>
    <row r="1264" spans="1:6" x14ac:dyDescent="0.25">
      <c r="A1264" t="s">
        <v>16</v>
      </c>
      <c r="B1264" t="s">
        <v>1636</v>
      </c>
      <c r="C1264">
        <v>35503</v>
      </c>
      <c r="D1264">
        <v>0</v>
      </c>
      <c r="E1264">
        <v>0</v>
      </c>
      <c r="F1264">
        <v>0</v>
      </c>
    </row>
    <row r="1265" spans="1:6" x14ac:dyDescent="0.25">
      <c r="A1265" t="s">
        <v>25</v>
      </c>
      <c r="B1265" t="s">
        <v>1637</v>
      </c>
      <c r="C1265">
        <v>35504</v>
      </c>
      <c r="D1265">
        <v>0</v>
      </c>
      <c r="E1265">
        <v>0</v>
      </c>
      <c r="F1265">
        <v>0</v>
      </c>
    </row>
    <row r="1266" spans="1:6" x14ac:dyDescent="0.25">
      <c r="A1266" t="s">
        <v>26</v>
      </c>
      <c r="B1266" t="s">
        <v>1638</v>
      </c>
      <c r="C1266">
        <v>35505</v>
      </c>
      <c r="D1266">
        <v>0</v>
      </c>
      <c r="E1266">
        <v>0</v>
      </c>
      <c r="F1266">
        <v>0</v>
      </c>
    </row>
    <row r="1267" spans="1:6" x14ac:dyDescent="0.25">
      <c r="A1267" t="s">
        <v>27</v>
      </c>
      <c r="B1267" t="s">
        <v>1639</v>
      </c>
      <c r="C1267">
        <v>35506</v>
      </c>
      <c r="D1267">
        <v>0</v>
      </c>
      <c r="E1267">
        <v>0</v>
      </c>
      <c r="F1267">
        <v>0</v>
      </c>
    </row>
    <row r="1268" spans="1:6" x14ac:dyDescent="0.25">
      <c r="A1268" t="s">
        <v>531</v>
      </c>
      <c r="B1268" t="s">
        <v>1640</v>
      </c>
      <c r="C1268">
        <v>35507</v>
      </c>
      <c r="D1268">
        <v>0</v>
      </c>
      <c r="E1268">
        <v>0</v>
      </c>
      <c r="F1268">
        <v>0</v>
      </c>
    </row>
    <row r="1269" spans="1:6" x14ac:dyDescent="0.25">
      <c r="A1269" t="s">
        <v>1583</v>
      </c>
      <c r="B1269" t="s">
        <v>1641</v>
      </c>
      <c r="C1269">
        <v>35508</v>
      </c>
      <c r="D1269">
        <v>0</v>
      </c>
      <c r="E1269">
        <v>0</v>
      </c>
      <c r="F1269">
        <v>0</v>
      </c>
    </row>
    <row r="1270" spans="1:6" x14ac:dyDescent="0.25">
      <c r="B1270" t="s">
        <v>1997</v>
      </c>
      <c r="D1270">
        <v>0</v>
      </c>
      <c r="E1270">
        <v>0</v>
      </c>
      <c r="F1270">
        <v>0</v>
      </c>
    </row>
    <row r="1271" spans="1:6" x14ac:dyDescent="0.25">
      <c r="B1271" t="s">
        <v>1643</v>
      </c>
    </row>
    <row r="1272" spans="1:6" x14ac:dyDescent="0.25">
      <c r="A1272" t="s">
        <v>2</v>
      </c>
      <c r="B1272" t="s">
        <v>1634</v>
      </c>
      <c r="C1272">
        <v>35601</v>
      </c>
      <c r="D1272">
        <v>0</v>
      </c>
      <c r="E1272">
        <v>0</v>
      </c>
      <c r="F1272">
        <v>0</v>
      </c>
    </row>
    <row r="1273" spans="1:6" x14ac:dyDescent="0.25">
      <c r="A1273" t="s">
        <v>15</v>
      </c>
      <c r="B1273" t="s">
        <v>1635</v>
      </c>
      <c r="C1273">
        <v>35602</v>
      </c>
      <c r="D1273">
        <v>0</v>
      </c>
      <c r="E1273">
        <v>0</v>
      </c>
      <c r="F1273">
        <v>0</v>
      </c>
    </row>
    <row r="1274" spans="1:6" x14ac:dyDescent="0.25">
      <c r="A1274" t="s">
        <v>16</v>
      </c>
      <c r="B1274" t="s">
        <v>1636</v>
      </c>
      <c r="C1274">
        <v>35603</v>
      </c>
      <c r="D1274">
        <v>0</v>
      </c>
      <c r="E1274">
        <v>0</v>
      </c>
      <c r="F1274">
        <v>0</v>
      </c>
    </row>
    <row r="1275" spans="1:6" x14ac:dyDescent="0.25">
      <c r="A1275" t="s">
        <v>25</v>
      </c>
      <c r="B1275" t="s">
        <v>1637</v>
      </c>
      <c r="C1275">
        <v>35604</v>
      </c>
      <c r="D1275">
        <v>0</v>
      </c>
      <c r="E1275">
        <v>0</v>
      </c>
      <c r="F1275">
        <v>0</v>
      </c>
    </row>
    <row r="1276" spans="1:6" x14ac:dyDescent="0.25">
      <c r="A1276" t="s">
        <v>26</v>
      </c>
      <c r="B1276" t="s">
        <v>1638</v>
      </c>
      <c r="C1276">
        <v>35605</v>
      </c>
      <c r="D1276">
        <v>0</v>
      </c>
      <c r="E1276">
        <v>0</v>
      </c>
      <c r="F1276">
        <v>0</v>
      </c>
    </row>
    <row r="1277" spans="1:6" x14ac:dyDescent="0.25">
      <c r="A1277" t="s">
        <v>27</v>
      </c>
      <c r="B1277" t="s">
        <v>1639</v>
      </c>
      <c r="C1277">
        <v>35606</v>
      </c>
      <c r="D1277">
        <v>0</v>
      </c>
      <c r="E1277">
        <v>0</v>
      </c>
      <c r="F1277">
        <v>0</v>
      </c>
    </row>
    <row r="1278" spans="1:6" x14ac:dyDescent="0.25">
      <c r="A1278" t="s">
        <v>531</v>
      </c>
      <c r="B1278" t="s">
        <v>1640</v>
      </c>
      <c r="C1278">
        <v>35607</v>
      </c>
      <c r="D1278">
        <v>0</v>
      </c>
      <c r="E1278">
        <v>0</v>
      </c>
      <c r="F1278">
        <v>0</v>
      </c>
    </row>
    <row r="1279" spans="1:6" x14ac:dyDescent="0.25">
      <c r="A1279" t="s">
        <v>1583</v>
      </c>
      <c r="B1279" t="s">
        <v>1641</v>
      </c>
      <c r="C1279">
        <v>35608</v>
      </c>
      <c r="D1279">
        <v>0</v>
      </c>
      <c r="E1279">
        <v>0</v>
      </c>
      <c r="F1279">
        <v>0</v>
      </c>
    </row>
    <row r="1280" spans="1:6" x14ac:dyDescent="0.25">
      <c r="B1280" t="s">
        <v>1998</v>
      </c>
      <c r="D1280">
        <v>0</v>
      </c>
      <c r="E1280">
        <v>0</v>
      </c>
      <c r="F1280">
        <v>0</v>
      </c>
    </row>
    <row r="1281" spans="1:6" x14ac:dyDescent="0.25">
      <c r="B1281" t="s">
        <v>1645</v>
      </c>
    </row>
    <row r="1282" spans="1:6" x14ac:dyDescent="0.25">
      <c r="A1282" t="s">
        <v>2</v>
      </c>
      <c r="B1282" t="s">
        <v>1634</v>
      </c>
      <c r="C1282">
        <v>35701</v>
      </c>
      <c r="D1282">
        <v>0</v>
      </c>
      <c r="E1282">
        <v>0</v>
      </c>
      <c r="F1282">
        <v>0</v>
      </c>
    </row>
    <row r="1283" spans="1:6" x14ac:dyDescent="0.25">
      <c r="A1283" t="s">
        <v>15</v>
      </c>
      <c r="B1283" t="s">
        <v>1635</v>
      </c>
      <c r="C1283">
        <v>35702</v>
      </c>
      <c r="D1283">
        <v>0</v>
      </c>
      <c r="E1283">
        <v>0</v>
      </c>
      <c r="F1283">
        <v>0</v>
      </c>
    </row>
    <row r="1284" spans="1:6" x14ac:dyDescent="0.25">
      <c r="A1284" t="s">
        <v>16</v>
      </c>
      <c r="B1284" t="s">
        <v>1636</v>
      </c>
      <c r="C1284">
        <v>35703</v>
      </c>
      <c r="D1284">
        <v>0</v>
      </c>
      <c r="E1284">
        <v>0</v>
      </c>
      <c r="F1284">
        <v>0</v>
      </c>
    </row>
    <row r="1285" spans="1:6" x14ac:dyDescent="0.25">
      <c r="A1285" t="s">
        <v>25</v>
      </c>
      <c r="B1285" t="s">
        <v>1637</v>
      </c>
      <c r="C1285">
        <v>35704</v>
      </c>
      <c r="D1285">
        <v>0</v>
      </c>
      <c r="E1285">
        <v>0</v>
      </c>
      <c r="F1285">
        <v>0</v>
      </c>
    </row>
    <row r="1286" spans="1:6" x14ac:dyDescent="0.25">
      <c r="A1286" t="s">
        <v>26</v>
      </c>
      <c r="B1286" t="s">
        <v>1638</v>
      </c>
      <c r="C1286">
        <v>35705</v>
      </c>
      <c r="D1286">
        <v>0</v>
      </c>
      <c r="E1286">
        <v>0</v>
      </c>
      <c r="F1286">
        <v>0</v>
      </c>
    </row>
    <row r="1287" spans="1:6" x14ac:dyDescent="0.25">
      <c r="A1287" t="s">
        <v>27</v>
      </c>
      <c r="B1287" t="s">
        <v>1639</v>
      </c>
      <c r="C1287">
        <v>35706</v>
      </c>
      <c r="D1287">
        <v>0</v>
      </c>
      <c r="E1287">
        <v>0</v>
      </c>
      <c r="F1287">
        <v>0</v>
      </c>
    </row>
    <row r="1288" spans="1:6" x14ac:dyDescent="0.25">
      <c r="A1288" t="s">
        <v>531</v>
      </c>
      <c r="B1288" t="s">
        <v>1640</v>
      </c>
      <c r="C1288">
        <v>35707</v>
      </c>
      <c r="D1288">
        <v>0</v>
      </c>
      <c r="E1288">
        <v>0</v>
      </c>
      <c r="F1288">
        <v>0</v>
      </c>
    </row>
    <row r="1289" spans="1:6" x14ac:dyDescent="0.25">
      <c r="A1289" t="s">
        <v>1583</v>
      </c>
      <c r="B1289" t="s">
        <v>1641</v>
      </c>
      <c r="C1289">
        <v>35708</v>
      </c>
      <c r="D1289">
        <v>0</v>
      </c>
      <c r="E1289">
        <v>0</v>
      </c>
      <c r="F1289">
        <v>0</v>
      </c>
    </row>
    <row r="1290" spans="1:6" x14ac:dyDescent="0.25">
      <c r="B1290" t="s">
        <v>1999</v>
      </c>
      <c r="D1290">
        <v>0</v>
      </c>
      <c r="E1290">
        <v>0</v>
      </c>
      <c r="F1290">
        <v>0</v>
      </c>
    </row>
    <row r="1291" spans="1:6" x14ac:dyDescent="0.25">
      <c r="B1291" t="s">
        <v>1647</v>
      </c>
    </row>
    <row r="1292" spans="1:6" x14ac:dyDescent="0.25">
      <c r="A1292" t="s">
        <v>2</v>
      </c>
      <c r="B1292" t="s">
        <v>1648</v>
      </c>
      <c r="C1292">
        <v>35801</v>
      </c>
      <c r="D1292">
        <v>0</v>
      </c>
      <c r="E1292">
        <v>0</v>
      </c>
      <c r="F1292">
        <v>0</v>
      </c>
    </row>
    <row r="1293" spans="1:6" x14ac:dyDescent="0.25">
      <c r="A1293" t="s">
        <v>15</v>
      </c>
      <c r="B1293" t="s">
        <v>1649</v>
      </c>
      <c r="C1293">
        <v>35802</v>
      </c>
      <c r="D1293">
        <v>0</v>
      </c>
      <c r="E1293">
        <v>0</v>
      </c>
      <c r="F1293">
        <v>0</v>
      </c>
    </row>
    <row r="1294" spans="1:6" x14ac:dyDescent="0.25">
      <c r="A1294" t="s">
        <v>16</v>
      </c>
      <c r="B1294" t="s">
        <v>1637</v>
      </c>
      <c r="C1294">
        <v>35803</v>
      </c>
      <c r="D1294">
        <v>0</v>
      </c>
      <c r="E1294">
        <v>0</v>
      </c>
      <c r="F1294">
        <v>0</v>
      </c>
    </row>
    <row r="1295" spans="1:6" x14ac:dyDescent="0.25">
      <c r="A1295" t="s">
        <v>25</v>
      </c>
      <c r="B1295" t="s">
        <v>1638</v>
      </c>
      <c r="C1295">
        <v>35804</v>
      </c>
      <c r="D1295">
        <v>0</v>
      </c>
      <c r="E1295">
        <v>0</v>
      </c>
      <c r="F1295">
        <v>0</v>
      </c>
    </row>
    <row r="1296" spans="1:6" x14ac:dyDescent="0.25">
      <c r="A1296" t="s">
        <v>26</v>
      </c>
      <c r="B1296" t="s">
        <v>1650</v>
      </c>
      <c r="C1296">
        <v>35805</v>
      </c>
      <c r="D1296">
        <v>0</v>
      </c>
      <c r="E1296">
        <v>0</v>
      </c>
      <c r="F1296">
        <v>0</v>
      </c>
    </row>
    <row r="1297" spans="1:6" x14ac:dyDescent="0.25">
      <c r="A1297" t="s">
        <v>27</v>
      </c>
      <c r="B1297" t="s">
        <v>1651</v>
      </c>
      <c r="C1297">
        <v>35806</v>
      </c>
      <c r="D1297">
        <v>0</v>
      </c>
      <c r="E1297">
        <v>0</v>
      </c>
      <c r="F1297">
        <v>0</v>
      </c>
    </row>
    <row r="1298" spans="1:6" x14ac:dyDescent="0.25">
      <c r="A1298" t="s">
        <v>531</v>
      </c>
      <c r="B1298" t="s">
        <v>1640</v>
      </c>
      <c r="C1298">
        <v>35807</v>
      </c>
      <c r="D1298">
        <v>0</v>
      </c>
      <c r="E1298">
        <v>0</v>
      </c>
      <c r="F1298">
        <v>0</v>
      </c>
    </row>
    <row r="1299" spans="1:6" x14ac:dyDescent="0.25">
      <c r="A1299" t="s">
        <v>1583</v>
      </c>
      <c r="B1299" t="s">
        <v>1641</v>
      </c>
      <c r="C1299">
        <v>35808</v>
      </c>
      <c r="D1299">
        <v>0</v>
      </c>
      <c r="E1299">
        <v>0</v>
      </c>
      <c r="F1299">
        <v>0</v>
      </c>
    </row>
    <row r="1300" spans="1:6" x14ac:dyDescent="0.25">
      <c r="B1300" t="s">
        <v>2000</v>
      </c>
      <c r="D1300">
        <v>0</v>
      </c>
      <c r="E1300">
        <v>0</v>
      </c>
      <c r="F1300">
        <v>0</v>
      </c>
    </row>
    <row r="1301" spans="1:6" x14ac:dyDescent="0.25">
      <c r="B1301" t="s">
        <v>1728</v>
      </c>
      <c r="D1301">
        <v>0</v>
      </c>
      <c r="E1301">
        <v>0</v>
      </c>
      <c r="F1301">
        <v>0</v>
      </c>
    </row>
    <row r="1302" spans="1:6" x14ac:dyDescent="0.25">
      <c r="B1302" t="s">
        <v>2001</v>
      </c>
    </row>
    <row r="1303" spans="1:6" x14ac:dyDescent="0.25">
      <c r="B1303" t="s">
        <v>1672</v>
      </c>
    </row>
    <row r="1304" spans="1:6" x14ac:dyDescent="0.25">
      <c r="A1304" t="s">
        <v>2</v>
      </c>
      <c r="B1304" t="s">
        <v>1673</v>
      </c>
      <c r="C1304">
        <v>36101</v>
      </c>
      <c r="D1304">
        <v>0</v>
      </c>
      <c r="E1304">
        <v>0</v>
      </c>
      <c r="F1304">
        <v>0</v>
      </c>
    </row>
    <row r="1305" spans="1:6" x14ac:dyDescent="0.25">
      <c r="A1305" t="s">
        <v>15</v>
      </c>
      <c r="B1305" t="s">
        <v>1674</v>
      </c>
      <c r="C1305">
        <v>36102</v>
      </c>
      <c r="D1305">
        <v>0</v>
      </c>
      <c r="E1305">
        <v>0</v>
      </c>
      <c r="F1305">
        <v>0</v>
      </c>
    </row>
    <row r="1306" spans="1:6" x14ac:dyDescent="0.25">
      <c r="A1306" t="s">
        <v>16</v>
      </c>
      <c r="B1306" t="s">
        <v>1675</v>
      </c>
      <c r="C1306">
        <v>36103</v>
      </c>
      <c r="D1306">
        <v>0</v>
      </c>
      <c r="E1306">
        <v>0</v>
      </c>
      <c r="F1306">
        <v>0</v>
      </c>
    </row>
    <row r="1307" spans="1:6" x14ac:dyDescent="0.25">
      <c r="A1307" t="s">
        <v>25</v>
      </c>
      <c r="B1307" t="s">
        <v>1676</v>
      </c>
      <c r="C1307">
        <v>36104</v>
      </c>
      <c r="D1307">
        <v>0</v>
      </c>
      <c r="E1307">
        <v>0</v>
      </c>
      <c r="F1307">
        <v>0</v>
      </c>
    </row>
    <row r="1308" spans="1:6" x14ac:dyDescent="0.25">
      <c r="A1308" t="s">
        <v>26</v>
      </c>
      <c r="B1308" t="s">
        <v>1677</v>
      </c>
      <c r="C1308">
        <v>36105</v>
      </c>
      <c r="D1308">
        <v>0</v>
      </c>
      <c r="E1308">
        <v>0</v>
      </c>
      <c r="F1308">
        <v>0</v>
      </c>
    </row>
    <row r="1309" spans="1:6" x14ac:dyDescent="0.25">
      <c r="B1309" t="s">
        <v>2002</v>
      </c>
      <c r="D1309">
        <v>0</v>
      </c>
      <c r="E1309">
        <v>0</v>
      </c>
      <c r="F1309">
        <v>0</v>
      </c>
    </row>
    <row r="1310" spans="1:6" x14ac:dyDescent="0.25">
      <c r="B1310" t="s">
        <v>1679</v>
      </c>
    </row>
    <row r="1311" spans="1:6" x14ac:dyDescent="0.25">
      <c r="A1311" t="s">
        <v>2</v>
      </c>
      <c r="B1311" t="s">
        <v>1680</v>
      </c>
      <c r="C1311">
        <v>36201</v>
      </c>
      <c r="D1311">
        <v>0</v>
      </c>
      <c r="E1311">
        <v>0</v>
      </c>
      <c r="F1311">
        <v>0</v>
      </c>
    </row>
    <row r="1312" spans="1:6" x14ac:dyDescent="0.25">
      <c r="A1312" t="s">
        <v>15</v>
      </c>
      <c r="B1312" t="s">
        <v>1681</v>
      </c>
      <c r="C1312">
        <v>36202</v>
      </c>
      <c r="D1312">
        <v>0</v>
      </c>
      <c r="E1312">
        <v>0</v>
      </c>
      <c r="F1312">
        <v>0</v>
      </c>
    </row>
    <row r="1313" spans="1:6" x14ac:dyDescent="0.25">
      <c r="A1313" t="s">
        <v>16</v>
      </c>
      <c r="B1313" t="s">
        <v>1682</v>
      </c>
      <c r="C1313">
        <v>36203</v>
      </c>
      <c r="D1313">
        <v>0</v>
      </c>
      <c r="E1313">
        <v>0</v>
      </c>
      <c r="F1313">
        <v>0</v>
      </c>
    </row>
    <row r="1314" spans="1:6" x14ac:dyDescent="0.25">
      <c r="A1314" t="s">
        <v>25</v>
      </c>
      <c r="B1314" t="s">
        <v>1683</v>
      </c>
      <c r="C1314">
        <v>36204</v>
      </c>
      <c r="D1314">
        <v>0</v>
      </c>
      <c r="E1314">
        <v>0</v>
      </c>
      <c r="F1314">
        <v>0</v>
      </c>
    </row>
    <row r="1315" spans="1:6" x14ac:dyDescent="0.25">
      <c r="A1315" t="s">
        <v>26</v>
      </c>
      <c r="B1315" t="s">
        <v>1684</v>
      </c>
      <c r="C1315">
        <v>36205</v>
      </c>
      <c r="D1315">
        <v>0</v>
      </c>
      <c r="E1315">
        <v>0</v>
      </c>
      <c r="F1315">
        <v>0</v>
      </c>
    </row>
    <row r="1316" spans="1:6" x14ac:dyDescent="0.25">
      <c r="A1316" t="s">
        <v>27</v>
      </c>
      <c r="B1316" t="s">
        <v>1685</v>
      </c>
      <c r="C1316">
        <v>36206</v>
      </c>
      <c r="D1316">
        <v>0</v>
      </c>
      <c r="E1316">
        <v>0</v>
      </c>
      <c r="F1316">
        <v>0</v>
      </c>
    </row>
    <row r="1317" spans="1:6" x14ac:dyDescent="0.25">
      <c r="A1317" t="s">
        <v>531</v>
      </c>
      <c r="B1317" t="s">
        <v>1686</v>
      </c>
      <c r="C1317">
        <v>36207</v>
      </c>
      <c r="D1317">
        <v>0</v>
      </c>
      <c r="E1317">
        <v>0</v>
      </c>
      <c r="F1317">
        <v>0</v>
      </c>
    </row>
    <row r="1318" spans="1:6" x14ac:dyDescent="0.25">
      <c r="A1318" t="s">
        <v>1583</v>
      </c>
      <c r="B1318" t="s">
        <v>1687</v>
      </c>
      <c r="C1318">
        <v>36208</v>
      </c>
      <c r="D1318">
        <v>0</v>
      </c>
      <c r="E1318">
        <v>0</v>
      </c>
      <c r="F1318">
        <v>0</v>
      </c>
    </row>
    <row r="1319" spans="1:6" x14ac:dyDescent="0.25">
      <c r="A1319" t="s">
        <v>1585</v>
      </c>
      <c r="B1319" t="s">
        <v>1688</v>
      </c>
      <c r="C1319">
        <v>36209</v>
      </c>
      <c r="D1319">
        <v>0</v>
      </c>
      <c r="E1319">
        <v>0</v>
      </c>
      <c r="F1319">
        <v>0</v>
      </c>
    </row>
    <row r="1320" spans="1:6" x14ac:dyDescent="0.25">
      <c r="A1320" t="s">
        <v>1587</v>
      </c>
      <c r="B1320" t="s">
        <v>1637</v>
      </c>
      <c r="C1320">
        <v>36210</v>
      </c>
      <c r="D1320">
        <v>0</v>
      </c>
      <c r="E1320">
        <v>0</v>
      </c>
      <c r="F1320">
        <v>0</v>
      </c>
    </row>
    <row r="1321" spans="1:6" x14ac:dyDescent="0.25">
      <c r="A1321" t="s">
        <v>1589</v>
      </c>
      <c r="B1321" t="s">
        <v>1640</v>
      </c>
      <c r="C1321">
        <v>36211</v>
      </c>
      <c r="D1321">
        <v>0</v>
      </c>
      <c r="E1321">
        <v>0</v>
      </c>
      <c r="F1321">
        <v>0</v>
      </c>
    </row>
    <row r="1322" spans="1:6" x14ac:dyDescent="0.25">
      <c r="A1322" t="s">
        <v>1591</v>
      </c>
      <c r="B1322" t="s">
        <v>1689</v>
      </c>
      <c r="C1322">
        <v>36212</v>
      </c>
      <c r="D1322">
        <v>0</v>
      </c>
      <c r="E1322">
        <v>0</v>
      </c>
      <c r="F1322">
        <v>0</v>
      </c>
    </row>
    <row r="1323" spans="1:6" x14ac:dyDescent="0.25">
      <c r="A1323" t="s">
        <v>1593</v>
      </c>
      <c r="B1323" t="s">
        <v>1690</v>
      </c>
      <c r="C1323">
        <v>36213</v>
      </c>
      <c r="D1323">
        <v>0</v>
      </c>
      <c r="E1323">
        <v>0</v>
      </c>
      <c r="F1323">
        <v>0</v>
      </c>
    </row>
    <row r="1324" spans="1:6" x14ac:dyDescent="0.25">
      <c r="B1324" t="s">
        <v>2003</v>
      </c>
      <c r="D1324">
        <v>0</v>
      </c>
      <c r="E1324">
        <v>0</v>
      </c>
      <c r="F1324">
        <v>0</v>
      </c>
    </row>
    <row r="1325" spans="1:6" x14ac:dyDescent="0.25">
      <c r="B1325" t="s">
        <v>1692</v>
      </c>
    </row>
    <row r="1326" spans="1:6" x14ac:dyDescent="0.25">
      <c r="A1326" t="s">
        <v>2</v>
      </c>
      <c r="B1326" t="s">
        <v>1693</v>
      </c>
      <c r="C1326">
        <v>36301</v>
      </c>
      <c r="D1326">
        <v>0</v>
      </c>
      <c r="E1326">
        <v>0</v>
      </c>
      <c r="F1326">
        <v>0</v>
      </c>
    </row>
    <row r="1327" spans="1:6" x14ac:dyDescent="0.25">
      <c r="A1327" t="s">
        <v>15</v>
      </c>
      <c r="B1327" t="s">
        <v>1694</v>
      </c>
      <c r="C1327">
        <v>36302</v>
      </c>
      <c r="D1327">
        <v>0</v>
      </c>
      <c r="E1327">
        <v>0</v>
      </c>
      <c r="F1327">
        <v>0</v>
      </c>
    </row>
    <row r="1328" spans="1:6" x14ac:dyDescent="0.25">
      <c r="A1328" t="s">
        <v>16</v>
      </c>
      <c r="B1328" t="s">
        <v>1695</v>
      </c>
      <c r="C1328">
        <v>36303</v>
      </c>
      <c r="D1328">
        <v>0</v>
      </c>
      <c r="E1328">
        <v>0</v>
      </c>
      <c r="F1328">
        <v>0</v>
      </c>
    </row>
    <row r="1329" spans="1:6" x14ac:dyDescent="0.25">
      <c r="A1329" t="s">
        <v>25</v>
      </c>
      <c r="B1329" t="s">
        <v>1696</v>
      </c>
      <c r="C1329">
        <v>36304</v>
      </c>
      <c r="D1329">
        <v>0</v>
      </c>
      <c r="E1329">
        <v>0</v>
      </c>
      <c r="F1329">
        <v>0</v>
      </c>
    </row>
    <row r="1330" spans="1:6" x14ac:dyDescent="0.25">
      <c r="A1330" t="s">
        <v>26</v>
      </c>
      <c r="B1330" t="s">
        <v>1680</v>
      </c>
      <c r="C1330">
        <v>36305</v>
      </c>
      <c r="D1330">
        <v>0</v>
      </c>
      <c r="E1330">
        <v>0</v>
      </c>
      <c r="F1330">
        <v>0</v>
      </c>
    </row>
    <row r="1331" spans="1:6" x14ac:dyDescent="0.25">
      <c r="A1331" t="s">
        <v>27</v>
      </c>
      <c r="B1331" t="s">
        <v>1681</v>
      </c>
      <c r="C1331">
        <v>36306</v>
      </c>
      <c r="D1331">
        <v>0</v>
      </c>
      <c r="E1331">
        <v>0</v>
      </c>
      <c r="F1331">
        <v>0</v>
      </c>
    </row>
    <row r="1332" spans="1:6" x14ac:dyDescent="0.25">
      <c r="A1332" t="s">
        <v>531</v>
      </c>
      <c r="B1332" t="s">
        <v>1682</v>
      </c>
      <c r="C1332">
        <v>36307</v>
      </c>
      <c r="D1332">
        <v>0</v>
      </c>
      <c r="E1332">
        <v>0</v>
      </c>
      <c r="F1332">
        <v>0</v>
      </c>
    </row>
    <row r="1333" spans="1:6" x14ac:dyDescent="0.25">
      <c r="A1333" t="s">
        <v>1583</v>
      </c>
      <c r="B1333" t="s">
        <v>1683</v>
      </c>
      <c r="C1333">
        <v>36308</v>
      </c>
      <c r="D1333">
        <v>0</v>
      </c>
      <c r="E1333">
        <v>0</v>
      </c>
      <c r="F1333">
        <v>0</v>
      </c>
    </row>
    <row r="1334" spans="1:6" x14ac:dyDescent="0.25">
      <c r="A1334" t="s">
        <v>1585</v>
      </c>
      <c r="B1334" t="s">
        <v>1684</v>
      </c>
      <c r="C1334">
        <v>36309</v>
      </c>
      <c r="D1334">
        <v>0</v>
      </c>
      <c r="E1334">
        <v>0</v>
      </c>
      <c r="F1334">
        <v>0</v>
      </c>
    </row>
    <row r="1335" spans="1:6" x14ac:dyDescent="0.25">
      <c r="A1335" t="s">
        <v>1587</v>
      </c>
      <c r="B1335" t="s">
        <v>1685</v>
      </c>
      <c r="C1335">
        <v>36310</v>
      </c>
      <c r="D1335">
        <v>0</v>
      </c>
      <c r="E1335">
        <v>0</v>
      </c>
      <c r="F1335">
        <v>0</v>
      </c>
    </row>
    <row r="1336" spans="1:6" x14ac:dyDescent="0.25">
      <c r="A1336" t="s">
        <v>1589</v>
      </c>
      <c r="B1336" t="s">
        <v>1686</v>
      </c>
      <c r="C1336">
        <v>36311</v>
      </c>
      <c r="D1336">
        <v>0</v>
      </c>
      <c r="E1336">
        <v>0</v>
      </c>
      <c r="F1336">
        <v>0</v>
      </c>
    </row>
    <row r="1337" spans="1:6" x14ac:dyDescent="0.25">
      <c r="A1337" t="s">
        <v>1591</v>
      </c>
      <c r="B1337" t="s">
        <v>1687</v>
      </c>
      <c r="C1337">
        <v>36312</v>
      </c>
      <c r="D1337">
        <v>0</v>
      </c>
      <c r="E1337">
        <v>0</v>
      </c>
      <c r="F1337">
        <v>0</v>
      </c>
    </row>
    <row r="1338" spans="1:6" x14ac:dyDescent="0.25">
      <c r="A1338" t="s">
        <v>1593</v>
      </c>
      <c r="B1338" t="s">
        <v>1688</v>
      </c>
      <c r="C1338">
        <v>36313</v>
      </c>
      <c r="D1338">
        <v>0</v>
      </c>
      <c r="E1338">
        <v>0</v>
      </c>
      <c r="F1338">
        <v>0</v>
      </c>
    </row>
    <row r="1339" spans="1:6" x14ac:dyDescent="0.25">
      <c r="A1339" t="s">
        <v>1595</v>
      </c>
      <c r="B1339" t="s">
        <v>1690</v>
      </c>
      <c r="C1339">
        <v>36314</v>
      </c>
      <c r="D1339">
        <v>0</v>
      </c>
      <c r="E1339">
        <v>0</v>
      </c>
      <c r="F1339">
        <v>0</v>
      </c>
    </row>
    <row r="1340" spans="1:6" x14ac:dyDescent="0.25">
      <c r="A1340" t="s">
        <v>1597</v>
      </c>
      <c r="B1340" t="s">
        <v>1637</v>
      </c>
      <c r="C1340">
        <v>36315</v>
      </c>
      <c r="D1340">
        <v>0</v>
      </c>
      <c r="E1340">
        <v>0</v>
      </c>
      <c r="F1340">
        <v>0</v>
      </c>
    </row>
    <row r="1341" spans="1:6" x14ac:dyDescent="0.25">
      <c r="A1341" t="s">
        <v>1599</v>
      </c>
      <c r="B1341" t="s">
        <v>1640</v>
      </c>
      <c r="C1341">
        <v>36316</v>
      </c>
      <c r="D1341">
        <v>0</v>
      </c>
      <c r="E1341">
        <v>0</v>
      </c>
      <c r="F1341">
        <v>0</v>
      </c>
    </row>
    <row r="1342" spans="1:6" x14ac:dyDescent="0.25">
      <c r="A1342" t="s">
        <v>1601</v>
      </c>
      <c r="B1342" t="s">
        <v>1636</v>
      </c>
      <c r="C1342">
        <v>36317</v>
      </c>
      <c r="D1342">
        <v>0</v>
      </c>
      <c r="E1342">
        <v>0</v>
      </c>
      <c r="F1342">
        <v>0</v>
      </c>
    </row>
    <row r="1343" spans="1:6" x14ac:dyDescent="0.25">
      <c r="A1343" t="s">
        <v>1603</v>
      </c>
      <c r="B1343" t="s">
        <v>1689</v>
      </c>
      <c r="C1343">
        <v>36318</v>
      </c>
      <c r="D1343">
        <v>0</v>
      </c>
      <c r="E1343">
        <v>0</v>
      </c>
      <c r="F1343">
        <v>0</v>
      </c>
    </row>
    <row r="1344" spans="1:6" x14ac:dyDescent="0.25">
      <c r="B1344" t="s">
        <v>2004</v>
      </c>
      <c r="D1344">
        <v>0</v>
      </c>
      <c r="E1344">
        <v>0</v>
      </c>
      <c r="F1344">
        <v>0</v>
      </c>
    </row>
    <row r="1345" spans="1:6" x14ac:dyDescent="0.25">
      <c r="B1345" t="s">
        <v>1698</v>
      </c>
    </row>
    <row r="1346" spans="1:6" x14ac:dyDescent="0.25">
      <c r="A1346" t="s">
        <v>2</v>
      </c>
      <c r="B1346" t="s">
        <v>1699</v>
      </c>
      <c r="C1346">
        <v>36401</v>
      </c>
      <c r="D1346">
        <v>0</v>
      </c>
      <c r="E1346">
        <v>0</v>
      </c>
      <c r="F1346">
        <v>0</v>
      </c>
    </row>
    <row r="1347" spans="1:6" x14ac:dyDescent="0.25">
      <c r="A1347" t="s">
        <v>15</v>
      </c>
      <c r="B1347" t="s">
        <v>1694</v>
      </c>
      <c r="C1347">
        <v>36402</v>
      </c>
      <c r="D1347">
        <v>0</v>
      </c>
      <c r="E1347">
        <v>0</v>
      </c>
      <c r="F1347">
        <v>0</v>
      </c>
    </row>
    <row r="1348" spans="1:6" x14ac:dyDescent="0.25">
      <c r="A1348" t="s">
        <v>16</v>
      </c>
      <c r="B1348" t="s">
        <v>1695</v>
      </c>
      <c r="C1348">
        <v>36403</v>
      </c>
      <c r="D1348">
        <v>0</v>
      </c>
      <c r="E1348">
        <v>0</v>
      </c>
      <c r="F1348">
        <v>0</v>
      </c>
    </row>
    <row r="1349" spans="1:6" x14ac:dyDescent="0.25">
      <c r="A1349" t="s">
        <v>25</v>
      </c>
      <c r="B1349" t="s">
        <v>1696</v>
      </c>
      <c r="C1349">
        <v>36404</v>
      </c>
      <c r="D1349">
        <v>0</v>
      </c>
      <c r="E1349">
        <v>0</v>
      </c>
      <c r="F1349">
        <v>0</v>
      </c>
    </row>
    <row r="1350" spans="1:6" x14ac:dyDescent="0.25">
      <c r="A1350" t="s">
        <v>26</v>
      </c>
      <c r="B1350" t="s">
        <v>1680</v>
      </c>
      <c r="C1350">
        <v>36405</v>
      </c>
      <c r="D1350">
        <v>0</v>
      </c>
      <c r="E1350">
        <v>0</v>
      </c>
      <c r="F1350">
        <v>0</v>
      </c>
    </row>
    <row r="1351" spans="1:6" x14ac:dyDescent="0.25">
      <c r="A1351" t="s">
        <v>27</v>
      </c>
      <c r="B1351" t="s">
        <v>1681</v>
      </c>
      <c r="C1351">
        <v>36406</v>
      </c>
      <c r="D1351">
        <v>0</v>
      </c>
      <c r="E1351">
        <v>0</v>
      </c>
      <c r="F1351">
        <v>0</v>
      </c>
    </row>
    <row r="1352" spans="1:6" x14ac:dyDescent="0.25">
      <c r="A1352" t="s">
        <v>531</v>
      </c>
      <c r="B1352" t="s">
        <v>1682</v>
      </c>
      <c r="C1352">
        <v>36407</v>
      </c>
      <c r="D1352">
        <v>0</v>
      </c>
      <c r="E1352">
        <v>0</v>
      </c>
      <c r="F1352">
        <v>0</v>
      </c>
    </row>
    <row r="1353" spans="1:6" x14ac:dyDescent="0.25">
      <c r="A1353" t="s">
        <v>1583</v>
      </c>
      <c r="B1353" t="s">
        <v>1683</v>
      </c>
      <c r="C1353">
        <v>36408</v>
      </c>
      <c r="D1353">
        <v>0</v>
      </c>
      <c r="E1353">
        <v>0</v>
      </c>
      <c r="F1353">
        <v>0</v>
      </c>
    </row>
    <row r="1354" spans="1:6" x14ac:dyDescent="0.25">
      <c r="A1354" t="s">
        <v>1585</v>
      </c>
      <c r="B1354" t="s">
        <v>1684</v>
      </c>
      <c r="C1354">
        <v>36409</v>
      </c>
      <c r="D1354">
        <v>0</v>
      </c>
      <c r="E1354">
        <v>0</v>
      </c>
      <c r="F1354">
        <v>0</v>
      </c>
    </row>
    <row r="1355" spans="1:6" x14ac:dyDescent="0.25">
      <c r="A1355" t="s">
        <v>1587</v>
      </c>
      <c r="B1355" t="s">
        <v>1685</v>
      </c>
      <c r="C1355">
        <v>36410</v>
      </c>
      <c r="D1355">
        <v>0</v>
      </c>
      <c r="E1355">
        <v>0</v>
      </c>
      <c r="F1355">
        <v>0</v>
      </c>
    </row>
    <row r="1356" spans="1:6" x14ac:dyDescent="0.25">
      <c r="A1356" t="s">
        <v>1589</v>
      </c>
      <c r="B1356" t="s">
        <v>1686</v>
      </c>
      <c r="C1356">
        <v>36411</v>
      </c>
      <c r="D1356">
        <v>0</v>
      </c>
      <c r="E1356">
        <v>0</v>
      </c>
      <c r="F1356">
        <v>0</v>
      </c>
    </row>
    <row r="1357" spans="1:6" x14ac:dyDescent="0.25">
      <c r="A1357" t="s">
        <v>1591</v>
      </c>
      <c r="B1357" t="s">
        <v>1687</v>
      </c>
      <c r="C1357">
        <v>36412</v>
      </c>
      <c r="D1357">
        <v>0</v>
      </c>
      <c r="E1357">
        <v>0</v>
      </c>
      <c r="F1357">
        <v>0</v>
      </c>
    </row>
    <row r="1358" spans="1:6" x14ac:dyDescent="0.25">
      <c r="A1358" t="s">
        <v>1593</v>
      </c>
      <c r="B1358" t="s">
        <v>1688</v>
      </c>
      <c r="C1358">
        <v>36413</v>
      </c>
      <c r="D1358">
        <v>0</v>
      </c>
      <c r="E1358">
        <v>0</v>
      </c>
      <c r="F1358">
        <v>0</v>
      </c>
    </row>
    <row r="1359" spans="1:6" x14ac:dyDescent="0.25">
      <c r="A1359" t="s">
        <v>1595</v>
      </c>
      <c r="B1359" t="s">
        <v>1690</v>
      </c>
      <c r="C1359">
        <v>36414</v>
      </c>
      <c r="D1359">
        <v>0</v>
      </c>
      <c r="E1359">
        <v>0</v>
      </c>
      <c r="F1359">
        <v>0</v>
      </c>
    </row>
    <row r="1360" spans="1:6" x14ac:dyDescent="0.25">
      <c r="A1360" t="s">
        <v>1597</v>
      </c>
      <c r="B1360" t="s">
        <v>1637</v>
      </c>
      <c r="C1360">
        <v>36415</v>
      </c>
      <c r="D1360">
        <v>0</v>
      </c>
      <c r="E1360">
        <v>0</v>
      </c>
      <c r="F1360">
        <v>0</v>
      </c>
    </row>
    <row r="1361" spans="1:6" x14ac:dyDescent="0.25">
      <c r="A1361" t="s">
        <v>1599</v>
      </c>
      <c r="B1361" t="s">
        <v>1640</v>
      </c>
      <c r="C1361">
        <v>36416</v>
      </c>
      <c r="D1361">
        <v>0</v>
      </c>
      <c r="E1361">
        <v>0</v>
      </c>
      <c r="F1361">
        <v>0</v>
      </c>
    </row>
    <row r="1362" spans="1:6" x14ac:dyDescent="0.25">
      <c r="A1362" t="s">
        <v>1601</v>
      </c>
      <c r="B1362" t="s">
        <v>1636</v>
      </c>
      <c r="C1362">
        <v>36417</v>
      </c>
      <c r="D1362">
        <v>0</v>
      </c>
      <c r="E1362">
        <v>0</v>
      </c>
      <c r="F1362">
        <v>0</v>
      </c>
    </row>
    <row r="1363" spans="1:6" x14ac:dyDescent="0.25">
      <c r="A1363" t="s">
        <v>1603</v>
      </c>
      <c r="B1363" t="s">
        <v>1689</v>
      </c>
      <c r="C1363">
        <v>36418</v>
      </c>
      <c r="D1363">
        <v>0</v>
      </c>
      <c r="E1363">
        <v>0</v>
      </c>
      <c r="F1363">
        <v>0</v>
      </c>
    </row>
    <row r="1364" spans="1:6" x14ac:dyDescent="0.25">
      <c r="B1364" t="s">
        <v>2005</v>
      </c>
      <c r="D1364">
        <v>0</v>
      </c>
      <c r="E1364">
        <v>0</v>
      </c>
      <c r="F1364">
        <v>0</v>
      </c>
    </row>
    <row r="1365" spans="1:6" x14ac:dyDescent="0.25">
      <c r="B1365" t="s">
        <v>1701</v>
      </c>
    </row>
    <row r="1366" spans="1:6" x14ac:dyDescent="0.25">
      <c r="A1366" t="s">
        <v>2</v>
      </c>
      <c r="B1366" t="s">
        <v>1702</v>
      </c>
      <c r="C1366">
        <v>36501</v>
      </c>
      <c r="D1366">
        <v>0</v>
      </c>
      <c r="E1366">
        <v>0</v>
      </c>
      <c r="F1366">
        <v>0</v>
      </c>
    </row>
    <row r="1367" spans="1:6" x14ac:dyDescent="0.25">
      <c r="A1367" t="s">
        <v>15</v>
      </c>
      <c r="B1367" t="s">
        <v>1703</v>
      </c>
      <c r="C1367">
        <v>36502</v>
      </c>
      <c r="D1367">
        <v>0</v>
      </c>
      <c r="E1367">
        <v>0</v>
      </c>
      <c r="F1367">
        <v>0</v>
      </c>
    </row>
    <row r="1368" spans="1:6" x14ac:dyDescent="0.25">
      <c r="B1368" t="s">
        <v>2006</v>
      </c>
      <c r="D1368">
        <v>0</v>
      </c>
      <c r="E1368">
        <v>0</v>
      </c>
      <c r="F1368">
        <v>0</v>
      </c>
    </row>
    <row r="1369" spans="1:6" x14ac:dyDescent="0.25">
      <c r="B1369" t="s">
        <v>1705</v>
      </c>
    </row>
    <row r="1370" spans="1:6" x14ac:dyDescent="0.25">
      <c r="A1370" t="s">
        <v>2</v>
      </c>
      <c r="B1370" t="s">
        <v>1702</v>
      </c>
      <c r="C1370">
        <v>36601</v>
      </c>
      <c r="D1370">
        <v>0</v>
      </c>
      <c r="E1370">
        <v>0</v>
      </c>
      <c r="F1370">
        <v>0</v>
      </c>
    </row>
    <row r="1371" spans="1:6" x14ac:dyDescent="0.25">
      <c r="A1371" t="s">
        <v>15</v>
      </c>
      <c r="B1371" t="s">
        <v>1703</v>
      </c>
      <c r="C1371">
        <v>36602</v>
      </c>
      <c r="D1371">
        <v>0</v>
      </c>
      <c r="E1371">
        <v>0</v>
      </c>
      <c r="F1371">
        <v>0</v>
      </c>
    </row>
    <row r="1372" spans="1:6" x14ac:dyDescent="0.25">
      <c r="B1372" t="s">
        <v>2007</v>
      </c>
      <c r="D1372">
        <v>0</v>
      </c>
      <c r="E1372">
        <v>0</v>
      </c>
      <c r="F1372">
        <v>0</v>
      </c>
    </row>
    <row r="1373" spans="1:6" x14ac:dyDescent="0.25">
      <c r="B1373" t="s">
        <v>1707</v>
      </c>
    </row>
    <row r="1374" spans="1:6" x14ac:dyDescent="0.25">
      <c r="A1374" t="s">
        <v>2</v>
      </c>
      <c r="B1374" t="s">
        <v>1702</v>
      </c>
      <c r="C1374">
        <v>36701</v>
      </c>
      <c r="D1374">
        <v>0</v>
      </c>
      <c r="E1374">
        <v>0</v>
      </c>
      <c r="F1374">
        <v>0</v>
      </c>
    </row>
    <row r="1375" spans="1:6" x14ac:dyDescent="0.25">
      <c r="A1375" t="s">
        <v>15</v>
      </c>
      <c r="B1375" t="s">
        <v>1703</v>
      </c>
      <c r="C1375">
        <v>36702</v>
      </c>
      <c r="D1375">
        <v>0</v>
      </c>
      <c r="E1375">
        <v>0</v>
      </c>
      <c r="F1375">
        <v>0</v>
      </c>
    </row>
    <row r="1376" spans="1:6" x14ac:dyDescent="0.25">
      <c r="B1376" t="s">
        <v>2008</v>
      </c>
      <c r="D1376">
        <v>0</v>
      </c>
      <c r="E1376">
        <v>0</v>
      </c>
      <c r="F1376">
        <v>0</v>
      </c>
    </row>
    <row r="1377" spans="1:6" x14ac:dyDescent="0.25">
      <c r="B1377" t="s">
        <v>1709</v>
      </c>
    </row>
    <row r="1378" spans="1:6" x14ac:dyDescent="0.25">
      <c r="A1378" t="s">
        <v>2</v>
      </c>
      <c r="B1378" t="s">
        <v>1710</v>
      </c>
      <c r="C1378">
        <v>36801</v>
      </c>
      <c r="D1378">
        <v>0</v>
      </c>
      <c r="E1378">
        <v>0</v>
      </c>
      <c r="F1378">
        <v>0</v>
      </c>
    </row>
    <row r="1379" spans="1:6" x14ac:dyDescent="0.25">
      <c r="A1379" t="s">
        <v>15</v>
      </c>
      <c r="B1379" t="s">
        <v>1711</v>
      </c>
      <c r="C1379">
        <v>36802</v>
      </c>
      <c r="D1379">
        <v>0</v>
      </c>
      <c r="E1379">
        <v>0</v>
      </c>
      <c r="F1379">
        <v>0</v>
      </c>
    </row>
    <row r="1380" spans="1:6" x14ac:dyDescent="0.25">
      <c r="A1380" t="s">
        <v>16</v>
      </c>
      <c r="B1380" t="s">
        <v>1712</v>
      </c>
      <c r="C1380">
        <v>36803</v>
      </c>
      <c r="D1380">
        <v>0</v>
      </c>
      <c r="E1380">
        <v>0</v>
      </c>
      <c r="F1380">
        <v>0</v>
      </c>
    </row>
    <row r="1381" spans="1:6" x14ac:dyDescent="0.25">
      <c r="A1381" t="s">
        <v>25</v>
      </c>
      <c r="B1381" t="s">
        <v>1713</v>
      </c>
      <c r="C1381">
        <v>36804</v>
      </c>
      <c r="D1381">
        <v>0</v>
      </c>
      <c r="E1381">
        <v>0</v>
      </c>
      <c r="F1381">
        <v>0</v>
      </c>
    </row>
    <row r="1382" spans="1:6" x14ac:dyDescent="0.25">
      <c r="A1382" t="s">
        <v>26</v>
      </c>
      <c r="B1382" t="s">
        <v>1714</v>
      </c>
      <c r="C1382">
        <v>36805</v>
      </c>
      <c r="D1382">
        <v>0</v>
      </c>
      <c r="E1382">
        <v>0</v>
      </c>
      <c r="F1382">
        <v>0</v>
      </c>
    </row>
    <row r="1383" spans="1:6" x14ac:dyDescent="0.25">
      <c r="B1383" t="s">
        <v>2009</v>
      </c>
      <c r="D1383">
        <v>0</v>
      </c>
      <c r="E1383">
        <v>0</v>
      </c>
      <c r="F1383">
        <v>0</v>
      </c>
    </row>
    <row r="1384" spans="1:6" x14ac:dyDescent="0.25">
      <c r="B1384" t="s">
        <v>1732</v>
      </c>
      <c r="D1384">
        <v>0</v>
      </c>
      <c r="E1384">
        <v>0</v>
      </c>
      <c r="F1384">
        <v>0</v>
      </c>
    </row>
    <row r="1385" spans="1:6" x14ac:dyDescent="0.25">
      <c r="B1385" t="s">
        <v>2010</v>
      </c>
    </row>
    <row r="1386" spans="1:6" x14ac:dyDescent="0.25">
      <c r="B1386" t="s">
        <v>1575</v>
      </c>
    </row>
    <row r="1387" spans="1:6" x14ac:dyDescent="0.25">
      <c r="A1387" t="s">
        <v>2</v>
      </c>
      <c r="B1387" t="s">
        <v>1576</v>
      </c>
      <c r="C1387">
        <v>37101</v>
      </c>
      <c r="D1387">
        <v>0</v>
      </c>
      <c r="F1387">
        <v>0</v>
      </c>
    </row>
    <row r="1388" spans="1:6" x14ac:dyDescent="0.25">
      <c r="A1388" t="s">
        <v>15</v>
      </c>
      <c r="B1388" t="s">
        <v>1577</v>
      </c>
      <c r="C1388">
        <v>37102</v>
      </c>
      <c r="D1388">
        <v>0</v>
      </c>
      <c r="F1388">
        <v>0</v>
      </c>
    </row>
    <row r="1389" spans="1:6" x14ac:dyDescent="0.25">
      <c r="A1389" t="s">
        <v>16</v>
      </c>
      <c r="B1389" t="s">
        <v>1578</v>
      </c>
      <c r="C1389">
        <v>37103</v>
      </c>
      <c r="D1389">
        <v>0</v>
      </c>
      <c r="F1389">
        <v>0</v>
      </c>
    </row>
    <row r="1390" spans="1:6" x14ac:dyDescent="0.25">
      <c r="A1390" t="s">
        <v>25</v>
      </c>
      <c r="B1390" t="s">
        <v>1579</v>
      </c>
      <c r="C1390">
        <v>37104</v>
      </c>
      <c r="D1390">
        <v>0</v>
      </c>
      <c r="F1390">
        <v>0</v>
      </c>
    </row>
    <row r="1391" spans="1:6" x14ac:dyDescent="0.25">
      <c r="A1391" t="s">
        <v>26</v>
      </c>
      <c r="B1391" t="s">
        <v>1580</v>
      </c>
      <c r="C1391">
        <v>37105</v>
      </c>
      <c r="D1391">
        <v>0</v>
      </c>
      <c r="F1391">
        <v>0</v>
      </c>
    </row>
    <row r="1392" spans="1:6" x14ac:dyDescent="0.25">
      <c r="A1392" t="s">
        <v>27</v>
      </c>
      <c r="B1392" t="s">
        <v>1581</v>
      </c>
      <c r="C1392">
        <v>37106</v>
      </c>
      <c r="D1392">
        <v>0</v>
      </c>
      <c r="F1392">
        <v>0</v>
      </c>
    </row>
    <row r="1393" spans="1:6" x14ac:dyDescent="0.25">
      <c r="A1393" t="s">
        <v>531</v>
      </c>
      <c r="B1393" t="s">
        <v>1582</v>
      </c>
      <c r="C1393">
        <v>37107</v>
      </c>
      <c r="D1393">
        <v>20</v>
      </c>
      <c r="F1393">
        <v>20</v>
      </c>
    </row>
    <row r="1394" spans="1:6" x14ac:dyDescent="0.25">
      <c r="A1394" t="s">
        <v>1583</v>
      </c>
      <c r="B1394" t="s">
        <v>1584</v>
      </c>
      <c r="C1394">
        <v>37108</v>
      </c>
      <c r="D1394">
        <v>14383</v>
      </c>
      <c r="F1394">
        <v>14383</v>
      </c>
    </row>
    <row r="1395" spans="1:6" x14ac:dyDescent="0.25">
      <c r="A1395" t="s">
        <v>1585</v>
      </c>
      <c r="B1395" t="s">
        <v>1586</v>
      </c>
      <c r="C1395">
        <v>37109</v>
      </c>
      <c r="D1395">
        <v>5281</v>
      </c>
      <c r="F1395">
        <v>5281</v>
      </c>
    </row>
    <row r="1396" spans="1:6" x14ac:dyDescent="0.25">
      <c r="A1396" t="s">
        <v>1587</v>
      </c>
      <c r="B1396" t="s">
        <v>1588</v>
      </c>
      <c r="C1396">
        <v>37110</v>
      </c>
      <c r="D1396">
        <v>8278</v>
      </c>
      <c r="F1396">
        <v>8278</v>
      </c>
    </row>
    <row r="1397" spans="1:6" x14ac:dyDescent="0.25">
      <c r="A1397" t="s">
        <v>1589</v>
      </c>
      <c r="B1397" t="s">
        <v>1590</v>
      </c>
      <c r="C1397">
        <v>37111</v>
      </c>
      <c r="D1397">
        <v>1634799</v>
      </c>
      <c r="F1397">
        <v>1634799</v>
      </c>
    </row>
    <row r="1398" spans="1:6" x14ac:dyDescent="0.25">
      <c r="A1398" t="s">
        <v>1591</v>
      </c>
      <c r="B1398" t="s">
        <v>1592</v>
      </c>
      <c r="C1398">
        <v>37112</v>
      </c>
      <c r="D1398">
        <v>31689519</v>
      </c>
      <c r="F1398">
        <v>31689519</v>
      </c>
    </row>
    <row r="1399" spans="1:6" x14ac:dyDescent="0.25">
      <c r="A1399" t="s">
        <v>1593</v>
      </c>
      <c r="B1399" t="s">
        <v>1594</v>
      </c>
      <c r="C1399">
        <v>37113</v>
      </c>
      <c r="D1399">
        <v>273</v>
      </c>
      <c r="F1399">
        <v>273</v>
      </c>
    </row>
    <row r="1400" spans="1:6" x14ac:dyDescent="0.25">
      <c r="A1400" t="s">
        <v>1595</v>
      </c>
      <c r="B1400" t="s">
        <v>1596</v>
      </c>
      <c r="C1400">
        <v>37114</v>
      </c>
      <c r="D1400">
        <v>209731</v>
      </c>
      <c r="F1400">
        <v>209731</v>
      </c>
    </row>
    <row r="1401" spans="1:6" x14ac:dyDescent="0.25">
      <c r="A1401" t="s">
        <v>1597</v>
      </c>
      <c r="B1401" t="s">
        <v>1598</v>
      </c>
      <c r="C1401">
        <v>37115</v>
      </c>
      <c r="D1401">
        <v>7236262</v>
      </c>
      <c r="F1401">
        <v>7236262</v>
      </c>
    </row>
    <row r="1402" spans="1:6" x14ac:dyDescent="0.25">
      <c r="A1402" t="s">
        <v>1599</v>
      </c>
      <c r="B1402" t="s">
        <v>1600</v>
      </c>
      <c r="C1402">
        <v>37116</v>
      </c>
      <c r="D1402">
        <v>0</v>
      </c>
      <c r="F1402">
        <v>0</v>
      </c>
    </row>
    <row r="1403" spans="1:6" x14ac:dyDescent="0.25">
      <c r="A1403" t="s">
        <v>1601</v>
      </c>
      <c r="B1403" t="s">
        <v>1602</v>
      </c>
      <c r="C1403">
        <v>37117</v>
      </c>
      <c r="D1403">
        <v>0</v>
      </c>
      <c r="F1403">
        <v>0</v>
      </c>
    </row>
    <row r="1404" spans="1:6" x14ac:dyDescent="0.25">
      <c r="A1404" t="s">
        <v>1603</v>
      </c>
      <c r="B1404" t="s">
        <v>1604</v>
      </c>
      <c r="C1404">
        <v>37118</v>
      </c>
      <c r="D1404">
        <v>458000</v>
      </c>
      <c r="F1404">
        <v>458000</v>
      </c>
    </row>
    <row r="1405" spans="1:6" x14ac:dyDescent="0.25">
      <c r="A1405" t="s">
        <v>1605</v>
      </c>
      <c r="B1405" t="s">
        <v>1606</v>
      </c>
      <c r="C1405">
        <v>37119</v>
      </c>
      <c r="D1405">
        <v>0</v>
      </c>
      <c r="F1405">
        <v>0</v>
      </c>
    </row>
    <row r="1406" spans="1:6" x14ac:dyDescent="0.25">
      <c r="A1406" t="s">
        <v>1607</v>
      </c>
      <c r="B1406" t="s">
        <v>1608</v>
      </c>
      <c r="C1406">
        <v>37120</v>
      </c>
      <c r="D1406">
        <v>0</v>
      </c>
      <c r="F1406">
        <v>0</v>
      </c>
    </row>
    <row r="1407" spans="1:6" x14ac:dyDescent="0.25">
      <c r="B1407" t="s">
        <v>2011</v>
      </c>
      <c r="D1407">
        <v>41256546</v>
      </c>
      <c r="F1407">
        <v>41256546</v>
      </c>
    </row>
    <row r="1408" spans="1:6" x14ac:dyDescent="0.25">
      <c r="B1408" t="s">
        <v>1656</v>
      </c>
    </row>
    <row r="1409" spans="1:6" x14ac:dyDescent="0.25">
      <c r="A1409" t="s">
        <v>2</v>
      </c>
      <c r="B1409" t="s">
        <v>1611</v>
      </c>
      <c r="C1409">
        <v>37201</v>
      </c>
      <c r="D1409">
        <v>0</v>
      </c>
      <c r="F1409">
        <v>0</v>
      </c>
    </row>
    <row r="1410" spans="1:6" x14ac:dyDescent="0.25">
      <c r="A1410" t="s">
        <v>15</v>
      </c>
      <c r="B1410" t="s">
        <v>1612</v>
      </c>
      <c r="C1410">
        <v>37202</v>
      </c>
      <c r="D1410">
        <v>0</v>
      </c>
      <c r="F1410">
        <v>0</v>
      </c>
    </row>
    <row r="1411" spans="1:6" x14ac:dyDescent="0.25">
      <c r="A1411" t="s">
        <v>16</v>
      </c>
      <c r="B1411" t="s">
        <v>1613</v>
      </c>
      <c r="C1411">
        <v>37203</v>
      </c>
      <c r="D1411">
        <v>0</v>
      </c>
      <c r="F1411">
        <v>0</v>
      </c>
    </row>
    <row r="1412" spans="1:6" x14ac:dyDescent="0.25">
      <c r="A1412" t="s">
        <v>25</v>
      </c>
      <c r="B1412" t="s">
        <v>1614</v>
      </c>
      <c r="C1412">
        <v>37204</v>
      </c>
      <c r="D1412">
        <v>50813</v>
      </c>
      <c r="F1412">
        <v>50813</v>
      </c>
    </row>
    <row r="1413" spans="1:6" x14ac:dyDescent="0.25">
      <c r="A1413" t="s">
        <v>26</v>
      </c>
      <c r="B1413" t="s">
        <v>1615</v>
      </c>
      <c r="C1413">
        <v>37205</v>
      </c>
      <c r="D1413">
        <v>0</v>
      </c>
      <c r="F1413">
        <v>0</v>
      </c>
    </row>
    <row r="1414" spans="1:6" x14ac:dyDescent="0.25">
      <c r="A1414" t="s">
        <v>27</v>
      </c>
      <c r="B1414" t="s">
        <v>1616</v>
      </c>
      <c r="C1414">
        <v>37206</v>
      </c>
      <c r="D1414">
        <v>0</v>
      </c>
      <c r="F1414">
        <v>0</v>
      </c>
    </row>
    <row r="1415" spans="1:6" x14ac:dyDescent="0.25">
      <c r="A1415" t="s">
        <v>531</v>
      </c>
      <c r="B1415" t="s">
        <v>1617</v>
      </c>
      <c r="C1415">
        <v>37207</v>
      </c>
      <c r="D1415">
        <v>0</v>
      </c>
      <c r="F1415">
        <v>0</v>
      </c>
    </row>
    <row r="1416" spans="1:6" x14ac:dyDescent="0.25">
      <c r="A1416" t="s">
        <v>1583</v>
      </c>
      <c r="B1416" t="s">
        <v>1618</v>
      </c>
      <c r="C1416">
        <v>37208</v>
      </c>
      <c r="D1416">
        <v>0</v>
      </c>
      <c r="F1416">
        <v>0</v>
      </c>
    </row>
    <row r="1417" spans="1:6" x14ac:dyDescent="0.25">
      <c r="A1417" t="s">
        <v>1585</v>
      </c>
      <c r="B1417" t="s">
        <v>1619</v>
      </c>
      <c r="C1417">
        <v>37209</v>
      </c>
      <c r="D1417">
        <v>0</v>
      </c>
      <c r="F1417">
        <v>0</v>
      </c>
    </row>
    <row r="1418" spans="1:6" x14ac:dyDescent="0.25">
      <c r="A1418" t="s">
        <v>1587</v>
      </c>
      <c r="B1418" t="s">
        <v>1620</v>
      </c>
      <c r="C1418">
        <v>37210</v>
      </c>
      <c r="D1418">
        <v>0</v>
      </c>
      <c r="F1418">
        <v>0</v>
      </c>
    </row>
    <row r="1419" spans="1:6" x14ac:dyDescent="0.25">
      <c r="A1419" t="s">
        <v>1589</v>
      </c>
      <c r="B1419" t="s">
        <v>1621</v>
      </c>
      <c r="C1419">
        <v>37211</v>
      </c>
      <c r="D1419">
        <v>2201786</v>
      </c>
      <c r="F1419">
        <v>2201786</v>
      </c>
    </row>
    <row r="1420" spans="1:6" x14ac:dyDescent="0.25">
      <c r="A1420" t="s">
        <v>1591</v>
      </c>
      <c r="B1420" t="s">
        <v>1622</v>
      </c>
      <c r="C1420">
        <v>37212</v>
      </c>
      <c r="D1420">
        <v>20120077</v>
      </c>
      <c r="F1420">
        <v>20120077</v>
      </c>
    </row>
    <row r="1421" spans="1:6" x14ac:dyDescent="0.25">
      <c r="A1421" t="s">
        <v>1593</v>
      </c>
      <c r="B1421" t="s">
        <v>1623</v>
      </c>
      <c r="C1421">
        <v>37213</v>
      </c>
      <c r="D1421">
        <v>1595</v>
      </c>
      <c r="F1421">
        <v>1595</v>
      </c>
    </row>
    <row r="1422" spans="1:6" x14ac:dyDescent="0.25">
      <c r="A1422" t="s">
        <v>1595</v>
      </c>
      <c r="B1422" t="s">
        <v>1624</v>
      </c>
      <c r="C1422">
        <v>37214</v>
      </c>
      <c r="D1422">
        <v>124791</v>
      </c>
      <c r="F1422">
        <v>124791</v>
      </c>
    </row>
    <row r="1423" spans="1:6" x14ac:dyDescent="0.25">
      <c r="A1423" t="s">
        <v>1597</v>
      </c>
      <c r="B1423" t="s">
        <v>1625</v>
      </c>
      <c r="C1423">
        <v>37215</v>
      </c>
      <c r="D1423">
        <v>5293</v>
      </c>
      <c r="F1423">
        <v>5293</v>
      </c>
    </row>
    <row r="1424" spans="1:6" x14ac:dyDescent="0.25">
      <c r="A1424" t="s">
        <v>1599</v>
      </c>
      <c r="B1424" t="s">
        <v>1626</v>
      </c>
      <c r="C1424">
        <v>37216</v>
      </c>
      <c r="D1424">
        <v>0</v>
      </c>
      <c r="F1424">
        <v>0</v>
      </c>
    </row>
    <row r="1425" spans="1:6" x14ac:dyDescent="0.25">
      <c r="A1425" t="s">
        <v>1601</v>
      </c>
      <c r="B1425" t="s">
        <v>1627</v>
      </c>
      <c r="C1425">
        <v>37217</v>
      </c>
      <c r="D1425">
        <v>0</v>
      </c>
      <c r="F1425">
        <v>0</v>
      </c>
    </row>
    <row r="1426" spans="1:6" x14ac:dyDescent="0.25">
      <c r="A1426" t="s">
        <v>1603</v>
      </c>
      <c r="B1426" t="s">
        <v>1596</v>
      </c>
      <c r="C1426">
        <v>37218</v>
      </c>
      <c r="D1426">
        <v>62</v>
      </c>
      <c r="F1426">
        <v>62</v>
      </c>
    </row>
    <row r="1427" spans="1:6" x14ac:dyDescent="0.25">
      <c r="A1427" t="s">
        <v>1605</v>
      </c>
      <c r="B1427" t="s">
        <v>1598</v>
      </c>
      <c r="C1427">
        <v>37219</v>
      </c>
      <c r="D1427">
        <v>0</v>
      </c>
      <c r="F1427">
        <v>0</v>
      </c>
    </row>
    <row r="1428" spans="1:6" x14ac:dyDescent="0.25">
      <c r="A1428" t="s">
        <v>1607</v>
      </c>
      <c r="B1428" t="s">
        <v>1602</v>
      </c>
      <c r="C1428">
        <v>37220</v>
      </c>
      <c r="D1428">
        <v>0</v>
      </c>
      <c r="F1428">
        <v>0</v>
      </c>
    </row>
    <row r="1429" spans="1:6" x14ac:dyDescent="0.25">
      <c r="B1429" t="s">
        <v>2012</v>
      </c>
      <c r="D1429">
        <v>22504417</v>
      </c>
      <c r="F1429">
        <v>22504417</v>
      </c>
    </row>
    <row r="1430" spans="1:6" x14ac:dyDescent="0.25">
      <c r="B1430" t="s">
        <v>1629</v>
      </c>
    </row>
    <row r="1431" spans="1:6" x14ac:dyDescent="0.25">
      <c r="A1431" t="s">
        <v>2</v>
      </c>
      <c r="B1431" t="s">
        <v>1627</v>
      </c>
      <c r="C1431">
        <v>37301</v>
      </c>
      <c r="D1431">
        <v>0</v>
      </c>
      <c r="F1431">
        <v>0</v>
      </c>
    </row>
    <row r="1432" spans="1:6" x14ac:dyDescent="0.25">
      <c r="A1432" t="s">
        <v>15</v>
      </c>
      <c r="B1432" t="s">
        <v>1625</v>
      </c>
      <c r="C1432">
        <v>37302</v>
      </c>
      <c r="D1432">
        <v>1200</v>
      </c>
      <c r="F1432">
        <v>1200</v>
      </c>
    </row>
    <row r="1433" spans="1:6" x14ac:dyDescent="0.25">
      <c r="A1433" t="s">
        <v>16</v>
      </c>
      <c r="B1433" t="s">
        <v>1626</v>
      </c>
      <c r="C1433">
        <v>37303</v>
      </c>
      <c r="D1433">
        <v>0</v>
      </c>
      <c r="F1433">
        <v>0</v>
      </c>
    </row>
    <row r="1434" spans="1:6" x14ac:dyDescent="0.25">
      <c r="B1434" t="s">
        <v>2013</v>
      </c>
      <c r="D1434">
        <v>1200</v>
      </c>
      <c r="F1434">
        <v>1200</v>
      </c>
    </row>
    <row r="1435" spans="1:6" x14ac:dyDescent="0.25">
      <c r="B1435" t="s">
        <v>1631</v>
      </c>
    </row>
    <row r="1436" spans="1:6" x14ac:dyDescent="0.25">
      <c r="A1436" t="s">
        <v>2</v>
      </c>
      <c r="B1436" t="s">
        <v>1627</v>
      </c>
      <c r="C1436">
        <v>37401</v>
      </c>
      <c r="D1436">
        <v>0</v>
      </c>
      <c r="F1436">
        <v>0</v>
      </c>
    </row>
    <row r="1437" spans="1:6" x14ac:dyDescent="0.25">
      <c r="A1437" t="s">
        <v>15</v>
      </c>
      <c r="B1437" t="s">
        <v>1625</v>
      </c>
      <c r="C1437">
        <v>37402</v>
      </c>
      <c r="D1437">
        <v>0</v>
      </c>
      <c r="F1437">
        <v>0</v>
      </c>
    </row>
    <row r="1438" spans="1:6" x14ac:dyDescent="0.25">
      <c r="A1438" t="s">
        <v>16</v>
      </c>
      <c r="B1438" t="s">
        <v>1626</v>
      </c>
      <c r="C1438">
        <v>37403</v>
      </c>
      <c r="D1438">
        <v>0</v>
      </c>
      <c r="F1438">
        <v>0</v>
      </c>
    </row>
    <row r="1439" spans="1:6" x14ac:dyDescent="0.25">
      <c r="B1439" t="s">
        <v>2014</v>
      </c>
      <c r="D1439">
        <v>0</v>
      </c>
      <c r="F1439">
        <v>0</v>
      </c>
    </row>
    <row r="1440" spans="1:6" x14ac:dyDescent="0.25">
      <c r="B1440" t="s">
        <v>1722</v>
      </c>
    </row>
    <row r="1441" spans="1:6" x14ac:dyDescent="0.25">
      <c r="A1441" t="s">
        <v>2</v>
      </c>
      <c r="B1441" t="s">
        <v>1634</v>
      </c>
      <c r="C1441">
        <v>37501</v>
      </c>
      <c r="D1441">
        <v>0</v>
      </c>
      <c r="F1441">
        <v>0</v>
      </c>
    </row>
    <row r="1442" spans="1:6" x14ac:dyDescent="0.25">
      <c r="A1442" t="s">
        <v>15</v>
      </c>
      <c r="B1442" t="s">
        <v>1635</v>
      </c>
      <c r="C1442">
        <v>37502</v>
      </c>
      <c r="D1442">
        <v>0</v>
      </c>
      <c r="F1442">
        <v>0</v>
      </c>
    </row>
    <row r="1443" spans="1:6" x14ac:dyDescent="0.25">
      <c r="A1443" t="s">
        <v>16</v>
      </c>
      <c r="B1443" t="s">
        <v>1636</v>
      </c>
      <c r="C1443">
        <v>37503</v>
      </c>
      <c r="D1443">
        <v>0</v>
      </c>
      <c r="F1443">
        <v>0</v>
      </c>
    </row>
    <row r="1444" spans="1:6" x14ac:dyDescent="0.25">
      <c r="A1444" t="s">
        <v>25</v>
      </c>
      <c r="B1444" t="s">
        <v>1637</v>
      </c>
      <c r="C1444">
        <v>37504</v>
      </c>
      <c r="D1444">
        <v>0</v>
      </c>
      <c r="F1444">
        <v>0</v>
      </c>
    </row>
    <row r="1445" spans="1:6" x14ac:dyDescent="0.25">
      <c r="A1445" t="s">
        <v>26</v>
      </c>
      <c r="B1445" t="s">
        <v>1638</v>
      </c>
      <c r="C1445">
        <v>37505</v>
      </c>
      <c r="D1445">
        <v>17928</v>
      </c>
      <c r="F1445">
        <v>17928</v>
      </c>
    </row>
    <row r="1446" spans="1:6" x14ac:dyDescent="0.25">
      <c r="A1446" t="s">
        <v>27</v>
      </c>
      <c r="B1446" t="s">
        <v>1639</v>
      </c>
      <c r="C1446">
        <v>37506</v>
      </c>
      <c r="D1446">
        <v>0</v>
      </c>
      <c r="F1446">
        <v>0</v>
      </c>
    </row>
    <row r="1447" spans="1:6" x14ac:dyDescent="0.25">
      <c r="A1447" t="s">
        <v>531</v>
      </c>
      <c r="B1447" t="s">
        <v>1640</v>
      </c>
      <c r="C1447">
        <v>37507</v>
      </c>
      <c r="D1447">
        <v>0</v>
      </c>
      <c r="F1447">
        <v>0</v>
      </c>
    </row>
    <row r="1448" spans="1:6" x14ac:dyDescent="0.25">
      <c r="A1448" t="s">
        <v>1583</v>
      </c>
      <c r="B1448" t="s">
        <v>1641</v>
      </c>
      <c r="C1448">
        <v>37508</v>
      </c>
      <c r="D1448">
        <v>0</v>
      </c>
      <c r="F1448">
        <v>0</v>
      </c>
    </row>
    <row r="1449" spans="1:6" x14ac:dyDescent="0.25">
      <c r="B1449" t="s">
        <v>2015</v>
      </c>
      <c r="D1449">
        <v>17928</v>
      </c>
      <c r="F1449">
        <v>17928</v>
      </c>
    </row>
    <row r="1450" spans="1:6" x14ac:dyDescent="0.25">
      <c r="B1450" t="s">
        <v>1724</v>
      </c>
    </row>
    <row r="1451" spans="1:6" x14ac:dyDescent="0.25">
      <c r="A1451" t="s">
        <v>2</v>
      </c>
      <c r="B1451" t="s">
        <v>1634</v>
      </c>
      <c r="C1451">
        <v>37601</v>
      </c>
      <c r="D1451">
        <v>0</v>
      </c>
      <c r="F1451">
        <v>0</v>
      </c>
    </row>
    <row r="1452" spans="1:6" x14ac:dyDescent="0.25">
      <c r="A1452" t="s">
        <v>15</v>
      </c>
      <c r="B1452" t="s">
        <v>1635</v>
      </c>
      <c r="C1452">
        <v>37602</v>
      </c>
      <c r="D1452">
        <v>0</v>
      </c>
      <c r="F1452">
        <v>0</v>
      </c>
    </row>
    <row r="1453" spans="1:6" x14ac:dyDescent="0.25">
      <c r="A1453" t="s">
        <v>16</v>
      </c>
      <c r="B1453" t="s">
        <v>1636</v>
      </c>
      <c r="C1453">
        <v>37603</v>
      </c>
      <c r="D1453">
        <v>0</v>
      </c>
      <c r="F1453">
        <v>0</v>
      </c>
    </row>
    <row r="1454" spans="1:6" x14ac:dyDescent="0.25">
      <c r="A1454" t="s">
        <v>25</v>
      </c>
      <c r="B1454" t="s">
        <v>1637</v>
      </c>
      <c r="C1454">
        <v>37604</v>
      </c>
      <c r="D1454">
        <v>0</v>
      </c>
      <c r="F1454">
        <v>0</v>
      </c>
    </row>
    <row r="1455" spans="1:6" x14ac:dyDescent="0.25">
      <c r="A1455" t="s">
        <v>26</v>
      </c>
      <c r="B1455" t="s">
        <v>1638</v>
      </c>
      <c r="C1455">
        <v>37605</v>
      </c>
      <c r="D1455">
        <v>10120</v>
      </c>
      <c r="F1455">
        <v>10120</v>
      </c>
    </row>
    <row r="1456" spans="1:6" x14ac:dyDescent="0.25">
      <c r="A1456" t="s">
        <v>27</v>
      </c>
      <c r="B1456" t="s">
        <v>1639</v>
      </c>
      <c r="C1456">
        <v>37606</v>
      </c>
      <c r="D1456">
        <v>0</v>
      </c>
      <c r="F1456">
        <v>0</v>
      </c>
    </row>
    <row r="1457" spans="1:6" x14ac:dyDescent="0.25">
      <c r="A1457" t="s">
        <v>531</v>
      </c>
      <c r="B1457" t="s">
        <v>1640</v>
      </c>
      <c r="C1457">
        <v>37607</v>
      </c>
      <c r="D1457">
        <v>0</v>
      </c>
      <c r="F1457">
        <v>0</v>
      </c>
    </row>
    <row r="1458" spans="1:6" x14ac:dyDescent="0.25">
      <c r="A1458" t="s">
        <v>1583</v>
      </c>
      <c r="B1458" t="s">
        <v>1641</v>
      </c>
      <c r="C1458">
        <v>37608</v>
      </c>
      <c r="D1458">
        <v>277516</v>
      </c>
      <c r="F1458">
        <v>277516</v>
      </c>
    </row>
    <row r="1459" spans="1:6" x14ac:dyDescent="0.25">
      <c r="B1459" t="s">
        <v>2016</v>
      </c>
      <c r="D1459">
        <v>287636</v>
      </c>
      <c r="F1459">
        <v>287636</v>
      </c>
    </row>
    <row r="1460" spans="1:6" x14ac:dyDescent="0.25">
      <c r="B1460" t="s">
        <v>1726</v>
      </c>
    </row>
    <row r="1461" spans="1:6" x14ac:dyDescent="0.25">
      <c r="A1461" t="s">
        <v>2</v>
      </c>
      <c r="B1461" t="s">
        <v>1648</v>
      </c>
      <c r="C1461">
        <v>37701</v>
      </c>
      <c r="D1461">
        <v>0</v>
      </c>
      <c r="F1461">
        <v>0</v>
      </c>
    </row>
    <row r="1462" spans="1:6" x14ac:dyDescent="0.25">
      <c r="A1462" t="s">
        <v>15</v>
      </c>
      <c r="B1462" t="s">
        <v>1649</v>
      </c>
      <c r="C1462">
        <v>37702</v>
      </c>
      <c r="D1462">
        <v>0</v>
      </c>
      <c r="F1462">
        <v>0</v>
      </c>
    </row>
    <row r="1463" spans="1:6" x14ac:dyDescent="0.25">
      <c r="A1463" t="s">
        <v>16</v>
      </c>
      <c r="B1463" t="s">
        <v>1637</v>
      </c>
      <c r="C1463">
        <v>37703</v>
      </c>
      <c r="D1463">
        <v>0</v>
      </c>
      <c r="F1463">
        <v>0</v>
      </c>
    </row>
    <row r="1464" spans="1:6" x14ac:dyDescent="0.25">
      <c r="A1464" t="s">
        <v>25</v>
      </c>
      <c r="B1464" t="s">
        <v>1638</v>
      </c>
      <c r="C1464">
        <v>37704</v>
      </c>
      <c r="D1464">
        <v>3217798</v>
      </c>
      <c r="F1464">
        <v>3217798</v>
      </c>
    </row>
    <row r="1465" spans="1:6" x14ac:dyDescent="0.25">
      <c r="A1465" t="s">
        <v>26</v>
      </c>
      <c r="B1465" t="s">
        <v>1650</v>
      </c>
      <c r="C1465">
        <v>37705</v>
      </c>
      <c r="D1465">
        <v>0</v>
      </c>
      <c r="F1465">
        <v>0</v>
      </c>
    </row>
    <row r="1466" spans="1:6" x14ac:dyDescent="0.25">
      <c r="A1466" t="s">
        <v>27</v>
      </c>
      <c r="B1466" t="s">
        <v>1651</v>
      </c>
      <c r="C1466">
        <v>37706</v>
      </c>
      <c r="D1466">
        <v>0</v>
      </c>
      <c r="F1466">
        <v>0</v>
      </c>
    </row>
    <row r="1467" spans="1:6" x14ac:dyDescent="0.25">
      <c r="A1467" t="s">
        <v>531</v>
      </c>
      <c r="B1467" t="s">
        <v>1640</v>
      </c>
      <c r="C1467">
        <v>37707</v>
      </c>
      <c r="D1467">
        <v>0</v>
      </c>
      <c r="F1467">
        <v>0</v>
      </c>
    </row>
    <row r="1468" spans="1:6" x14ac:dyDescent="0.25">
      <c r="A1468" t="s">
        <v>1583</v>
      </c>
      <c r="B1468" t="s">
        <v>1641</v>
      </c>
      <c r="C1468">
        <v>37708</v>
      </c>
      <c r="D1468">
        <v>0</v>
      </c>
      <c r="F1468">
        <v>0</v>
      </c>
    </row>
    <row r="1469" spans="1:6" x14ac:dyDescent="0.25">
      <c r="B1469" t="s">
        <v>2017</v>
      </c>
      <c r="D1469">
        <v>3217798</v>
      </c>
      <c r="F1469">
        <v>3217798</v>
      </c>
    </row>
    <row r="1470" spans="1:6" x14ac:dyDescent="0.25">
      <c r="B1470" t="s">
        <v>1866</v>
      </c>
      <c r="D1470">
        <v>67285525</v>
      </c>
      <c r="F1470">
        <v>67285525</v>
      </c>
    </row>
    <row r="1471" spans="1:6" x14ac:dyDescent="0.25">
      <c r="B1471" t="s">
        <v>2018</v>
      </c>
      <c r="D1471">
        <v>86653835</v>
      </c>
      <c r="E1471">
        <v>4661071</v>
      </c>
      <c r="F1471">
        <v>91314906</v>
      </c>
    </row>
    <row r="1472" spans="1:6" x14ac:dyDescent="0.25">
      <c r="B1472" t="s">
        <v>2019</v>
      </c>
    </row>
    <row r="1473" spans="1:6" x14ac:dyDescent="0.25">
      <c r="B1473" t="s">
        <v>2020</v>
      </c>
    </row>
    <row r="1474" spans="1:6" x14ac:dyDescent="0.25">
      <c r="B1474" t="s">
        <v>1575</v>
      </c>
    </row>
    <row r="1475" spans="1:6" x14ac:dyDescent="0.25">
      <c r="A1475" t="s">
        <v>2</v>
      </c>
      <c r="B1475" t="s">
        <v>1576</v>
      </c>
      <c r="C1475">
        <v>41101</v>
      </c>
      <c r="D1475">
        <v>0</v>
      </c>
      <c r="E1475">
        <v>0</v>
      </c>
      <c r="F1475">
        <v>0</v>
      </c>
    </row>
    <row r="1476" spans="1:6" x14ac:dyDescent="0.25">
      <c r="A1476" t="s">
        <v>15</v>
      </c>
      <c r="B1476" t="s">
        <v>1577</v>
      </c>
      <c r="C1476">
        <v>41102</v>
      </c>
      <c r="D1476">
        <v>0</v>
      </c>
      <c r="E1476">
        <v>0</v>
      </c>
      <c r="F1476">
        <v>0</v>
      </c>
    </row>
    <row r="1477" spans="1:6" x14ac:dyDescent="0.25">
      <c r="A1477" t="s">
        <v>16</v>
      </c>
      <c r="B1477" t="s">
        <v>1578</v>
      </c>
      <c r="C1477">
        <v>41103</v>
      </c>
      <c r="D1477">
        <v>0</v>
      </c>
      <c r="E1477">
        <v>0</v>
      </c>
      <c r="F1477">
        <v>0</v>
      </c>
    </row>
    <row r="1478" spans="1:6" x14ac:dyDescent="0.25">
      <c r="A1478" t="s">
        <v>25</v>
      </c>
      <c r="B1478" t="s">
        <v>1579</v>
      </c>
      <c r="C1478">
        <v>41104</v>
      </c>
      <c r="D1478">
        <v>0</v>
      </c>
      <c r="E1478">
        <v>0</v>
      </c>
      <c r="F1478">
        <v>0</v>
      </c>
    </row>
    <row r="1479" spans="1:6" x14ac:dyDescent="0.25">
      <c r="A1479" t="s">
        <v>26</v>
      </c>
      <c r="B1479" t="s">
        <v>1580</v>
      </c>
      <c r="C1479">
        <v>41105</v>
      </c>
      <c r="D1479">
        <v>0</v>
      </c>
      <c r="E1479">
        <v>0</v>
      </c>
      <c r="F1479">
        <v>0</v>
      </c>
    </row>
    <row r="1480" spans="1:6" x14ac:dyDescent="0.25">
      <c r="A1480" t="s">
        <v>27</v>
      </c>
      <c r="B1480" t="s">
        <v>1581</v>
      </c>
      <c r="C1480">
        <v>41106</v>
      </c>
      <c r="D1480">
        <v>0</v>
      </c>
      <c r="E1480">
        <v>0</v>
      </c>
      <c r="F1480">
        <v>0</v>
      </c>
    </row>
    <row r="1481" spans="1:6" x14ac:dyDescent="0.25">
      <c r="A1481" t="s">
        <v>531</v>
      </c>
      <c r="B1481" t="s">
        <v>1582</v>
      </c>
      <c r="C1481">
        <v>41107</v>
      </c>
      <c r="D1481">
        <v>0</v>
      </c>
      <c r="E1481">
        <v>0</v>
      </c>
      <c r="F1481">
        <v>0</v>
      </c>
    </row>
    <row r="1482" spans="1:6" x14ac:dyDescent="0.25">
      <c r="A1482" t="s">
        <v>1583</v>
      </c>
      <c r="B1482" t="s">
        <v>1584</v>
      </c>
      <c r="C1482">
        <v>41108</v>
      </c>
      <c r="D1482">
        <v>29798</v>
      </c>
      <c r="E1482">
        <v>0</v>
      </c>
      <c r="F1482">
        <v>29798</v>
      </c>
    </row>
    <row r="1483" spans="1:6" x14ac:dyDescent="0.25">
      <c r="A1483" t="s">
        <v>1585</v>
      </c>
      <c r="B1483" t="s">
        <v>1586</v>
      </c>
      <c r="C1483">
        <v>41109</v>
      </c>
      <c r="D1483">
        <v>0</v>
      </c>
      <c r="E1483">
        <v>0</v>
      </c>
      <c r="F1483">
        <v>0</v>
      </c>
    </row>
    <row r="1484" spans="1:6" x14ac:dyDescent="0.25">
      <c r="A1484" t="s">
        <v>1587</v>
      </c>
      <c r="B1484" t="s">
        <v>1588</v>
      </c>
      <c r="C1484">
        <v>41110</v>
      </c>
      <c r="D1484">
        <v>0</v>
      </c>
      <c r="E1484">
        <v>0</v>
      </c>
      <c r="F1484">
        <v>0</v>
      </c>
    </row>
    <row r="1485" spans="1:6" x14ac:dyDescent="0.25">
      <c r="A1485" t="s">
        <v>1589</v>
      </c>
      <c r="B1485" t="s">
        <v>1590</v>
      </c>
      <c r="C1485">
        <v>41111</v>
      </c>
      <c r="D1485">
        <v>134521</v>
      </c>
      <c r="E1485">
        <v>0</v>
      </c>
      <c r="F1485">
        <v>134521</v>
      </c>
    </row>
    <row r="1486" spans="1:6" x14ac:dyDescent="0.25">
      <c r="A1486" t="s">
        <v>1591</v>
      </c>
      <c r="B1486" t="s">
        <v>1592</v>
      </c>
      <c r="C1486">
        <v>41112</v>
      </c>
      <c r="D1486">
        <v>15175570</v>
      </c>
      <c r="E1486">
        <v>0</v>
      </c>
      <c r="F1486">
        <v>15175570</v>
      </c>
    </row>
    <row r="1487" spans="1:6" x14ac:dyDescent="0.25">
      <c r="A1487" t="s">
        <v>1593</v>
      </c>
      <c r="B1487" t="s">
        <v>1594</v>
      </c>
      <c r="C1487">
        <v>41113</v>
      </c>
      <c r="D1487">
        <v>0</v>
      </c>
      <c r="E1487">
        <v>0</v>
      </c>
      <c r="F1487">
        <v>0</v>
      </c>
    </row>
    <row r="1488" spans="1:6" x14ac:dyDescent="0.25">
      <c r="A1488" t="s">
        <v>1595</v>
      </c>
      <c r="B1488" t="s">
        <v>1596</v>
      </c>
      <c r="C1488">
        <v>41114</v>
      </c>
      <c r="D1488">
        <v>803</v>
      </c>
      <c r="E1488">
        <v>0</v>
      </c>
      <c r="F1488">
        <v>803</v>
      </c>
    </row>
    <row r="1489" spans="1:6" x14ac:dyDescent="0.25">
      <c r="A1489" t="s">
        <v>1597</v>
      </c>
      <c r="B1489" t="s">
        <v>1598</v>
      </c>
      <c r="C1489">
        <v>41115</v>
      </c>
      <c r="D1489">
        <v>45866</v>
      </c>
      <c r="E1489">
        <v>0</v>
      </c>
      <c r="F1489">
        <v>45866</v>
      </c>
    </row>
    <row r="1490" spans="1:6" x14ac:dyDescent="0.25">
      <c r="A1490" t="s">
        <v>1599</v>
      </c>
      <c r="B1490" t="s">
        <v>1600</v>
      </c>
      <c r="C1490">
        <v>41116</v>
      </c>
      <c r="D1490">
        <v>0</v>
      </c>
      <c r="E1490">
        <v>0</v>
      </c>
      <c r="F1490">
        <v>0</v>
      </c>
    </row>
    <row r="1491" spans="1:6" x14ac:dyDescent="0.25">
      <c r="A1491" t="s">
        <v>1601</v>
      </c>
      <c r="B1491" t="s">
        <v>1602</v>
      </c>
      <c r="C1491">
        <v>41117</v>
      </c>
      <c r="D1491">
        <v>0</v>
      </c>
      <c r="E1491">
        <v>0</v>
      </c>
      <c r="F1491">
        <v>0</v>
      </c>
    </row>
    <row r="1492" spans="1:6" x14ac:dyDescent="0.25">
      <c r="A1492" t="s">
        <v>1603</v>
      </c>
      <c r="B1492" t="s">
        <v>1604</v>
      </c>
      <c r="C1492">
        <v>41118</v>
      </c>
      <c r="D1492">
        <v>0</v>
      </c>
      <c r="E1492">
        <v>0</v>
      </c>
      <c r="F1492">
        <v>0</v>
      </c>
    </row>
    <row r="1493" spans="1:6" x14ac:dyDescent="0.25">
      <c r="A1493" t="s">
        <v>1605</v>
      </c>
      <c r="B1493" t="s">
        <v>1606</v>
      </c>
      <c r="C1493">
        <v>41119</v>
      </c>
      <c r="D1493">
        <v>0</v>
      </c>
      <c r="E1493">
        <v>0</v>
      </c>
      <c r="F1493">
        <v>0</v>
      </c>
    </row>
    <row r="1494" spans="1:6" x14ac:dyDescent="0.25">
      <c r="A1494" t="s">
        <v>1607</v>
      </c>
      <c r="B1494" t="s">
        <v>1608</v>
      </c>
      <c r="C1494">
        <v>41120</v>
      </c>
      <c r="D1494">
        <v>0</v>
      </c>
      <c r="E1494">
        <v>0</v>
      </c>
      <c r="F1494">
        <v>0</v>
      </c>
    </row>
    <row r="1495" spans="1:6" x14ac:dyDescent="0.25">
      <c r="B1495" t="s">
        <v>2021</v>
      </c>
      <c r="D1495">
        <v>15386558</v>
      </c>
      <c r="E1495">
        <v>0</v>
      </c>
      <c r="F1495">
        <v>15386558</v>
      </c>
    </row>
    <row r="1496" spans="1:6" x14ac:dyDescent="0.25">
      <c r="B1496" t="s">
        <v>1656</v>
      </c>
    </row>
    <row r="1497" spans="1:6" x14ac:dyDescent="0.25">
      <c r="A1497" t="s">
        <v>2</v>
      </c>
      <c r="B1497" t="s">
        <v>1611</v>
      </c>
      <c r="C1497">
        <v>41201</v>
      </c>
      <c r="D1497">
        <v>0</v>
      </c>
      <c r="E1497">
        <v>0</v>
      </c>
      <c r="F1497">
        <v>0</v>
      </c>
    </row>
    <row r="1498" spans="1:6" x14ac:dyDescent="0.25">
      <c r="A1498" t="s">
        <v>15</v>
      </c>
      <c r="B1498" t="s">
        <v>1612</v>
      </c>
      <c r="C1498">
        <v>41202</v>
      </c>
      <c r="D1498">
        <v>0</v>
      </c>
      <c r="E1498">
        <v>0</v>
      </c>
      <c r="F1498">
        <v>0</v>
      </c>
    </row>
    <row r="1499" spans="1:6" x14ac:dyDescent="0.25">
      <c r="A1499" t="s">
        <v>16</v>
      </c>
      <c r="B1499" t="s">
        <v>1613</v>
      </c>
      <c r="C1499">
        <v>41203</v>
      </c>
      <c r="D1499">
        <v>0</v>
      </c>
      <c r="E1499">
        <v>0</v>
      </c>
      <c r="F1499">
        <v>0</v>
      </c>
    </row>
    <row r="1500" spans="1:6" x14ac:dyDescent="0.25">
      <c r="A1500" t="s">
        <v>25</v>
      </c>
      <c r="B1500" t="s">
        <v>1614</v>
      </c>
      <c r="C1500">
        <v>41204</v>
      </c>
      <c r="D1500">
        <v>6</v>
      </c>
      <c r="E1500">
        <v>0</v>
      </c>
      <c r="F1500">
        <v>6</v>
      </c>
    </row>
    <row r="1501" spans="1:6" x14ac:dyDescent="0.25">
      <c r="A1501" t="s">
        <v>26</v>
      </c>
      <c r="B1501" t="s">
        <v>1615</v>
      </c>
      <c r="C1501">
        <v>41205</v>
      </c>
      <c r="D1501">
        <v>0</v>
      </c>
      <c r="E1501">
        <v>0</v>
      </c>
      <c r="F1501">
        <v>0</v>
      </c>
    </row>
    <row r="1502" spans="1:6" x14ac:dyDescent="0.25">
      <c r="A1502" t="s">
        <v>27</v>
      </c>
      <c r="B1502" t="s">
        <v>1616</v>
      </c>
      <c r="C1502">
        <v>41206</v>
      </c>
      <c r="D1502">
        <v>0</v>
      </c>
      <c r="E1502">
        <v>0</v>
      </c>
      <c r="F1502">
        <v>0</v>
      </c>
    </row>
    <row r="1503" spans="1:6" x14ac:dyDescent="0.25">
      <c r="A1503" t="s">
        <v>531</v>
      </c>
      <c r="B1503" t="s">
        <v>1617</v>
      </c>
      <c r="C1503">
        <v>41207</v>
      </c>
      <c r="D1503">
        <v>0</v>
      </c>
      <c r="E1503">
        <v>0</v>
      </c>
      <c r="F1503">
        <v>0</v>
      </c>
    </row>
    <row r="1504" spans="1:6" x14ac:dyDescent="0.25">
      <c r="A1504" t="s">
        <v>1583</v>
      </c>
      <c r="B1504" t="s">
        <v>1618</v>
      </c>
      <c r="C1504">
        <v>41208</v>
      </c>
      <c r="D1504">
        <v>0</v>
      </c>
      <c r="E1504">
        <v>0</v>
      </c>
      <c r="F1504">
        <v>0</v>
      </c>
    </row>
    <row r="1505" spans="1:6" x14ac:dyDescent="0.25">
      <c r="A1505" t="s">
        <v>1585</v>
      </c>
      <c r="B1505" t="s">
        <v>1619</v>
      </c>
      <c r="C1505">
        <v>41209</v>
      </c>
      <c r="D1505">
        <v>0</v>
      </c>
      <c r="E1505">
        <v>0</v>
      </c>
      <c r="F1505">
        <v>0</v>
      </c>
    </row>
    <row r="1506" spans="1:6" x14ac:dyDescent="0.25">
      <c r="A1506" t="s">
        <v>1587</v>
      </c>
      <c r="B1506" t="s">
        <v>1620</v>
      </c>
      <c r="C1506">
        <v>41210</v>
      </c>
      <c r="D1506">
        <v>0</v>
      </c>
      <c r="E1506">
        <v>0</v>
      </c>
      <c r="F1506">
        <v>0</v>
      </c>
    </row>
    <row r="1507" spans="1:6" x14ac:dyDescent="0.25">
      <c r="A1507" t="s">
        <v>1589</v>
      </c>
      <c r="B1507" t="s">
        <v>1621</v>
      </c>
      <c r="C1507">
        <v>41211</v>
      </c>
      <c r="D1507">
        <v>0</v>
      </c>
      <c r="E1507">
        <v>0</v>
      </c>
      <c r="F1507">
        <v>0</v>
      </c>
    </row>
    <row r="1508" spans="1:6" x14ac:dyDescent="0.25">
      <c r="A1508" t="s">
        <v>1591</v>
      </c>
      <c r="B1508" t="s">
        <v>1622</v>
      </c>
      <c r="C1508">
        <v>41212</v>
      </c>
      <c r="D1508">
        <v>0</v>
      </c>
      <c r="E1508">
        <v>0</v>
      </c>
      <c r="F1508">
        <v>0</v>
      </c>
    </row>
    <row r="1509" spans="1:6" x14ac:dyDescent="0.25">
      <c r="A1509" t="s">
        <v>1593</v>
      </c>
      <c r="B1509" t="s">
        <v>1623</v>
      </c>
      <c r="C1509">
        <v>41213</v>
      </c>
      <c r="D1509">
        <v>0</v>
      </c>
      <c r="E1509">
        <v>0</v>
      </c>
      <c r="F1509">
        <v>0</v>
      </c>
    </row>
    <row r="1510" spans="1:6" x14ac:dyDescent="0.25">
      <c r="A1510" t="s">
        <v>1595</v>
      </c>
      <c r="B1510" t="s">
        <v>1624</v>
      </c>
      <c r="C1510">
        <v>41214</v>
      </c>
      <c r="D1510">
        <v>0</v>
      </c>
      <c r="E1510">
        <v>0</v>
      </c>
      <c r="F1510">
        <v>0</v>
      </c>
    </row>
    <row r="1511" spans="1:6" x14ac:dyDescent="0.25">
      <c r="A1511" t="s">
        <v>1597</v>
      </c>
      <c r="B1511" t="s">
        <v>1625</v>
      </c>
      <c r="C1511">
        <v>41215</v>
      </c>
      <c r="D1511">
        <v>0</v>
      </c>
      <c r="E1511">
        <v>0</v>
      </c>
      <c r="F1511">
        <v>0</v>
      </c>
    </row>
    <row r="1512" spans="1:6" x14ac:dyDescent="0.25">
      <c r="A1512" t="s">
        <v>1599</v>
      </c>
      <c r="B1512" t="s">
        <v>1626</v>
      </c>
      <c r="C1512">
        <v>41216</v>
      </c>
      <c r="D1512">
        <v>0</v>
      </c>
      <c r="E1512">
        <v>0</v>
      </c>
      <c r="F1512">
        <v>0</v>
      </c>
    </row>
    <row r="1513" spans="1:6" x14ac:dyDescent="0.25">
      <c r="A1513" t="s">
        <v>1601</v>
      </c>
      <c r="B1513" t="s">
        <v>1627</v>
      </c>
      <c r="C1513">
        <v>41217</v>
      </c>
      <c r="D1513">
        <v>0</v>
      </c>
      <c r="E1513">
        <v>0</v>
      </c>
      <c r="F1513">
        <v>0</v>
      </c>
    </row>
    <row r="1514" spans="1:6" x14ac:dyDescent="0.25">
      <c r="A1514" t="s">
        <v>1603</v>
      </c>
      <c r="B1514" t="s">
        <v>1596</v>
      </c>
      <c r="C1514">
        <v>41218</v>
      </c>
      <c r="D1514">
        <v>0</v>
      </c>
      <c r="E1514">
        <v>0</v>
      </c>
      <c r="F1514">
        <v>0</v>
      </c>
    </row>
    <row r="1515" spans="1:6" x14ac:dyDescent="0.25">
      <c r="A1515" t="s">
        <v>1605</v>
      </c>
      <c r="B1515" t="s">
        <v>1598</v>
      </c>
      <c r="C1515">
        <v>41219</v>
      </c>
      <c r="D1515">
        <v>0</v>
      </c>
      <c r="E1515">
        <v>0</v>
      </c>
      <c r="F1515">
        <v>0</v>
      </c>
    </row>
    <row r="1516" spans="1:6" x14ac:dyDescent="0.25">
      <c r="A1516" t="s">
        <v>1607</v>
      </c>
      <c r="B1516" t="s">
        <v>1602</v>
      </c>
      <c r="C1516">
        <v>41220</v>
      </c>
      <c r="D1516">
        <v>0</v>
      </c>
      <c r="E1516">
        <v>0</v>
      </c>
      <c r="F1516">
        <v>0</v>
      </c>
    </row>
    <row r="1517" spans="1:6" x14ac:dyDescent="0.25">
      <c r="B1517" t="s">
        <v>2022</v>
      </c>
      <c r="D1517">
        <v>6</v>
      </c>
      <c r="E1517">
        <v>0</v>
      </c>
      <c r="F1517">
        <v>6</v>
      </c>
    </row>
    <row r="1518" spans="1:6" x14ac:dyDescent="0.25">
      <c r="B1518" t="s">
        <v>1658</v>
      </c>
    </row>
    <row r="1519" spans="1:6" x14ac:dyDescent="0.25">
      <c r="A1519" t="s">
        <v>2</v>
      </c>
      <c r="B1519" t="s">
        <v>1627</v>
      </c>
      <c r="C1519">
        <v>41301</v>
      </c>
      <c r="D1519">
        <v>0</v>
      </c>
      <c r="E1519">
        <v>0</v>
      </c>
      <c r="F1519">
        <v>0</v>
      </c>
    </row>
    <row r="1520" spans="1:6" x14ac:dyDescent="0.25">
      <c r="A1520" t="s">
        <v>15</v>
      </c>
      <c r="B1520" t="s">
        <v>1625</v>
      </c>
      <c r="C1520">
        <v>41302</v>
      </c>
      <c r="D1520">
        <v>0</v>
      </c>
      <c r="E1520">
        <v>0</v>
      </c>
      <c r="F1520">
        <v>0</v>
      </c>
    </row>
    <row r="1521" spans="1:6" x14ac:dyDescent="0.25">
      <c r="A1521" t="s">
        <v>16</v>
      </c>
      <c r="B1521" t="s">
        <v>1626</v>
      </c>
      <c r="C1521">
        <v>41303</v>
      </c>
      <c r="D1521">
        <v>0</v>
      </c>
      <c r="E1521">
        <v>0</v>
      </c>
      <c r="F1521">
        <v>0</v>
      </c>
    </row>
    <row r="1522" spans="1:6" x14ac:dyDescent="0.25">
      <c r="B1522" t="s">
        <v>2023</v>
      </c>
      <c r="D1522">
        <v>0</v>
      </c>
      <c r="E1522">
        <v>0</v>
      </c>
      <c r="F1522">
        <v>0</v>
      </c>
    </row>
    <row r="1523" spans="1:6" x14ac:dyDescent="0.25">
      <c r="B1523" t="s">
        <v>1653</v>
      </c>
      <c r="D1523">
        <v>15386564</v>
      </c>
      <c r="E1523">
        <v>0</v>
      </c>
      <c r="F1523">
        <v>15386564</v>
      </c>
    </row>
    <row r="1524" spans="1:6" x14ac:dyDescent="0.25">
      <c r="B1524" t="s">
        <v>2024</v>
      </c>
    </row>
    <row r="1525" spans="1:6" x14ac:dyDescent="0.25">
      <c r="B1525" t="s">
        <v>2025</v>
      </c>
    </row>
    <row r="1526" spans="1:6" x14ac:dyDescent="0.25">
      <c r="A1526" t="s">
        <v>2</v>
      </c>
      <c r="B1526" t="s">
        <v>1634</v>
      </c>
      <c r="C1526">
        <v>42101</v>
      </c>
      <c r="D1526">
        <v>0</v>
      </c>
      <c r="F1526">
        <v>0</v>
      </c>
    </row>
    <row r="1527" spans="1:6" x14ac:dyDescent="0.25">
      <c r="A1527" t="s">
        <v>15</v>
      </c>
      <c r="B1527" t="s">
        <v>1635</v>
      </c>
      <c r="C1527">
        <v>42102</v>
      </c>
      <c r="D1527">
        <v>0</v>
      </c>
      <c r="F1527">
        <v>0</v>
      </c>
    </row>
    <row r="1528" spans="1:6" x14ac:dyDescent="0.25">
      <c r="A1528" t="s">
        <v>16</v>
      </c>
      <c r="B1528" t="s">
        <v>1636</v>
      </c>
      <c r="C1528">
        <v>42103</v>
      </c>
      <c r="D1528">
        <v>0</v>
      </c>
      <c r="F1528">
        <v>0</v>
      </c>
    </row>
    <row r="1529" spans="1:6" x14ac:dyDescent="0.25">
      <c r="A1529" t="s">
        <v>25</v>
      </c>
      <c r="B1529" t="s">
        <v>1637</v>
      </c>
      <c r="C1529">
        <v>42104</v>
      </c>
      <c r="D1529">
        <v>0</v>
      </c>
      <c r="F1529">
        <v>0</v>
      </c>
    </row>
    <row r="1530" spans="1:6" x14ac:dyDescent="0.25">
      <c r="A1530" t="s">
        <v>26</v>
      </c>
      <c r="B1530" t="s">
        <v>1638</v>
      </c>
      <c r="C1530">
        <v>42105</v>
      </c>
      <c r="D1530">
        <v>0</v>
      </c>
      <c r="F1530">
        <v>0</v>
      </c>
    </row>
    <row r="1531" spans="1:6" x14ac:dyDescent="0.25">
      <c r="A1531" t="s">
        <v>27</v>
      </c>
      <c r="B1531" t="s">
        <v>1639</v>
      </c>
      <c r="C1531">
        <v>42106</v>
      </c>
      <c r="D1531">
        <v>0</v>
      </c>
      <c r="F1531">
        <v>0</v>
      </c>
    </row>
    <row r="1532" spans="1:6" x14ac:dyDescent="0.25">
      <c r="A1532" t="s">
        <v>531</v>
      </c>
      <c r="B1532" t="s">
        <v>1640</v>
      </c>
      <c r="C1532">
        <v>42107</v>
      </c>
      <c r="D1532">
        <v>0</v>
      </c>
      <c r="F1532">
        <v>0</v>
      </c>
    </row>
    <row r="1533" spans="1:6" x14ac:dyDescent="0.25">
      <c r="A1533" t="s">
        <v>1583</v>
      </c>
      <c r="B1533" t="s">
        <v>1641</v>
      </c>
      <c r="C1533">
        <v>42108</v>
      </c>
      <c r="D1533">
        <v>0</v>
      </c>
      <c r="F1533">
        <v>0</v>
      </c>
    </row>
    <row r="1534" spans="1:6" x14ac:dyDescent="0.25">
      <c r="B1534" t="s">
        <v>2026</v>
      </c>
      <c r="D1534">
        <v>0</v>
      </c>
      <c r="F1534">
        <v>0</v>
      </c>
    </row>
    <row r="1535" spans="1:6" x14ac:dyDescent="0.25">
      <c r="B1535" t="s">
        <v>2027</v>
      </c>
    </row>
    <row r="1536" spans="1:6" x14ac:dyDescent="0.25">
      <c r="A1536" t="s">
        <v>2</v>
      </c>
      <c r="B1536" t="s">
        <v>1634</v>
      </c>
      <c r="C1536">
        <v>42201</v>
      </c>
      <c r="D1536">
        <v>0</v>
      </c>
      <c r="F1536">
        <v>0</v>
      </c>
    </row>
    <row r="1537" spans="1:6" x14ac:dyDescent="0.25">
      <c r="A1537" t="s">
        <v>15</v>
      </c>
      <c r="B1537" t="s">
        <v>1635</v>
      </c>
      <c r="C1537">
        <v>42202</v>
      </c>
      <c r="D1537">
        <v>0</v>
      </c>
      <c r="F1537">
        <v>0</v>
      </c>
    </row>
    <row r="1538" spans="1:6" x14ac:dyDescent="0.25">
      <c r="A1538" t="s">
        <v>16</v>
      </c>
      <c r="B1538" t="s">
        <v>1636</v>
      </c>
      <c r="C1538">
        <v>42203</v>
      </c>
      <c r="D1538">
        <v>0</v>
      </c>
      <c r="F1538">
        <v>0</v>
      </c>
    </row>
    <row r="1539" spans="1:6" x14ac:dyDescent="0.25">
      <c r="A1539" t="s">
        <v>25</v>
      </c>
      <c r="B1539" t="s">
        <v>1637</v>
      </c>
      <c r="C1539">
        <v>42204</v>
      </c>
      <c r="D1539">
        <v>0</v>
      </c>
      <c r="F1539">
        <v>0</v>
      </c>
    </row>
    <row r="1540" spans="1:6" x14ac:dyDescent="0.25">
      <c r="A1540" t="s">
        <v>26</v>
      </c>
      <c r="B1540" t="s">
        <v>1638</v>
      </c>
      <c r="C1540">
        <v>42205</v>
      </c>
      <c r="D1540">
        <v>0</v>
      </c>
      <c r="F1540">
        <v>0</v>
      </c>
    </row>
    <row r="1541" spans="1:6" x14ac:dyDescent="0.25">
      <c r="A1541" t="s">
        <v>27</v>
      </c>
      <c r="B1541" t="s">
        <v>1639</v>
      </c>
      <c r="C1541">
        <v>42206</v>
      </c>
      <c r="D1541">
        <v>0</v>
      </c>
      <c r="F1541">
        <v>0</v>
      </c>
    </row>
    <row r="1542" spans="1:6" x14ac:dyDescent="0.25">
      <c r="A1542" t="s">
        <v>531</v>
      </c>
      <c r="B1542" t="s">
        <v>1640</v>
      </c>
      <c r="C1542">
        <v>42207</v>
      </c>
      <c r="D1542">
        <v>0</v>
      </c>
      <c r="F1542">
        <v>0</v>
      </c>
    </row>
    <row r="1543" spans="1:6" x14ac:dyDescent="0.25">
      <c r="A1543" t="s">
        <v>1583</v>
      </c>
      <c r="B1543" t="s">
        <v>1641</v>
      </c>
      <c r="C1543">
        <v>42208</v>
      </c>
      <c r="D1543">
        <v>0</v>
      </c>
      <c r="F1543">
        <v>0</v>
      </c>
    </row>
    <row r="1544" spans="1:6" x14ac:dyDescent="0.25">
      <c r="B1544" t="s">
        <v>2028</v>
      </c>
      <c r="D1544">
        <v>0</v>
      </c>
      <c r="F1544">
        <v>0</v>
      </c>
    </row>
    <row r="1545" spans="1:6" x14ac:dyDescent="0.25">
      <c r="B1545" t="s">
        <v>2029</v>
      </c>
    </row>
    <row r="1546" spans="1:6" x14ac:dyDescent="0.25">
      <c r="A1546" t="s">
        <v>2</v>
      </c>
      <c r="B1546" t="s">
        <v>1634</v>
      </c>
      <c r="C1546">
        <v>42301</v>
      </c>
      <c r="D1546">
        <v>27871</v>
      </c>
      <c r="F1546">
        <v>27871</v>
      </c>
    </row>
    <row r="1547" spans="1:6" x14ac:dyDescent="0.25">
      <c r="A1547" t="s">
        <v>15</v>
      </c>
      <c r="B1547" t="s">
        <v>1635</v>
      </c>
      <c r="C1547">
        <v>42302</v>
      </c>
      <c r="D1547">
        <v>8213</v>
      </c>
      <c r="F1547">
        <v>8213</v>
      </c>
    </row>
    <row r="1548" spans="1:6" x14ac:dyDescent="0.25">
      <c r="A1548" t="s">
        <v>16</v>
      </c>
      <c r="B1548" t="s">
        <v>1636</v>
      </c>
      <c r="C1548">
        <v>42303</v>
      </c>
      <c r="D1548">
        <v>8</v>
      </c>
      <c r="F1548">
        <v>8</v>
      </c>
    </row>
    <row r="1549" spans="1:6" x14ac:dyDescent="0.25">
      <c r="A1549" t="s">
        <v>25</v>
      </c>
      <c r="B1549" t="s">
        <v>1637</v>
      </c>
      <c r="C1549">
        <v>42304</v>
      </c>
      <c r="D1549">
        <v>61632</v>
      </c>
      <c r="F1549">
        <v>61632</v>
      </c>
    </row>
    <row r="1550" spans="1:6" x14ac:dyDescent="0.25">
      <c r="A1550" t="s">
        <v>26</v>
      </c>
      <c r="B1550" t="s">
        <v>1638</v>
      </c>
      <c r="C1550">
        <v>42305</v>
      </c>
      <c r="D1550">
        <v>45639</v>
      </c>
      <c r="F1550">
        <v>45639</v>
      </c>
    </row>
    <row r="1551" spans="1:6" x14ac:dyDescent="0.25">
      <c r="A1551" t="s">
        <v>27</v>
      </c>
      <c r="B1551" t="s">
        <v>1639</v>
      </c>
      <c r="C1551">
        <v>42306</v>
      </c>
      <c r="D1551">
        <v>0</v>
      </c>
      <c r="F1551">
        <v>0</v>
      </c>
    </row>
    <row r="1552" spans="1:6" x14ac:dyDescent="0.25">
      <c r="A1552" t="s">
        <v>531</v>
      </c>
      <c r="B1552" t="s">
        <v>1640</v>
      </c>
      <c r="C1552">
        <v>42307</v>
      </c>
      <c r="D1552">
        <v>0</v>
      </c>
      <c r="F1552">
        <v>0</v>
      </c>
    </row>
    <row r="1553" spans="1:6" x14ac:dyDescent="0.25">
      <c r="A1553" t="s">
        <v>1583</v>
      </c>
      <c r="B1553" t="s">
        <v>1641</v>
      </c>
      <c r="C1553">
        <v>42308</v>
      </c>
      <c r="D1553">
        <v>110151</v>
      </c>
      <c r="F1553">
        <v>110151</v>
      </c>
    </row>
    <row r="1554" spans="1:6" x14ac:dyDescent="0.25">
      <c r="B1554" t="s">
        <v>2030</v>
      </c>
      <c r="D1554">
        <v>253514</v>
      </c>
      <c r="F1554">
        <v>253514</v>
      </c>
    </row>
    <row r="1555" spans="1:6" x14ac:dyDescent="0.25">
      <c r="B1555" t="s">
        <v>2031</v>
      </c>
    </row>
    <row r="1556" spans="1:6" x14ac:dyDescent="0.25">
      <c r="A1556" t="s">
        <v>2</v>
      </c>
      <c r="B1556" t="s">
        <v>1634</v>
      </c>
      <c r="C1556">
        <v>42401</v>
      </c>
      <c r="D1556">
        <v>0</v>
      </c>
      <c r="F1556">
        <v>0</v>
      </c>
    </row>
    <row r="1557" spans="1:6" x14ac:dyDescent="0.25">
      <c r="A1557" t="s">
        <v>15</v>
      </c>
      <c r="B1557" t="s">
        <v>1635</v>
      </c>
      <c r="C1557">
        <v>42402</v>
      </c>
      <c r="D1557">
        <v>0</v>
      </c>
      <c r="F1557">
        <v>0</v>
      </c>
    </row>
    <row r="1558" spans="1:6" x14ac:dyDescent="0.25">
      <c r="A1558" t="s">
        <v>16</v>
      </c>
      <c r="B1558" t="s">
        <v>1636</v>
      </c>
      <c r="C1558">
        <v>42403</v>
      </c>
      <c r="D1558">
        <v>0</v>
      </c>
      <c r="F1558">
        <v>0</v>
      </c>
    </row>
    <row r="1559" spans="1:6" x14ac:dyDescent="0.25">
      <c r="A1559" t="s">
        <v>25</v>
      </c>
      <c r="B1559" t="s">
        <v>1637</v>
      </c>
      <c r="C1559">
        <v>42404</v>
      </c>
      <c r="D1559">
        <v>0</v>
      </c>
      <c r="F1559">
        <v>0</v>
      </c>
    </row>
    <row r="1560" spans="1:6" x14ac:dyDescent="0.25">
      <c r="A1560" t="s">
        <v>26</v>
      </c>
      <c r="B1560" t="s">
        <v>1638</v>
      </c>
      <c r="C1560">
        <v>42405</v>
      </c>
      <c r="D1560">
        <v>0</v>
      </c>
      <c r="F1560">
        <v>0</v>
      </c>
    </row>
    <row r="1561" spans="1:6" x14ac:dyDescent="0.25">
      <c r="A1561" t="s">
        <v>27</v>
      </c>
      <c r="B1561" t="s">
        <v>1639</v>
      </c>
      <c r="C1561">
        <v>42406</v>
      </c>
      <c r="D1561">
        <v>0</v>
      </c>
      <c r="F1561">
        <v>0</v>
      </c>
    </row>
    <row r="1562" spans="1:6" x14ac:dyDescent="0.25">
      <c r="A1562" t="s">
        <v>531</v>
      </c>
      <c r="B1562" t="s">
        <v>1640</v>
      </c>
      <c r="C1562">
        <v>42407</v>
      </c>
      <c r="D1562">
        <v>4196</v>
      </c>
      <c r="F1562">
        <v>4196</v>
      </c>
    </row>
    <row r="1563" spans="1:6" x14ac:dyDescent="0.25">
      <c r="A1563" t="s">
        <v>1583</v>
      </c>
      <c r="B1563" t="s">
        <v>1641</v>
      </c>
      <c r="C1563">
        <v>42408</v>
      </c>
      <c r="D1563">
        <v>6120</v>
      </c>
      <c r="F1563">
        <v>6120</v>
      </c>
    </row>
    <row r="1564" spans="1:6" x14ac:dyDescent="0.25">
      <c r="B1564" t="s">
        <v>2032</v>
      </c>
      <c r="D1564">
        <v>10316</v>
      </c>
      <c r="F1564">
        <v>10316</v>
      </c>
    </row>
    <row r="1565" spans="1:6" x14ac:dyDescent="0.25">
      <c r="B1565" t="s">
        <v>2033</v>
      </c>
    </row>
    <row r="1566" spans="1:6" x14ac:dyDescent="0.25">
      <c r="A1566" t="s">
        <v>2</v>
      </c>
      <c r="B1566" t="s">
        <v>1648</v>
      </c>
      <c r="C1566">
        <v>42501</v>
      </c>
      <c r="D1566">
        <v>0</v>
      </c>
      <c r="F1566">
        <v>0</v>
      </c>
    </row>
    <row r="1567" spans="1:6" x14ac:dyDescent="0.25">
      <c r="A1567" t="s">
        <v>15</v>
      </c>
      <c r="B1567" t="s">
        <v>1649</v>
      </c>
      <c r="C1567">
        <v>42502</v>
      </c>
      <c r="D1567">
        <v>0</v>
      </c>
      <c r="F1567">
        <v>0</v>
      </c>
    </row>
    <row r="1568" spans="1:6" x14ac:dyDescent="0.25">
      <c r="A1568" t="s">
        <v>16</v>
      </c>
      <c r="B1568" t="s">
        <v>1637</v>
      </c>
      <c r="C1568">
        <v>42503</v>
      </c>
      <c r="D1568">
        <v>0</v>
      </c>
      <c r="F1568">
        <v>0</v>
      </c>
    </row>
    <row r="1569" spans="1:6" x14ac:dyDescent="0.25">
      <c r="A1569" t="s">
        <v>25</v>
      </c>
      <c r="B1569" t="s">
        <v>1638</v>
      </c>
      <c r="C1569">
        <v>42504</v>
      </c>
      <c r="D1569">
        <v>545576</v>
      </c>
      <c r="F1569">
        <v>545576</v>
      </c>
    </row>
    <row r="1570" spans="1:6" x14ac:dyDescent="0.25">
      <c r="A1570" t="s">
        <v>26</v>
      </c>
      <c r="B1570" t="s">
        <v>1650</v>
      </c>
      <c r="C1570">
        <v>42505</v>
      </c>
      <c r="D1570">
        <v>0</v>
      </c>
      <c r="F1570">
        <v>0</v>
      </c>
    </row>
    <row r="1571" spans="1:6" x14ac:dyDescent="0.25">
      <c r="A1571" t="s">
        <v>27</v>
      </c>
      <c r="B1571" t="s">
        <v>1651</v>
      </c>
      <c r="C1571">
        <v>42506</v>
      </c>
      <c r="D1571">
        <v>0</v>
      </c>
      <c r="F1571">
        <v>0</v>
      </c>
    </row>
    <row r="1572" spans="1:6" x14ac:dyDescent="0.25">
      <c r="A1572" t="s">
        <v>531</v>
      </c>
      <c r="B1572" t="s">
        <v>1640</v>
      </c>
      <c r="C1572">
        <v>42507</v>
      </c>
      <c r="D1572">
        <v>0</v>
      </c>
      <c r="F1572">
        <v>0</v>
      </c>
    </row>
    <row r="1573" spans="1:6" x14ac:dyDescent="0.25">
      <c r="A1573" t="s">
        <v>1583</v>
      </c>
      <c r="B1573" t="s">
        <v>1641</v>
      </c>
      <c r="C1573">
        <v>42508</v>
      </c>
      <c r="D1573">
        <v>0</v>
      </c>
      <c r="F1573">
        <v>0</v>
      </c>
    </row>
    <row r="1574" spans="1:6" x14ac:dyDescent="0.25">
      <c r="B1574" t="s">
        <v>2034</v>
      </c>
      <c r="D1574">
        <v>545576</v>
      </c>
      <c r="F1574">
        <v>545576</v>
      </c>
    </row>
    <row r="1575" spans="1:6" x14ac:dyDescent="0.25">
      <c r="B1575" t="s">
        <v>1660</v>
      </c>
      <c r="D1575">
        <v>809406</v>
      </c>
      <c r="F1575">
        <v>809406</v>
      </c>
    </row>
    <row r="1576" spans="1:6" x14ac:dyDescent="0.25">
      <c r="B1576" t="s">
        <v>2035</v>
      </c>
    </row>
    <row r="1577" spans="1:6" x14ac:dyDescent="0.25">
      <c r="B1577" t="s">
        <v>2036</v>
      </c>
    </row>
    <row r="1578" spans="1:6" x14ac:dyDescent="0.25">
      <c r="A1578" t="s">
        <v>2</v>
      </c>
      <c r="B1578" t="s">
        <v>1637</v>
      </c>
      <c r="C1578">
        <v>43101</v>
      </c>
      <c r="D1578">
        <v>9533</v>
      </c>
      <c r="F1578">
        <v>9533</v>
      </c>
    </row>
    <row r="1579" spans="1:6" x14ac:dyDescent="0.25">
      <c r="A1579" t="s">
        <v>15</v>
      </c>
      <c r="B1579" t="s">
        <v>1638</v>
      </c>
      <c r="C1579">
        <v>43102</v>
      </c>
      <c r="D1579">
        <v>90875</v>
      </c>
      <c r="F1579">
        <v>90875</v>
      </c>
    </row>
    <row r="1580" spans="1:6" x14ac:dyDescent="0.25">
      <c r="A1580" t="s">
        <v>16</v>
      </c>
      <c r="B1580" t="s">
        <v>1640</v>
      </c>
      <c r="C1580">
        <v>43103</v>
      </c>
      <c r="D1580">
        <v>0</v>
      </c>
      <c r="F1580">
        <v>0</v>
      </c>
    </row>
    <row r="1581" spans="1:6" x14ac:dyDescent="0.25">
      <c r="A1581" t="s">
        <v>25</v>
      </c>
      <c r="B1581" t="s">
        <v>1641</v>
      </c>
      <c r="C1581">
        <v>43104</v>
      </c>
      <c r="D1581">
        <v>0</v>
      </c>
      <c r="F1581">
        <v>0</v>
      </c>
    </row>
    <row r="1582" spans="1:6" x14ac:dyDescent="0.25">
      <c r="B1582" t="s">
        <v>2037</v>
      </c>
      <c r="D1582">
        <v>100408</v>
      </c>
      <c r="F1582">
        <v>100408</v>
      </c>
    </row>
    <row r="1583" spans="1:6" x14ac:dyDescent="0.25">
      <c r="B1583" t="s">
        <v>2038</v>
      </c>
    </row>
    <row r="1584" spans="1:6" x14ac:dyDescent="0.25">
      <c r="A1584" t="s">
        <v>2</v>
      </c>
      <c r="B1584" t="s">
        <v>1637</v>
      </c>
      <c r="C1584">
        <v>43201</v>
      </c>
      <c r="D1584">
        <v>139339</v>
      </c>
      <c r="F1584">
        <v>139339</v>
      </c>
    </row>
    <row r="1585" spans="1:6" x14ac:dyDescent="0.25">
      <c r="A1585" t="s">
        <v>15</v>
      </c>
      <c r="B1585" t="s">
        <v>1638</v>
      </c>
      <c r="C1585">
        <v>43202</v>
      </c>
      <c r="D1585">
        <v>1599918</v>
      </c>
      <c r="F1585">
        <v>1599918</v>
      </c>
    </row>
    <row r="1586" spans="1:6" x14ac:dyDescent="0.25">
      <c r="A1586" t="s">
        <v>16</v>
      </c>
      <c r="B1586" t="s">
        <v>1640</v>
      </c>
      <c r="C1586">
        <v>43203</v>
      </c>
      <c r="D1586">
        <v>42349</v>
      </c>
      <c r="F1586">
        <v>42349</v>
      </c>
    </row>
    <row r="1587" spans="1:6" x14ac:dyDescent="0.25">
      <c r="A1587" t="s">
        <v>25</v>
      </c>
      <c r="B1587" t="s">
        <v>1641</v>
      </c>
      <c r="C1587">
        <v>43204</v>
      </c>
      <c r="D1587">
        <v>0</v>
      </c>
      <c r="F1587">
        <v>0</v>
      </c>
    </row>
    <row r="1588" spans="1:6" x14ac:dyDescent="0.25">
      <c r="B1588" t="s">
        <v>2039</v>
      </c>
      <c r="D1588">
        <v>1781606</v>
      </c>
      <c r="F1588">
        <v>1781606</v>
      </c>
    </row>
    <row r="1589" spans="1:6" x14ac:dyDescent="0.25">
      <c r="B1589" t="s">
        <v>2040</v>
      </c>
    </row>
    <row r="1590" spans="1:6" x14ac:dyDescent="0.25">
      <c r="A1590" t="s">
        <v>2</v>
      </c>
      <c r="B1590" t="s">
        <v>1637</v>
      </c>
      <c r="C1590">
        <v>43301</v>
      </c>
      <c r="D1590">
        <v>0</v>
      </c>
      <c r="F1590">
        <v>0</v>
      </c>
    </row>
    <row r="1591" spans="1:6" x14ac:dyDescent="0.25">
      <c r="A1591" t="s">
        <v>15</v>
      </c>
      <c r="B1591" t="s">
        <v>1638</v>
      </c>
      <c r="C1591">
        <v>43302</v>
      </c>
      <c r="D1591">
        <v>473442</v>
      </c>
      <c r="F1591">
        <v>473442</v>
      </c>
    </row>
    <row r="1592" spans="1:6" x14ac:dyDescent="0.25">
      <c r="A1592" t="s">
        <v>16</v>
      </c>
      <c r="B1592" t="s">
        <v>1640</v>
      </c>
      <c r="C1592">
        <v>43303</v>
      </c>
      <c r="D1592">
        <v>0</v>
      </c>
      <c r="F1592">
        <v>0</v>
      </c>
    </row>
    <row r="1593" spans="1:6" x14ac:dyDescent="0.25">
      <c r="A1593" t="s">
        <v>25</v>
      </c>
      <c r="B1593" t="s">
        <v>1641</v>
      </c>
      <c r="C1593">
        <v>43304</v>
      </c>
      <c r="D1593">
        <v>0</v>
      </c>
      <c r="F1593">
        <v>0</v>
      </c>
    </row>
    <row r="1594" spans="1:6" x14ac:dyDescent="0.25">
      <c r="B1594" t="s">
        <v>2041</v>
      </c>
      <c r="D1594">
        <v>473442</v>
      </c>
      <c r="F1594">
        <v>473442</v>
      </c>
    </row>
    <row r="1595" spans="1:6" x14ac:dyDescent="0.25">
      <c r="B1595" t="s">
        <v>2042</v>
      </c>
    </row>
    <row r="1596" spans="1:6" x14ac:dyDescent="0.25">
      <c r="A1596" t="s">
        <v>2</v>
      </c>
      <c r="B1596" t="s">
        <v>1637</v>
      </c>
      <c r="C1596">
        <v>43401</v>
      </c>
      <c r="D1596">
        <v>0</v>
      </c>
      <c r="F1596">
        <v>0</v>
      </c>
    </row>
    <row r="1597" spans="1:6" x14ac:dyDescent="0.25">
      <c r="A1597" t="s">
        <v>15</v>
      </c>
      <c r="B1597" t="s">
        <v>1638</v>
      </c>
      <c r="C1597">
        <v>43402</v>
      </c>
      <c r="D1597">
        <v>3289</v>
      </c>
      <c r="F1597">
        <v>3289</v>
      </c>
    </row>
    <row r="1598" spans="1:6" x14ac:dyDescent="0.25">
      <c r="A1598" t="s">
        <v>16</v>
      </c>
      <c r="B1598" t="s">
        <v>1640</v>
      </c>
      <c r="C1598">
        <v>43403</v>
      </c>
      <c r="D1598">
        <v>0</v>
      </c>
      <c r="F1598">
        <v>0</v>
      </c>
    </row>
    <row r="1599" spans="1:6" x14ac:dyDescent="0.25">
      <c r="A1599" t="s">
        <v>25</v>
      </c>
      <c r="B1599" t="s">
        <v>1641</v>
      </c>
      <c r="C1599">
        <v>43404</v>
      </c>
      <c r="D1599">
        <v>0</v>
      </c>
      <c r="F1599">
        <v>0</v>
      </c>
    </row>
    <row r="1600" spans="1:6" x14ac:dyDescent="0.25">
      <c r="B1600" t="s">
        <v>2043</v>
      </c>
      <c r="D1600">
        <v>3289</v>
      </c>
      <c r="F1600">
        <v>3289</v>
      </c>
    </row>
    <row r="1601" spans="1:6" x14ac:dyDescent="0.25">
      <c r="B1601" t="s">
        <v>2044</v>
      </c>
    </row>
    <row r="1602" spans="1:6" x14ac:dyDescent="0.25">
      <c r="A1602" t="s">
        <v>2</v>
      </c>
      <c r="B1602" t="s">
        <v>1637</v>
      </c>
      <c r="C1602">
        <v>43501</v>
      </c>
      <c r="D1602">
        <v>0</v>
      </c>
      <c r="F1602">
        <v>0</v>
      </c>
    </row>
    <row r="1603" spans="1:6" x14ac:dyDescent="0.25">
      <c r="A1603" t="s">
        <v>15</v>
      </c>
      <c r="B1603" t="s">
        <v>1638</v>
      </c>
      <c r="C1603">
        <v>43502</v>
      </c>
      <c r="D1603">
        <v>0</v>
      </c>
      <c r="F1603">
        <v>0</v>
      </c>
    </row>
    <row r="1604" spans="1:6" x14ac:dyDescent="0.25">
      <c r="A1604" t="s">
        <v>16</v>
      </c>
      <c r="B1604" t="s">
        <v>1640</v>
      </c>
      <c r="C1604">
        <v>43503</v>
      </c>
      <c r="D1604">
        <v>0</v>
      </c>
      <c r="F1604">
        <v>0</v>
      </c>
    </row>
    <row r="1605" spans="1:6" x14ac:dyDescent="0.25">
      <c r="A1605" t="s">
        <v>25</v>
      </c>
      <c r="B1605" t="s">
        <v>1641</v>
      </c>
      <c r="C1605">
        <v>43504</v>
      </c>
      <c r="D1605">
        <v>0</v>
      </c>
      <c r="F1605">
        <v>0</v>
      </c>
    </row>
    <row r="1606" spans="1:6" x14ac:dyDescent="0.25">
      <c r="B1606" t="s">
        <v>2045</v>
      </c>
      <c r="D1606">
        <v>0</v>
      </c>
      <c r="F1606">
        <v>0</v>
      </c>
    </row>
    <row r="1607" spans="1:6" x14ac:dyDescent="0.25">
      <c r="B1607" t="s">
        <v>1670</v>
      </c>
      <c r="D1607">
        <v>2358745</v>
      </c>
      <c r="F1607">
        <v>2358745</v>
      </c>
    </row>
    <row r="1608" spans="1:6" x14ac:dyDescent="0.25">
      <c r="B1608" t="s">
        <v>2046</v>
      </c>
    </row>
    <row r="1609" spans="1:6" x14ac:dyDescent="0.25">
      <c r="B1609" t="s">
        <v>1672</v>
      </c>
    </row>
    <row r="1610" spans="1:6" x14ac:dyDescent="0.25">
      <c r="A1610" t="s">
        <v>2</v>
      </c>
      <c r="B1610" t="s">
        <v>1673</v>
      </c>
      <c r="C1610">
        <v>44101</v>
      </c>
      <c r="D1610">
        <v>0</v>
      </c>
      <c r="E1610">
        <v>0</v>
      </c>
      <c r="F1610">
        <v>0</v>
      </c>
    </row>
    <row r="1611" spans="1:6" x14ac:dyDescent="0.25">
      <c r="A1611" t="s">
        <v>15</v>
      </c>
      <c r="B1611" t="s">
        <v>1674</v>
      </c>
      <c r="C1611">
        <v>44102</v>
      </c>
      <c r="D1611">
        <v>0</v>
      </c>
      <c r="E1611">
        <v>0</v>
      </c>
      <c r="F1611">
        <v>0</v>
      </c>
    </row>
    <row r="1612" spans="1:6" x14ac:dyDescent="0.25">
      <c r="A1612" t="s">
        <v>16</v>
      </c>
      <c r="B1612" t="s">
        <v>1675</v>
      </c>
      <c r="C1612">
        <v>44103</v>
      </c>
      <c r="D1612">
        <v>0</v>
      </c>
      <c r="E1612">
        <v>0</v>
      </c>
      <c r="F1612">
        <v>0</v>
      </c>
    </row>
    <row r="1613" spans="1:6" x14ac:dyDescent="0.25">
      <c r="A1613" t="s">
        <v>25</v>
      </c>
      <c r="B1613" t="s">
        <v>1676</v>
      </c>
      <c r="C1613">
        <v>44104</v>
      </c>
      <c r="D1613">
        <v>0</v>
      </c>
      <c r="E1613">
        <v>0</v>
      </c>
      <c r="F1613">
        <v>0</v>
      </c>
    </row>
    <row r="1614" spans="1:6" x14ac:dyDescent="0.25">
      <c r="A1614" t="s">
        <v>26</v>
      </c>
      <c r="B1614" t="s">
        <v>1677</v>
      </c>
      <c r="C1614">
        <v>44105</v>
      </c>
      <c r="D1614">
        <v>0</v>
      </c>
      <c r="E1614">
        <v>0</v>
      </c>
      <c r="F1614">
        <v>0</v>
      </c>
    </row>
    <row r="1615" spans="1:6" x14ac:dyDescent="0.25">
      <c r="B1615" t="s">
        <v>2047</v>
      </c>
      <c r="D1615">
        <v>0</v>
      </c>
      <c r="E1615">
        <v>0</v>
      </c>
      <c r="F1615">
        <v>0</v>
      </c>
    </row>
    <row r="1616" spans="1:6" x14ac:dyDescent="0.25">
      <c r="B1616" t="s">
        <v>1781</v>
      </c>
    </row>
    <row r="1617" spans="1:6" x14ac:dyDescent="0.25">
      <c r="A1617" t="s">
        <v>2</v>
      </c>
      <c r="B1617" t="s">
        <v>1693</v>
      </c>
      <c r="C1617">
        <v>44201</v>
      </c>
      <c r="D1617">
        <v>0</v>
      </c>
      <c r="E1617">
        <v>0</v>
      </c>
      <c r="F1617">
        <v>0</v>
      </c>
    </row>
    <row r="1618" spans="1:6" x14ac:dyDescent="0.25">
      <c r="A1618" t="s">
        <v>15</v>
      </c>
      <c r="B1618" t="s">
        <v>1694</v>
      </c>
      <c r="C1618">
        <v>44202</v>
      </c>
      <c r="D1618">
        <v>0</v>
      </c>
      <c r="E1618">
        <v>0</v>
      </c>
      <c r="F1618">
        <v>0</v>
      </c>
    </row>
    <row r="1619" spans="1:6" x14ac:dyDescent="0.25">
      <c r="A1619" t="s">
        <v>16</v>
      </c>
      <c r="B1619" t="s">
        <v>1695</v>
      </c>
      <c r="C1619">
        <v>44203</v>
      </c>
      <c r="D1619">
        <v>0</v>
      </c>
      <c r="E1619">
        <v>0</v>
      </c>
      <c r="F1619">
        <v>0</v>
      </c>
    </row>
    <row r="1620" spans="1:6" x14ac:dyDescent="0.25">
      <c r="A1620" t="s">
        <v>25</v>
      </c>
      <c r="B1620" t="s">
        <v>1696</v>
      </c>
      <c r="C1620">
        <v>44204</v>
      </c>
      <c r="D1620">
        <v>0</v>
      </c>
      <c r="E1620">
        <v>0</v>
      </c>
      <c r="F1620">
        <v>0</v>
      </c>
    </row>
    <row r="1621" spans="1:6" x14ac:dyDescent="0.25">
      <c r="A1621" t="s">
        <v>26</v>
      </c>
      <c r="B1621" t="s">
        <v>1680</v>
      </c>
      <c r="C1621">
        <v>44205</v>
      </c>
      <c r="D1621">
        <v>0</v>
      </c>
      <c r="E1621">
        <v>0</v>
      </c>
      <c r="F1621">
        <v>0</v>
      </c>
    </row>
    <row r="1622" spans="1:6" x14ac:dyDescent="0.25">
      <c r="A1622" t="s">
        <v>27</v>
      </c>
      <c r="B1622" t="s">
        <v>1681</v>
      </c>
      <c r="C1622">
        <v>44206</v>
      </c>
      <c r="D1622">
        <v>0</v>
      </c>
      <c r="E1622">
        <v>0</v>
      </c>
      <c r="F1622">
        <v>0</v>
      </c>
    </row>
    <row r="1623" spans="1:6" x14ac:dyDescent="0.25">
      <c r="A1623" t="s">
        <v>531</v>
      </c>
      <c r="B1623" t="s">
        <v>1682</v>
      </c>
      <c r="C1623">
        <v>44207</v>
      </c>
      <c r="D1623">
        <v>0</v>
      </c>
      <c r="E1623">
        <v>0</v>
      </c>
      <c r="F1623">
        <v>0</v>
      </c>
    </row>
    <row r="1624" spans="1:6" x14ac:dyDescent="0.25">
      <c r="A1624" t="s">
        <v>1583</v>
      </c>
      <c r="B1624" t="s">
        <v>1683</v>
      </c>
      <c r="C1624">
        <v>44208</v>
      </c>
      <c r="D1624">
        <v>0</v>
      </c>
      <c r="E1624">
        <v>0</v>
      </c>
      <c r="F1624">
        <v>0</v>
      </c>
    </row>
    <row r="1625" spans="1:6" x14ac:dyDescent="0.25">
      <c r="A1625" t="s">
        <v>1585</v>
      </c>
      <c r="B1625" t="s">
        <v>1684</v>
      </c>
      <c r="C1625">
        <v>44209</v>
      </c>
      <c r="D1625">
        <v>0</v>
      </c>
      <c r="E1625">
        <v>0</v>
      </c>
      <c r="F1625">
        <v>0</v>
      </c>
    </row>
    <row r="1626" spans="1:6" x14ac:dyDescent="0.25">
      <c r="A1626" t="s">
        <v>1587</v>
      </c>
      <c r="B1626" t="s">
        <v>1685</v>
      </c>
      <c r="C1626">
        <v>44210</v>
      </c>
      <c r="D1626">
        <v>0</v>
      </c>
      <c r="E1626">
        <v>0</v>
      </c>
      <c r="F1626">
        <v>0</v>
      </c>
    </row>
    <row r="1627" spans="1:6" x14ac:dyDescent="0.25">
      <c r="A1627" t="s">
        <v>1589</v>
      </c>
      <c r="B1627" t="s">
        <v>1686</v>
      </c>
      <c r="C1627">
        <v>44211</v>
      </c>
      <c r="D1627">
        <v>0</v>
      </c>
      <c r="E1627">
        <v>0</v>
      </c>
      <c r="F1627">
        <v>0</v>
      </c>
    </row>
    <row r="1628" spans="1:6" x14ac:dyDescent="0.25">
      <c r="A1628" t="s">
        <v>1591</v>
      </c>
      <c r="B1628" t="s">
        <v>1687</v>
      </c>
      <c r="C1628">
        <v>44212</v>
      </c>
      <c r="D1628">
        <v>0</v>
      </c>
      <c r="E1628">
        <v>0</v>
      </c>
      <c r="F1628">
        <v>0</v>
      </c>
    </row>
    <row r="1629" spans="1:6" x14ac:dyDescent="0.25">
      <c r="A1629" t="s">
        <v>1593</v>
      </c>
      <c r="B1629" t="s">
        <v>1688</v>
      </c>
      <c r="C1629">
        <v>44213</v>
      </c>
      <c r="D1629">
        <v>0</v>
      </c>
      <c r="E1629">
        <v>0</v>
      </c>
      <c r="F1629">
        <v>0</v>
      </c>
    </row>
    <row r="1630" spans="1:6" x14ac:dyDescent="0.25">
      <c r="A1630" t="s">
        <v>1595</v>
      </c>
      <c r="B1630" t="s">
        <v>1690</v>
      </c>
      <c r="C1630">
        <v>44214</v>
      </c>
      <c r="D1630">
        <v>0</v>
      </c>
      <c r="E1630">
        <v>0</v>
      </c>
      <c r="F1630">
        <v>0</v>
      </c>
    </row>
    <row r="1631" spans="1:6" x14ac:dyDescent="0.25">
      <c r="A1631" t="s">
        <v>1597</v>
      </c>
      <c r="B1631" t="s">
        <v>1637</v>
      </c>
      <c r="C1631">
        <v>44215</v>
      </c>
      <c r="D1631">
        <v>0</v>
      </c>
      <c r="E1631">
        <v>0</v>
      </c>
      <c r="F1631">
        <v>0</v>
      </c>
    </row>
    <row r="1632" spans="1:6" x14ac:dyDescent="0.25">
      <c r="A1632" t="s">
        <v>1599</v>
      </c>
      <c r="B1632" t="s">
        <v>1640</v>
      </c>
      <c r="C1632">
        <v>44216</v>
      </c>
      <c r="D1632">
        <v>0</v>
      </c>
      <c r="E1632">
        <v>0</v>
      </c>
      <c r="F1632">
        <v>0</v>
      </c>
    </row>
    <row r="1633" spans="1:6" x14ac:dyDescent="0.25">
      <c r="A1633" t="s">
        <v>1601</v>
      </c>
      <c r="B1633" t="s">
        <v>1636</v>
      </c>
      <c r="C1633">
        <v>44217</v>
      </c>
      <c r="D1633">
        <v>0</v>
      </c>
      <c r="E1633">
        <v>0</v>
      </c>
      <c r="F1633">
        <v>0</v>
      </c>
    </row>
    <row r="1634" spans="1:6" x14ac:dyDescent="0.25">
      <c r="A1634" t="s">
        <v>1603</v>
      </c>
      <c r="B1634" t="s">
        <v>1689</v>
      </c>
      <c r="C1634">
        <v>44218</v>
      </c>
      <c r="D1634">
        <v>0</v>
      </c>
      <c r="E1634">
        <v>0</v>
      </c>
      <c r="F1634">
        <v>0</v>
      </c>
    </row>
    <row r="1635" spans="1:6" x14ac:dyDescent="0.25">
      <c r="B1635" t="s">
        <v>2048</v>
      </c>
      <c r="D1635">
        <v>0</v>
      </c>
      <c r="E1635">
        <v>0</v>
      </c>
      <c r="F1635">
        <v>0</v>
      </c>
    </row>
    <row r="1636" spans="1:6" x14ac:dyDescent="0.25">
      <c r="B1636" t="s">
        <v>1783</v>
      </c>
    </row>
    <row r="1637" spans="1:6" x14ac:dyDescent="0.25">
      <c r="A1637" t="s">
        <v>2</v>
      </c>
      <c r="B1637" t="s">
        <v>1699</v>
      </c>
      <c r="C1637">
        <v>44301</v>
      </c>
      <c r="D1637">
        <v>0</v>
      </c>
      <c r="E1637">
        <v>0</v>
      </c>
      <c r="F1637">
        <v>0</v>
      </c>
    </row>
    <row r="1638" spans="1:6" x14ac:dyDescent="0.25">
      <c r="A1638" t="s">
        <v>15</v>
      </c>
      <c r="B1638" t="s">
        <v>1694</v>
      </c>
      <c r="C1638">
        <v>44302</v>
      </c>
      <c r="D1638">
        <v>0</v>
      </c>
      <c r="E1638">
        <v>0</v>
      </c>
      <c r="F1638">
        <v>0</v>
      </c>
    </row>
    <row r="1639" spans="1:6" x14ac:dyDescent="0.25">
      <c r="A1639" t="s">
        <v>16</v>
      </c>
      <c r="B1639" t="s">
        <v>1695</v>
      </c>
      <c r="C1639">
        <v>44303</v>
      </c>
      <c r="D1639">
        <v>0</v>
      </c>
      <c r="E1639">
        <v>0</v>
      </c>
      <c r="F1639">
        <v>0</v>
      </c>
    </row>
    <row r="1640" spans="1:6" x14ac:dyDescent="0.25">
      <c r="A1640" t="s">
        <v>25</v>
      </c>
      <c r="B1640" t="s">
        <v>1696</v>
      </c>
      <c r="C1640">
        <v>44304</v>
      </c>
      <c r="D1640">
        <v>0</v>
      </c>
      <c r="E1640">
        <v>0</v>
      </c>
      <c r="F1640">
        <v>0</v>
      </c>
    </row>
    <row r="1641" spans="1:6" x14ac:dyDescent="0.25">
      <c r="A1641" t="s">
        <v>26</v>
      </c>
      <c r="B1641" t="s">
        <v>1680</v>
      </c>
      <c r="C1641">
        <v>44305</v>
      </c>
      <c r="D1641">
        <v>0</v>
      </c>
      <c r="E1641">
        <v>0</v>
      </c>
      <c r="F1641">
        <v>0</v>
      </c>
    </row>
    <row r="1642" spans="1:6" x14ac:dyDescent="0.25">
      <c r="A1642" t="s">
        <v>27</v>
      </c>
      <c r="B1642" t="s">
        <v>1681</v>
      </c>
      <c r="C1642">
        <v>44306</v>
      </c>
      <c r="D1642">
        <v>0</v>
      </c>
      <c r="E1642">
        <v>0</v>
      </c>
      <c r="F1642">
        <v>0</v>
      </c>
    </row>
    <row r="1643" spans="1:6" x14ac:dyDescent="0.25">
      <c r="A1643" t="s">
        <v>531</v>
      </c>
      <c r="B1643" t="s">
        <v>1682</v>
      </c>
      <c r="C1643">
        <v>44307</v>
      </c>
      <c r="D1643">
        <v>0</v>
      </c>
      <c r="E1643">
        <v>0</v>
      </c>
      <c r="F1643">
        <v>0</v>
      </c>
    </row>
    <row r="1644" spans="1:6" x14ac:dyDescent="0.25">
      <c r="A1644" t="s">
        <v>1583</v>
      </c>
      <c r="B1644" t="s">
        <v>1683</v>
      </c>
      <c r="C1644">
        <v>44308</v>
      </c>
      <c r="D1644">
        <v>0</v>
      </c>
      <c r="E1644">
        <v>0</v>
      </c>
      <c r="F1644">
        <v>0</v>
      </c>
    </row>
    <row r="1645" spans="1:6" x14ac:dyDescent="0.25">
      <c r="A1645" t="s">
        <v>1585</v>
      </c>
      <c r="B1645" t="s">
        <v>1684</v>
      </c>
      <c r="C1645">
        <v>44309</v>
      </c>
      <c r="D1645">
        <v>0</v>
      </c>
      <c r="E1645">
        <v>0</v>
      </c>
      <c r="F1645">
        <v>0</v>
      </c>
    </row>
    <row r="1646" spans="1:6" x14ac:dyDescent="0.25">
      <c r="A1646" t="s">
        <v>1587</v>
      </c>
      <c r="B1646" t="s">
        <v>1685</v>
      </c>
      <c r="C1646">
        <v>44310</v>
      </c>
      <c r="D1646">
        <v>0</v>
      </c>
      <c r="E1646">
        <v>0</v>
      </c>
      <c r="F1646">
        <v>0</v>
      </c>
    </row>
    <row r="1647" spans="1:6" x14ac:dyDescent="0.25">
      <c r="A1647" t="s">
        <v>1589</v>
      </c>
      <c r="B1647" t="s">
        <v>1686</v>
      </c>
      <c r="C1647">
        <v>44311</v>
      </c>
      <c r="D1647">
        <v>0</v>
      </c>
      <c r="E1647">
        <v>0</v>
      </c>
      <c r="F1647">
        <v>0</v>
      </c>
    </row>
    <row r="1648" spans="1:6" x14ac:dyDescent="0.25">
      <c r="A1648" t="s">
        <v>1591</v>
      </c>
      <c r="B1648" t="s">
        <v>1687</v>
      </c>
      <c r="C1648">
        <v>44312</v>
      </c>
      <c r="D1648">
        <v>0</v>
      </c>
      <c r="E1648">
        <v>0</v>
      </c>
      <c r="F1648">
        <v>0</v>
      </c>
    </row>
    <row r="1649" spans="1:6" x14ac:dyDescent="0.25">
      <c r="A1649" t="s">
        <v>1593</v>
      </c>
      <c r="B1649" t="s">
        <v>1688</v>
      </c>
      <c r="C1649">
        <v>44313</v>
      </c>
      <c r="D1649">
        <v>0</v>
      </c>
      <c r="E1649">
        <v>0</v>
      </c>
      <c r="F1649">
        <v>0</v>
      </c>
    </row>
    <row r="1650" spans="1:6" x14ac:dyDescent="0.25">
      <c r="A1650" t="s">
        <v>1595</v>
      </c>
      <c r="B1650" t="s">
        <v>1690</v>
      </c>
      <c r="C1650">
        <v>44314</v>
      </c>
      <c r="D1650">
        <v>0</v>
      </c>
      <c r="E1650">
        <v>0</v>
      </c>
      <c r="F1650">
        <v>0</v>
      </c>
    </row>
    <row r="1651" spans="1:6" x14ac:dyDescent="0.25">
      <c r="A1651" t="s">
        <v>1597</v>
      </c>
      <c r="B1651" t="s">
        <v>1637</v>
      </c>
      <c r="C1651">
        <v>44315</v>
      </c>
      <c r="D1651">
        <v>0</v>
      </c>
      <c r="E1651">
        <v>0</v>
      </c>
      <c r="F1651">
        <v>0</v>
      </c>
    </row>
    <row r="1652" spans="1:6" x14ac:dyDescent="0.25">
      <c r="A1652" t="s">
        <v>1599</v>
      </c>
      <c r="B1652" t="s">
        <v>1640</v>
      </c>
      <c r="C1652">
        <v>44316</v>
      </c>
      <c r="D1652">
        <v>0</v>
      </c>
      <c r="E1652">
        <v>0</v>
      </c>
      <c r="F1652">
        <v>0</v>
      </c>
    </row>
    <row r="1653" spans="1:6" x14ac:dyDescent="0.25">
      <c r="A1653" t="s">
        <v>1601</v>
      </c>
      <c r="B1653" t="s">
        <v>1636</v>
      </c>
      <c r="C1653">
        <v>44317</v>
      </c>
      <c r="D1653">
        <v>0</v>
      </c>
      <c r="E1653">
        <v>0</v>
      </c>
      <c r="F1653">
        <v>0</v>
      </c>
    </row>
    <row r="1654" spans="1:6" x14ac:dyDescent="0.25">
      <c r="A1654" t="s">
        <v>1603</v>
      </c>
      <c r="B1654" t="s">
        <v>1689</v>
      </c>
      <c r="C1654">
        <v>44318</v>
      </c>
      <c r="D1654">
        <v>0</v>
      </c>
      <c r="E1654">
        <v>0</v>
      </c>
      <c r="F1654">
        <v>0</v>
      </c>
    </row>
    <row r="1655" spans="1:6" x14ac:dyDescent="0.25">
      <c r="B1655" t="s">
        <v>2049</v>
      </c>
      <c r="D1655">
        <v>0</v>
      </c>
      <c r="E1655">
        <v>0</v>
      </c>
      <c r="F1655">
        <v>0</v>
      </c>
    </row>
    <row r="1656" spans="1:6" x14ac:dyDescent="0.25">
      <c r="B1656" t="s">
        <v>1785</v>
      </c>
    </row>
    <row r="1657" spans="1:6" x14ac:dyDescent="0.25">
      <c r="A1657" t="s">
        <v>2</v>
      </c>
      <c r="B1657" t="s">
        <v>1702</v>
      </c>
      <c r="C1657">
        <v>44401</v>
      </c>
      <c r="D1657">
        <v>0</v>
      </c>
      <c r="E1657">
        <v>0</v>
      </c>
      <c r="F1657">
        <v>0</v>
      </c>
    </row>
    <row r="1658" spans="1:6" x14ac:dyDescent="0.25">
      <c r="A1658" t="s">
        <v>15</v>
      </c>
      <c r="B1658" t="s">
        <v>1703</v>
      </c>
      <c r="C1658">
        <v>44402</v>
      </c>
      <c r="D1658">
        <v>0</v>
      </c>
      <c r="E1658">
        <v>0</v>
      </c>
      <c r="F1658">
        <v>0</v>
      </c>
    </row>
    <row r="1659" spans="1:6" x14ac:dyDescent="0.25">
      <c r="B1659" t="s">
        <v>2050</v>
      </c>
      <c r="D1659">
        <v>0</v>
      </c>
      <c r="E1659">
        <v>0</v>
      </c>
      <c r="F1659">
        <v>0</v>
      </c>
    </row>
    <row r="1660" spans="1:6" x14ac:dyDescent="0.25">
      <c r="B1660" t="s">
        <v>1787</v>
      </c>
    </row>
    <row r="1661" spans="1:6" x14ac:dyDescent="0.25">
      <c r="A1661" t="s">
        <v>2</v>
      </c>
      <c r="B1661" t="s">
        <v>1702</v>
      </c>
      <c r="C1661">
        <v>44501</v>
      </c>
      <c r="D1661">
        <v>0</v>
      </c>
      <c r="E1661">
        <v>0</v>
      </c>
      <c r="F1661">
        <v>0</v>
      </c>
    </row>
    <row r="1662" spans="1:6" x14ac:dyDescent="0.25">
      <c r="A1662" t="s">
        <v>15</v>
      </c>
      <c r="B1662" t="s">
        <v>1703</v>
      </c>
      <c r="C1662">
        <v>44502</v>
      </c>
      <c r="D1662">
        <v>0</v>
      </c>
      <c r="E1662">
        <v>0</v>
      </c>
      <c r="F1662">
        <v>0</v>
      </c>
    </row>
    <row r="1663" spans="1:6" x14ac:dyDescent="0.25">
      <c r="B1663" t="s">
        <v>2051</v>
      </c>
      <c r="D1663">
        <v>0</v>
      </c>
      <c r="E1663">
        <v>0</v>
      </c>
      <c r="F1663">
        <v>0</v>
      </c>
    </row>
    <row r="1664" spans="1:6" x14ac:dyDescent="0.25">
      <c r="B1664" t="s">
        <v>1789</v>
      </c>
    </row>
    <row r="1665" spans="1:6" x14ac:dyDescent="0.25">
      <c r="A1665" t="s">
        <v>2</v>
      </c>
      <c r="B1665" t="s">
        <v>1710</v>
      </c>
      <c r="C1665">
        <v>44601</v>
      </c>
      <c r="D1665">
        <v>404</v>
      </c>
      <c r="E1665">
        <v>7239</v>
      </c>
      <c r="F1665">
        <v>7643</v>
      </c>
    </row>
    <row r="1666" spans="1:6" x14ac:dyDescent="0.25">
      <c r="A1666" t="s">
        <v>15</v>
      </c>
      <c r="B1666" t="s">
        <v>1711</v>
      </c>
      <c r="C1666">
        <v>44602</v>
      </c>
      <c r="D1666">
        <v>0</v>
      </c>
      <c r="E1666">
        <v>0</v>
      </c>
      <c r="F1666">
        <v>0</v>
      </c>
    </row>
    <row r="1667" spans="1:6" x14ac:dyDescent="0.25">
      <c r="A1667" t="s">
        <v>16</v>
      </c>
      <c r="B1667" t="s">
        <v>1712</v>
      </c>
      <c r="C1667">
        <v>44603</v>
      </c>
      <c r="D1667">
        <v>0</v>
      </c>
      <c r="E1667">
        <v>0</v>
      </c>
      <c r="F1667">
        <v>0</v>
      </c>
    </row>
    <row r="1668" spans="1:6" x14ac:dyDescent="0.25">
      <c r="A1668" t="s">
        <v>25</v>
      </c>
      <c r="B1668" t="s">
        <v>1713</v>
      </c>
      <c r="C1668">
        <v>44604</v>
      </c>
      <c r="D1668">
        <v>0</v>
      </c>
      <c r="E1668">
        <v>0</v>
      </c>
      <c r="F1668">
        <v>0</v>
      </c>
    </row>
    <row r="1669" spans="1:6" x14ac:dyDescent="0.25">
      <c r="A1669" t="s">
        <v>26</v>
      </c>
      <c r="B1669" t="s">
        <v>1714</v>
      </c>
      <c r="C1669">
        <v>44605</v>
      </c>
      <c r="D1669">
        <v>0</v>
      </c>
      <c r="E1669">
        <v>0</v>
      </c>
      <c r="F1669">
        <v>0</v>
      </c>
    </row>
    <row r="1670" spans="1:6" x14ac:dyDescent="0.25">
      <c r="B1670" t="s">
        <v>2052</v>
      </c>
      <c r="D1670">
        <v>404</v>
      </c>
      <c r="E1670">
        <v>7239</v>
      </c>
      <c r="F1670">
        <v>7643</v>
      </c>
    </row>
    <row r="1671" spans="1:6" x14ac:dyDescent="0.25">
      <c r="B1671" t="s">
        <v>1716</v>
      </c>
      <c r="D1671">
        <v>404</v>
      </c>
      <c r="E1671">
        <v>7239</v>
      </c>
      <c r="F1671">
        <v>7643</v>
      </c>
    </row>
    <row r="1672" spans="1:6" x14ac:dyDescent="0.25">
      <c r="B1672" t="s">
        <v>2053</v>
      </c>
    </row>
    <row r="1673" spans="1:6" x14ac:dyDescent="0.25">
      <c r="B1673" t="s">
        <v>2054</v>
      </c>
    </row>
    <row r="1674" spans="1:6" x14ac:dyDescent="0.25">
      <c r="A1674" t="s">
        <v>2</v>
      </c>
      <c r="B1674" t="s">
        <v>1793</v>
      </c>
      <c r="C1674">
        <v>45101</v>
      </c>
      <c r="D1674">
        <v>4712668</v>
      </c>
      <c r="F1674">
        <v>4712668</v>
      </c>
    </row>
    <row r="1675" spans="1:6" x14ac:dyDescent="0.25">
      <c r="A1675" t="s">
        <v>15</v>
      </c>
      <c r="B1675" t="s">
        <v>1794</v>
      </c>
      <c r="C1675">
        <v>45102</v>
      </c>
      <c r="D1675">
        <v>26</v>
      </c>
      <c r="F1675">
        <v>26</v>
      </c>
    </row>
    <row r="1676" spans="1:6" x14ac:dyDescent="0.25">
      <c r="A1676" t="s">
        <v>16</v>
      </c>
      <c r="B1676" t="s">
        <v>1795</v>
      </c>
      <c r="C1676">
        <v>45103</v>
      </c>
      <c r="D1676">
        <v>0</v>
      </c>
      <c r="F1676">
        <v>0</v>
      </c>
    </row>
    <row r="1677" spans="1:6" x14ac:dyDescent="0.25">
      <c r="A1677" t="s">
        <v>25</v>
      </c>
      <c r="B1677" t="s">
        <v>1796</v>
      </c>
      <c r="C1677">
        <v>45104</v>
      </c>
      <c r="D1677">
        <v>1998456</v>
      </c>
      <c r="F1677">
        <v>1998456</v>
      </c>
    </row>
    <row r="1678" spans="1:6" x14ac:dyDescent="0.25">
      <c r="A1678" t="s">
        <v>26</v>
      </c>
      <c r="B1678" t="s">
        <v>1797</v>
      </c>
      <c r="C1678">
        <v>45105</v>
      </c>
      <c r="D1678">
        <v>0</v>
      </c>
      <c r="F1678">
        <v>0</v>
      </c>
    </row>
    <row r="1679" spans="1:6" x14ac:dyDescent="0.25">
      <c r="B1679" t="s">
        <v>2055</v>
      </c>
      <c r="D1679">
        <v>6711150</v>
      </c>
      <c r="F1679">
        <v>6711150</v>
      </c>
    </row>
    <row r="1680" spans="1:6" x14ac:dyDescent="0.25">
      <c r="B1680" t="s">
        <v>2056</v>
      </c>
    </row>
    <row r="1681" spans="1:6" x14ac:dyDescent="0.25">
      <c r="A1681" t="s">
        <v>2</v>
      </c>
      <c r="B1681" t="s">
        <v>1793</v>
      </c>
      <c r="C1681">
        <v>45201</v>
      </c>
      <c r="D1681">
        <v>0</v>
      </c>
      <c r="F1681">
        <v>0</v>
      </c>
    </row>
    <row r="1682" spans="1:6" x14ac:dyDescent="0.25">
      <c r="A1682" t="s">
        <v>15</v>
      </c>
      <c r="B1682" t="s">
        <v>1794</v>
      </c>
      <c r="C1682">
        <v>45202</v>
      </c>
      <c r="D1682">
        <v>0</v>
      </c>
      <c r="F1682">
        <v>0</v>
      </c>
    </row>
    <row r="1683" spans="1:6" x14ac:dyDescent="0.25">
      <c r="A1683" t="s">
        <v>16</v>
      </c>
      <c r="B1683" t="s">
        <v>1795</v>
      </c>
      <c r="C1683">
        <v>45203</v>
      </c>
      <c r="D1683">
        <v>0</v>
      </c>
      <c r="F1683">
        <v>0</v>
      </c>
    </row>
    <row r="1684" spans="1:6" x14ac:dyDescent="0.25">
      <c r="A1684" t="s">
        <v>25</v>
      </c>
      <c r="B1684" t="s">
        <v>1796</v>
      </c>
      <c r="C1684">
        <v>45204</v>
      </c>
      <c r="D1684">
        <v>0</v>
      </c>
      <c r="F1684">
        <v>0</v>
      </c>
    </row>
    <row r="1685" spans="1:6" x14ac:dyDescent="0.25">
      <c r="A1685" t="s">
        <v>26</v>
      </c>
      <c r="B1685" t="s">
        <v>1797</v>
      </c>
      <c r="C1685">
        <v>45205</v>
      </c>
      <c r="D1685">
        <v>0</v>
      </c>
      <c r="F1685">
        <v>0</v>
      </c>
    </row>
    <row r="1686" spans="1:6" x14ac:dyDescent="0.25">
      <c r="B1686" t="s">
        <v>2057</v>
      </c>
      <c r="D1686">
        <v>0</v>
      </c>
      <c r="F1686">
        <v>0</v>
      </c>
    </row>
    <row r="1687" spans="1:6" x14ac:dyDescent="0.25">
      <c r="B1687" t="s">
        <v>2058</v>
      </c>
    </row>
    <row r="1688" spans="1:6" x14ac:dyDescent="0.25">
      <c r="A1688" t="s">
        <v>2</v>
      </c>
      <c r="B1688" t="s">
        <v>1793</v>
      </c>
      <c r="C1688">
        <v>45301</v>
      </c>
      <c r="D1688">
        <v>0</v>
      </c>
      <c r="F1688">
        <v>0</v>
      </c>
    </row>
    <row r="1689" spans="1:6" x14ac:dyDescent="0.25">
      <c r="A1689" t="s">
        <v>15</v>
      </c>
      <c r="B1689" t="s">
        <v>1794</v>
      </c>
      <c r="C1689">
        <v>45302</v>
      </c>
      <c r="D1689">
        <v>0</v>
      </c>
      <c r="F1689">
        <v>0</v>
      </c>
    </row>
    <row r="1690" spans="1:6" x14ac:dyDescent="0.25">
      <c r="A1690" t="s">
        <v>16</v>
      </c>
      <c r="B1690" t="s">
        <v>1795</v>
      </c>
      <c r="C1690">
        <v>45303</v>
      </c>
      <c r="D1690">
        <v>0</v>
      </c>
      <c r="F1690">
        <v>0</v>
      </c>
    </row>
    <row r="1691" spans="1:6" x14ac:dyDescent="0.25">
      <c r="A1691" t="s">
        <v>25</v>
      </c>
      <c r="B1691" t="s">
        <v>1796</v>
      </c>
      <c r="C1691">
        <v>45304</v>
      </c>
      <c r="D1691">
        <v>0</v>
      </c>
      <c r="F1691">
        <v>0</v>
      </c>
    </row>
    <row r="1692" spans="1:6" x14ac:dyDescent="0.25">
      <c r="A1692" t="s">
        <v>26</v>
      </c>
      <c r="B1692" t="s">
        <v>1797</v>
      </c>
      <c r="C1692">
        <v>45305</v>
      </c>
      <c r="D1692">
        <v>0</v>
      </c>
      <c r="F1692">
        <v>0</v>
      </c>
    </row>
    <row r="1693" spans="1:6" x14ac:dyDescent="0.25">
      <c r="B1693" t="s">
        <v>2059</v>
      </c>
      <c r="D1693">
        <v>0</v>
      </c>
      <c r="F1693">
        <v>0</v>
      </c>
    </row>
    <row r="1694" spans="1:6" x14ac:dyDescent="0.25">
      <c r="B1694" t="s">
        <v>2060</v>
      </c>
    </row>
    <row r="1695" spans="1:6" x14ac:dyDescent="0.25">
      <c r="A1695" t="s">
        <v>2</v>
      </c>
      <c r="B1695" t="s">
        <v>1793</v>
      </c>
      <c r="C1695">
        <v>45401</v>
      </c>
      <c r="D1695">
        <v>0</v>
      </c>
      <c r="F1695">
        <v>0</v>
      </c>
    </row>
    <row r="1696" spans="1:6" x14ac:dyDescent="0.25">
      <c r="A1696" t="s">
        <v>15</v>
      </c>
      <c r="B1696" t="s">
        <v>1794</v>
      </c>
      <c r="C1696">
        <v>45402</v>
      </c>
      <c r="D1696">
        <v>0</v>
      </c>
      <c r="F1696">
        <v>0</v>
      </c>
    </row>
    <row r="1697" spans="1:6" x14ac:dyDescent="0.25">
      <c r="A1697" t="s">
        <v>16</v>
      </c>
      <c r="B1697" t="s">
        <v>1795</v>
      </c>
      <c r="C1697">
        <v>45403</v>
      </c>
      <c r="D1697">
        <v>0</v>
      </c>
      <c r="F1697">
        <v>0</v>
      </c>
    </row>
    <row r="1698" spans="1:6" x14ac:dyDescent="0.25">
      <c r="A1698" t="s">
        <v>25</v>
      </c>
      <c r="B1698" t="s">
        <v>1796</v>
      </c>
      <c r="C1698">
        <v>45404</v>
      </c>
      <c r="D1698">
        <v>0</v>
      </c>
      <c r="F1698">
        <v>0</v>
      </c>
    </row>
    <row r="1699" spans="1:6" x14ac:dyDescent="0.25">
      <c r="A1699" t="s">
        <v>26</v>
      </c>
      <c r="B1699" t="s">
        <v>1797</v>
      </c>
      <c r="C1699">
        <v>45405</v>
      </c>
      <c r="D1699">
        <v>0</v>
      </c>
      <c r="F1699">
        <v>0</v>
      </c>
    </row>
    <row r="1700" spans="1:6" x14ac:dyDescent="0.25">
      <c r="B1700" t="s">
        <v>2061</v>
      </c>
      <c r="D1700">
        <v>0</v>
      </c>
      <c r="F1700">
        <v>0</v>
      </c>
    </row>
    <row r="1701" spans="1:6" x14ac:dyDescent="0.25">
      <c r="B1701" t="s">
        <v>2062</v>
      </c>
    </row>
    <row r="1702" spans="1:6" x14ac:dyDescent="0.25">
      <c r="A1702" t="s">
        <v>2</v>
      </c>
      <c r="B1702" t="s">
        <v>1793</v>
      </c>
      <c r="C1702">
        <v>45501</v>
      </c>
      <c r="D1702">
        <v>0</v>
      </c>
      <c r="F1702">
        <v>0</v>
      </c>
    </row>
    <row r="1703" spans="1:6" x14ac:dyDescent="0.25">
      <c r="A1703" t="s">
        <v>15</v>
      </c>
      <c r="B1703" t="s">
        <v>1794</v>
      </c>
      <c r="C1703">
        <v>45502</v>
      </c>
      <c r="D1703">
        <v>0</v>
      </c>
      <c r="F1703">
        <v>0</v>
      </c>
    </row>
    <row r="1704" spans="1:6" x14ac:dyDescent="0.25">
      <c r="A1704" t="s">
        <v>16</v>
      </c>
      <c r="B1704" t="s">
        <v>1795</v>
      </c>
      <c r="C1704">
        <v>45503</v>
      </c>
      <c r="D1704">
        <v>0</v>
      </c>
      <c r="F1704">
        <v>0</v>
      </c>
    </row>
    <row r="1705" spans="1:6" x14ac:dyDescent="0.25">
      <c r="A1705" t="s">
        <v>25</v>
      </c>
      <c r="B1705" t="s">
        <v>1796</v>
      </c>
      <c r="C1705">
        <v>45504</v>
      </c>
      <c r="D1705">
        <v>0</v>
      </c>
      <c r="F1705">
        <v>0</v>
      </c>
    </row>
    <row r="1706" spans="1:6" x14ac:dyDescent="0.25">
      <c r="A1706" t="s">
        <v>26</v>
      </c>
      <c r="B1706" t="s">
        <v>1797</v>
      </c>
      <c r="C1706">
        <v>45505</v>
      </c>
      <c r="D1706">
        <v>0</v>
      </c>
      <c r="F1706">
        <v>0</v>
      </c>
    </row>
    <row r="1707" spans="1:6" x14ac:dyDescent="0.25">
      <c r="B1707" t="s">
        <v>2063</v>
      </c>
      <c r="D1707">
        <v>0</v>
      </c>
      <c r="F1707">
        <v>0</v>
      </c>
    </row>
    <row r="1708" spans="1:6" x14ac:dyDescent="0.25">
      <c r="B1708" t="s">
        <v>2064</v>
      </c>
    </row>
    <row r="1709" spans="1:6" x14ac:dyDescent="0.25">
      <c r="A1709" t="s">
        <v>2</v>
      </c>
      <c r="B1709" t="s">
        <v>2065</v>
      </c>
      <c r="C1709">
        <v>45601</v>
      </c>
      <c r="D1709">
        <v>5603</v>
      </c>
      <c r="F1709">
        <v>5603</v>
      </c>
    </row>
    <row r="1710" spans="1:6" x14ac:dyDescent="0.25">
      <c r="B1710" t="s">
        <v>1728</v>
      </c>
      <c r="D1710">
        <v>6716753</v>
      </c>
      <c r="F1710">
        <v>6716753</v>
      </c>
    </row>
    <row r="1711" spans="1:6" x14ac:dyDescent="0.25">
      <c r="B1711" t="s">
        <v>2066</v>
      </c>
    </row>
    <row r="1712" spans="1:6" x14ac:dyDescent="0.25">
      <c r="B1712" t="s">
        <v>2067</v>
      </c>
    </row>
    <row r="1713" spans="1:6" x14ac:dyDescent="0.25">
      <c r="A1713" t="s">
        <v>2</v>
      </c>
      <c r="B1713" t="s">
        <v>1811</v>
      </c>
      <c r="C1713">
        <v>46101</v>
      </c>
      <c r="D1713">
        <v>6137</v>
      </c>
      <c r="F1713">
        <v>6137</v>
      </c>
    </row>
    <row r="1714" spans="1:6" x14ac:dyDescent="0.25">
      <c r="A1714" t="s">
        <v>15</v>
      </c>
      <c r="B1714" t="s">
        <v>1008</v>
      </c>
      <c r="C1714">
        <v>46102</v>
      </c>
      <c r="D1714">
        <v>3269</v>
      </c>
      <c r="F1714">
        <v>3269</v>
      </c>
    </row>
    <row r="1715" spans="1:6" x14ac:dyDescent="0.25">
      <c r="A1715" t="s">
        <v>16</v>
      </c>
      <c r="B1715" t="s">
        <v>1812</v>
      </c>
      <c r="C1715">
        <v>46103</v>
      </c>
      <c r="D1715">
        <v>1</v>
      </c>
      <c r="F1715">
        <v>1</v>
      </c>
    </row>
    <row r="1716" spans="1:6" x14ac:dyDescent="0.25">
      <c r="A1716" t="s">
        <v>25</v>
      </c>
      <c r="B1716" t="s">
        <v>1813</v>
      </c>
      <c r="C1716">
        <v>46104</v>
      </c>
      <c r="D1716">
        <v>198</v>
      </c>
      <c r="F1716">
        <v>198</v>
      </c>
    </row>
    <row r="1717" spans="1:6" x14ac:dyDescent="0.25">
      <c r="A1717" t="s">
        <v>26</v>
      </c>
      <c r="B1717" t="s">
        <v>1814</v>
      </c>
      <c r="C1717">
        <v>46105</v>
      </c>
      <c r="D1717">
        <v>0</v>
      </c>
      <c r="F1717">
        <v>0</v>
      </c>
    </row>
    <row r="1718" spans="1:6" x14ac:dyDescent="0.25">
      <c r="A1718" t="s">
        <v>27</v>
      </c>
      <c r="B1718" t="s">
        <v>1815</v>
      </c>
      <c r="C1718">
        <v>46106</v>
      </c>
      <c r="D1718">
        <v>2</v>
      </c>
      <c r="F1718">
        <v>2</v>
      </c>
    </row>
    <row r="1719" spans="1:6" x14ac:dyDescent="0.25">
      <c r="B1719" t="s">
        <v>2068</v>
      </c>
      <c r="D1719">
        <v>9607</v>
      </c>
      <c r="F1719">
        <v>9607</v>
      </c>
    </row>
    <row r="1720" spans="1:6" x14ac:dyDescent="0.25">
      <c r="B1720" t="s">
        <v>2069</v>
      </c>
    </row>
    <row r="1721" spans="1:6" x14ac:dyDescent="0.25">
      <c r="A1721" t="s">
        <v>2</v>
      </c>
      <c r="B1721" t="s">
        <v>1811</v>
      </c>
      <c r="C1721">
        <v>46201</v>
      </c>
      <c r="D1721">
        <v>1476140</v>
      </c>
      <c r="F1721">
        <v>1476140</v>
      </c>
    </row>
    <row r="1722" spans="1:6" x14ac:dyDescent="0.25">
      <c r="A1722" t="s">
        <v>15</v>
      </c>
      <c r="B1722" t="s">
        <v>1008</v>
      </c>
      <c r="C1722">
        <v>46202</v>
      </c>
      <c r="D1722">
        <v>2656586</v>
      </c>
      <c r="F1722">
        <v>2656586</v>
      </c>
    </row>
    <row r="1723" spans="1:6" x14ac:dyDescent="0.25">
      <c r="A1723" t="s">
        <v>16</v>
      </c>
      <c r="B1723" t="s">
        <v>1812</v>
      </c>
      <c r="C1723">
        <v>46203</v>
      </c>
      <c r="D1723">
        <v>103</v>
      </c>
      <c r="F1723">
        <v>103</v>
      </c>
    </row>
    <row r="1724" spans="1:6" x14ac:dyDescent="0.25">
      <c r="A1724" t="s">
        <v>25</v>
      </c>
      <c r="B1724" t="s">
        <v>1813</v>
      </c>
      <c r="C1724">
        <v>46204</v>
      </c>
      <c r="D1724">
        <v>654</v>
      </c>
      <c r="F1724">
        <v>654</v>
      </c>
    </row>
    <row r="1725" spans="1:6" x14ac:dyDescent="0.25">
      <c r="A1725" t="s">
        <v>26</v>
      </c>
      <c r="B1725" t="s">
        <v>1814</v>
      </c>
      <c r="C1725">
        <v>46205</v>
      </c>
      <c r="D1725">
        <v>0</v>
      </c>
      <c r="F1725">
        <v>0</v>
      </c>
    </row>
    <row r="1726" spans="1:6" x14ac:dyDescent="0.25">
      <c r="A1726" t="s">
        <v>27</v>
      </c>
      <c r="B1726" t="s">
        <v>1815</v>
      </c>
      <c r="C1726">
        <v>46206</v>
      </c>
      <c r="D1726">
        <v>2227</v>
      </c>
      <c r="F1726">
        <v>2227</v>
      </c>
    </row>
    <row r="1727" spans="1:6" x14ac:dyDescent="0.25">
      <c r="B1727" t="s">
        <v>2070</v>
      </c>
      <c r="D1727">
        <v>4135710</v>
      </c>
      <c r="F1727">
        <v>4135710</v>
      </c>
    </row>
    <row r="1728" spans="1:6" x14ac:dyDescent="0.25">
      <c r="B1728" t="s">
        <v>2071</v>
      </c>
    </row>
    <row r="1729" spans="1:6" x14ac:dyDescent="0.25">
      <c r="A1729" t="s">
        <v>2</v>
      </c>
      <c r="B1729" t="s">
        <v>1820</v>
      </c>
      <c r="C1729">
        <v>46301</v>
      </c>
      <c r="D1729">
        <v>94634620</v>
      </c>
      <c r="F1729">
        <v>94634620</v>
      </c>
    </row>
    <row r="1730" spans="1:6" x14ac:dyDescent="0.25">
      <c r="A1730" t="s">
        <v>15</v>
      </c>
      <c r="B1730" t="s">
        <v>1821</v>
      </c>
      <c r="C1730">
        <v>46302</v>
      </c>
      <c r="D1730">
        <v>14756415</v>
      </c>
      <c r="F1730">
        <v>14756415</v>
      </c>
    </row>
    <row r="1731" spans="1:6" x14ac:dyDescent="0.25">
      <c r="A1731" t="s">
        <v>16</v>
      </c>
      <c r="B1731" t="s">
        <v>1822</v>
      </c>
      <c r="C1731">
        <v>46303</v>
      </c>
      <c r="D1731">
        <v>417608</v>
      </c>
      <c r="F1731">
        <v>417608</v>
      </c>
    </row>
    <row r="1732" spans="1:6" x14ac:dyDescent="0.25">
      <c r="A1732" t="s">
        <v>25</v>
      </c>
      <c r="B1732" t="s">
        <v>1823</v>
      </c>
      <c r="C1732">
        <v>46304</v>
      </c>
      <c r="D1732">
        <v>384328</v>
      </c>
      <c r="F1732">
        <v>384328</v>
      </c>
    </row>
    <row r="1733" spans="1:6" x14ac:dyDescent="0.25">
      <c r="A1733" t="s">
        <v>26</v>
      </c>
      <c r="B1733" t="s">
        <v>1824</v>
      </c>
      <c r="C1733">
        <v>46305</v>
      </c>
      <c r="D1733">
        <v>4383</v>
      </c>
      <c r="F1733">
        <v>4383</v>
      </c>
    </row>
    <row r="1734" spans="1:6" x14ac:dyDescent="0.25">
      <c r="A1734" t="s">
        <v>27</v>
      </c>
      <c r="B1734" t="s">
        <v>1825</v>
      </c>
      <c r="C1734">
        <v>46306</v>
      </c>
      <c r="D1734">
        <v>1109886</v>
      </c>
      <c r="F1734">
        <v>1109886</v>
      </c>
    </row>
    <row r="1735" spans="1:6" x14ac:dyDescent="0.25">
      <c r="B1735" t="s">
        <v>2072</v>
      </c>
      <c r="D1735">
        <v>111307240</v>
      </c>
      <c r="F1735">
        <v>111307240</v>
      </c>
    </row>
    <row r="1736" spans="1:6" x14ac:dyDescent="0.25">
      <c r="B1736" t="s">
        <v>2073</v>
      </c>
    </row>
    <row r="1737" spans="1:6" x14ac:dyDescent="0.25">
      <c r="A1737" t="s">
        <v>2</v>
      </c>
      <c r="B1737" t="s">
        <v>1828</v>
      </c>
      <c r="C1737">
        <v>46401</v>
      </c>
      <c r="D1737">
        <v>1095</v>
      </c>
      <c r="F1737">
        <v>1095</v>
      </c>
    </row>
    <row r="1738" spans="1:6" x14ac:dyDescent="0.25">
      <c r="A1738" t="s">
        <v>15</v>
      </c>
      <c r="B1738" t="s">
        <v>1829</v>
      </c>
      <c r="C1738">
        <v>46402</v>
      </c>
      <c r="D1738">
        <v>21</v>
      </c>
      <c r="F1738">
        <v>21</v>
      </c>
    </row>
    <row r="1739" spans="1:6" x14ac:dyDescent="0.25">
      <c r="A1739" t="s">
        <v>16</v>
      </c>
      <c r="B1739" t="s">
        <v>1830</v>
      </c>
      <c r="C1739">
        <v>46403</v>
      </c>
      <c r="D1739">
        <v>2220</v>
      </c>
      <c r="F1739">
        <v>2220</v>
      </c>
    </row>
    <row r="1740" spans="1:6" x14ac:dyDescent="0.25">
      <c r="A1740" t="s">
        <v>25</v>
      </c>
      <c r="B1740" t="s">
        <v>1831</v>
      </c>
      <c r="C1740">
        <v>46404</v>
      </c>
      <c r="D1740">
        <v>67</v>
      </c>
      <c r="F1740">
        <v>67</v>
      </c>
    </row>
    <row r="1741" spans="1:6" x14ac:dyDescent="0.25">
      <c r="A1741" t="s">
        <v>26</v>
      </c>
      <c r="B1741" t="s">
        <v>1832</v>
      </c>
      <c r="C1741">
        <v>46405</v>
      </c>
      <c r="D1741">
        <v>0</v>
      </c>
      <c r="F1741">
        <v>0</v>
      </c>
    </row>
    <row r="1742" spans="1:6" x14ac:dyDescent="0.25">
      <c r="B1742" t="s">
        <v>2074</v>
      </c>
      <c r="D1742">
        <v>3403</v>
      </c>
      <c r="F1742">
        <v>3403</v>
      </c>
    </row>
    <row r="1743" spans="1:6" x14ac:dyDescent="0.25">
      <c r="B1743" t="s">
        <v>2075</v>
      </c>
    </row>
    <row r="1744" spans="1:6" x14ac:dyDescent="0.25">
      <c r="A1744" t="s">
        <v>2</v>
      </c>
      <c r="B1744" t="s">
        <v>1828</v>
      </c>
      <c r="C1744">
        <v>46501</v>
      </c>
      <c r="D1744">
        <v>1805446</v>
      </c>
      <c r="F1744">
        <v>1805446</v>
      </c>
    </row>
    <row r="1745" spans="1:6" x14ac:dyDescent="0.25">
      <c r="A1745" t="s">
        <v>15</v>
      </c>
      <c r="B1745" t="s">
        <v>1829</v>
      </c>
      <c r="C1745">
        <v>46502</v>
      </c>
      <c r="D1745">
        <v>100479</v>
      </c>
      <c r="F1745">
        <v>100479</v>
      </c>
    </row>
    <row r="1746" spans="1:6" x14ac:dyDescent="0.25">
      <c r="A1746" t="s">
        <v>16</v>
      </c>
      <c r="B1746" t="s">
        <v>1830</v>
      </c>
      <c r="C1746">
        <v>46503</v>
      </c>
      <c r="D1746">
        <v>875434</v>
      </c>
      <c r="F1746">
        <v>875434</v>
      </c>
    </row>
    <row r="1747" spans="1:6" x14ac:dyDescent="0.25">
      <c r="A1747" t="s">
        <v>25</v>
      </c>
      <c r="B1747" t="s">
        <v>1831</v>
      </c>
      <c r="C1747">
        <v>46504</v>
      </c>
      <c r="D1747">
        <v>237672</v>
      </c>
      <c r="F1747">
        <v>237672</v>
      </c>
    </row>
    <row r="1748" spans="1:6" x14ac:dyDescent="0.25">
      <c r="A1748" t="s">
        <v>26</v>
      </c>
      <c r="B1748" t="s">
        <v>1832</v>
      </c>
      <c r="C1748">
        <v>46505</v>
      </c>
      <c r="D1748">
        <v>0</v>
      </c>
      <c r="F1748">
        <v>0</v>
      </c>
    </row>
    <row r="1749" spans="1:6" x14ac:dyDescent="0.25">
      <c r="B1749" t="s">
        <v>2076</v>
      </c>
      <c r="D1749">
        <v>3019031</v>
      </c>
      <c r="F1749">
        <v>3019031</v>
      </c>
    </row>
    <row r="1750" spans="1:6" x14ac:dyDescent="0.25">
      <c r="B1750" t="s">
        <v>1732</v>
      </c>
      <c r="D1750">
        <v>118474991</v>
      </c>
      <c r="F1750">
        <v>118474991</v>
      </c>
    </row>
    <row r="1751" spans="1:6" x14ac:dyDescent="0.25">
      <c r="B1751" t="s">
        <v>2077</v>
      </c>
    </row>
    <row r="1752" spans="1:6" x14ac:dyDescent="0.25">
      <c r="B1752" t="s">
        <v>2078</v>
      </c>
    </row>
    <row r="1753" spans="1:6" x14ac:dyDescent="0.25">
      <c r="A1753" t="s">
        <v>2</v>
      </c>
      <c r="B1753" t="s">
        <v>2079</v>
      </c>
      <c r="C1753">
        <v>47101</v>
      </c>
      <c r="D1753">
        <v>0</v>
      </c>
      <c r="E1753">
        <v>26732</v>
      </c>
      <c r="F1753">
        <v>26732</v>
      </c>
    </row>
    <row r="1754" spans="1:6" x14ac:dyDescent="0.25">
      <c r="A1754" t="s">
        <v>15</v>
      </c>
      <c r="B1754" t="s">
        <v>2080</v>
      </c>
      <c r="C1754">
        <v>47102</v>
      </c>
      <c r="D1754">
        <v>0</v>
      </c>
      <c r="E1754">
        <v>0</v>
      </c>
      <c r="F1754">
        <v>0</v>
      </c>
    </row>
    <row r="1755" spans="1:6" x14ac:dyDescent="0.25">
      <c r="A1755" t="s">
        <v>16</v>
      </c>
      <c r="B1755" t="s">
        <v>2081</v>
      </c>
      <c r="C1755">
        <v>47103</v>
      </c>
      <c r="D1755">
        <v>891951</v>
      </c>
      <c r="E1755">
        <v>269048</v>
      </c>
      <c r="F1755">
        <v>1160999</v>
      </c>
    </row>
    <row r="1756" spans="1:6" x14ac:dyDescent="0.25">
      <c r="A1756" t="s">
        <v>25</v>
      </c>
      <c r="B1756" t="s">
        <v>2082</v>
      </c>
      <c r="C1756">
        <v>47104</v>
      </c>
      <c r="D1756">
        <v>51730</v>
      </c>
      <c r="E1756">
        <v>1</v>
      </c>
      <c r="F1756">
        <v>51731</v>
      </c>
    </row>
    <row r="1757" spans="1:6" x14ac:dyDescent="0.25">
      <c r="A1757" t="s">
        <v>26</v>
      </c>
      <c r="B1757" t="s">
        <v>2083</v>
      </c>
      <c r="C1757">
        <v>47105</v>
      </c>
      <c r="D1757">
        <v>0</v>
      </c>
      <c r="E1757">
        <v>1569</v>
      </c>
      <c r="F1757">
        <v>1569</v>
      </c>
    </row>
    <row r="1758" spans="1:6" x14ac:dyDescent="0.25">
      <c r="A1758" t="s">
        <v>27</v>
      </c>
      <c r="B1758" t="s">
        <v>2084</v>
      </c>
      <c r="C1758">
        <v>47106</v>
      </c>
      <c r="D1758">
        <v>108307</v>
      </c>
      <c r="E1758">
        <v>0</v>
      </c>
      <c r="F1758">
        <v>108307</v>
      </c>
    </row>
    <row r="1759" spans="1:6" x14ac:dyDescent="0.25">
      <c r="A1759" t="s">
        <v>531</v>
      </c>
      <c r="B1759" t="s">
        <v>2085</v>
      </c>
      <c r="C1759">
        <v>47107</v>
      </c>
      <c r="D1759">
        <v>0</v>
      </c>
      <c r="E1759">
        <v>0</v>
      </c>
      <c r="F1759">
        <v>0</v>
      </c>
    </row>
    <row r="1760" spans="1:6" x14ac:dyDescent="0.25">
      <c r="A1760" t="s">
        <v>1583</v>
      </c>
      <c r="B1760" t="s">
        <v>2086</v>
      </c>
      <c r="C1760">
        <v>47108</v>
      </c>
      <c r="D1760">
        <v>274766</v>
      </c>
      <c r="E1760">
        <v>0</v>
      </c>
      <c r="F1760">
        <v>274766</v>
      </c>
    </row>
    <row r="1761" spans="1:6" x14ac:dyDescent="0.25">
      <c r="A1761" t="s">
        <v>1585</v>
      </c>
      <c r="B1761" t="s">
        <v>2087</v>
      </c>
      <c r="C1761">
        <v>47109</v>
      </c>
      <c r="D1761">
        <v>4878</v>
      </c>
      <c r="E1761">
        <v>0</v>
      </c>
      <c r="F1761">
        <v>4878</v>
      </c>
    </row>
    <row r="1762" spans="1:6" x14ac:dyDescent="0.25">
      <c r="B1762" t="s">
        <v>2088</v>
      </c>
      <c r="D1762">
        <v>1331632</v>
      </c>
      <c r="E1762">
        <v>297350</v>
      </c>
      <c r="F1762">
        <v>1628982</v>
      </c>
    </row>
    <row r="1763" spans="1:6" x14ac:dyDescent="0.25">
      <c r="B1763" t="s">
        <v>2089</v>
      </c>
    </row>
    <row r="1764" spans="1:6" x14ac:dyDescent="0.25">
      <c r="A1764" t="s">
        <v>2</v>
      </c>
      <c r="B1764" t="s">
        <v>2090</v>
      </c>
      <c r="C1764">
        <v>47201</v>
      </c>
      <c r="D1764">
        <v>0</v>
      </c>
      <c r="F1764">
        <v>0</v>
      </c>
    </row>
    <row r="1765" spans="1:6" x14ac:dyDescent="0.25">
      <c r="A1765" t="s">
        <v>15</v>
      </c>
      <c r="B1765" t="s">
        <v>2091</v>
      </c>
      <c r="C1765">
        <v>47202</v>
      </c>
      <c r="D1765">
        <v>0</v>
      </c>
      <c r="F1765">
        <v>0</v>
      </c>
    </row>
    <row r="1766" spans="1:6" x14ac:dyDescent="0.25">
      <c r="A1766" t="s">
        <v>16</v>
      </c>
      <c r="B1766" t="s">
        <v>2092</v>
      </c>
      <c r="C1766">
        <v>47203</v>
      </c>
      <c r="D1766">
        <v>0</v>
      </c>
      <c r="F1766">
        <v>0</v>
      </c>
    </row>
    <row r="1767" spans="1:6" x14ac:dyDescent="0.25">
      <c r="A1767" t="s">
        <v>25</v>
      </c>
      <c r="B1767" t="s">
        <v>2093</v>
      </c>
      <c r="C1767">
        <v>47204</v>
      </c>
      <c r="D1767">
        <v>0</v>
      </c>
      <c r="F1767">
        <v>0</v>
      </c>
    </row>
    <row r="1768" spans="1:6" x14ac:dyDescent="0.25">
      <c r="B1768" t="s">
        <v>2094</v>
      </c>
      <c r="D1768">
        <v>0</v>
      </c>
      <c r="F1768">
        <v>0</v>
      </c>
    </row>
    <row r="1769" spans="1:6" x14ac:dyDescent="0.25">
      <c r="B1769" t="s">
        <v>2095</v>
      </c>
    </row>
    <row r="1770" spans="1:6" x14ac:dyDescent="0.25">
      <c r="A1770" t="s">
        <v>2</v>
      </c>
      <c r="B1770" t="s">
        <v>2096</v>
      </c>
      <c r="C1770">
        <v>47301</v>
      </c>
      <c r="D1770">
        <v>473425</v>
      </c>
      <c r="F1770">
        <v>473425</v>
      </c>
    </row>
    <row r="1771" spans="1:6" x14ac:dyDescent="0.25">
      <c r="A1771" t="s">
        <v>15</v>
      </c>
      <c r="B1771" t="s">
        <v>2097</v>
      </c>
      <c r="C1771">
        <v>47302</v>
      </c>
      <c r="D1771">
        <v>9752329</v>
      </c>
      <c r="F1771">
        <v>9752329</v>
      </c>
    </row>
    <row r="1772" spans="1:6" x14ac:dyDescent="0.25">
      <c r="A1772" t="s">
        <v>16</v>
      </c>
      <c r="B1772" t="s">
        <v>2098</v>
      </c>
      <c r="C1772">
        <v>47303</v>
      </c>
      <c r="D1772">
        <v>0</v>
      </c>
      <c r="F1772">
        <v>0</v>
      </c>
    </row>
    <row r="1773" spans="1:6" x14ac:dyDescent="0.25">
      <c r="A1773" t="s">
        <v>25</v>
      </c>
      <c r="B1773" t="s">
        <v>2099</v>
      </c>
      <c r="C1773">
        <v>47304</v>
      </c>
      <c r="D1773">
        <v>1682319</v>
      </c>
      <c r="F1773">
        <v>1682319</v>
      </c>
    </row>
    <row r="1774" spans="1:6" x14ac:dyDescent="0.25">
      <c r="B1774" t="s">
        <v>2100</v>
      </c>
      <c r="D1774">
        <v>11908073</v>
      </c>
      <c r="F1774">
        <v>11908073</v>
      </c>
    </row>
    <row r="1775" spans="1:6" x14ac:dyDescent="0.25">
      <c r="B1775" t="s">
        <v>1885</v>
      </c>
    </row>
    <row r="1776" spans="1:6" x14ac:dyDescent="0.25">
      <c r="A1776" t="s">
        <v>2</v>
      </c>
      <c r="B1776" t="s">
        <v>1886</v>
      </c>
      <c r="C1776">
        <v>47401</v>
      </c>
      <c r="D1776">
        <v>787</v>
      </c>
      <c r="E1776">
        <v>0</v>
      </c>
      <c r="F1776">
        <v>787</v>
      </c>
    </row>
    <row r="1777" spans="1:6" x14ac:dyDescent="0.25">
      <c r="A1777" t="s">
        <v>15</v>
      </c>
      <c r="B1777" t="s">
        <v>1887</v>
      </c>
      <c r="C1777">
        <v>47402</v>
      </c>
      <c r="D1777">
        <v>14862</v>
      </c>
      <c r="E1777">
        <v>0</v>
      </c>
      <c r="F1777">
        <v>14862</v>
      </c>
    </row>
    <row r="1778" spans="1:6" x14ac:dyDescent="0.25">
      <c r="B1778" t="s">
        <v>2101</v>
      </c>
      <c r="D1778">
        <v>15649</v>
      </c>
      <c r="E1778">
        <v>0</v>
      </c>
      <c r="F1778">
        <v>15649</v>
      </c>
    </row>
    <row r="1779" spans="1:6" x14ac:dyDescent="0.25">
      <c r="B1779" t="s">
        <v>2102</v>
      </c>
    </row>
    <row r="1780" spans="1:6" x14ac:dyDescent="0.25">
      <c r="A1780" t="s">
        <v>2</v>
      </c>
      <c r="B1780" t="s">
        <v>2103</v>
      </c>
      <c r="C1780">
        <v>47501</v>
      </c>
      <c r="D1780">
        <v>0</v>
      </c>
      <c r="F1780">
        <v>0</v>
      </c>
    </row>
    <row r="1781" spans="1:6" x14ac:dyDescent="0.25">
      <c r="A1781" t="s">
        <v>15</v>
      </c>
      <c r="B1781" t="s">
        <v>2104</v>
      </c>
      <c r="C1781">
        <v>47502</v>
      </c>
      <c r="D1781">
        <v>0</v>
      </c>
      <c r="F1781">
        <v>0</v>
      </c>
    </row>
    <row r="1782" spans="1:6" x14ac:dyDescent="0.25">
      <c r="A1782" t="s">
        <v>16</v>
      </c>
      <c r="B1782" t="s">
        <v>2105</v>
      </c>
      <c r="C1782">
        <v>47503</v>
      </c>
      <c r="D1782">
        <v>8443</v>
      </c>
      <c r="F1782">
        <v>8443</v>
      </c>
    </row>
    <row r="1783" spans="1:6" x14ac:dyDescent="0.25">
      <c r="A1783" t="s">
        <v>25</v>
      </c>
      <c r="B1783" t="s">
        <v>2106</v>
      </c>
      <c r="C1783">
        <v>47504</v>
      </c>
      <c r="D1783">
        <v>0</v>
      </c>
      <c r="E1783">
        <v>0</v>
      </c>
      <c r="F1783">
        <v>0</v>
      </c>
    </row>
    <row r="1784" spans="1:6" x14ac:dyDescent="0.25">
      <c r="A1784" t="s">
        <v>26</v>
      </c>
      <c r="B1784" t="s">
        <v>2107</v>
      </c>
      <c r="C1784">
        <v>47505</v>
      </c>
      <c r="D1784">
        <v>0</v>
      </c>
      <c r="E1784">
        <v>0</v>
      </c>
      <c r="F1784">
        <v>0</v>
      </c>
    </row>
    <row r="1785" spans="1:6" x14ac:dyDescent="0.25">
      <c r="A1785" t="s">
        <v>27</v>
      </c>
      <c r="B1785" t="s">
        <v>2108</v>
      </c>
      <c r="C1785">
        <v>47506</v>
      </c>
      <c r="D1785">
        <v>0</v>
      </c>
      <c r="F1785">
        <v>0</v>
      </c>
    </row>
    <row r="1786" spans="1:6" x14ac:dyDescent="0.25">
      <c r="B1786" t="s">
        <v>2109</v>
      </c>
      <c r="D1786">
        <v>8443</v>
      </c>
      <c r="E1786">
        <v>0</v>
      </c>
      <c r="F1786">
        <v>8443</v>
      </c>
    </row>
    <row r="1787" spans="1:6" x14ac:dyDescent="0.25">
      <c r="B1787" t="s">
        <v>2110</v>
      </c>
    </row>
    <row r="1788" spans="1:6" x14ac:dyDescent="0.25">
      <c r="A1788" t="s">
        <v>2</v>
      </c>
      <c r="B1788" t="s">
        <v>2111</v>
      </c>
      <c r="C1788">
        <v>47601</v>
      </c>
      <c r="D1788">
        <v>98831</v>
      </c>
      <c r="F1788">
        <v>98831</v>
      </c>
    </row>
    <row r="1789" spans="1:6" x14ac:dyDescent="0.25">
      <c r="A1789" t="s">
        <v>15</v>
      </c>
      <c r="B1789" t="s">
        <v>2112</v>
      </c>
      <c r="C1789">
        <v>47602</v>
      </c>
      <c r="D1789">
        <v>109359</v>
      </c>
      <c r="F1789">
        <v>109359</v>
      </c>
    </row>
    <row r="1790" spans="1:6" x14ac:dyDescent="0.25">
      <c r="B1790" t="s">
        <v>2113</v>
      </c>
      <c r="D1790">
        <v>208190</v>
      </c>
      <c r="F1790">
        <v>208190</v>
      </c>
    </row>
    <row r="1791" spans="1:6" x14ac:dyDescent="0.25">
      <c r="B1791" t="s">
        <v>2114</v>
      </c>
    </row>
    <row r="1792" spans="1:6" x14ac:dyDescent="0.25">
      <c r="A1792" t="s">
        <v>2</v>
      </c>
      <c r="B1792" t="s">
        <v>2115</v>
      </c>
      <c r="C1792">
        <v>47701</v>
      </c>
      <c r="D1792">
        <v>171</v>
      </c>
      <c r="F1792">
        <v>171</v>
      </c>
    </row>
    <row r="1793" spans="1:6" x14ac:dyDescent="0.25">
      <c r="A1793" t="s">
        <v>15</v>
      </c>
      <c r="B1793" t="s">
        <v>2116</v>
      </c>
      <c r="C1793">
        <v>47702</v>
      </c>
      <c r="D1793">
        <v>0</v>
      </c>
      <c r="F1793">
        <v>0</v>
      </c>
    </row>
    <row r="1794" spans="1:6" x14ac:dyDescent="0.25">
      <c r="A1794" t="s">
        <v>16</v>
      </c>
      <c r="B1794" t="s">
        <v>2117</v>
      </c>
      <c r="C1794">
        <v>47703</v>
      </c>
      <c r="D1794">
        <v>1296</v>
      </c>
      <c r="F1794">
        <v>1296</v>
      </c>
    </row>
    <row r="1795" spans="1:6" x14ac:dyDescent="0.25">
      <c r="A1795" t="s">
        <v>25</v>
      </c>
      <c r="B1795" t="s">
        <v>2118</v>
      </c>
      <c r="C1795">
        <v>47704</v>
      </c>
      <c r="D1795">
        <v>0</v>
      </c>
      <c r="F1795">
        <v>0</v>
      </c>
    </row>
    <row r="1796" spans="1:6" x14ac:dyDescent="0.25">
      <c r="B1796" t="s">
        <v>2119</v>
      </c>
      <c r="D1796">
        <v>1467</v>
      </c>
      <c r="F1796">
        <v>1467</v>
      </c>
    </row>
    <row r="1797" spans="1:6" x14ac:dyDescent="0.25">
      <c r="B1797" t="s">
        <v>2120</v>
      </c>
    </row>
    <row r="1798" spans="1:6" x14ac:dyDescent="0.25">
      <c r="A1798" t="s">
        <v>2</v>
      </c>
      <c r="B1798" t="s">
        <v>2121</v>
      </c>
      <c r="C1798">
        <v>47801</v>
      </c>
      <c r="D1798">
        <v>0</v>
      </c>
      <c r="E1798">
        <v>0</v>
      </c>
      <c r="F1798">
        <v>0</v>
      </c>
    </row>
    <row r="1799" spans="1:6" x14ac:dyDescent="0.25">
      <c r="A1799" t="s">
        <v>15</v>
      </c>
      <c r="B1799" t="s">
        <v>2122</v>
      </c>
      <c r="C1799">
        <v>47802</v>
      </c>
      <c r="D1799">
        <v>395973</v>
      </c>
      <c r="E1799">
        <v>49419</v>
      </c>
      <c r="F1799">
        <v>445392</v>
      </c>
    </row>
    <row r="1800" spans="1:6" x14ac:dyDescent="0.25">
      <c r="A1800" t="s">
        <v>16</v>
      </c>
      <c r="B1800" t="s">
        <v>2123</v>
      </c>
      <c r="C1800">
        <v>47803</v>
      </c>
      <c r="D1800">
        <v>55644</v>
      </c>
      <c r="E1800">
        <v>1</v>
      </c>
      <c r="F1800">
        <v>55645</v>
      </c>
    </row>
    <row r="1801" spans="1:6" x14ac:dyDescent="0.25">
      <c r="B1801" t="s">
        <v>2124</v>
      </c>
      <c r="D1801">
        <v>451617</v>
      </c>
      <c r="E1801">
        <v>49420</v>
      </c>
      <c r="F1801">
        <v>501037</v>
      </c>
    </row>
    <row r="1802" spans="1:6" x14ac:dyDescent="0.25">
      <c r="B1802" t="s">
        <v>1866</v>
      </c>
      <c r="D1802">
        <v>13925071</v>
      </c>
      <c r="E1802">
        <v>346770</v>
      </c>
      <c r="F1802">
        <v>14271841</v>
      </c>
    </row>
    <row r="1803" spans="1:6" x14ac:dyDescent="0.25">
      <c r="B1803" t="s">
        <v>2125</v>
      </c>
    </row>
    <row r="1804" spans="1:6" x14ac:dyDescent="0.25">
      <c r="B1804" t="s">
        <v>1394</v>
      </c>
    </row>
    <row r="1805" spans="1:6" x14ac:dyDescent="0.25">
      <c r="A1805" t="s">
        <v>2</v>
      </c>
      <c r="B1805" t="s">
        <v>2126</v>
      </c>
      <c r="C1805">
        <v>48101</v>
      </c>
      <c r="D1805">
        <v>3342743</v>
      </c>
      <c r="E1805">
        <v>0</v>
      </c>
      <c r="F1805">
        <v>3342743</v>
      </c>
    </row>
    <row r="1806" spans="1:6" x14ac:dyDescent="0.25">
      <c r="A1806" t="s">
        <v>15</v>
      </c>
      <c r="B1806" t="s">
        <v>2127</v>
      </c>
      <c r="C1806">
        <v>48102</v>
      </c>
      <c r="D1806">
        <v>58740</v>
      </c>
      <c r="E1806">
        <v>0</v>
      </c>
      <c r="F1806">
        <v>58740</v>
      </c>
    </row>
    <row r="1807" spans="1:6" x14ac:dyDescent="0.25">
      <c r="A1807" t="s">
        <v>16</v>
      </c>
      <c r="B1807" t="s">
        <v>2128</v>
      </c>
      <c r="C1807">
        <v>48103</v>
      </c>
      <c r="D1807">
        <v>884032</v>
      </c>
      <c r="E1807">
        <v>0</v>
      </c>
      <c r="F1807">
        <v>884032</v>
      </c>
    </row>
    <row r="1808" spans="1:6" x14ac:dyDescent="0.25">
      <c r="A1808" t="s">
        <v>25</v>
      </c>
      <c r="B1808" t="s">
        <v>2129</v>
      </c>
      <c r="C1808">
        <v>48104</v>
      </c>
      <c r="D1808">
        <v>0</v>
      </c>
      <c r="E1808">
        <v>0</v>
      </c>
      <c r="F1808">
        <v>0</v>
      </c>
    </row>
    <row r="1809" spans="1:6" x14ac:dyDescent="0.25">
      <c r="A1809" t="s">
        <v>26</v>
      </c>
      <c r="B1809" t="s">
        <v>2130</v>
      </c>
      <c r="C1809">
        <v>48105</v>
      </c>
      <c r="D1809">
        <v>0</v>
      </c>
      <c r="E1809">
        <v>0</v>
      </c>
      <c r="F1809">
        <v>0</v>
      </c>
    </row>
    <row r="1810" spans="1:6" x14ac:dyDescent="0.25">
      <c r="A1810" t="s">
        <v>27</v>
      </c>
      <c r="B1810" t="s">
        <v>2131</v>
      </c>
      <c r="C1810">
        <v>48106</v>
      </c>
      <c r="D1810">
        <v>0</v>
      </c>
      <c r="E1810">
        <v>0</v>
      </c>
      <c r="F1810">
        <v>0</v>
      </c>
    </row>
    <row r="1811" spans="1:6" x14ac:dyDescent="0.25">
      <c r="A1811" t="s">
        <v>531</v>
      </c>
      <c r="B1811" t="s">
        <v>2132</v>
      </c>
      <c r="C1811">
        <v>48107</v>
      </c>
      <c r="D1811">
        <v>0</v>
      </c>
      <c r="E1811">
        <v>0</v>
      </c>
      <c r="F1811">
        <v>0</v>
      </c>
    </row>
    <row r="1812" spans="1:6" x14ac:dyDescent="0.25">
      <c r="A1812" t="s">
        <v>1583</v>
      </c>
      <c r="B1812" t="s">
        <v>2133</v>
      </c>
      <c r="C1812">
        <v>48108</v>
      </c>
      <c r="D1812">
        <v>8</v>
      </c>
      <c r="E1812">
        <v>0</v>
      </c>
      <c r="F1812">
        <v>8</v>
      </c>
    </row>
    <row r="1813" spans="1:6" x14ac:dyDescent="0.25">
      <c r="A1813" t="s">
        <v>1585</v>
      </c>
      <c r="B1813" t="s">
        <v>2134</v>
      </c>
      <c r="C1813">
        <v>48109</v>
      </c>
      <c r="D1813">
        <v>45448</v>
      </c>
      <c r="E1813">
        <v>0</v>
      </c>
      <c r="F1813">
        <v>45448</v>
      </c>
    </row>
    <row r="1814" spans="1:6" x14ac:dyDescent="0.25">
      <c r="A1814" t="s">
        <v>1587</v>
      </c>
      <c r="B1814" t="s">
        <v>2135</v>
      </c>
      <c r="C1814">
        <v>48110</v>
      </c>
      <c r="D1814">
        <v>0</v>
      </c>
      <c r="E1814">
        <v>0</v>
      </c>
      <c r="F1814">
        <v>0</v>
      </c>
    </row>
    <row r="1815" spans="1:6" x14ac:dyDescent="0.25">
      <c r="A1815" t="s">
        <v>1589</v>
      </c>
      <c r="B1815" t="s">
        <v>2136</v>
      </c>
      <c r="C1815">
        <v>48111</v>
      </c>
      <c r="D1815">
        <v>0</v>
      </c>
      <c r="E1815">
        <v>0</v>
      </c>
      <c r="F1815">
        <v>0</v>
      </c>
    </row>
    <row r="1816" spans="1:6" x14ac:dyDescent="0.25">
      <c r="A1816" t="s">
        <v>1591</v>
      </c>
      <c r="B1816" t="s">
        <v>2137</v>
      </c>
      <c r="C1816">
        <v>48112</v>
      </c>
      <c r="D1816">
        <v>927</v>
      </c>
      <c r="E1816">
        <v>0</v>
      </c>
      <c r="F1816">
        <v>927</v>
      </c>
    </row>
    <row r="1817" spans="1:6" x14ac:dyDescent="0.25">
      <c r="A1817" t="s">
        <v>1593</v>
      </c>
      <c r="B1817" t="s">
        <v>2138</v>
      </c>
      <c r="C1817">
        <v>48113</v>
      </c>
      <c r="D1817">
        <v>1998</v>
      </c>
      <c r="E1817">
        <v>0</v>
      </c>
      <c r="F1817">
        <v>1998</v>
      </c>
    </row>
    <row r="1818" spans="1:6" x14ac:dyDescent="0.25">
      <c r="B1818" t="s">
        <v>2139</v>
      </c>
      <c r="D1818">
        <v>4333896</v>
      </c>
      <c r="E1818">
        <v>0</v>
      </c>
      <c r="F1818">
        <v>4333896</v>
      </c>
    </row>
    <row r="1819" spans="1:6" x14ac:dyDescent="0.25">
      <c r="B1819" t="s">
        <v>2140</v>
      </c>
    </row>
    <row r="1820" spans="1:6" x14ac:dyDescent="0.25">
      <c r="A1820" t="s">
        <v>2</v>
      </c>
      <c r="B1820" t="s">
        <v>2141</v>
      </c>
      <c r="C1820">
        <v>48201</v>
      </c>
      <c r="D1820">
        <v>15445</v>
      </c>
      <c r="F1820">
        <v>15445</v>
      </c>
    </row>
    <row r="1821" spans="1:6" x14ac:dyDescent="0.25">
      <c r="A1821" t="s">
        <v>15</v>
      </c>
      <c r="B1821" t="s">
        <v>2142</v>
      </c>
      <c r="C1821">
        <v>48202</v>
      </c>
      <c r="D1821">
        <v>5</v>
      </c>
      <c r="F1821">
        <v>5</v>
      </c>
    </row>
    <row r="1822" spans="1:6" x14ac:dyDescent="0.25">
      <c r="A1822" t="s">
        <v>16</v>
      </c>
      <c r="B1822" t="s">
        <v>2143</v>
      </c>
      <c r="C1822">
        <v>48203</v>
      </c>
      <c r="D1822">
        <v>628</v>
      </c>
      <c r="F1822">
        <v>628</v>
      </c>
    </row>
    <row r="1823" spans="1:6" x14ac:dyDescent="0.25">
      <c r="A1823" t="s">
        <v>25</v>
      </c>
      <c r="B1823" t="s">
        <v>2144</v>
      </c>
      <c r="C1823">
        <v>48204</v>
      </c>
      <c r="D1823">
        <v>0</v>
      </c>
      <c r="F1823">
        <v>0</v>
      </c>
    </row>
    <row r="1824" spans="1:6" x14ac:dyDescent="0.25">
      <c r="A1824" t="s">
        <v>26</v>
      </c>
      <c r="B1824" t="s">
        <v>2145</v>
      </c>
      <c r="C1824">
        <v>48205</v>
      </c>
      <c r="D1824">
        <v>0</v>
      </c>
      <c r="F1824">
        <v>0</v>
      </c>
    </row>
    <row r="1825" spans="1:6" x14ac:dyDescent="0.25">
      <c r="A1825" t="s">
        <v>27</v>
      </c>
      <c r="B1825" t="s">
        <v>2146</v>
      </c>
      <c r="C1825">
        <v>48206</v>
      </c>
      <c r="D1825">
        <v>0</v>
      </c>
      <c r="F1825">
        <v>0</v>
      </c>
    </row>
    <row r="1826" spans="1:6" x14ac:dyDescent="0.25">
      <c r="A1826" t="s">
        <v>531</v>
      </c>
      <c r="B1826" t="s">
        <v>2147</v>
      </c>
      <c r="C1826">
        <v>48207</v>
      </c>
      <c r="D1826">
        <v>0</v>
      </c>
      <c r="F1826">
        <v>0</v>
      </c>
    </row>
    <row r="1827" spans="1:6" x14ac:dyDescent="0.25">
      <c r="A1827" t="s">
        <v>1583</v>
      </c>
      <c r="B1827" t="s">
        <v>2148</v>
      </c>
      <c r="C1827">
        <v>48208</v>
      </c>
      <c r="D1827">
        <v>144064</v>
      </c>
      <c r="E1827">
        <v>0</v>
      </c>
      <c r="F1827">
        <v>144064</v>
      </c>
    </row>
    <row r="1828" spans="1:6" x14ac:dyDescent="0.25">
      <c r="A1828" t="s">
        <v>1585</v>
      </c>
      <c r="B1828" t="s">
        <v>2149</v>
      </c>
      <c r="C1828">
        <v>48209</v>
      </c>
      <c r="D1828">
        <v>300519</v>
      </c>
      <c r="E1828">
        <v>0</v>
      </c>
      <c r="F1828">
        <v>300519</v>
      </c>
    </row>
    <row r="1829" spans="1:6" x14ac:dyDescent="0.25">
      <c r="B1829" t="s">
        <v>2150</v>
      </c>
      <c r="D1829">
        <v>460661</v>
      </c>
      <c r="E1829">
        <v>0</v>
      </c>
      <c r="F1829">
        <v>460661</v>
      </c>
    </row>
    <row r="1830" spans="1:6" x14ac:dyDescent="0.25">
      <c r="B1830" t="s">
        <v>2151</v>
      </c>
    </row>
    <row r="1831" spans="1:6" x14ac:dyDescent="0.25">
      <c r="A1831" t="s">
        <v>2</v>
      </c>
      <c r="B1831" t="s">
        <v>2152</v>
      </c>
      <c r="C1831">
        <v>48301</v>
      </c>
      <c r="D1831">
        <v>302894</v>
      </c>
      <c r="F1831">
        <v>302894</v>
      </c>
    </row>
    <row r="1832" spans="1:6" x14ac:dyDescent="0.25">
      <c r="A1832" t="s">
        <v>15</v>
      </c>
      <c r="B1832" t="s">
        <v>2153</v>
      </c>
      <c r="C1832">
        <v>48302</v>
      </c>
      <c r="D1832">
        <v>0</v>
      </c>
      <c r="F1832">
        <v>0</v>
      </c>
    </row>
    <row r="1833" spans="1:6" x14ac:dyDescent="0.25">
      <c r="A1833" t="s">
        <v>16</v>
      </c>
      <c r="B1833" t="s">
        <v>2154</v>
      </c>
      <c r="C1833">
        <v>48303</v>
      </c>
      <c r="D1833">
        <v>57024</v>
      </c>
      <c r="F1833">
        <v>57024</v>
      </c>
    </row>
    <row r="1834" spans="1:6" x14ac:dyDescent="0.25">
      <c r="A1834" t="s">
        <v>25</v>
      </c>
      <c r="B1834" t="s">
        <v>2155</v>
      </c>
      <c r="C1834">
        <v>48300</v>
      </c>
      <c r="D1834">
        <v>359918</v>
      </c>
      <c r="F1834">
        <v>359918</v>
      </c>
    </row>
    <row r="1835" spans="1:6" x14ac:dyDescent="0.25">
      <c r="B1835" t="s">
        <v>1397</v>
      </c>
    </row>
    <row r="1836" spans="1:6" x14ac:dyDescent="0.25">
      <c r="A1836" t="s">
        <v>2</v>
      </c>
      <c r="B1836" t="s">
        <v>2156</v>
      </c>
      <c r="C1836">
        <v>48401</v>
      </c>
      <c r="D1836">
        <v>413415</v>
      </c>
      <c r="E1836">
        <v>0</v>
      </c>
      <c r="F1836">
        <v>413415</v>
      </c>
    </row>
    <row r="1837" spans="1:6" x14ac:dyDescent="0.25">
      <c r="A1837" t="s">
        <v>15</v>
      </c>
      <c r="B1837" t="s">
        <v>2157</v>
      </c>
      <c r="C1837">
        <v>48402</v>
      </c>
      <c r="D1837">
        <v>0</v>
      </c>
      <c r="E1837">
        <v>0</v>
      </c>
      <c r="F1837">
        <v>0</v>
      </c>
    </row>
    <row r="1838" spans="1:6" x14ac:dyDescent="0.25">
      <c r="A1838" t="s">
        <v>16</v>
      </c>
      <c r="B1838" t="s">
        <v>1468</v>
      </c>
      <c r="C1838">
        <v>48403</v>
      </c>
      <c r="D1838">
        <v>155188</v>
      </c>
      <c r="E1838">
        <v>0</v>
      </c>
      <c r="F1838">
        <v>155188</v>
      </c>
    </row>
    <row r="1839" spans="1:6" x14ac:dyDescent="0.25">
      <c r="A1839" t="s">
        <v>25</v>
      </c>
      <c r="B1839" t="s">
        <v>2158</v>
      </c>
      <c r="C1839">
        <v>48404</v>
      </c>
      <c r="D1839">
        <v>186080</v>
      </c>
      <c r="E1839">
        <v>0</v>
      </c>
      <c r="F1839">
        <v>186080</v>
      </c>
    </row>
    <row r="1840" spans="1:6" x14ac:dyDescent="0.25">
      <c r="A1840" t="s">
        <v>26</v>
      </c>
      <c r="B1840" t="s">
        <v>2159</v>
      </c>
      <c r="C1840">
        <v>48405</v>
      </c>
      <c r="D1840">
        <v>68914</v>
      </c>
      <c r="E1840">
        <v>0</v>
      </c>
      <c r="F1840">
        <v>68914</v>
      </c>
    </row>
    <row r="1841" spans="1:6" x14ac:dyDescent="0.25">
      <c r="A1841" t="s">
        <v>27</v>
      </c>
      <c r="B1841" t="s">
        <v>2160</v>
      </c>
      <c r="C1841">
        <v>48406</v>
      </c>
      <c r="D1841">
        <v>58790</v>
      </c>
      <c r="E1841">
        <v>0</v>
      </c>
      <c r="F1841">
        <v>58790</v>
      </c>
    </row>
    <row r="1842" spans="1:6" x14ac:dyDescent="0.25">
      <c r="A1842" t="s">
        <v>531</v>
      </c>
      <c r="B1842" t="s">
        <v>1479</v>
      </c>
      <c r="C1842">
        <v>48407</v>
      </c>
      <c r="D1842">
        <v>392432</v>
      </c>
      <c r="E1842">
        <v>0</v>
      </c>
      <c r="F1842">
        <v>392432</v>
      </c>
    </row>
    <row r="1843" spans="1:6" x14ac:dyDescent="0.25">
      <c r="A1843" t="s">
        <v>1583</v>
      </c>
      <c r="B1843" t="s">
        <v>2161</v>
      </c>
      <c r="C1843">
        <v>48408</v>
      </c>
      <c r="D1843">
        <v>10746</v>
      </c>
      <c r="E1843">
        <v>0</v>
      </c>
      <c r="F1843">
        <v>10746</v>
      </c>
    </row>
    <row r="1844" spans="1:6" x14ac:dyDescent="0.25">
      <c r="A1844" t="s">
        <v>1585</v>
      </c>
      <c r="B1844" t="s">
        <v>1480</v>
      </c>
      <c r="C1844">
        <v>48409</v>
      </c>
      <c r="D1844">
        <v>174664</v>
      </c>
      <c r="E1844">
        <v>5885</v>
      </c>
      <c r="F1844">
        <v>180549</v>
      </c>
    </row>
    <row r="1845" spans="1:6" x14ac:dyDescent="0.25">
      <c r="A1845" t="s">
        <v>1587</v>
      </c>
      <c r="B1845" t="s">
        <v>2162</v>
      </c>
      <c r="C1845">
        <v>48410</v>
      </c>
      <c r="D1845">
        <v>23519</v>
      </c>
      <c r="E1845">
        <v>0</v>
      </c>
      <c r="F1845">
        <v>23519</v>
      </c>
    </row>
    <row r="1846" spans="1:6" x14ac:dyDescent="0.25">
      <c r="A1846" t="s">
        <v>1589</v>
      </c>
      <c r="B1846" t="s">
        <v>2163</v>
      </c>
      <c r="C1846">
        <v>48411</v>
      </c>
      <c r="D1846">
        <v>10</v>
      </c>
      <c r="E1846">
        <v>0</v>
      </c>
      <c r="F1846">
        <v>10</v>
      </c>
    </row>
    <row r="1847" spans="1:6" x14ac:dyDescent="0.25">
      <c r="A1847" t="s">
        <v>1591</v>
      </c>
      <c r="B1847" t="s">
        <v>1481</v>
      </c>
      <c r="C1847">
        <v>48412</v>
      </c>
      <c r="D1847">
        <v>552915</v>
      </c>
      <c r="E1847">
        <v>0</v>
      </c>
      <c r="F1847">
        <v>552915</v>
      </c>
    </row>
    <row r="1848" spans="1:6" x14ac:dyDescent="0.25">
      <c r="A1848" t="s">
        <v>1593</v>
      </c>
      <c r="B1848" t="s">
        <v>2164</v>
      </c>
      <c r="C1848">
        <v>48413</v>
      </c>
      <c r="D1848">
        <v>310830</v>
      </c>
      <c r="E1848">
        <v>0</v>
      </c>
      <c r="F1848">
        <v>310830</v>
      </c>
    </row>
    <row r="1849" spans="1:6" x14ac:dyDescent="0.25">
      <c r="A1849" t="s">
        <v>1595</v>
      </c>
      <c r="B1849" t="s">
        <v>1482</v>
      </c>
      <c r="C1849">
        <v>48414</v>
      </c>
      <c r="D1849">
        <v>696203</v>
      </c>
      <c r="E1849">
        <v>161294</v>
      </c>
      <c r="F1849">
        <v>857497</v>
      </c>
    </row>
    <row r="1850" spans="1:6" x14ac:dyDescent="0.25">
      <c r="B1850" t="s">
        <v>2165</v>
      </c>
      <c r="D1850">
        <v>3043706</v>
      </c>
      <c r="E1850">
        <v>167179</v>
      </c>
      <c r="F1850">
        <v>3210885</v>
      </c>
    </row>
    <row r="1851" spans="1:6" x14ac:dyDescent="0.25">
      <c r="B1851" t="s">
        <v>2166</v>
      </c>
    </row>
    <row r="1852" spans="1:6" x14ac:dyDescent="0.25">
      <c r="A1852" t="s">
        <v>2</v>
      </c>
      <c r="B1852" t="s">
        <v>1932</v>
      </c>
      <c r="C1852">
        <v>48501</v>
      </c>
      <c r="D1852">
        <v>0</v>
      </c>
      <c r="F1852">
        <v>0</v>
      </c>
    </row>
    <row r="1853" spans="1:6" x14ac:dyDescent="0.25">
      <c r="A1853" t="s">
        <v>15</v>
      </c>
      <c r="B1853" t="s">
        <v>1933</v>
      </c>
      <c r="C1853">
        <v>48502</v>
      </c>
      <c r="D1853">
        <v>0</v>
      </c>
      <c r="F1853">
        <v>0</v>
      </c>
    </row>
    <row r="1854" spans="1:6" x14ac:dyDescent="0.25">
      <c r="A1854" t="s">
        <v>16</v>
      </c>
      <c r="B1854" t="s">
        <v>1934</v>
      </c>
      <c r="C1854">
        <v>48503</v>
      </c>
      <c r="D1854">
        <v>0</v>
      </c>
      <c r="F1854">
        <v>0</v>
      </c>
    </row>
    <row r="1855" spans="1:6" x14ac:dyDescent="0.25">
      <c r="A1855" t="s">
        <v>25</v>
      </c>
      <c r="B1855" t="s">
        <v>1935</v>
      </c>
      <c r="C1855">
        <v>48504</v>
      </c>
      <c r="D1855">
        <v>0</v>
      </c>
      <c r="F1855">
        <v>0</v>
      </c>
    </row>
    <row r="1856" spans="1:6" x14ac:dyDescent="0.25">
      <c r="A1856" t="s">
        <v>26</v>
      </c>
      <c r="B1856" t="s">
        <v>2167</v>
      </c>
      <c r="C1856">
        <v>48505</v>
      </c>
      <c r="D1856">
        <v>0</v>
      </c>
      <c r="F1856">
        <v>0</v>
      </c>
    </row>
    <row r="1857" spans="1:6" x14ac:dyDescent="0.25">
      <c r="B1857" t="s">
        <v>2168</v>
      </c>
      <c r="D1857">
        <v>0</v>
      </c>
      <c r="F1857">
        <v>0</v>
      </c>
    </row>
    <row r="1858" spans="1:6" x14ac:dyDescent="0.25">
      <c r="B1858" t="s">
        <v>2169</v>
      </c>
    </row>
    <row r="1859" spans="1:6" x14ac:dyDescent="0.25">
      <c r="A1859" t="s">
        <v>2</v>
      </c>
      <c r="B1859" t="s">
        <v>1938</v>
      </c>
      <c r="C1859">
        <v>48601</v>
      </c>
      <c r="D1859">
        <v>5544</v>
      </c>
      <c r="E1859">
        <v>0</v>
      </c>
      <c r="F1859">
        <v>5544</v>
      </c>
    </row>
    <row r="1860" spans="1:6" x14ac:dyDescent="0.25">
      <c r="A1860" t="s">
        <v>15</v>
      </c>
      <c r="B1860" t="s">
        <v>2170</v>
      </c>
      <c r="C1860">
        <v>48602</v>
      </c>
      <c r="D1860">
        <v>1460</v>
      </c>
      <c r="E1860">
        <v>0</v>
      </c>
      <c r="F1860">
        <v>1460</v>
      </c>
    </row>
    <row r="1861" spans="1:6" x14ac:dyDescent="0.25">
      <c r="A1861" t="s">
        <v>16</v>
      </c>
      <c r="B1861" t="s">
        <v>2171</v>
      </c>
      <c r="C1861">
        <v>48603</v>
      </c>
      <c r="D1861">
        <v>5709</v>
      </c>
      <c r="E1861">
        <v>0</v>
      </c>
      <c r="F1861">
        <v>5709</v>
      </c>
    </row>
    <row r="1862" spans="1:6" x14ac:dyDescent="0.25">
      <c r="A1862" t="s">
        <v>25</v>
      </c>
      <c r="B1862" t="s">
        <v>2172</v>
      </c>
      <c r="C1862">
        <v>48604</v>
      </c>
      <c r="D1862">
        <v>0</v>
      </c>
      <c r="E1862">
        <v>0</v>
      </c>
      <c r="F1862">
        <v>0</v>
      </c>
    </row>
    <row r="1863" spans="1:6" x14ac:dyDescent="0.25">
      <c r="A1863" t="s">
        <v>26</v>
      </c>
      <c r="B1863" t="s">
        <v>2173</v>
      </c>
      <c r="C1863">
        <v>48605</v>
      </c>
      <c r="D1863">
        <v>56</v>
      </c>
      <c r="E1863">
        <v>114</v>
      </c>
      <c r="F1863">
        <v>170</v>
      </c>
    </row>
    <row r="1864" spans="1:6" x14ac:dyDescent="0.25">
      <c r="A1864" t="s">
        <v>27</v>
      </c>
      <c r="B1864" t="s">
        <v>2174</v>
      </c>
      <c r="C1864">
        <v>48606</v>
      </c>
      <c r="D1864">
        <v>483</v>
      </c>
      <c r="E1864">
        <v>0</v>
      </c>
      <c r="F1864">
        <v>483</v>
      </c>
    </row>
    <row r="1865" spans="1:6" x14ac:dyDescent="0.25">
      <c r="A1865" t="s">
        <v>531</v>
      </c>
      <c r="B1865" t="s">
        <v>2175</v>
      </c>
      <c r="C1865">
        <v>48607</v>
      </c>
      <c r="D1865">
        <v>46508</v>
      </c>
      <c r="E1865">
        <v>0</v>
      </c>
      <c r="F1865">
        <v>46508</v>
      </c>
    </row>
    <row r="1866" spans="1:6" x14ac:dyDescent="0.25">
      <c r="A1866" t="s">
        <v>1583</v>
      </c>
      <c r="B1866" t="s">
        <v>2176</v>
      </c>
      <c r="C1866">
        <v>48608</v>
      </c>
      <c r="D1866">
        <v>42334</v>
      </c>
      <c r="E1866">
        <v>0</v>
      </c>
      <c r="F1866">
        <v>42334</v>
      </c>
    </row>
    <row r="1867" spans="1:6" x14ac:dyDescent="0.25">
      <c r="A1867" t="s">
        <v>1585</v>
      </c>
      <c r="B1867" t="s">
        <v>2177</v>
      </c>
      <c r="C1867">
        <v>48609</v>
      </c>
      <c r="D1867">
        <v>0</v>
      </c>
      <c r="E1867">
        <v>0</v>
      </c>
      <c r="F1867">
        <v>0</v>
      </c>
    </row>
    <row r="1868" spans="1:6" x14ac:dyDescent="0.25">
      <c r="A1868" t="s">
        <v>1587</v>
      </c>
      <c r="B1868" t="s">
        <v>2178</v>
      </c>
      <c r="C1868">
        <v>48610</v>
      </c>
      <c r="D1868">
        <v>0</v>
      </c>
      <c r="E1868">
        <v>0</v>
      </c>
      <c r="F1868">
        <v>0</v>
      </c>
    </row>
    <row r="1869" spans="1:6" x14ac:dyDescent="0.25">
      <c r="A1869" t="s">
        <v>1589</v>
      </c>
      <c r="B1869" t="s">
        <v>2179</v>
      </c>
      <c r="C1869">
        <v>48611</v>
      </c>
      <c r="D1869">
        <v>17201</v>
      </c>
      <c r="E1869">
        <v>0</v>
      </c>
      <c r="F1869">
        <v>17201</v>
      </c>
    </row>
    <row r="1870" spans="1:6" x14ac:dyDescent="0.25">
      <c r="B1870" t="s">
        <v>2180</v>
      </c>
      <c r="D1870">
        <v>119295</v>
      </c>
      <c r="E1870">
        <v>114</v>
      </c>
      <c r="F1870">
        <v>119409</v>
      </c>
    </row>
    <row r="1871" spans="1:6" x14ac:dyDescent="0.25">
      <c r="B1871" t="s">
        <v>1910</v>
      </c>
      <c r="D1871">
        <v>8317476</v>
      </c>
      <c r="E1871">
        <v>167293</v>
      </c>
      <c r="F1871">
        <v>8484769</v>
      </c>
    </row>
    <row r="1872" spans="1:6" x14ac:dyDescent="0.25">
      <c r="B1872" t="s">
        <v>2181</v>
      </c>
      <c r="D1872">
        <v>165989410</v>
      </c>
      <c r="E1872">
        <v>521302</v>
      </c>
      <c r="F1872">
        <v>166510712</v>
      </c>
    </row>
    <row r="1873" spans="1:6" x14ac:dyDescent="0.25">
      <c r="B1873" t="s">
        <v>2182</v>
      </c>
      <c r="D1873">
        <v>252643245</v>
      </c>
      <c r="E1873">
        <v>5182373</v>
      </c>
      <c r="F1873">
        <v>257825618</v>
      </c>
    </row>
    <row r="1874" spans="1:6" x14ac:dyDescent="0.25">
      <c r="B1874" t="s">
        <v>2183</v>
      </c>
      <c r="C1874">
        <v>1000</v>
      </c>
      <c r="F1874">
        <v>941977</v>
      </c>
    </row>
    <row r="1875" spans="1:6" x14ac:dyDescent="0.25">
      <c r="B1875" t="s">
        <v>2184</v>
      </c>
      <c r="C1875">
        <v>2000</v>
      </c>
      <c r="F1875">
        <v>0</v>
      </c>
    </row>
    <row r="1876" spans="1:6" x14ac:dyDescent="0.25">
      <c r="B1876" t="s">
        <v>2185</v>
      </c>
    </row>
    <row r="1877" spans="1:6" x14ac:dyDescent="0.25">
      <c r="B1877" t="s">
        <v>2186</v>
      </c>
    </row>
    <row r="1878" spans="1:6" x14ac:dyDescent="0.25">
      <c r="B1878" t="s">
        <v>2187</v>
      </c>
    </row>
    <row r="1879" spans="1:6" x14ac:dyDescent="0.25">
      <c r="A1879" t="s">
        <v>2</v>
      </c>
      <c r="B1879" t="s">
        <v>2188</v>
      </c>
      <c r="C1879">
        <v>51101</v>
      </c>
      <c r="D1879">
        <v>284241</v>
      </c>
      <c r="F1879">
        <v>284241</v>
      </c>
    </row>
    <row r="1880" spans="1:6" x14ac:dyDescent="0.25">
      <c r="B1880" t="s">
        <v>2189</v>
      </c>
    </row>
    <row r="1881" spans="1:6" x14ac:dyDescent="0.25">
      <c r="A1881" t="s">
        <v>2</v>
      </c>
      <c r="B1881" t="s">
        <v>2190</v>
      </c>
      <c r="C1881">
        <v>51201</v>
      </c>
      <c r="D1881">
        <v>0</v>
      </c>
      <c r="F1881">
        <v>0</v>
      </c>
    </row>
    <row r="1882" spans="1:6" x14ac:dyDescent="0.25">
      <c r="A1882" t="s">
        <v>15</v>
      </c>
      <c r="B1882" t="s">
        <v>2191</v>
      </c>
      <c r="C1882">
        <v>51202</v>
      </c>
      <c r="D1882">
        <v>138854</v>
      </c>
      <c r="F1882">
        <v>138854</v>
      </c>
    </row>
    <row r="1883" spans="1:6" x14ac:dyDescent="0.25">
      <c r="A1883" t="s">
        <v>16</v>
      </c>
      <c r="B1883" t="s">
        <v>2192</v>
      </c>
      <c r="C1883">
        <v>3000</v>
      </c>
      <c r="D1883">
        <v>145387</v>
      </c>
      <c r="F1883">
        <v>145387</v>
      </c>
    </row>
    <row r="1884" spans="1:6" x14ac:dyDescent="0.25">
      <c r="A1884" t="s">
        <v>25</v>
      </c>
      <c r="B1884" t="s">
        <v>2193</v>
      </c>
      <c r="C1884">
        <v>4000</v>
      </c>
      <c r="D1884">
        <v>0</v>
      </c>
      <c r="F1884">
        <v>0</v>
      </c>
    </row>
    <row r="1885" spans="1:6" x14ac:dyDescent="0.25">
      <c r="B1885" t="s">
        <v>2194</v>
      </c>
    </row>
    <row r="1886" spans="1:6" x14ac:dyDescent="0.25">
      <c r="B1886" t="s">
        <v>2195</v>
      </c>
    </row>
    <row r="1887" spans="1:6" x14ac:dyDescent="0.25">
      <c r="B1887" t="s">
        <v>2196</v>
      </c>
    </row>
    <row r="1888" spans="1:6" x14ac:dyDescent="0.25">
      <c r="A1888" t="s">
        <v>2</v>
      </c>
      <c r="B1888" t="s">
        <v>2197</v>
      </c>
      <c r="C1888">
        <v>61101</v>
      </c>
      <c r="F1888">
        <v>796590</v>
      </c>
    </row>
    <row r="1889" spans="1:6" x14ac:dyDescent="0.25">
      <c r="A1889" t="s">
        <v>15</v>
      </c>
      <c r="B1889" t="s">
        <v>2198</v>
      </c>
      <c r="C1889">
        <v>61102</v>
      </c>
      <c r="F1889">
        <v>0</v>
      </c>
    </row>
    <row r="1890" spans="1:6" x14ac:dyDescent="0.25">
      <c r="B1890" t="s">
        <v>2199</v>
      </c>
    </row>
    <row r="1891" spans="1:6" x14ac:dyDescent="0.25">
      <c r="B1891" t="s">
        <v>2200</v>
      </c>
    </row>
    <row r="1892" spans="1:6" x14ac:dyDescent="0.25">
      <c r="B1892" t="s">
        <v>2201</v>
      </c>
    </row>
    <row r="1893" spans="1:6" x14ac:dyDescent="0.25">
      <c r="A1893" t="s">
        <v>2</v>
      </c>
      <c r="B1893" t="s">
        <v>1637</v>
      </c>
      <c r="C1893">
        <v>71101</v>
      </c>
      <c r="D1893">
        <v>0</v>
      </c>
      <c r="F1893">
        <v>0</v>
      </c>
    </row>
    <row r="1894" spans="1:6" x14ac:dyDescent="0.25">
      <c r="A1894" t="s">
        <v>15</v>
      </c>
      <c r="B1894" t="s">
        <v>1638</v>
      </c>
      <c r="C1894">
        <v>71102</v>
      </c>
      <c r="D1894">
        <v>59139295</v>
      </c>
      <c r="F1894">
        <v>59139295</v>
      </c>
    </row>
    <row r="1895" spans="1:6" x14ac:dyDescent="0.25">
      <c r="A1895" t="s">
        <v>16</v>
      </c>
      <c r="B1895" t="s">
        <v>1640</v>
      </c>
      <c r="C1895">
        <v>71103</v>
      </c>
      <c r="D1895">
        <v>813134</v>
      </c>
      <c r="F1895">
        <v>813134</v>
      </c>
    </row>
    <row r="1896" spans="1:6" x14ac:dyDescent="0.25">
      <c r="A1896" t="s">
        <v>25</v>
      </c>
      <c r="B1896" t="s">
        <v>1641</v>
      </c>
      <c r="C1896">
        <v>71104</v>
      </c>
      <c r="D1896">
        <v>0</v>
      </c>
      <c r="F1896">
        <v>0</v>
      </c>
    </row>
    <row r="1897" spans="1:6" x14ac:dyDescent="0.25">
      <c r="B1897" t="s">
        <v>2202</v>
      </c>
      <c r="D1897">
        <v>59952429</v>
      </c>
      <c r="F1897">
        <v>59952429</v>
      </c>
    </row>
    <row r="1898" spans="1:6" x14ac:dyDescent="0.25">
      <c r="B1898" t="s">
        <v>2203</v>
      </c>
    </row>
    <row r="1899" spans="1:6" x14ac:dyDescent="0.25">
      <c r="A1899" t="s">
        <v>2</v>
      </c>
      <c r="B1899" t="s">
        <v>1637</v>
      </c>
      <c r="C1899">
        <v>71201</v>
      </c>
      <c r="D1899">
        <v>0</v>
      </c>
      <c r="F1899">
        <v>0</v>
      </c>
    </row>
    <row r="1900" spans="1:6" x14ac:dyDescent="0.25">
      <c r="A1900" t="s">
        <v>15</v>
      </c>
      <c r="B1900" t="s">
        <v>1638</v>
      </c>
      <c r="C1900">
        <v>71202</v>
      </c>
      <c r="D1900">
        <v>155296</v>
      </c>
      <c r="F1900">
        <v>155296</v>
      </c>
    </row>
    <row r="1901" spans="1:6" x14ac:dyDescent="0.25">
      <c r="A1901" t="s">
        <v>16</v>
      </c>
      <c r="B1901" t="s">
        <v>1640</v>
      </c>
      <c r="C1901">
        <v>71203</v>
      </c>
      <c r="D1901">
        <v>0</v>
      </c>
      <c r="F1901">
        <v>0</v>
      </c>
    </row>
    <row r="1902" spans="1:6" x14ac:dyDescent="0.25">
      <c r="A1902" t="s">
        <v>25</v>
      </c>
      <c r="B1902" t="s">
        <v>1641</v>
      </c>
      <c r="C1902">
        <v>71204</v>
      </c>
      <c r="D1902">
        <v>0</v>
      </c>
      <c r="F1902">
        <v>0</v>
      </c>
    </row>
    <row r="1903" spans="1:6" x14ac:dyDescent="0.25">
      <c r="B1903" t="s">
        <v>2204</v>
      </c>
      <c r="D1903">
        <v>155296</v>
      </c>
      <c r="F1903">
        <v>155296</v>
      </c>
    </row>
    <row r="1904" spans="1:6" x14ac:dyDescent="0.25">
      <c r="B1904" t="s">
        <v>2205</v>
      </c>
    </row>
    <row r="1905" spans="1:6" x14ac:dyDescent="0.25">
      <c r="A1905" t="s">
        <v>2</v>
      </c>
      <c r="B1905" t="s">
        <v>1634</v>
      </c>
      <c r="C1905">
        <v>71301</v>
      </c>
      <c r="D1905">
        <v>1968202</v>
      </c>
      <c r="F1905">
        <v>1968202</v>
      </c>
    </row>
    <row r="1906" spans="1:6" x14ac:dyDescent="0.25">
      <c r="A1906" t="s">
        <v>15</v>
      </c>
      <c r="B1906" t="s">
        <v>1635</v>
      </c>
      <c r="C1906">
        <v>71302</v>
      </c>
      <c r="D1906">
        <v>34821</v>
      </c>
      <c r="F1906">
        <v>34821</v>
      </c>
    </row>
    <row r="1907" spans="1:6" x14ac:dyDescent="0.25">
      <c r="A1907" t="s">
        <v>16</v>
      </c>
      <c r="B1907" t="s">
        <v>1636</v>
      </c>
      <c r="C1907">
        <v>71303</v>
      </c>
      <c r="D1907">
        <v>798</v>
      </c>
      <c r="F1907">
        <v>798</v>
      </c>
    </row>
    <row r="1908" spans="1:6" x14ac:dyDescent="0.25">
      <c r="A1908" t="s">
        <v>25</v>
      </c>
      <c r="B1908" t="s">
        <v>1637</v>
      </c>
      <c r="C1908">
        <v>71304</v>
      </c>
      <c r="D1908">
        <v>286376</v>
      </c>
      <c r="F1908">
        <v>286376</v>
      </c>
    </row>
    <row r="1909" spans="1:6" x14ac:dyDescent="0.25">
      <c r="A1909" t="s">
        <v>26</v>
      </c>
      <c r="B1909" t="s">
        <v>1638</v>
      </c>
      <c r="C1909">
        <v>71305</v>
      </c>
      <c r="D1909">
        <v>1400569</v>
      </c>
      <c r="F1909">
        <v>1400569</v>
      </c>
    </row>
    <row r="1910" spans="1:6" x14ac:dyDescent="0.25">
      <c r="A1910" t="s">
        <v>27</v>
      </c>
      <c r="B1910" t="s">
        <v>1639</v>
      </c>
      <c r="C1910">
        <v>71306</v>
      </c>
      <c r="D1910">
        <v>0</v>
      </c>
      <c r="F1910">
        <v>0</v>
      </c>
    </row>
    <row r="1911" spans="1:6" x14ac:dyDescent="0.25">
      <c r="A1911" t="s">
        <v>531</v>
      </c>
      <c r="B1911" t="s">
        <v>1640</v>
      </c>
      <c r="C1911">
        <v>71307</v>
      </c>
      <c r="D1911">
        <v>0</v>
      </c>
      <c r="F1911">
        <v>0</v>
      </c>
    </row>
    <row r="1912" spans="1:6" x14ac:dyDescent="0.25">
      <c r="A1912" t="s">
        <v>1583</v>
      </c>
      <c r="B1912" t="s">
        <v>1641</v>
      </c>
      <c r="C1912">
        <v>71308</v>
      </c>
      <c r="D1912">
        <v>4658036</v>
      </c>
      <c r="F1912">
        <v>4658036</v>
      </c>
    </row>
    <row r="1913" spans="1:6" x14ac:dyDescent="0.25">
      <c r="B1913" t="s">
        <v>2206</v>
      </c>
      <c r="D1913">
        <v>8348802</v>
      </c>
      <c r="F1913">
        <v>8348802</v>
      </c>
    </row>
    <row r="1914" spans="1:6" x14ac:dyDescent="0.25">
      <c r="B1914" t="s">
        <v>2207</v>
      </c>
    </row>
    <row r="1915" spans="1:6" x14ac:dyDescent="0.25">
      <c r="A1915" t="s">
        <v>2</v>
      </c>
      <c r="B1915" t="s">
        <v>1634</v>
      </c>
      <c r="C1915">
        <v>71401</v>
      </c>
      <c r="D1915">
        <v>25393</v>
      </c>
      <c r="F1915">
        <v>25393</v>
      </c>
    </row>
    <row r="1916" spans="1:6" x14ac:dyDescent="0.25">
      <c r="A1916" t="s">
        <v>15</v>
      </c>
      <c r="B1916" t="s">
        <v>1635</v>
      </c>
      <c r="C1916">
        <v>71402</v>
      </c>
      <c r="D1916">
        <v>3</v>
      </c>
      <c r="F1916">
        <v>3</v>
      </c>
    </row>
    <row r="1917" spans="1:6" x14ac:dyDescent="0.25">
      <c r="A1917" t="s">
        <v>16</v>
      </c>
      <c r="B1917" t="s">
        <v>1636</v>
      </c>
      <c r="C1917">
        <v>71403</v>
      </c>
      <c r="D1917">
        <v>0</v>
      </c>
      <c r="F1917">
        <v>0</v>
      </c>
    </row>
    <row r="1918" spans="1:6" x14ac:dyDescent="0.25">
      <c r="A1918" t="s">
        <v>25</v>
      </c>
      <c r="B1918" t="s">
        <v>1637</v>
      </c>
      <c r="C1918">
        <v>71404</v>
      </c>
      <c r="D1918">
        <v>59527</v>
      </c>
      <c r="F1918">
        <v>59527</v>
      </c>
    </row>
    <row r="1919" spans="1:6" x14ac:dyDescent="0.25">
      <c r="A1919" t="s">
        <v>26</v>
      </c>
      <c r="B1919" t="s">
        <v>1638</v>
      </c>
      <c r="C1919">
        <v>71405</v>
      </c>
      <c r="D1919">
        <v>31038</v>
      </c>
      <c r="F1919">
        <v>31038</v>
      </c>
    </row>
    <row r="1920" spans="1:6" x14ac:dyDescent="0.25">
      <c r="A1920" t="s">
        <v>27</v>
      </c>
      <c r="B1920" t="s">
        <v>1639</v>
      </c>
      <c r="C1920">
        <v>71406</v>
      </c>
      <c r="D1920">
        <v>0</v>
      </c>
      <c r="F1920">
        <v>0</v>
      </c>
    </row>
    <row r="1921" spans="1:6" x14ac:dyDescent="0.25">
      <c r="A1921" t="s">
        <v>531</v>
      </c>
      <c r="B1921" t="s">
        <v>1640</v>
      </c>
      <c r="C1921">
        <v>71407</v>
      </c>
      <c r="D1921">
        <v>0</v>
      </c>
      <c r="F1921">
        <v>0</v>
      </c>
    </row>
    <row r="1922" spans="1:6" x14ac:dyDescent="0.25">
      <c r="A1922" t="s">
        <v>1583</v>
      </c>
      <c r="B1922" t="s">
        <v>1641</v>
      </c>
      <c r="C1922">
        <v>71408</v>
      </c>
      <c r="D1922">
        <v>76396</v>
      </c>
      <c r="F1922">
        <v>76396</v>
      </c>
    </row>
    <row r="1923" spans="1:6" x14ac:dyDescent="0.25">
      <c r="B1923" t="s">
        <v>2208</v>
      </c>
      <c r="D1923">
        <v>192357</v>
      </c>
      <c r="F1923">
        <v>192357</v>
      </c>
    </row>
    <row r="1924" spans="1:6" x14ac:dyDescent="0.25">
      <c r="B1924" t="s">
        <v>2209</v>
      </c>
    </row>
    <row r="1925" spans="1:6" x14ac:dyDescent="0.25">
      <c r="A1925" t="s">
        <v>2</v>
      </c>
      <c r="B1925" t="s">
        <v>2210</v>
      </c>
      <c r="C1925">
        <v>71501</v>
      </c>
      <c r="D1925">
        <v>0</v>
      </c>
      <c r="F1925">
        <v>0</v>
      </c>
    </row>
    <row r="1926" spans="1:6" x14ac:dyDescent="0.25">
      <c r="A1926" t="s">
        <v>15</v>
      </c>
      <c r="B1926" t="s">
        <v>2211</v>
      </c>
      <c r="C1926">
        <v>71502</v>
      </c>
      <c r="D1926">
        <v>0</v>
      </c>
      <c r="F1926">
        <v>0</v>
      </c>
    </row>
    <row r="1927" spans="1:6" x14ac:dyDescent="0.25">
      <c r="B1927" t="s">
        <v>2212</v>
      </c>
      <c r="D1927">
        <v>0</v>
      </c>
      <c r="F1927">
        <v>0</v>
      </c>
    </row>
    <row r="1928" spans="1:6" x14ac:dyDescent="0.25">
      <c r="B1928" t="s">
        <v>2213</v>
      </c>
    </row>
    <row r="1929" spans="1:6" x14ac:dyDescent="0.25">
      <c r="A1929" t="s">
        <v>2</v>
      </c>
      <c r="B1929" t="s">
        <v>2214</v>
      </c>
      <c r="C1929">
        <v>71601</v>
      </c>
      <c r="D1929">
        <v>0</v>
      </c>
      <c r="F1929">
        <v>0</v>
      </c>
    </row>
    <row r="1930" spans="1:6" x14ac:dyDescent="0.25">
      <c r="A1930" t="s">
        <v>15</v>
      </c>
      <c r="B1930" t="s">
        <v>2215</v>
      </c>
      <c r="C1930">
        <v>71602</v>
      </c>
      <c r="D1930">
        <v>0</v>
      </c>
      <c r="F1930">
        <v>0</v>
      </c>
    </row>
    <row r="1931" spans="1:6" x14ac:dyDescent="0.25">
      <c r="A1931" t="s">
        <v>16</v>
      </c>
      <c r="B1931" t="s">
        <v>2216</v>
      </c>
      <c r="C1931">
        <v>71603</v>
      </c>
      <c r="D1931">
        <v>0</v>
      </c>
      <c r="F1931">
        <v>0</v>
      </c>
    </row>
    <row r="1932" spans="1:6" x14ac:dyDescent="0.25">
      <c r="A1932" t="s">
        <v>25</v>
      </c>
      <c r="B1932" t="s">
        <v>2217</v>
      </c>
      <c r="C1932">
        <v>71604</v>
      </c>
      <c r="D1932">
        <v>0</v>
      </c>
      <c r="F1932">
        <v>0</v>
      </c>
    </row>
    <row r="1933" spans="1:6" x14ac:dyDescent="0.25">
      <c r="B1933" t="s">
        <v>2218</v>
      </c>
      <c r="D1933">
        <v>0</v>
      </c>
      <c r="F1933">
        <v>0</v>
      </c>
    </row>
    <row r="1934" spans="1:6" x14ac:dyDescent="0.25">
      <c r="B1934" t="s">
        <v>2219</v>
      </c>
    </row>
    <row r="1935" spans="1:6" x14ac:dyDescent="0.25">
      <c r="A1935" t="s">
        <v>2</v>
      </c>
      <c r="B1935" t="s">
        <v>2220</v>
      </c>
      <c r="C1935">
        <v>71701</v>
      </c>
      <c r="D1935">
        <v>0</v>
      </c>
      <c r="F1935">
        <v>0</v>
      </c>
    </row>
    <row r="1936" spans="1:6" x14ac:dyDescent="0.25">
      <c r="A1936" t="s">
        <v>15</v>
      </c>
      <c r="B1936" t="s">
        <v>2221</v>
      </c>
      <c r="C1936">
        <v>71702</v>
      </c>
      <c r="D1936">
        <v>0</v>
      </c>
      <c r="F1936">
        <v>0</v>
      </c>
    </row>
    <row r="1937" spans="1:6" x14ac:dyDescent="0.25">
      <c r="B1937" t="s">
        <v>2222</v>
      </c>
      <c r="D1937">
        <v>0</v>
      </c>
      <c r="F1937">
        <v>0</v>
      </c>
    </row>
    <row r="1938" spans="1:6" x14ac:dyDescent="0.25">
      <c r="B1938" t="s">
        <v>2223</v>
      </c>
    </row>
    <row r="1939" spans="1:6" x14ac:dyDescent="0.25">
      <c r="A1939" t="s">
        <v>2</v>
      </c>
      <c r="B1939" t="s">
        <v>2224</v>
      </c>
      <c r="C1939">
        <v>71801</v>
      </c>
      <c r="D1939">
        <v>0</v>
      </c>
      <c r="F1939">
        <v>0</v>
      </c>
    </row>
    <row r="1940" spans="1:6" x14ac:dyDescent="0.25">
      <c r="A1940" t="s">
        <v>15</v>
      </c>
      <c r="B1940" t="s">
        <v>2225</v>
      </c>
      <c r="C1940">
        <v>71802</v>
      </c>
      <c r="D1940">
        <v>0</v>
      </c>
      <c r="F1940">
        <v>0</v>
      </c>
    </row>
    <row r="1941" spans="1:6" x14ac:dyDescent="0.25">
      <c r="B1941" t="s">
        <v>2226</v>
      </c>
      <c r="D1941">
        <v>0</v>
      </c>
      <c r="F1941">
        <v>0</v>
      </c>
    </row>
    <row r="1942" spans="1:6" x14ac:dyDescent="0.25">
      <c r="B1942" t="s">
        <v>2227</v>
      </c>
    </row>
    <row r="1943" spans="1:6" x14ac:dyDescent="0.25">
      <c r="A1943" t="s">
        <v>2</v>
      </c>
      <c r="B1943" t="s">
        <v>2228</v>
      </c>
      <c r="C1943">
        <v>71901</v>
      </c>
      <c r="D1943">
        <v>1396570</v>
      </c>
      <c r="F1943">
        <v>1396570</v>
      </c>
    </row>
    <row r="1944" spans="1:6" x14ac:dyDescent="0.25">
      <c r="A1944" t="s">
        <v>15</v>
      </c>
      <c r="B1944" t="s">
        <v>2229</v>
      </c>
      <c r="C1944">
        <v>71902</v>
      </c>
      <c r="D1944">
        <v>777389</v>
      </c>
      <c r="F1944">
        <v>777389</v>
      </c>
    </row>
    <row r="1945" spans="1:6" x14ac:dyDescent="0.25">
      <c r="A1945" t="s">
        <v>16</v>
      </c>
      <c r="B1945" t="s">
        <v>2230</v>
      </c>
      <c r="C1945">
        <v>71903</v>
      </c>
      <c r="D1945">
        <v>0</v>
      </c>
      <c r="F1945">
        <v>0</v>
      </c>
    </row>
    <row r="1946" spans="1:6" x14ac:dyDescent="0.25">
      <c r="A1946" t="s">
        <v>25</v>
      </c>
      <c r="B1946" t="s">
        <v>2231</v>
      </c>
      <c r="C1946">
        <v>71904</v>
      </c>
      <c r="D1946">
        <v>0</v>
      </c>
      <c r="F1946">
        <v>0</v>
      </c>
    </row>
    <row r="1947" spans="1:6" x14ac:dyDescent="0.25">
      <c r="A1947" t="s">
        <v>26</v>
      </c>
      <c r="B1947" t="s">
        <v>2232</v>
      </c>
      <c r="C1947">
        <v>71905</v>
      </c>
      <c r="D1947">
        <v>0</v>
      </c>
      <c r="F1947">
        <v>0</v>
      </c>
    </row>
    <row r="1948" spans="1:6" x14ac:dyDescent="0.25">
      <c r="A1948" t="s">
        <v>27</v>
      </c>
      <c r="B1948" t="s">
        <v>2233</v>
      </c>
      <c r="C1948">
        <v>71906</v>
      </c>
      <c r="D1948">
        <v>0</v>
      </c>
      <c r="F1948">
        <v>0</v>
      </c>
    </row>
    <row r="1949" spans="1:6" x14ac:dyDescent="0.25">
      <c r="B1949" t="s">
        <v>2234</v>
      </c>
      <c r="D1949">
        <v>2173959</v>
      </c>
      <c r="F1949">
        <v>2173959</v>
      </c>
    </row>
    <row r="1950" spans="1:6" x14ac:dyDescent="0.25">
      <c r="B1950" t="s">
        <v>1653</v>
      </c>
      <c r="D1950">
        <v>70822843</v>
      </c>
      <c r="F1950">
        <v>70822843</v>
      </c>
    </row>
    <row r="1951" spans="1:6" x14ac:dyDescent="0.25">
      <c r="B1951" t="s">
        <v>2235</v>
      </c>
    </row>
    <row r="1952" spans="1:6" x14ac:dyDescent="0.25">
      <c r="B1952" t="s">
        <v>2236</v>
      </c>
    </row>
    <row r="1953" spans="1:6" x14ac:dyDescent="0.25">
      <c r="A1953" t="s">
        <v>2</v>
      </c>
      <c r="B1953" t="s">
        <v>1637</v>
      </c>
      <c r="C1953">
        <v>72101</v>
      </c>
      <c r="D1953">
        <v>0</v>
      </c>
      <c r="F1953">
        <v>0</v>
      </c>
    </row>
    <row r="1954" spans="1:6" x14ac:dyDescent="0.25">
      <c r="A1954" t="s">
        <v>15</v>
      </c>
      <c r="B1954" t="s">
        <v>1638</v>
      </c>
      <c r="C1954">
        <v>72102</v>
      </c>
      <c r="D1954">
        <v>42491929</v>
      </c>
      <c r="F1954">
        <v>42491929</v>
      </c>
    </row>
    <row r="1955" spans="1:6" x14ac:dyDescent="0.25">
      <c r="A1955" t="s">
        <v>16</v>
      </c>
      <c r="B1955" t="s">
        <v>1640</v>
      </c>
      <c r="C1955">
        <v>72103</v>
      </c>
      <c r="D1955">
        <v>886537</v>
      </c>
      <c r="F1955">
        <v>886537</v>
      </c>
    </row>
    <row r="1956" spans="1:6" x14ac:dyDescent="0.25">
      <c r="A1956" t="s">
        <v>25</v>
      </c>
      <c r="B1956" t="s">
        <v>1641</v>
      </c>
      <c r="C1956">
        <v>72104</v>
      </c>
      <c r="D1956">
        <v>0</v>
      </c>
      <c r="F1956">
        <v>0</v>
      </c>
    </row>
    <row r="1957" spans="1:6" x14ac:dyDescent="0.25">
      <c r="B1957" t="s">
        <v>2237</v>
      </c>
      <c r="D1957">
        <v>43378466</v>
      </c>
      <c r="F1957">
        <v>43378466</v>
      </c>
    </row>
    <row r="1958" spans="1:6" x14ac:dyDescent="0.25">
      <c r="B1958" t="s">
        <v>2238</v>
      </c>
    </row>
    <row r="1959" spans="1:6" x14ac:dyDescent="0.25">
      <c r="A1959" t="s">
        <v>2</v>
      </c>
      <c r="B1959" t="s">
        <v>1637</v>
      </c>
      <c r="C1959">
        <v>72201</v>
      </c>
      <c r="D1959">
        <v>0</v>
      </c>
      <c r="F1959">
        <v>0</v>
      </c>
    </row>
    <row r="1960" spans="1:6" x14ac:dyDescent="0.25">
      <c r="A1960" t="s">
        <v>15</v>
      </c>
      <c r="B1960" t="s">
        <v>1638</v>
      </c>
      <c r="C1960">
        <v>72202</v>
      </c>
      <c r="D1960">
        <v>14763055</v>
      </c>
      <c r="F1960">
        <v>14763055</v>
      </c>
    </row>
    <row r="1961" spans="1:6" x14ac:dyDescent="0.25">
      <c r="A1961" t="s">
        <v>16</v>
      </c>
      <c r="B1961" t="s">
        <v>1640</v>
      </c>
      <c r="C1961">
        <v>72203</v>
      </c>
      <c r="D1961">
        <v>0</v>
      </c>
      <c r="F1961">
        <v>0</v>
      </c>
    </row>
    <row r="1962" spans="1:6" x14ac:dyDescent="0.25">
      <c r="A1962" t="s">
        <v>25</v>
      </c>
      <c r="B1962" t="s">
        <v>1641</v>
      </c>
      <c r="C1962">
        <v>72204</v>
      </c>
      <c r="D1962">
        <v>0</v>
      </c>
      <c r="F1962">
        <v>0</v>
      </c>
    </row>
    <row r="1963" spans="1:6" x14ac:dyDescent="0.25">
      <c r="A1963" t="s">
        <v>26</v>
      </c>
      <c r="B1963" t="s">
        <v>2239</v>
      </c>
      <c r="C1963">
        <v>72200</v>
      </c>
      <c r="D1963">
        <v>14763055</v>
      </c>
      <c r="F1963">
        <v>14763055</v>
      </c>
    </row>
    <row r="1964" spans="1:6" x14ac:dyDescent="0.25">
      <c r="B1964" t="s">
        <v>2240</v>
      </c>
    </row>
    <row r="1965" spans="1:6" x14ac:dyDescent="0.25">
      <c r="A1965" t="s">
        <v>2</v>
      </c>
      <c r="B1965" t="s">
        <v>1634</v>
      </c>
      <c r="C1965">
        <v>72301</v>
      </c>
      <c r="D1965">
        <v>1465424</v>
      </c>
      <c r="F1965">
        <v>1465424</v>
      </c>
    </row>
    <row r="1966" spans="1:6" x14ac:dyDescent="0.25">
      <c r="A1966" t="s">
        <v>15</v>
      </c>
      <c r="B1966" t="s">
        <v>1635</v>
      </c>
      <c r="C1966">
        <v>72302</v>
      </c>
      <c r="D1966">
        <v>13810</v>
      </c>
      <c r="F1966">
        <v>13810</v>
      </c>
    </row>
    <row r="1967" spans="1:6" x14ac:dyDescent="0.25">
      <c r="A1967" t="s">
        <v>16</v>
      </c>
      <c r="B1967" t="s">
        <v>1636</v>
      </c>
      <c r="C1967">
        <v>72303</v>
      </c>
      <c r="D1967">
        <v>598</v>
      </c>
      <c r="F1967">
        <v>598</v>
      </c>
    </row>
    <row r="1968" spans="1:6" x14ac:dyDescent="0.25">
      <c r="A1968" t="s">
        <v>25</v>
      </c>
      <c r="B1968" t="s">
        <v>1637</v>
      </c>
      <c r="C1968">
        <v>72304</v>
      </c>
      <c r="D1968">
        <v>316216</v>
      </c>
      <c r="F1968">
        <v>316216</v>
      </c>
    </row>
    <row r="1969" spans="1:6" x14ac:dyDescent="0.25">
      <c r="A1969" t="s">
        <v>26</v>
      </c>
      <c r="B1969" t="s">
        <v>1638</v>
      </c>
      <c r="C1969">
        <v>72305</v>
      </c>
      <c r="D1969">
        <v>1328710</v>
      </c>
      <c r="F1969">
        <v>1328710</v>
      </c>
    </row>
    <row r="1970" spans="1:6" x14ac:dyDescent="0.25">
      <c r="A1970" t="s">
        <v>27</v>
      </c>
      <c r="B1970" t="s">
        <v>1639</v>
      </c>
      <c r="C1970">
        <v>72306</v>
      </c>
      <c r="D1970">
        <v>0</v>
      </c>
      <c r="F1970">
        <v>0</v>
      </c>
    </row>
    <row r="1971" spans="1:6" x14ac:dyDescent="0.25">
      <c r="A1971" t="s">
        <v>531</v>
      </c>
      <c r="B1971" t="s">
        <v>1640</v>
      </c>
      <c r="C1971">
        <v>72307</v>
      </c>
      <c r="D1971">
        <v>0</v>
      </c>
      <c r="F1971">
        <v>0</v>
      </c>
    </row>
    <row r="1972" spans="1:6" x14ac:dyDescent="0.25">
      <c r="A1972" t="s">
        <v>1583</v>
      </c>
      <c r="B1972" t="s">
        <v>1641</v>
      </c>
      <c r="C1972">
        <v>72308</v>
      </c>
      <c r="D1972">
        <v>3998716</v>
      </c>
      <c r="F1972">
        <v>3998716</v>
      </c>
    </row>
    <row r="1973" spans="1:6" x14ac:dyDescent="0.25">
      <c r="B1973" t="s">
        <v>2241</v>
      </c>
      <c r="D1973">
        <v>7123474</v>
      </c>
      <c r="F1973">
        <v>7123474</v>
      </c>
    </row>
    <row r="1974" spans="1:6" x14ac:dyDescent="0.25">
      <c r="B1974" t="s">
        <v>2242</v>
      </c>
    </row>
    <row r="1975" spans="1:6" x14ac:dyDescent="0.25">
      <c r="A1975" t="s">
        <v>2</v>
      </c>
      <c r="B1975" t="s">
        <v>1634</v>
      </c>
      <c r="C1975">
        <v>72401</v>
      </c>
      <c r="D1975">
        <v>251544</v>
      </c>
      <c r="F1975">
        <v>251544</v>
      </c>
    </row>
    <row r="1976" spans="1:6" x14ac:dyDescent="0.25">
      <c r="A1976" t="s">
        <v>15</v>
      </c>
      <c r="B1976" t="s">
        <v>1635</v>
      </c>
      <c r="C1976">
        <v>72402</v>
      </c>
      <c r="D1976">
        <v>9503</v>
      </c>
      <c r="F1976">
        <v>9503</v>
      </c>
    </row>
    <row r="1977" spans="1:6" x14ac:dyDescent="0.25">
      <c r="A1977" t="s">
        <v>16</v>
      </c>
      <c r="B1977" t="s">
        <v>1636</v>
      </c>
      <c r="C1977">
        <v>72403</v>
      </c>
      <c r="D1977">
        <v>40</v>
      </c>
      <c r="F1977">
        <v>40</v>
      </c>
    </row>
    <row r="1978" spans="1:6" x14ac:dyDescent="0.25">
      <c r="A1978" t="s">
        <v>25</v>
      </c>
      <c r="B1978" t="s">
        <v>1637</v>
      </c>
      <c r="C1978">
        <v>72404</v>
      </c>
      <c r="D1978">
        <v>14908</v>
      </c>
      <c r="F1978">
        <v>14908</v>
      </c>
    </row>
    <row r="1979" spans="1:6" x14ac:dyDescent="0.25">
      <c r="A1979" t="s">
        <v>26</v>
      </c>
      <c r="B1979" t="s">
        <v>1638</v>
      </c>
      <c r="C1979">
        <v>72405</v>
      </c>
      <c r="D1979">
        <v>62976</v>
      </c>
      <c r="F1979">
        <v>62976</v>
      </c>
    </row>
    <row r="1980" spans="1:6" x14ac:dyDescent="0.25">
      <c r="A1980" t="s">
        <v>27</v>
      </c>
      <c r="B1980" t="s">
        <v>1639</v>
      </c>
      <c r="C1980">
        <v>72406</v>
      </c>
      <c r="D1980">
        <v>0</v>
      </c>
      <c r="F1980">
        <v>0</v>
      </c>
    </row>
    <row r="1981" spans="1:6" x14ac:dyDescent="0.25">
      <c r="A1981" t="s">
        <v>531</v>
      </c>
      <c r="B1981" t="s">
        <v>1640</v>
      </c>
      <c r="C1981">
        <v>72407</v>
      </c>
      <c r="D1981">
        <v>0</v>
      </c>
      <c r="F1981">
        <v>0</v>
      </c>
    </row>
    <row r="1982" spans="1:6" x14ac:dyDescent="0.25">
      <c r="A1982" t="s">
        <v>1583</v>
      </c>
      <c r="B1982" t="s">
        <v>1641</v>
      </c>
      <c r="C1982">
        <v>72408</v>
      </c>
      <c r="D1982">
        <v>43428</v>
      </c>
      <c r="F1982">
        <v>43428</v>
      </c>
    </row>
    <row r="1983" spans="1:6" x14ac:dyDescent="0.25">
      <c r="B1983" t="s">
        <v>2243</v>
      </c>
      <c r="D1983">
        <v>382399</v>
      </c>
      <c r="F1983">
        <v>382399</v>
      </c>
    </row>
    <row r="1984" spans="1:6" x14ac:dyDescent="0.25">
      <c r="B1984" t="s">
        <v>2244</v>
      </c>
    </row>
    <row r="1985" spans="1:6" x14ac:dyDescent="0.25">
      <c r="A1985" t="s">
        <v>2</v>
      </c>
      <c r="B1985" t="s">
        <v>2245</v>
      </c>
      <c r="C1985">
        <v>72501</v>
      </c>
      <c r="D1985">
        <v>27</v>
      </c>
      <c r="F1985">
        <v>27</v>
      </c>
    </row>
    <row r="1986" spans="1:6" x14ac:dyDescent="0.25">
      <c r="A1986" t="s">
        <v>15</v>
      </c>
      <c r="B1986" t="s">
        <v>2246</v>
      </c>
      <c r="C1986">
        <v>72502</v>
      </c>
      <c r="D1986">
        <v>0</v>
      </c>
      <c r="F1986">
        <v>0</v>
      </c>
    </row>
    <row r="1987" spans="1:6" x14ac:dyDescent="0.25">
      <c r="A1987" t="s">
        <v>16</v>
      </c>
      <c r="B1987" t="s">
        <v>2247</v>
      </c>
      <c r="C1987">
        <v>72500</v>
      </c>
      <c r="D1987">
        <v>27</v>
      </c>
      <c r="F1987">
        <v>27</v>
      </c>
    </row>
    <row r="1988" spans="1:6" x14ac:dyDescent="0.25">
      <c r="B1988" t="s">
        <v>2248</v>
      </c>
    </row>
    <row r="1989" spans="1:6" x14ac:dyDescent="0.25">
      <c r="A1989" t="s">
        <v>2</v>
      </c>
      <c r="B1989" t="s">
        <v>2249</v>
      </c>
      <c r="C1989">
        <v>72601</v>
      </c>
      <c r="D1989">
        <v>0</v>
      </c>
      <c r="F1989">
        <v>0</v>
      </c>
    </row>
    <row r="1990" spans="1:6" x14ac:dyDescent="0.25">
      <c r="A1990" t="s">
        <v>15</v>
      </c>
      <c r="B1990" t="s">
        <v>2250</v>
      </c>
      <c r="C1990">
        <v>72602</v>
      </c>
      <c r="D1990">
        <v>0</v>
      </c>
      <c r="F1990">
        <v>0</v>
      </c>
    </row>
    <row r="1991" spans="1:6" x14ac:dyDescent="0.25">
      <c r="A1991" t="s">
        <v>16</v>
      </c>
      <c r="B1991" t="s">
        <v>2251</v>
      </c>
      <c r="C1991">
        <v>72603</v>
      </c>
      <c r="D1991">
        <v>0</v>
      </c>
      <c r="F1991">
        <v>0</v>
      </c>
    </row>
    <row r="1992" spans="1:6" x14ac:dyDescent="0.25">
      <c r="A1992" t="s">
        <v>25</v>
      </c>
      <c r="B1992" t="s">
        <v>2252</v>
      </c>
      <c r="C1992">
        <v>72604</v>
      </c>
      <c r="D1992">
        <v>0</v>
      </c>
      <c r="F1992">
        <v>0</v>
      </c>
    </row>
    <row r="1993" spans="1:6" x14ac:dyDescent="0.25">
      <c r="B1993" t="s">
        <v>2253</v>
      </c>
      <c r="D1993">
        <v>0</v>
      </c>
      <c r="F1993">
        <v>0</v>
      </c>
    </row>
    <row r="1994" spans="1:6" x14ac:dyDescent="0.25">
      <c r="B1994" t="s">
        <v>2254</v>
      </c>
    </row>
    <row r="1995" spans="1:6" x14ac:dyDescent="0.25">
      <c r="A1995" t="s">
        <v>2</v>
      </c>
      <c r="B1995" t="s">
        <v>2220</v>
      </c>
      <c r="C1995">
        <v>72701</v>
      </c>
      <c r="D1995">
        <v>0</v>
      </c>
      <c r="F1995">
        <v>0</v>
      </c>
    </row>
    <row r="1996" spans="1:6" x14ac:dyDescent="0.25">
      <c r="A1996" t="s">
        <v>15</v>
      </c>
      <c r="B1996" t="s">
        <v>2221</v>
      </c>
      <c r="C1996">
        <v>72702</v>
      </c>
      <c r="D1996">
        <v>0</v>
      </c>
      <c r="F1996">
        <v>0</v>
      </c>
    </row>
    <row r="1997" spans="1:6" x14ac:dyDescent="0.25">
      <c r="B1997" t="s">
        <v>2255</v>
      </c>
      <c r="D1997">
        <v>0</v>
      </c>
      <c r="F1997">
        <v>0</v>
      </c>
    </row>
    <row r="1998" spans="1:6" x14ac:dyDescent="0.25">
      <c r="B1998" t="s">
        <v>2256</v>
      </c>
    </row>
    <row r="1999" spans="1:6" x14ac:dyDescent="0.25">
      <c r="A1999" t="s">
        <v>2</v>
      </c>
      <c r="B1999" t="s">
        <v>2224</v>
      </c>
      <c r="C1999">
        <v>72801</v>
      </c>
      <c r="D1999">
        <v>0</v>
      </c>
      <c r="F1999">
        <v>0</v>
      </c>
    </row>
    <row r="2000" spans="1:6" x14ac:dyDescent="0.25">
      <c r="A2000" t="s">
        <v>15</v>
      </c>
      <c r="B2000" t="s">
        <v>2225</v>
      </c>
      <c r="C2000">
        <v>72802</v>
      </c>
      <c r="D2000">
        <v>0</v>
      </c>
      <c r="F2000">
        <v>0</v>
      </c>
    </row>
    <row r="2001" spans="1:6" x14ac:dyDescent="0.25">
      <c r="B2001" t="s">
        <v>2257</v>
      </c>
      <c r="D2001">
        <v>0</v>
      </c>
      <c r="F2001">
        <v>0</v>
      </c>
    </row>
    <row r="2002" spans="1:6" x14ac:dyDescent="0.25">
      <c r="B2002" t="s">
        <v>2258</v>
      </c>
    </row>
    <row r="2003" spans="1:6" x14ac:dyDescent="0.25">
      <c r="A2003" t="s">
        <v>2</v>
      </c>
      <c r="B2003" t="s">
        <v>2228</v>
      </c>
      <c r="C2003">
        <v>72901</v>
      </c>
      <c r="D2003">
        <v>91731</v>
      </c>
      <c r="F2003">
        <v>91731</v>
      </c>
    </row>
    <row r="2004" spans="1:6" x14ac:dyDescent="0.25">
      <c r="A2004" t="s">
        <v>15</v>
      </c>
      <c r="B2004" t="s">
        <v>2229</v>
      </c>
      <c r="C2004">
        <v>72902</v>
      </c>
      <c r="D2004">
        <v>1054620</v>
      </c>
      <c r="F2004">
        <v>1054620</v>
      </c>
    </row>
    <row r="2005" spans="1:6" x14ac:dyDescent="0.25">
      <c r="A2005" t="s">
        <v>16</v>
      </c>
      <c r="B2005" t="s">
        <v>2230</v>
      </c>
      <c r="C2005">
        <v>72903</v>
      </c>
      <c r="D2005">
        <v>0</v>
      </c>
      <c r="F2005">
        <v>0</v>
      </c>
    </row>
    <row r="2006" spans="1:6" x14ac:dyDescent="0.25">
      <c r="A2006" t="s">
        <v>25</v>
      </c>
      <c r="B2006" t="s">
        <v>2231</v>
      </c>
      <c r="C2006">
        <v>72904</v>
      </c>
      <c r="D2006">
        <v>0</v>
      </c>
      <c r="F2006">
        <v>0</v>
      </c>
    </row>
    <row r="2007" spans="1:6" x14ac:dyDescent="0.25">
      <c r="A2007" t="s">
        <v>26</v>
      </c>
      <c r="B2007" t="s">
        <v>2232</v>
      </c>
      <c r="C2007">
        <v>72905</v>
      </c>
      <c r="D2007">
        <v>0</v>
      </c>
      <c r="F2007">
        <v>0</v>
      </c>
    </row>
    <row r="2008" spans="1:6" x14ac:dyDescent="0.25">
      <c r="A2008" t="s">
        <v>27</v>
      </c>
      <c r="B2008" t="s">
        <v>2233</v>
      </c>
      <c r="C2008">
        <v>72906</v>
      </c>
      <c r="D2008">
        <v>0</v>
      </c>
      <c r="F2008">
        <v>0</v>
      </c>
    </row>
    <row r="2009" spans="1:6" x14ac:dyDescent="0.25">
      <c r="B2009" t="s">
        <v>2259</v>
      </c>
      <c r="D2009">
        <v>1146351</v>
      </c>
      <c r="F2009">
        <v>1146351</v>
      </c>
    </row>
    <row r="2010" spans="1:6" x14ac:dyDescent="0.25">
      <c r="B2010" t="s">
        <v>1660</v>
      </c>
      <c r="D2010">
        <v>66793772</v>
      </c>
      <c r="F2010">
        <v>66793772</v>
      </c>
    </row>
    <row r="2011" spans="1:6" x14ac:dyDescent="0.25">
      <c r="B2011" t="s">
        <v>2260</v>
      </c>
    </row>
    <row r="2012" spans="1:6" x14ac:dyDescent="0.25">
      <c r="B2012" t="s">
        <v>2261</v>
      </c>
    </row>
    <row r="2013" spans="1:6" x14ac:dyDescent="0.25">
      <c r="B2013" t="s">
        <v>2262</v>
      </c>
    </row>
    <row r="2014" spans="1:6" x14ac:dyDescent="0.25">
      <c r="A2014" t="s">
        <v>2</v>
      </c>
      <c r="B2014" t="s">
        <v>2263</v>
      </c>
      <c r="C2014">
        <v>81101</v>
      </c>
      <c r="F2014">
        <v>4029071</v>
      </c>
    </row>
    <row r="2015" spans="1:6" x14ac:dyDescent="0.25">
      <c r="A2015" t="s">
        <v>15</v>
      </c>
      <c r="B2015" t="s">
        <v>2264</v>
      </c>
      <c r="C2015">
        <v>81102</v>
      </c>
      <c r="F2015">
        <v>0</v>
      </c>
    </row>
    <row r="2016" spans="1:6" x14ac:dyDescent="0.25">
      <c r="B2016" t="s">
        <v>2265</v>
      </c>
    </row>
    <row r="2017" spans="1:6" x14ac:dyDescent="0.25">
      <c r="A2017" t="s">
        <v>2</v>
      </c>
      <c r="B2017" t="s">
        <v>2266</v>
      </c>
      <c r="C2017">
        <v>81201</v>
      </c>
      <c r="F2017">
        <v>4825661</v>
      </c>
    </row>
    <row r="2018" spans="1:6" x14ac:dyDescent="0.25">
      <c r="A2018" t="s">
        <v>15</v>
      </c>
      <c r="B2018" t="s">
        <v>2267</v>
      </c>
      <c r="C2018">
        <v>81202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0B064-611D-469D-85A4-BB07C87F9531}">
  <dimension ref="A1:F2018"/>
  <sheetViews>
    <sheetView topLeftCell="A1495" workbookViewId="0">
      <selection activeCell="D1523" sqref="D1523"/>
    </sheetView>
  </sheetViews>
  <sheetFormatPr defaultRowHeight="15" x14ac:dyDescent="0.25"/>
  <cols>
    <col min="1" max="1" width="13.140625" bestFit="1" customWidth="1"/>
    <col min="2" max="2" width="81.140625" bestFit="1" customWidth="1"/>
    <col min="3" max="3" width="12" bestFit="1" customWidth="1"/>
    <col min="4" max="4" width="10" bestFit="1" customWidth="1"/>
    <col min="5" max="5" width="13" bestFit="1" customWidth="1"/>
    <col min="6" max="6" width="10" bestFit="1" customWidth="1"/>
  </cols>
  <sheetData>
    <row r="1" spans="1:6" x14ac:dyDescent="0.25">
      <c r="A1" t="s">
        <v>1568</v>
      </c>
      <c r="B1" t="s">
        <v>1569</v>
      </c>
      <c r="C1" t="s">
        <v>1570</v>
      </c>
      <c r="D1" t="s">
        <v>1006</v>
      </c>
      <c r="E1" t="s">
        <v>2600</v>
      </c>
      <c r="F1" t="s">
        <v>2601</v>
      </c>
    </row>
    <row r="2" spans="1:6" x14ac:dyDescent="0.25">
      <c r="B2" t="s">
        <v>1573</v>
      </c>
    </row>
    <row r="3" spans="1:6" x14ac:dyDescent="0.25">
      <c r="B3" t="s">
        <v>1574</v>
      </c>
    </row>
    <row r="4" spans="1:6" x14ac:dyDescent="0.25">
      <c r="B4" t="s">
        <v>1575</v>
      </c>
    </row>
    <row r="5" spans="1:6" x14ac:dyDescent="0.25">
      <c r="A5" t="s">
        <v>2</v>
      </c>
      <c r="B5" t="s">
        <v>1576</v>
      </c>
      <c r="C5">
        <v>11101</v>
      </c>
      <c r="D5">
        <v>0</v>
      </c>
      <c r="E5">
        <v>0</v>
      </c>
      <c r="F5">
        <v>0</v>
      </c>
    </row>
    <row r="6" spans="1:6" x14ac:dyDescent="0.25">
      <c r="A6" t="s">
        <v>15</v>
      </c>
      <c r="B6" t="s">
        <v>1577</v>
      </c>
      <c r="C6">
        <v>11102</v>
      </c>
      <c r="D6">
        <v>0</v>
      </c>
      <c r="E6">
        <v>0</v>
      </c>
      <c r="F6">
        <v>0</v>
      </c>
    </row>
    <row r="7" spans="1:6" x14ac:dyDescent="0.25">
      <c r="A7" t="s">
        <v>16</v>
      </c>
      <c r="B7" t="s">
        <v>1578</v>
      </c>
      <c r="C7">
        <v>11103</v>
      </c>
      <c r="D7">
        <v>0</v>
      </c>
      <c r="E7">
        <v>0</v>
      </c>
      <c r="F7">
        <v>0</v>
      </c>
    </row>
    <row r="8" spans="1:6" x14ac:dyDescent="0.25">
      <c r="A8" t="s">
        <v>25</v>
      </c>
      <c r="B8" t="s">
        <v>1579</v>
      </c>
      <c r="C8">
        <v>11104</v>
      </c>
      <c r="D8">
        <v>0</v>
      </c>
      <c r="E8">
        <v>0</v>
      </c>
      <c r="F8">
        <v>0</v>
      </c>
    </row>
    <row r="9" spans="1:6" x14ac:dyDescent="0.25">
      <c r="A9" t="s">
        <v>26</v>
      </c>
      <c r="B9" t="s">
        <v>1580</v>
      </c>
      <c r="C9">
        <v>11105</v>
      </c>
      <c r="D9">
        <v>0</v>
      </c>
      <c r="E9">
        <v>0</v>
      </c>
      <c r="F9">
        <v>0</v>
      </c>
    </row>
    <row r="10" spans="1:6" x14ac:dyDescent="0.25">
      <c r="A10" t="s">
        <v>27</v>
      </c>
      <c r="B10" t="s">
        <v>1581</v>
      </c>
      <c r="C10">
        <v>11106</v>
      </c>
      <c r="D10">
        <v>0</v>
      </c>
      <c r="E10">
        <v>0</v>
      </c>
      <c r="F10">
        <v>0</v>
      </c>
    </row>
    <row r="11" spans="1:6" x14ac:dyDescent="0.25">
      <c r="A11" t="s">
        <v>531</v>
      </c>
      <c r="B11" t="s">
        <v>1582</v>
      </c>
      <c r="C11">
        <v>11107</v>
      </c>
      <c r="D11">
        <v>660</v>
      </c>
      <c r="E11">
        <v>0</v>
      </c>
      <c r="F11">
        <v>660</v>
      </c>
    </row>
    <row r="12" spans="1:6" x14ac:dyDescent="0.25">
      <c r="A12" t="s">
        <v>1583</v>
      </c>
      <c r="B12" t="s">
        <v>1584</v>
      </c>
      <c r="C12">
        <v>11108</v>
      </c>
      <c r="D12">
        <v>0</v>
      </c>
      <c r="E12">
        <v>0</v>
      </c>
      <c r="F12">
        <v>0</v>
      </c>
    </row>
    <row r="13" spans="1:6" x14ac:dyDescent="0.25">
      <c r="A13" t="s">
        <v>1585</v>
      </c>
      <c r="B13" t="s">
        <v>1586</v>
      </c>
      <c r="C13">
        <v>11109</v>
      </c>
      <c r="D13">
        <v>8358</v>
      </c>
      <c r="E13">
        <v>0</v>
      </c>
      <c r="F13">
        <v>8358</v>
      </c>
    </row>
    <row r="14" spans="1:6" x14ac:dyDescent="0.25">
      <c r="A14" t="s">
        <v>1587</v>
      </c>
      <c r="B14" t="s">
        <v>1588</v>
      </c>
      <c r="C14">
        <v>11110</v>
      </c>
      <c r="D14">
        <v>1107650</v>
      </c>
      <c r="E14">
        <v>0</v>
      </c>
      <c r="F14">
        <v>1107650</v>
      </c>
    </row>
    <row r="15" spans="1:6" x14ac:dyDescent="0.25">
      <c r="A15" t="s">
        <v>1589</v>
      </c>
      <c r="B15" t="s">
        <v>1590</v>
      </c>
      <c r="C15">
        <v>11111</v>
      </c>
      <c r="D15">
        <v>1523303</v>
      </c>
      <c r="E15">
        <v>3617</v>
      </c>
      <c r="F15">
        <v>1526920</v>
      </c>
    </row>
    <row r="16" spans="1:6" x14ac:dyDescent="0.25">
      <c r="A16" t="s">
        <v>1591</v>
      </c>
      <c r="B16" t="s">
        <v>1592</v>
      </c>
      <c r="C16">
        <v>11112</v>
      </c>
      <c r="D16">
        <v>18211937</v>
      </c>
      <c r="E16">
        <v>1093684</v>
      </c>
      <c r="F16">
        <v>19305621</v>
      </c>
    </row>
    <row r="17" spans="1:6" x14ac:dyDescent="0.25">
      <c r="A17" t="s">
        <v>1593</v>
      </c>
      <c r="B17" t="s">
        <v>1594</v>
      </c>
      <c r="C17">
        <v>11113</v>
      </c>
      <c r="D17">
        <v>3278</v>
      </c>
      <c r="E17">
        <v>0</v>
      </c>
      <c r="F17">
        <v>3278</v>
      </c>
    </row>
    <row r="18" spans="1:6" x14ac:dyDescent="0.25">
      <c r="A18" t="s">
        <v>1595</v>
      </c>
      <c r="B18" t="s">
        <v>1596</v>
      </c>
      <c r="C18">
        <v>11114</v>
      </c>
      <c r="D18">
        <v>414835</v>
      </c>
      <c r="E18">
        <v>0</v>
      </c>
      <c r="F18">
        <v>414835</v>
      </c>
    </row>
    <row r="19" spans="1:6" x14ac:dyDescent="0.25">
      <c r="A19" t="s">
        <v>1597</v>
      </c>
      <c r="B19" t="s">
        <v>1598</v>
      </c>
      <c r="C19">
        <v>11115</v>
      </c>
      <c r="D19">
        <v>7014773</v>
      </c>
      <c r="E19">
        <v>4323</v>
      </c>
      <c r="F19">
        <v>7019096</v>
      </c>
    </row>
    <row r="20" spans="1:6" x14ac:dyDescent="0.25">
      <c r="A20" t="s">
        <v>1599</v>
      </c>
      <c r="B20" t="s">
        <v>1600</v>
      </c>
      <c r="C20">
        <v>11116</v>
      </c>
      <c r="D20">
        <v>0</v>
      </c>
      <c r="E20">
        <v>0</v>
      </c>
      <c r="F20">
        <v>0</v>
      </c>
    </row>
    <row r="21" spans="1:6" x14ac:dyDescent="0.25">
      <c r="A21" t="s">
        <v>1601</v>
      </c>
      <c r="B21" t="s">
        <v>1602</v>
      </c>
      <c r="C21">
        <v>11117</v>
      </c>
      <c r="D21">
        <v>265</v>
      </c>
      <c r="E21">
        <v>1828</v>
      </c>
      <c r="F21">
        <v>2093</v>
      </c>
    </row>
    <row r="22" spans="1:6" x14ac:dyDescent="0.25">
      <c r="A22" t="s">
        <v>1603</v>
      </c>
      <c r="B22" t="s">
        <v>1604</v>
      </c>
      <c r="C22">
        <v>11118</v>
      </c>
      <c r="D22">
        <v>456358</v>
      </c>
      <c r="E22">
        <v>9434</v>
      </c>
      <c r="F22">
        <v>465792</v>
      </c>
    </row>
    <row r="23" spans="1:6" x14ac:dyDescent="0.25">
      <c r="A23" t="s">
        <v>1605</v>
      </c>
      <c r="B23" t="s">
        <v>1606</v>
      </c>
      <c r="C23">
        <v>11119</v>
      </c>
      <c r="D23">
        <v>0</v>
      </c>
      <c r="E23">
        <v>0</v>
      </c>
      <c r="F23">
        <v>0</v>
      </c>
    </row>
    <row r="24" spans="1:6" x14ac:dyDescent="0.25">
      <c r="A24" t="s">
        <v>1607</v>
      </c>
      <c r="B24" t="s">
        <v>1608</v>
      </c>
      <c r="C24">
        <v>11120</v>
      </c>
      <c r="D24">
        <v>0</v>
      </c>
      <c r="E24">
        <v>0</v>
      </c>
      <c r="F24">
        <v>0</v>
      </c>
    </row>
    <row r="25" spans="1:6" x14ac:dyDescent="0.25">
      <c r="B25" t="s">
        <v>1609</v>
      </c>
      <c r="D25">
        <v>28741417</v>
      </c>
      <c r="E25">
        <v>1112886</v>
      </c>
      <c r="F25">
        <v>29854303</v>
      </c>
    </row>
    <row r="26" spans="1:6" x14ac:dyDescent="0.25">
      <c r="B26" t="s">
        <v>1610</v>
      </c>
    </row>
    <row r="27" spans="1:6" x14ac:dyDescent="0.25">
      <c r="A27" t="s">
        <v>2</v>
      </c>
      <c r="B27" t="s">
        <v>1611</v>
      </c>
      <c r="C27">
        <v>11201</v>
      </c>
      <c r="D27">
        <v>0</v>
      </c>
      <c r="E27">
        <v>0</v>
      </c>
      <c r="F27">
        <v>0</v>
      </c>
    </row>
    <row r="28" spans="1:6" x14ac:dyDescent="0.25">
      <c r="A28" t="s">
        <v>15</v>
      </c>
      <c r="B28" t="s">
        <v>1612</v>
      </c>
      <c r="C28">
        <v>11202</v>
      </c>
      <c r="D28">
        <v>0</v>
      </c>
      <c r="E28">
        <v>0</v>
      </c>
      <c r="F28">
        <v>0</v>
      </c>
    </row>
    <row r="29" spans="1:6" x14ac:dyDescent="0.25">
      <c r="A29" t="s">
        <v>16</v>
      </c>
      <c r="B29" t="s">
        <v>1613</v>
      </c>
      <c r="C29">
        <v>11203</v>
      </c>
      <c r="D29">
        <v>0</v>
      </c>
      <c r="E29">
        <v>0</v>
      </c>
      <c r="F29">
        <v>0</v>
      </c>
    </row>
    <row r="30" spans="1:6" x14ac:dyDescent="0.25">
      <c r="A30" t="s">
        <v>25</v>
      </c>
      <c r="B30" t="s">
        <v>1614</v>
      </c>
      <c r="C30">
        <v>11204</v>
      </c>
      <c r="D30">
        <v>0</v>
      </c>
      <c r="E30">
        <v>0</v>
      </c>
      <c r="F30">
        <v>0</v>
      </c>
    </row>
    <row r="31" spans="1:6" x14ac:dyDescent="0.25">
      <c r="A31" t="s">
        <v>26</v>
      </c>
      <c r="B31" t="s">
        <v>1615</v>
      </c>
      <c r="C31">
        <v>11205</v>
      </c>
      <c r="D31">
        <v>0</v>
      </c>
      <c r="E31">
        <v>0</v>
      </c>
      <c r="F31">
        <v>0</v>
      </c>
    </row>
    <row r="32" spans="1:6" x14ac:dyDescent="0.25">
      <c r="A32" t="s">
        <v>27</v>
      </c>
      <c r="B32" t="s">
        <v>1616</v>
      </c>
      <c r="C32">
        <v>11206</v>
      </c>
      <c r="D32">
        <v>0</v>
      </c>
      <c r="E32">
        <v>0</v>
      </c>
      <c r="F32">
        <v>0</v>
      </c>
    </row>
    <row r="33" spans="1:6" x14ac:dyDescent="0.25">
      <c r="A33" t="s">
        <v>531</v>
      </c>
      <c r="B33" t="s">
        <v>1617</v>
      </c>
      <c r="C33">
        <v>11207</v>
      </c>
      <c r="D33">
        <v>0</v>
      </c>
      <c r="E33">
        <v>0</v>
      </c>
      <c r="F33">
        <v>0</v>
      </c>
    </row>
    <row r="34" spans="1:6" x14ac:dyDescent="0.25">
      <c r="A34" t="s">
        <v>1583</v>
      </c>
      <c r="B34" t="s">
        <v>1618</v>
      </c>
      <c r="C34">
        <v>11208</v>
      </c>
      <c r="D34">
        <v>0</v>
      </c>
      <c r="E34">
        <v>0</v>
      </c>
      <c r="F34">
        <v>0</v>
      </c>
    </row>
    <row r="35" spans="1:6" x14ac:dyDescent="0.25">
      <c r="A35" t="s">
        <v>1585</v>
      </c>
      <c r="B35" t="s">
        <v>1619</v>
      </c>
      <c r="C35">
        <v>11209</v>
      </c>
      <c r="D35">
        <v>0</v>
      </c>
      <c r="E35">
        <v>0</v>
      </c>
      <c r="F35">
        <v>0</v>
      </c>
    </row>
    <row r="36" spans="1:6" x14ac:dyDescent="0.25">
      <c r="A36" t="s">
        <v>1587</v>
      </c>
      <c r="B36" t="s">
        <v>1620</v>
      </c>
      <c r="C36">
        <v>11210</v>
      </c>
      <c r="D36">
        <v>72302</v>
      </c>
      <c r="E36">
        <v>0</v>
      </c>
      <c r="F36">
        <v>72302</v>
      </c>
    </row>
    <row r="37" spans="1:6" x14ac:dyDescent="0.25">
      <c r="A37" t="s">
        <v>1589</v>
      </c>
      <c r="B37" t="s">
        <v>1621</v>
      </c>
      <c r="C37">
        <v>11211</v>
      </c>
      <c r="D37">
        <v>61492</v>
      </c>
      <c r="E37">
        <v>2181</v>
      </c>
      <c r="F37">
        <v>63673</v>
      </c>
    </row>
    <row r="38" spans="1:6" x14ac:dyDescent="0.25">
      <c r="A38" t="s">
        <v>1591</v>
      </c>
      <c r="B38" t="s">
        <v>1622</v>
      </c>
      <c r="C38">
        <v>11212</v>
      </c>
      <c r="D38">
        <v>752699</v>
      </c>
      <c r="E38">
        <v>375875</v>
      </c>
      <c r="F38">
        <v>1128574</v>
      </c>
    </row>
    <row r="39" spans="1:6" x14ac:dyDescent="0.25">
      <c r="A39" t="s">
        <v>1593</v>
      </c>
      <c r="B39" t="s">
        <v>1623</v>
      </c>
      <c r="C39">
        <v>11213</v>
      </c>
      <c r="D39">
        <v>0</v>
      </c>
      <c r="E39">
        <v>0</v>
      </c>
      <c r="F39">
        <v>0</v>
      </c>
    </row>
    <row r="40" spans="1:6" x14ac:dyDescent="0.25">
      <c r="A40" t="s">
        <v>1595</v>
      </c>
      <c r="B40" t="s">
        <v>1624</v>
      </c>
      <c r="C40">
        <v>11214</v>
      </c>
      <c r="D40">
        <v>52629</v>
      </c>
      <c r="E40">
        <v>205374</v>
      </c>
      <c r="F40">
        <v>258003</v>
      </c>
    </row>
    <row r="41" spans="1:6" x14ac:dyDescent="0.25">
      <c r="A41" t="s">
        <v>1597</v>
      </c>
      <c r="B41" t="s">
        <v>1625</v>
      </c>
      <c r="C41">
        <v>11215</v>
      </c>
      <c r="D41">
        <v>820907</v>
      </c>
      <c r="E41">
        <v>4676</v>
      </c>
      <c r="F41">
        <v>825583</v>
      </c>
    </row>
    <row r="42" spans="1:6" x14ac:dyDescent="0.25">
      <c r="A42" t="s">
        <v>1599</v>
      </c>
      <c r="B42" t="s">
        <v>1626</v>
      </c>
      <c r="C42">
        <v>11216</v>
      </c>
      <c r="D42">
        <v>0</v>
      </c>
      <c r="E42">
        <v>134743</v>
      </c>
      <c r="F42">
        <v>134743</v>
      </c>
    </row>
    <row r="43" spans="1:6" x14ac:dyDescent="0.25">
      <c r="A43" t="s">
        <v>1601</v>
      </c>
      <c r="B43" t="s">
        <v>1627</v>
      </c>
      <c r="C43">
        <v>11217</v>
      </c>
      <c r="D43">
        <v>0</v>
      </c>
      <c r="E43">
        <v>0</v>
      </c>
      <c r="F43">
        <v>0</v>
      </c>
    </row>
    <row r="44" spans="1:6" x14ac:dyDescent="0.25">
      <c r="A44" t="s">
        <v>1603</v>
      </c>
      <c r="B44" t="s">
        <v>1596</v>
      </c>
      <c r="C44">
        <v>11218</v>
      </c>
      <c r="D44">
        <v>0</v>
      </c>
      <c r="E44">
        <v>0</v>
      </c>
      <c r="F44">
        <v>0</v>
      </c>
    </row>
    <row r="45" spans="1:6" x14ac:dyDescent="0.25">
      <c r="A45" t="s">
        <v>1605</v>
      </c>
      <c r="B45" t="s">
        <v>1598</v>
      </c>
      <c r="C45">
        <v>11219</v>
      </c>
      <c r="D45">
        <v>0</v>
      </c>
      <c r="E45">
        <v>0</v>
      </c>
      <c r="F45">
        <v>0</v>
      </c>
    </row>
    <row r="46" spans="1:6" x14ac:dyDescent="0.25">
      <c r="A46" t="s">
        <v>1607</v>
      </c>
      <c r="B46" t="s">
        <v>1602</v>
      </c>
      <c r="C46">
        <v>11220</v>
      </c>
      <c r="D46">
        <v>0</v>
      </c>
      <c r="E46">
        <v>0</v>
      </c>
      <c r="F46">
        <v>0</v>
      </c>
    </row>
    <row r="47" spans="1:6" x14ac:dyDescent="0.25">
      <c r="B47" t="s">
        <v>1628</v>
      </c>
      <c r="D47">
        <v>1760029</v>
      </c>
      <c r="E47">
        <v>722849</v>
      </c>
      <c r="F47">
        <v>2482878</v>
      </c>
    </row>
    <row r="48" spans="1:6" x14ac:dyDescent="0.25">
      <c r="B48" t="s">
        <v>1629</v>
      </c>
    </row>
    <row r="49" spans="1:6" x14ac:dyDescent="0.25">
      <c r="A49" t="s">
        <v>2</v>
      </c>
      <c r="B49" t="s">
        <v>1627</v>
      </c>
      <c r="C49">
        <v>11301</v>
      </c>
      <c r="D49">
        <v>1133</v>
      </c>
      <c r="E49">
        <v>0</v>
      </c>
      <c r="F49">
        <v>1133</v>
      </c>
    </row>
    <row r="50" spans="1:6" x14ac:dyDescent="0.25">
      <c r="A50" t="s">
        <v>15</v>
      </c>
      <c r="B50" t="s">
        <v>1625</v>
      </c>
      <c r="C50">
        <v>11302</v>
      </c>
      <c r="D50">
        <v>422</v>
      </c>
      <c r="E50">
        <v>217</v>
      </c>
      <c r="F50">
        <v>639</v>
      </c>
    </row>
    <row r="51" spans="1:6" x14ac:dyDescent="0.25">
      <c r="A51" t="s">
        <v>16</v>
      </c>
      <c r="B51" t="s">
        <v>1626</v>
      </c>
      <c r="C51">
        <v>11303</v>
      </c>
      <c r="D51">
        <v>0</v>
      </c>
      <c r="E51">
        <v>4532</v>
      </c>
      <c r="F51">
        <v>4532</v>
      </c>
    </row>
    <row r="52" spans="1:6" x14ac:dyDescent="0.25">
      <c r="B52" t="s">
        <v>1630</v>
      </c>
      <c r="D52">
        <v>1555</v>
      </c>
      <c r="E52">
        <v>4749</v>
      </c>
      <c r="F52">
        <v>6304</v>
      </c>
    </row>
    <row r="53" spans="1:6" x14ac:dyDescent="0.25">
      <c r="B53" t="s">
        <v>1631</v>
      </c>
    </row>
    <row r="54" spans="1:6" x14ac:dyDescent="0.25">
      <c r="A54" t="s">
        <v>2</v>
      </c>
      <c r="B54" t="s">
        <v>1627</v>
      </c>
      <c r="C54">
        <v>11401</v>
      </c>
      <c r="D54">
        <v>0</v>
      </c>
      <c r="E54">
        <v>0</v>
      </c>
      <c r="F54">
        <v>0</v>
      </c>
    </row>
    <row r="55" spans="1:6" x14ac:dyDescent="0.25">
      <c r="A55" t="s">
        <v>15</v>
      </c>
      <c r="B55" t="s">
        <v>1625</v>
      </c>
      <c r="C55">
        <v>11402</v>
      </c>
      <c r="D55">
        <v>0</v>
      </c>
      <c r="E55">
        <v>0</v>
      </c>
      <c r="F55">
        <v>0</v>
      </c>
    </row>
    <row r="56" spans="1:6" x14ac:dyDescent="0.25">
      <c r="A56" t="s">
        <v>16</v>
      </c>
      <c r="B56" t="s">
        <v>1626</v>
      </c>
      <c r="C56">
        <v>11403</v>
      </c>
      <c r="D56">
        <v>0</v>
      </c>
      <c r="E56">
        <v>4</v>
      </c>
      <c r="F56">
        <v>4</v>
      </c>
    </row>
    <row r="57" spans="1:6" x14ac:dyDescent="0.25">
      <c r="B57" t="s">
        <v>1632</v>
      </c>
      <c r="D57">
        <v>0</v>
      </c>
      <c r="E57">
        <v>4</v>
      </c>
      <c r="F57">
        <v>4</v>
      </c>
    </row>
    <row r="58" spans="1:6" x14ac:dyDescent="0.25">
      <c r="B58" t="s">
        <v>1633</v>
      </c>
    </row>
    <row r="59" spans="1:6" x14ac:dyDescent="0.25">
      <c r="A59" t="s">
        <v>2</v>
      </c>
      <c r="B59" t="s">
        <v>1634</v>
      </c>
      <c r="C59">
        <v>11501</v>
      </c>
      <c r="D59">
        <v>0</v>
      </c>
      <c r="E59">
        <v>0</v>
      </c>
      <c r="F59">
        <v>0</v>
      </c>
    </row>
    <row r="60" spans="1:6" x14ac:dyDescent="0.25">
      <c r="A60" t="s">
        <v>15</v>
      </c>
      <c r="B60" t="s">
        <v>1635</v>
      </c>
      <c r="C60">
        <v>11502</v>
      </c>
      <c r="D60">
        <v>0</v>
      </c>
      <c r="E60">
        <v>0</v>
      </c>
      <c r="F60">
        <v>0</v>
      </c>
    </row>
    <row r="61" spans="1:6" x14ac:dyDescent="0.25">
      <c r="A61" t="s">
        <v>16</v>
      </c>
      <c r="B61" t="s">
        <v>1636</v>
      </c>
      <c r="C61">
        <v>11503</v>
      </c>
      <c r="D61">
        <v>0</v>
      </c>
      <c r="E61">
        <v>0</v>
      </c>
      <c r="F61">
        <v>0</v>
      </c>
    </row>
    <row r="62" spans="1:6" x14ac:dyDescent="0.25">
      <c r="A62" t="s">
        <v>25</v>
      </c>
      <c r="B62" t="s">
        <v>1637</v>
      </c>
      <c r="C62">
        <v>11504</v>
      </c>
      <c r="D62">
        <v>0</v>
      </c>
      <c r="E62">
        <v>0</v>
      </c>
      <c r="F62">
        <v>0</v>
      </c>
    </row>
    <row r="63" spans="1:6" x14ac:dyDescent="0.25">
      <c r="A63" t="s">
        <v>26</v>
      </c>
      <c r="B63" t="s">
        <v>1638</v>
      </c>
      <c r="C63">
        <v>11505</v>
      </c>
      <c r="D63">
        <v>0</v>
      </c>
      <c r="E63">
        <v>0</v>
      </c>
      <c r="F63">
        <v>0</v>
      </c>
    </row>
    <row r="64" spans="1:6" x14ac:dyDescent="0.25">
      <c r="A64" t="s">
        <v>27</v>
      </c>
      <c r="B64" t="s">
        <v>1639</v>
      </c>
      <c r="C64">
        <v>11506</v>
      </c>
      <c r="D64">
        <v>0</v>
      </c>
      <c r="E64">
        <v>0</v>
      </c>
      <c r="F64">
        <v>0</v>
      </c>
    </row>
    <row r="65" spans="1:6" x14ac:dyDescent="0.25">
      <c r="A65" t="s">
        <v>531</v>
      </c>
      <c r="B65" t="s">
        <v>1640</v>
      </c>
      <c r="C65">
        <v>11507</v>
      </c>
      <c r="D65">
        <v>0</v>
      </c>
      <c r="E65">
        <v>0</v>
      </c>
      <c r="F65">
        <v>0</v>
      </c>
    </row>
    <row r="66" spans="1:6" x14ac:dyDescent="0.25">
      <c r="A66" t="s">
        <v>1583</v>
      </c>
      <c r="B66" t="s">
        <v>1641</v>
      </c>
      <c r="C66">
        <v>11508</v>
      </c>
      <c r="D66">
        <v>0</v>
      </c>
      <c r="E66">
        <v>0</v>
      </c>
      <c r="F66">
        <v>0</v>
      </c>
    </row>
    <row r="67" spans="1:6" x14ac:dyDescent="0.25">
      <c r="B67" t="s">
        <v>1642</v>
      </c>
      <c r="D67">
        <v>0</v>
      </c>
      <c r="E67">
        <v>0</v>
      </c>
      <c r="F67">
        <v>0</v>
      </c>
    </row>
    <row r="68" spans="1:6" x14ac:dyDescent="0.25">
      <c r="B68" t="s">
        <v>1643</v>
      </c>
    </row>
    <row r="69" spans="1:6" x14ac:dyDescent="0.25">
      <c r="A69" t="s">
        <v>2</v>
      </c>
      <c r="B69" t="s">
        <v>1634</v>
      </c>
      <c r="C69">
        <v>11601</v>
      </c>
      <c r="D69">
        <v>400010</v>
      </c>
      <c r="E69">
        <v>0</v>
      </c>
      <c r="F69">
        <v>400010</v>
      </c>
    </row>
    <row r="70" spans="1:6" x14ac:dyDescent="0.25">
      <c r="A70" t="s">
        <v>15</v>
      </c>
      <c r="B70" t="s">
        <v>1635</v>
      </c>
      <c r="C70">
        <v>11602</v>
      </c>
      <c r="D70">
        <v>31834</v>
      </c>
      <c r="E70">
        <v>0</v>
      </c>
      <c r="F70">
        <v>31834</v>
      </c>
    </row>
    <row r="71" spans="1:6" x14ac:dyDescent="0.25">
      <c r="A71" t="s">
        <v>16</v>
      </c>
      <c r="B71" t="s">
        <v>1636</v>
      </c>
      <c r="C71">
        <v>11603</v>
      </c>
      <c r="D71">
        <v>0</v>
      </c>
      <c r="E71">
        <v>0</v>
      </c>
      <c r="F71">
        <v>0</v>
      </c>
    </row>
    <row r="72" spans="1:6" x14ac:dyDescent="0.25">
      <c r="A72" t="s">
        <v>25</v>
      </c>
      <c r="B72" t="s">
        <v>1637</v>
      </c>
      <c r="C72">
        <v>11604</v>
      </c>
      <c r="D72">
        <v>286317</v>
      </c>
      <c r="E72">
        <v>0</v>
      </c>
      <c r="F72">
        <v>286317</v>
      </c>
    </row>
    <row r="73" spans="1:6" x14ac:dyDescent="0.25">
      <c r="A73" t="s">
        <v>26</v>
      </c>
      <c r="B73" t="s">
        <v>1638</v>
      </c>
      <c r="C73">
        <v>11605</v>
      </c>
      <c r="D73">
        <v>1558995</v>
      </c>
      <c r="E73">
        <v>0</v>
      </c>
      <c r="F73">
        <v>1558995</v>
      </c>
    </row>
    <row r="74" spans="1:6" x14ac:dyDescent="0.25">
      <c r="A74" t="s">
        <v>27</v>
      </c>
      <c r="B74" t="s">
        <v>1639</v>
      </c>
      <c r="C74">
        <v>11606</v>
      </c>
      <c r="D74">
        <v>0</v>
      </c>
      <c r="E74">
        <v>0</v>
      </c>
      <c r="F74">
        <v>0</v>
      </c>
    </row>
    <row r="75" spans="1:6" x14ac:dyDescent="0.25">
      <c r="A75" t="s">
        <v>531</v>
      </c>
      <c r="B75" t="s">
        <v>1640</v>
      </c>
      <c r="C75">
        <v>11607</v>
      </c>
      <c r="D75">
        <v>0</v>
      </c>
      <c r="E75">
        <v>0</v>
      </c>
      <c r="F75">
        <v>0</v>
      </c>
    </row>
    <row r="76" spans="1:6" x14ac:dyDescent="0.25">
      <c r="A76" t="s">
        <v>1583</v>
      </c>
      <c r="B76" t="s">
        <v>1641</v>
      </c>
      <c r="C76">
        <v>11608</v>
      </c>
      <c r="D76">
        <v>1923192</v>
      </c>
      <c r="E76">
        <v>0</v>
      </c>
      <c r="F76">
        <v>1923192</v>
      </c>
    </row>
    <row r="77" spans="1:6" x14ac:dyDescent="0.25">
      <c r="B77" t="s">
        <v>1644</v>
      </c>
      <c r="D77">
        <v>4200348</v>
      </c>
      <c r="E77">
        <v>0</v>
      </c>
      <c r="F77">
        <v>4200348</v>
      </c>
    </row>
    <row r="78" spans="1:6" x14ac:dyDescent="0.25">
      <c r="B78" t="s">
        <v>1645</v>
      </c>
    </row>
    <row r="79" spans="1:6" x14ac:dyDescent="0.25">
      <c r="A79" t="s">
        <v>2</v>
      </c>
      <c r="B79" t="s">
        <v>1634</v>
      </c>
      <c r="C79">
        <v>11701</v>
      </c>
      <c r="D79">
        <v>1892312</v>
      </c>
      <c r="E79">
        <v>0</v>
      </c>
      <c r="F79">
        <v>1892312</v>
      </c>
    </row>
    <row r="80" spans="1:6" x14ac:dyDescent="0.25">
      <c r="A80" t="s">
        <v>15</v>
      </c>
      <c r="B80" t="s">
        <v>1635</v>
      </c>
      <c r="C80">
        <v>11702</v>
      </c>
      <c r="D80">
        <v>0</v>
      </c>
      <c r="E80">
        <v>0</v>
      </c>
      <c r="F80">
        <v>0</v>
      </c>
    </row>
    <row r="81" spans="1:6" x14ac:dyDescent="0.25">
      <c r="A81" t="s">
        <v>16</v>
      </c>
      <c r="B81" t="s">
        <v>1636</v>
      </c>
      <c r="C81">
        <v>11703</v>
      </c>
      <c r="D81">
        <v>0</v>
      </c>
      <c r="E81">
        <v>0</v>
      </c>
      <c r="F81">
        <v>0</v>
      </c>
    </row>
    <row r="82" spans="1:6" x14ac:dyDescent="0.25">
      <c r="A82" t="s">
        <v>25</v>
      </c>
      <c r="B82" t="s">
        <v>1637</v>
      </c>
      <c r="C82">
        <v>11704</v>
      </c>
      <c r="D82">
        <v>0</v>
      </c>
      <c r="E82">
        <v>0</v>
      </c>
      <c r="F82">
        <v>0</v>
      </c>
    </row>
    <row r="83" spans="1:6" x14ac:dyDescent="0.25">
      <c r="A83" t="s">
        <v>26</v>
      </c>
      <c r="B83" t="s">
        <v>1638</v>
      </c>
      <c r="C83">
        <v>11705</v>
      </c>
      <c r="D83">
        <v>261530</v>
      </c>
      <c r="E83">
        <v>0</v>
      </c>
      <c r="F83">
        <v>261530</v>
      </c>
    </row>
    <row r="84" spans="1:6" x14ac:dyDescent="0.25">
      <c r="A84" t="s">
        <v>27</v>
      </c>
      <c r="B84" t="s">
        <v>1639</v>
      </c>
      <c r="C84">
        <v>11706</v>
      </c>
      <c r="D84">
        <v>0</v>
      </c>
      <c r="E84">
        <v>0</v>
      </c>
      <c r="F84">
        <v>0</v>
      </c>
    </row>
    <row r="85" spans="1:6" x14ac:dyDescent="0.25">
      <c r="A85" t="s">
        <v>531</v>
      </c>
      <c r="B85" t="s">
        <v>1640</v>
      </c>
      <c r="C85">
        <v>11707</v>
      </c>
      <c r="D85">
        <v>0</v>
      </c>
      <c r="E85">
        <v>0</v>
      </c>
      <c r="F85">
        <v>0</v>
      </c>
    </row>
    <row r="86" spans="1:6" x14ac:dyDescent="0.25">
      <c r="A86" t="s">
        <v>1583</v>
      </c>
      <c r="B86" t="s">
        <v>1641</v>
      </c>
      <c r="C86">
        <v>11708</v>
      </c>
      <c r="D86">
        <v>35232</v>
      </c>
      <c r="E86">
        <v>0</v>
      </c>
      <c r="F86">
        <v>35232</v>
      </c>
    </row>
    <row r="87" spans="1:6" x14ac:dyDescent="0.25">
      <c r="B87" t="s">
        <v>1646</v>
      </c>
      <c r="D87">
        <v>2189074</v>
      </c>
      <c r="E87">
        <v>0</v>
      </c>
      <c r="F87">
        <v>2189074</v>
      </c>
    </row>
    <row r="88" spans="1:6" x14ac:dyDescent="0.25">
      <c r="B88" t="s">
        <v>1647</v>
      </c>
    </row>
    <row r="89" spans="1:6" x14ac:dyDescent="0.25">
      <c r="A89" t="s">
        <v>2</v>
      </c>
      <c r="B89" t="s">
        <v>1648</v>
      </c>
      <c r="C89">
        <v>11801</v>
      </c>
      <c r="D89">
        <v>0</v>
      </c>
      <c r="E89">
        <v>0</v>
      </c>
      <c r="F89">
        <v>0</v>
      </c>
    </row>
    <row r="90" spans="1:6" x14ac:dyDescent="0.25">
      <c r="A90" t="s">
        <v>15</v>
      </c>
      <c r="B90" t="s">
        <v>1649</v>
      </c>
      <c r="C90">
        <v>11802</v>
      </c>
      <c r="D90">
        <v>0</v>
      </c>
      <c r="E90">
        <v>0</v>
      </c>
      <c r="F90">
        <v>0</v>
      </c>
    </row>
    <row r="91" spans="1:6" x14ac:dyDescent="0.25">
      <c r="A91" t="s">
        <v>16</v>
      </c>
      <c r="B91" t="s">
        <v>1637</v>
      </c>
      <c r="C91">
        <v>11803</v>
      </c>
      <c r="D91">
        <v>0</v>
      </c>
      <c r="E91">
        <v>0</v>
      </c>
      <c r="F91">
        <v>0</v>
      </c>
    </row>
    <row r="92" spans="1:6" x14ac:dyDescent="0.25">
      <c r="A92" t="s">
        <v>25</v>
      </c>
      <c r="B92" t="s">
        <v>1638</v>
      </c>
      <c r="C92">
        <v>11804</v>
      </c>
      <c r="D92">
        <v>329634</v>
      </c>
      <c r="E92">
        <v>0</v>
      </c>
      <c r="F92">
        <v>329634</v>
      </c>
    </row>
    <row r="93" spans="1:6" x14ac:dyDescent="0.25">
      <c r="A93" t="s">
        <v>26</v>
      </c>
      <c r="B93" t="s">
        <v>1650</v>
      </c>
      <c r="C93">
        <v>11805</v>
      </c>
      <c r="D93">
        <v>0</v>
      </c>
      <c r="E93">
        <v>0</v>
      </c>
      <c r="F93">
        <v>0</v>
      </c>
    </row>
    <row r="94" spans="1:6" x14ac:dyDescent="0.25">
      <c r="A94" t="s">
        <v>27</v>
      </c>
      <c r="B94" t="s">
        <v>1651</v>
      </c>
      <c r="C94">
        <v>11806</v>
      </c>
      <c r="D94">
        <v>0</v>
      </c>
      <c r="E94">
        <v>0</v>
      </c>
      <c r="F94">
        <v>0</v>
      </c>
    </row>
    <row r="95" spans="1:6" x14ac:dyDescent="0.25">
      <c r="A95" t="s">
        <v>531</v>
      </c>
      <c r="B95" t="s">
        <v>1640</v>
      </c>
      <c r="C95">
        <v>11807</v>
      </c>
      <c r="D95">
        <v>0</v>
      </c>
      <c r="E95">
        <v>0</v>
      </c>
      <c r="F95">
        <v>0</v>
      </c>
    </row>
    <row r="96" spans="1:6" x14ac:dyDescent="0.25">
      <c r="A96" t="s">
        <v>1583</v>
      </c>
      <c r="B96" t="s">
        <v>1641</v>
      </c>
      <c r="C96">
        <v>11808</v>
      </c>
      <c r="D96">
        <v>0</v>
      </c>
      <c r="E96">
        <v>0</v>
      </c>
      <c r="F96">
        <v>0</v>
      </c>
    </row>
    <row r="97" spans="1:6" x14ac:dyDescent="0.25">
      <c r="B97" t="s">
        <v>1652</v>
      </c>
      <c r="D97">
        <v>329634</v>
      </c>
      <c r="E97">
        <v>0</v>
      </c>
      <c r="F97">
        <v>329634</v>
      </c>
    </row>
    <row r="98" spans="1:6" x14ac:dyDescent="0.25">
      <c r="B98" t="s">
        <v>1653</v>
      </c>
      <c r="D98">
        <v>37222057</v>
      </c>
      <c r="E98">
        <v>1840488</v>
      </c>
      <c r="F98">
        <v>39062545</v>
      </c>
    </row>
    <row r="99" spans="1:6" x14ac:dyDescent="0.25">
      <c r="B99" t="s">
        <v>1654</v>
      </c>
    </row>
    <row r="100" spans="1:6" x14ac:dyDescent="0.25">
      <c r="B100" t="s">
        <v>1575</v>
      </c>
    </row>
    <row r="101" spans="1:6" x14ac:dyDescent="0.25">
      <c r="A101" t="s">
        <v>2</v>
      </c>
      <c r="B101" t="s">
        <v>1576</v>
      </c>
      <c r="C101">
        <v>12101</v>
      </c>
      <c r="D101">
        <v>1</v>
      </c>
      <c r="E101">
        <v>0</v>
      </c>
      <c r="F101">
        <v>1</v>
      </c>
    </row>
    <row r="102" spans="1:6" x14ac:dyDescent="0.25">
      <c r="A102" t="s">
        <v>15</v>
      </c>
      <c r="B102" t="s">
        <v>1577</v>
      </c>
      <c r="C102">
        <v>12102</v>
      </c>
      <c r="D102">
        <v>0</v>
      </c>
      <c r="E102">
        <v>0</v>
      </c>
      <c r="F102">
        <v>0</v>
      </c>
    </row>
    <row r="103" spans="1:6" x14ac:dyDescent="0.25">
      <c r="A103" t="s">
        <v>16</v>
      </c>
      <c r="B103" t="s">
        <v>1578</v>
      </c>
      <c r="C103">
        <v>12103</v>
      </c>
      <c r="D103">
        <v>0</v>
      </c>
      <c r="E103">
        <v>0</v>
      </c>
      <c r="F103">
        <v>0</v>
      </c>
    </row>
    <row r="104" spans="1:6" x14ac:dyDescent="0.25">
      <c r="A104" t="s">
        <v>25</v>
      </c>
      <c r="B104" t="s">
        <v>1579</v>
      </c>
      <c r="C104">
        <v>12104</v>
      </c>
      <c r="D104">
        <v>0</v>
      </c>
      <c r="E104">
        <v>0</v>
      </c>
      <c r="F104">
        <v>0</v>
      </c>
    </row>
    <row r="105" spans="1:6" x14ac:dyDescent="0.25">
      <c r="A105" t="s">
        <v>26</v>
      </c>
      <c r="B105" t="s">
        <v>1580</v>
      </c>
      <c r="C105">
        <v>12105</v>
      </c>
      <c r="D105">
        <v>0</v>
      </c>
      <c r="E105">
        <v>0</v>
      </c>
      <c r="F105">
        <v>0</v>
      </c>
    </row>
    <row r="106" spans="1:6" x14ac:dyDescent="0.25">
      <c r="A106" t="s">
        <v>27</v>
      </c>
      <c r="B106" t="s">
        <v>1581</v>
      </c>
      <c r="C106">
        <v>12106</v>
      </c>
      <c r="D106">
        <v>85</v>
      </c>
      <c r="E106">
        <v>0</v>
      </c>
      <c r="F106">
        <v>85</v>
      </c>
    </row>
    <row r="107" spans="1:6" x14ac:dyDescent="0.25">
      <c r="A107" t="s">
        <v>531</v>
      </c>
      <c r="B107" t="s">
        <v>1582</v>
      </c>
      <c r="C107">
        <v>12107</v>
      </c>
      <c r="D107">
        <v>0</v>
      </c>
      <c r="E107">
        <v>0</v>
      </c>
      <c r="F107">
        <v>0</v>
      </c>
    </row>
    <row r="108" spans="1:6" x14ac:dyDescent="0.25">
      <c r="A108" t="s">
        <v>1583</v>
      </c>
      <c r="B108" t="s">
        <v>1584</v>
      </c>
      <c r="C108">
        <v>12108</v>
      </c>
      <c r="D108">
        <v>0</v>
      </c>
      <c r="E108">
        <v>0</v>
      </c>
      <c r="F108">
        <v>0</v>
      </c>
    </row>
    <row r="109" spans="1:6" x14ac:dyDescent="0.25">
      <c r="A109" t="s">
        <v>1585</v>
      </c>
      <c r="B109" t="s">
        <v>1586</v>
      </c>
      <c r="C109">
        <v>12109</v>
      </c>
      <c r="D109">
        <v>0</v>
      </c>
      <c r="E109">
        <v>0</v>
      </c>
      <c r="F109">
        <v>0</v>
      </c>
    </row>
    <row r="110" spans="1:6" x14ac:dyDescent="0.25">
      <c r="A110" t="s">
        <v>1587</v>
      </c>
      <c r="B110" t="s">
        <v>1588</v>
      </c>
      <c r="C110">
        <v>12110</v>
      </c>
      <c r="D110">
        <v>0</v>
      </c>
      <c r="E110">
        <v>0</v>
      </c>
      <c r="F110">
        <v>0</v>
      </c>
    </row>
    <row r="111" spans="1:6" x14ac:dyDescent="0.25">
      <c r="A111" t="s">
        <v>1589</v>
      </c>
      <c r="B111" t="s">
        <v>1590</v>
      </c>
      <c r="C111">
        <v>12111</v>
      </c>
      <c r="D111">
        <v>254</v>
      </c>
      <c r="E111">
        <v>0</v>
      </c>
      <c r="F111">
        <v>254</v>
      </c>
    </row>
    <row r="112" spans="1:6" x14ac:dyDescent="0.25">
      <c r="A112" t="s">
        <v>1591</v>
      </c>
      <c r="B112" t="s">
        <v>1592</v>
      </c>
      <c r="C112">
        <v>12112</v>
      </c>
      <c r="D112">
        <v>34480</v>
      </c>
      <c r="E112">
        <v>0</v>
      </c>
      <c r="F112">
        <v>34480</v>
      </c>
    </row>
    <row r="113" spans="1:6" x14ac:dyDescent="0.25">
      <c r="A113" t="s">
        <v>1593</v>
      </c>
      <c r="B113" t="s">
        <v>1594</v>
      </c>
      <c r="C113">
        <v>12113</v>
      </c>
      <c r="D113">
        <v>218</v>
      </c>
      <c r="E113">
        <v>0</v>
      </c>
      <c r="F113">
        <v>218</v>
      </c>
    </row>
    <row r="114" spans="1:6" x14ac:dyDescent="0.25">
      <c r="A114" t="s">
        <v>1595</v>
      </c>
      <c r="B114" t="s">
        <v>1596</v>
      </c>
      <c r="C114">
        <v>12114</v>
      </c>
      <c r="D114">
        <v>6005</v>
      </c>
      <c r="E114">
        <v>0</v>
      </c>
      <c r="F114">
        <v>6005</v>
      </c>
    </row>
    <row r="115" spans="1:6" x14ac:dyDescent="0.25">
      <c r="A115" t="s">
        <v>1597</v>
      </c>
      <c r="B115" t="s">
        <v>1598</v>
      </c>
      <c r="C115">
        <v>12115</v>
      </c>
      <c r="D115">
        <v>0</v>
      </c>
      <c r="E115">
        <v>0</v>
      </c>
      <c r="F115">
        <v>0</v>
      </c>
    </row>
    <row r="116" spans="1:6" x14ac:dyDescent="0.25">
      <c r="A116" t="s">
        <v>1599</v>
      </c>
      <c r="B116" t="s">
        <v>1600</v>
      </c>
      <c r="C116">
        <v>12116</v>
      </c>
      <c r="D116">
        <v>0</v>
      </c>
      <c r="E116">
        <v>0</v>
      </c>
      <c r="F116">
        <v>0</v>
      </c>
    </row>
    <row r="117" spans="1:6" x14ac:dyDescent="0.25">
      <c r="A117" t="s">
        <v>1601</v>
      </c>
      <c r="B117" t="s">
        <v>1602</v>
      </c>
      <c r="C117">
        <v>12117</v>
      </c>
      <c r="D117">
        <v>0</v>
      </c>
      <c r="E117">
        <v>0</v>
      </c>
      <c r="F117">
        <v>0</v>
      </c>
    </row>
    <row r="118" spans="1:6" x14ac:dyDescent="0.25">
      <c r="A118" t="s">
        <v>1603</v>
      </c>
      <c r="B118" t="s">
        <v>1604</v>
      </c>
      <c r="C118">
        <v>12118</v>
      </c>
      <c r="D118">
        <v>0</v>
      </c>
      <c r="E118">
        <v>0</v>
      </c>
      <c r="F118">
        <v>0</v>
      </c>
    </row>
    <row r="119" spans="1:6" x14ac:dyDescent="0.25">
      <c r="A119" t="s">
        <v>1605</v>
      </c>
      <c r="B119" t="s">
        <v>1606</v>
      </c>
      <c r="C119">
        <v>12119</v>
      </c>
      <c r="D119">
        <v>0</v>
      </c>
      <c r="E119">
        <v>10016</v>
      </c>
      <c r="F119">
        <v>10016</v>
      </c>
    </row>
    <row r="120" spans="1:6" x14ac:dyDescent="0.25">
      <c r="A120" t="s">
        <v>1607</v>
      </c>
      <c r="B120" t="s">
        <v>1608</v>
      </c>
      <c r="C120">
        <v>12120</v>
      </c>
      <c r="D120">
        <v>0</v>
      </c>
      <c r="E120">
        <v>0</v>
      </c>
      <c r="F120">
        <v>0</v>
      </c>
    </row>
    <row r="121" spans="1:6" x14ac:dyDescent="0.25">
      <c r="B121" t="s">
        <v>1655</v>
      </c>
      <c r="D121">
        <v>41043</v>
      </c>
      <c r="E121">
        <v>10016</v>
      </c>
      <c r="F121">
        <v>51059</v>
      </c>
    </row>
    <row r="122" spans="1:6" x14ac:dyDescent="0.25">
      <c r="B122" t="s">
        <v>1656</v>
      </c>
    </row>
    <row r="123" spans="1:6" x14ac:dyDescent="0.25">
      <c r="A123" t="s">
        <v>2</v>
      </c>
      <c r="B123" t="s">
        <v>1611</v>
      </c>
      <c r="C123">
        <v>12201</v>
      </c>
      <c r="D123">
        <v>0</v>
      </c>
      <c r="E123">
        <v>0</v>
      </c>
      <c r="F123">
        <v>0</v>
      </c>
    </row>
    <row r="124" spans="1:6" x14ac:dyDescent="0.25">
      <c r="A124" t="s">
        <v>15</v>
      </c>
      <c r="B124" t="s">
        <v>1612</v>
      </c>
      <c r="C124">
        <v>12202</v>
      </c>
      <c r="D124">
        <v>0</v>
      </c>
      <c r="E124">
        <v>0</v>
      </c>
      <c r="F124">
        <v>0</v>
      </c>
    </row>
    <row r="125" spans="1:6" x14ac:dyDescent="0.25">
      <c r="A125" t="s">
        <v>16</v>
      </c>
      <c r="B125" t="s">
        <v>1613</v>
      </c>
      <c r="C125">
        <v>12203</v>
      </c>
      <c r="D125">
        <v>0</v>
      </c>
      <c r="E125">
        <v>0</v>
      </c>
      <c r="F125">
        <v>0</v>
      </c>
    </row>
    <row r="126" spans="1:6" x14ac:dyDescent="0.25">
      <c r="A126" t="s">
        <v>25</v>
      </c>
      <c r="B126" t="s">
        <v>1614</v>
      </c>
      <c r="C126">
        <v>12204</v>
      </c>
      <c r="D126">
        <v>0</v>
      </c>
      <c r="E126">
        <v>0</v>
      </c>
      <c r="F126">
        <v>0</v>
      </c>
    </row>
    <row r="127" spans="1:6" x14ac:dyDescent="0.25">
      <c r="A127" t="s">
        <v>26</v>
      </c>
      <c r="B127" t="s">
        <v>1615</v>
      </c>
      <c r="C127">
        <v>12205</v>
      </c>
      <c r="D127">
        <v>0</v>
      </c>
      <c r="E127">
        <v>0</v>
      </c>
      <c r="F127">
        <v>0</v>
      </c>
    </row>
    <row r="128" spans="1:6" x14ac:dyDescent="0.25">
      <c r="A128" t="s">
        <v>27</v>
      </c>
      <c r="B128" t="s">
        <v>1616</v>
      </c>
      <c r="C128">
        <v>12206</v>
      </c>
      <c r="D128">
        <v>0</v>
      </c>
      <c r="E128">
        <v>0</v>
      </c>
      <c r="F128">
        <v>0</v>
      </c>
    </row>
    <row r="129" spans="1:6" x14ac:dyDescent="0.25">
      <c r="A129" t="s">
        <v>531</v>
      </c>
      <c r="B129" t="s">
        <v>1617</v>
      </c>
      <c r="C129">
        <v>12207</v>
      </c>
      <c r="D129">
        <v>0</v>
      </c>
      <c r="E129">
        <v>0</v>
      </c>
      <c r="F129">
        <v>0</v>
      </c>
    </row>
    <row r="130" spans="1:6" x14ac:dyDescent="0.25">
      <c r="A130" t="s">
        <v>1583</v>
      </c>
      <c r="B130" t="s">
        <v>1618</v>
      </c>
      <c r="C130">
        <v>12208</v>
      </c>
      <c r="D130">
        <v>0</v>
      </c>
      <c r="E130">
        <v>0</v>
      </c>
      <c r="F130">
        <v>0</v>
      </c>
    </row>
    <row r="131" spans="1:6" x14ac:dyDescent="0.25">
      <c r="A131" t="s">
        <v>1585</v>
      </c>
      <c r="B131" t="s">
        <v>1619</v>
      </c>
      <c r="C131">
        <v>12209</v>
      </c>
      <c r="D131">
        <v>0</v>
      </c>
      <c r="E131">
        <v>0</v>
      </c>
      <c r="F131">
        <v>0</v>
      </c>
    </row>
    <row r="132" spans="1:6" x14ac:dyDescent="0.25">
      <c r="A132" t="s">
        <v>1587</v>
      </c>
      <c r="B132" t="s">
        <v>1620</v>
      </c>
      <c r="C132">
        <v>12210</v>
      </c>
      <c r="D132">
        <v>0</v>
      </c>
      <c r="E132">
        <v>0</v>
      </c>
      <c r="F132">
        <v>0</v>
      </c>
    </row>
    <row r="133" spans="1:6" x14ac:dyDescent="0.25">
      <c r="A133" t="s">
        <v>1589</v>
      </c>
      <c r="B133" t="s">
        <v>1621</v>
      </c>
      <c r="C133">
        <v>12211</v>
      </c>
      <c r="D133">
        <v>0</v>
      </c>
      <c r="E133">
        <v>0</v>
      </c>
      <c r="F133">
        <v>0</v>
      </c>
    </row>
    <row r="134" spans="1:6" x14ac:dyDescent="0.25">
      <c r="A134" t="s">
        <v>1591</v>
      </c>
      <c r="B134" t="s">
        <v>1622</v>
      </c>
      <c r="C134">
        <v>12212</v>
      </c>
      <c r="D134">
        <v>0</v>
      </c>
      <c r="E134">
        <v>0</v>
      </c>
      <c r="F134">
        <v>0</v>
      </c>
    </row>
    <row r="135" spans="1:6" x14ac:dyDescent="0.25">
      <c r="A135" t="s">
        <v>1593</v>
      </c>
      <c r="B135" t="s">
        <v>1623</v>
      </c>
      <c r="C135">
        <v>12213</v>
      </c>
      <c r="D135">
        <v>0</v>
      </c>
      <c r="E135">
        <v>0</v>
      </c>
      <c r="F135">
        <v>0</v>
      </c>
    </row>
    <row r="136" spans="1:6" x14ac:dyDescent="0.25">
      <c r="A136" t="s">
        <v>1595</v>
      </c>
      <c r="B136" t="s">
        <v>1624</v>
      </c>
      <c r="C136">
        <v>12214</v>
      </c>
      <c r="D136">
        <v>0</v>
      </c>
      <c r="E136">
        <v>0</v>
      </c>
      <c r="F136">
        <v>0</v>
      </c>
    </row>
    <row r="137" spans="1:6" x14ac:dyDescent="0.25">
      <c r="A137" t="s">
        <v>1597</v>
      </c>
      <c r="B137" t="s">
        <v>1625</v>
      </c>
      <c r="C137">
        <v>12215</v>
      </c>
      <c r="D137">
        <v>0</v>
      </c>
      <c r="E137">
        <v>0</v>
      </c>
      <c r="F137">
        <v>0</v>
      </c>
    </row>
    <row r="138" spans="1:6" x14ac:dyDescent="0.25">
      <c r="A138" t="s">
        <v>1599</v>
      </c>
      <c r="B138" t="s">
        <v>1626</v>
      </c>
      <c r="C138">
        <v>12216</v>
      </c>
      <c r="D138">
        <v>0</v>
      </c>
      <c r="E138">
        <v>0</v>
      </c>
      <c r="F138">
        <v>0</v>
      </c>
    </row>
    <row r="139" spans="1:6" x14ac:dyDescent="0.25">
      <c r="A139" t="s">
        <v>1601</v>
      </c>
      <c r="B139" t="s">
        <v>1627</v>
      </c>
      <c r="C139">
        <v>12217</v>
      </c>
      <c r="D139">
        <v>0</v>
      </c>
      <c r="E139">
        <v>0</v>
      </c>
      <c r="F139">
        <v>0</v>
      </c>
    </row>
    <row r="140" spans="1:6" x14ac:dyDescent="0.25">
      <c r="A140" t="s">
        <v>1603</v>
      </c>
      <c r="B140" t="s">
        <v>1596</v>
      </c>
      <c r="C140">
        <v>12218</v>
      </c>
      <c r="D140">
        <v>0</v>
      </c>
      <c r="E140">
        <v>0</v>
      </c>
      <c r="F140">
        <v>0</v>
      </c>
    </row>
    <row r="141" spans="1:6" x14ac:dyDescent="0.25">
      <c r="A141" t="s">
        <v>1605</v>
      </c>
      <c r="B141" t="s">
        <v>1598</v>
      </c>
      <c r="C141">
        <v>12219</v>
      </c>
      <c r="D141">
        <v>0</v>
      </c>
      <c r="E141">
        <v>0</v>
      </c>
      <c r="F141">
        <v>0</v>
      </c>
    </row>
    <row r="142" spans="1:6" x14ac:dyDescent="0.25">
      <c r="A142" t="s">
        <v>1607</v>
      </c>
      <c r="B142" t="s">
        <v>1602</v>
      </c>
      <c r="C142">
        <v>12220</v>
      </c>
      <c r="D142">
        <v>0</v>
      </c>
      <c r="E142">
        <v>0</v>
      </c>
      <c r="F142">
        <v>0</v>
      </c>
    </row>
    <row r="143" spans="1:6" x14ac:dyDescent="0.25">
      <c r="B143" t="s">
        <v>1657</v>
      </c>
      <c r="D143">
        <v>0</v>
      </c>
      <c r="E143">
        <v>0</v>
      </c>
      <c r="F143">
        <v>0</v>
      </c>
    </row>
    <row r="144" spans="1:6" x14ac:dyDescent="0.25">
      <c r="B144" t="s">
        <v>1658</v>
      </c>
    </row>
    <row r="145" spans="1:6" x14ac:dyDescent="0.25">
      <c r="A145" t="s">
        <v>2</v>
      </c>
      <c r="B145" t="s">
        <v>1627</v>
      </c>
      <c r="C145">
        <v>12301</v>
      </c>
      <c r="D145">
        <v>0</v>
      </c>
      <c r="E145">
        <v>0</v>
      </c>
      <c r="F145">
        <v>0</v>
      </c>
    </row>
    <row r="146" spans="1:6" x14ac:dyDescent="0.25">
      <c r="A146" t="s">
        <v>15</v>
      </c>
      <c r="B146" t="s">
        <v>1625</v>
      </c>
      <c r="C146">
        <v>12302</v>
      </c>
      <c r="D146">
        <v>0</v>
      </c>
      <c r="E146">
        <v>0</v>
      </c>
      <c r="F146">
        <v>0</v>
      </c>
    </row>
    <row r="147" spans="1:6" x14ac:dyDescent="0.25">
      <c r="A147" t="s">
        <v>16</v>
      </c>
      <c r="B147" t="s">
        <v>1626</v>
      </c>
      <c r="C147">
        <v>12303</v>
      </c>
      <c r="D147">
        <v>0</v>
      </c>
      <c r="E147">
        <v>0</v>
      </c>
      <c r="F147">
        <v>0</v>
      </c>
    </row>
    <row r="148" spans="1:6" x14ac:dyDescent="0.25">
      <c r="B148" t="s">
        <v>1659</v>
      </c>
      <c r="D148">
        <v>0</v>
      </c>
      <c r="E148">
        <v>0</v>
      </c>
      <c r="F148">
        <v>0</v>
      </c>
    </row>
    <row r="149" spans="1:6" x14ac:dyDescent="0.25">
      <c r="B149" t="s">
        <v>1660</v>
      </c>
      <c r="D149">
        <v>41043</v>
      </c>
      <c r="E149">
        <v>10016</v>
      </c>
      <c r="F149">
        <v>51059</v>
      </c>
    </row>
    <row r="150" spans="1:6" x14ac:dyDescent="0.25">
      <c r="B150" t="s">
        <v>1661</v>
      </c>
    </row>
    <row r="151" spans="1:6" x14ac:dyDescent="0.25">
      <c r="B151" t="s">
        <v>1575</v>
      </c>
    </row>
    <row r="152" spans="1:6" x14ac:dyDescent="0.25">
      <c r="A152" t="s">
        <v>2</v>
      </c>
      <c r="B152" t="s">
        <v>1576</v>
      </c>
      <c r="C152">
        <v>13101</v>
      </c>
      <c r="D152">
        <v>0</v>
      </c>
      <c r="E152">
        <v>0</v>
      </c>
      <c r="F152">
        <v>0</v>
      </c>
    </row>
    <row r="153" spans="1:6" x14ac:dyDescent="0.25">
      <c r="A153" t="s">
        <v>15</v>
      </c>
      <c r="B153" t="s">
        <v>1577</v>
      </c>
      <c r="C153">
        <v>13102</v>
      </c>
      <c r="D153">
        <v>0</v>
      </c>
      <c r="E153">
        <v>0</v>
      </c>
      <c r="F153">
        <v>0</v>
      </c>
    </row>
    <row r="154" spans="1:6" x14ac:dyDescent="0.25">
      <c r="A154" t="s">
        <v>16</v>
      </c>
      <c r="B154" t="s">
        <v>1578</v>
      </c>
      <c r="C154">
        <v>13103</v>
      </c>
      <c r="D154">
        <v>0</v>
      </c>
      <c r="E154">
        <v>0</v>
      </c>
      <c r="F154">
        <v>0</v>
      </c>
    </row>
    <row r="155" spans="1:6" x14ac:dyDescent="0.25">
      <c r="A155" t="s">
        <v>25</v>
      </c>
      <c r="B155" t="s">
        <v>1579</v>
      </c>
      <c r="C155">
        <v>13104</v>
      </c>
      <c r="D155">
        <v>0</v>
      </c>
      <c r="E155">
        <v>0</v>
      </c>
      <c r="F155">
        <v>0</v>
      </c>
    </row>
    <row r="156" spans="1:6" x14ac:dyDescent="0.25">
      <c r="A156" t="s">
        <v>26</v>
      </c>
      <c r="B156" t="s">
        <v>1580</v>
      </c>
      <c r="C156">
        <v>13105</v>
      </c>
      <c r="D156">
        <v>0</v>
      </c>
      <c r="E156">
        <v>0</v>
      </c>
      <c r="F156">
        <v>0</v>
      </c>
    </row>
    <row r="157" spans="1:6" x14ac:dyDescent="0.25">
      <c r="A157" t="s">
        <v>27</v>
      </c>
      <c r="B157" t="s">
        <v>1581</v>
      </c>
      <c r="C157">
        <v>13106</v>
      </c>
      <c r="D157">
        <v>0</v>
      </c>
      <c r="E157">
        <v>0</v>
      </c>
      <c r="F157">
        <v>0</v>
      </c>
    </row>
    <row r="158" spans="1:6" x14ac:dyDescent="0.25">
      <c r="A158" t="s">
        <v>531</v>
      </c>
      <c r="B158" t="s">
        <v>1582</v>
      </c>
      <c r="C158">
        <v>13107</v>
      </c>
      <c r="D158">
        <v>0</v>
      </c>
      <c r="E158">
        <v>0</v>
      </c>
      <c r="F158">
        <v>0</v>
      </c>
    </row>
    <row r="159" spans="1:6" x14ac:dyDescent="0.25">
      <c r="A159" t="s">
        <v>1583</v>
      </c>
      <c r="B159" t="s">
        <v>1584</v>
      </c>
      <c r="C159">
        <v>13108</v>
      </c>
      <c r="D159">
        <v>0</v>
      </c>
      <c r="E159">
        <v>0</v>
      </c>
      <c r="F159">
        <v>0</v>
      </c>
    </row>
    <row r="160" spans="1:6" x14ac:dyDescent="0.25">
      <c r="A160" t="s">
        <v>1585</v>
      </c>
      <c r="B160" t="s">
        <v>1586</v>
      </c>
      <c r="C160">
        <v>13109</v>
      </c>
      <c r="D160">
        <v>0</v>
      </c>
      <c r="E160">
        <v>0</v>
      </c>
      <c r="F160">
        <v>0</v>
      </c>
    </row>
    <row r="161" spans="1:6" x14ac:dyDescent="0.25">
      <c r="A161" t="s">
        <v>1587</v>
      </c>
      <c r="B161" t="s">
        <v>1588</v>
      </c>
      <c r="C161">
        <v>13110</v>
      </c>
      <c r="D161">
        <v>0</v>
      </c>
      <c r="E161">
        <v>0</v>
      </c>
      <c r="F161">
        <v>0</v>
      </c>
    </row>
    <row r="162" spans="1:6" x14ac:dyDescent="0.25">
      <c r="A162" t="s">
        <v>1589</v>
      </c>
      <c r="B162" t="s">
        <v>1590</v>
      </c>
      <c r="C162">
        <v>13111</v>
      </c>
      <c r="D162">
        <v>0</v>
      </c>
      <c r="E162">
        <v>0</v>
      </c>
      <c r="F162">
        <v>0</v>
      </c>
    </row>
    <row r="163" spans="1:6" x14ac:dyDescent="0.25">
      <c r="A163" t="s">
        <v>1591</v>
      </c>
      <c r="B163" t="s">
        <v>1592</v>
      </c>
      <c r="C163">
        <v>13112</v>
      </c>
      <c r="D163">
        <v>0</v>
      </c>
      <c r="E163">
        <v>0</v>
      </c>
      <c r="F163">
        <v>0</v>
      </c>
    </row>
    <row r="164" spans="1:6" x14ac:dyDescent="0.25">
      <c r="A164" t="s">
        <v>1593</v>
      </c>
      <c r="B164" t="s">
        <v>1594</v>
      </c>
      <c r="C164">
        <v>13113</v>
      </c>
      <c r="D164">
        <v>0</v>
      </c>
      <c r="E164">
        <v>0</v>
      </c>
      <c r="F164">
        <v>0</v>
      </c>
    </row>
    <row r="165" spans="1:6" x14ac:dyDescent="0.25">
      <c r="A165" t="s">
        <v>1595</v>
      </c>
      <c r="B165" t="s">
        <v>1596</v>
      </c>
      <c r="C165">
        <v>13114</v>
      </c>
      <c r="D165">
        <v>0</v>
      </c>
      <c r="E165">
        <v>0</v>
      </c>
      <c r="F165">
        <v>0</v>
      </c>
    </row>
    <row r="166" spans="1:6" x14ac:dyDescent="0.25">
      <c r="A166" t="s">
        <v>1597</v>
      </c>
      <c r="B166" t="s">
        <v>1598</v>
      </c>
      <c r="C166">
        <v>13115</v>
      </c>
      <c r="D166">
        <v>0</v>
      </c>
      <c r="E166">
        <v>0</v>
      </c>
      <c r="F166">
        <v>0</v>
      </c>
    </row>
    <row r="167" spans="1:6" x14ac:dyDescent="0.25">
      <c r="A167" t="s">
        <v>1599</v>
      </c>
      <c r="B167" t="s">
        <v>1600</v>
      </c>
      <c r="C167">
        <v>13116</v>
      </c>
      <c r="D167">
        <v>0</v>
      </c>
      <c r="E167">
        <v>0</v>
      </c>
      <c r="F167">
        <v>0</v>
      </c>
    </row>
    <row r="168" spans="1:6" x14ac:dyDescent="0.25">
      <c r="A168" t="s">
        <v>1601</v>
      </c>
      <c r="B168" t="s">
        <v>1602</v>
      </c>
      <c r="C168">
        <v>13117</v>
      </c>
      <c r="D168">
        <v>0</v>
      </c>
      <c r="E168">
        <v>0</v>
      </c>
      <c r="F168">
        <v>0</v>
      </c>
    </row>
    <row r="169" spans="1:6" x14ac:dyDescent="0.25">
      <c r="A169" t="s">
        <v>1603</v>
      </c>
      <c r="B169" t="s">
        <v>1604</v>
      </c>
      <c r="C169">
        <v>13118</v>
      </c>
      <c r="D169">
        <v>0</v>
      </c>
      <c r="E169">
        <v>0</v>
      </c>
      <c r="F169">
        <v>0</v>
      </c>
    </row>
    <row r="170" spans="1:6" x14ac:dyDescent="0.25">
      <c r="A170" t="s">
        <v>1605</v>
      </c>
      <c r="B170" t="s">
        <v>1606</v>
      </c>
      <c r="C170">
        <v>13119</v>
      </c>
      <c r="D170">
        <v>0</v>
      </c>
      <c r="E170">
        <v>0</v>
      </c>
      <c r="F170">
        <v>0</v>
      </c>
    </row>
    <row r="171" spans="1:6" x14ac:dyDescent="0.25">
      <c r="A171" t="s">
        <v>1607</v>
      </c>
      <c r="B171" t="s">
        <v>1608</v>
      </c>
      <c r="C171">
        <v>13120</v>
      </c>
      <c r="D171">
        <v>0</v>
      </c>
      <c r="E171">
        <v>0</v>
      </c>
      <c r="F171">
        <v>0</v>
      </c>
    </row>
    <row r="172" spans="1:6" x14ac:dyDescent="0.25">
      <c r="B172" t="s">
        <v>1662</v>
      </c>
      <c r="D172">
        <v>0</v>
      </c>
      <c r="E172">
        <v>0</v>
      </c>
      <c r="F172">
        <v>0</v>
      </c>
    </row>
    <row r="173" spans="1:6" x14ac:dyDescent="0.25">
      <c r="B173" t="s">
        <v>1656</v>
      </c>
    </row>
    <row r="174" spans="1:6" x14ac:dyDescent="0.25">
      <c r="A174" t="s">
        <v>2</v>
      </c>
      <c r="B174" t="s">
        <v>1611</v>
      </c>
      <c r="C174">
        <v>13201</v>
      </c>
      <c r="D174">
        <v>0</v>
      </c>
      <c r="E174">
        <v>0</v>
      </c>
      <c r="F174">
        <v>0</v>
      </c>
    </row>
    <row r="175" spans="1:6" x14ac:dyDescent="0.25">
      <c r="A175" t="s">
        <v>15</v>
      </c>
      <c r="B175" t="s">
        <v>1612</v>
      </c>
      <c r="C175">
        <v>13202</v>
      </c>
      <c r="D175">
        <v>0</v>
      </c>
      <c r="E175">
        <v>0</v>
      </c>
      <c r="F175">
        <v>0</v>
      </c>
    </row>
    <row r="176" spans="1:6" x14ac:dyDescent="0.25">
      <c r="A176" t="s">
        <v>16</v>
      </c>
      <c r="B176" t="s">
        <v>1613</v>
      </c>
      <c r="C176">
        <v>13203</v>
      </c>
      <c r="D176">
        <v>0</v>
      </c>
      <c r="E176">
        <v>0</v>
      </c>
      <c r="F176">
        <v>0</v>
      </c>
    </row>
    <row r="177" spans="1:6" x14ac:dyDescent="0.25">
      <c r="A177" t="s">
        <v>25</v>
      </c>
      <c r="B177" t="s">
        <v>1614</v>
      </c>
      <c r="C177">
        <v>13204</v>
      </c>
      <c r="D177">
        <v>0</v>
      </c>
      <c r="E177">
        <v>0</v>
      </c>
      <c r="F177">
        <v>0</v>
      </c>
    </row>
    <row r="178" spans="1:6" x14ac:dyDescent="0.25">
      <c r="A178" t="s">
        <v>26</v>
      </c>
      <c r="B178" t="s">
        <v>1615</v>
      </c>
      <c r="C178">
        <v>13205</v>
      </c>
      <c r="D178">
        <v>0</v>
      </c>
      <c r="E178">
        <v>0</v>
      </c>
      <c r="F178">
        <v>0</v>
      </c>
    </row>
    <row r="179" spans="1:6" x14ac:dyDescent="0.25">
      <c r="A179" t="s">
        <v>27</v>
      </c>
      <c r="B179" t="s">
        <v>1616</v>
      </c>
      <c r="C179">
        <v>13206</v>
      </c>
      <c r="D179">
        <v>0</v>
      </c>
      <c r="E179">
        <v>0</v>
      </c>
      <c r="F179">
        <v>0</v>
      </c>
    </row>
    <row r="180" spans="1:6" x14ac:dyDescent="0.25">
      <c r="A180" t="s">
        <v>531</v>
      </c>
      <c r="B180" t="s">
        <v>1617</v>
      </c>
      <c r="C180">
        <v>13207</v>
      </c>
      <c r="D180">
        <v>0</v>
      </c>
      <c r="E180">
        <v>0</v>
      </c>
      <c r="F180">
        <v>0</v>
      </c>
    </row>
    <row r="181" spans="1:6" x14ac:dyDescent="0.25">
      <c r="A181" t="s">
        <v>1583</v>
      </c>
      <c r="B181" t="s">
        <v>1618</v>
      </c>
      <c r="C181">
        <v>13208</v>
      </c>
      <c r="D181">
        <v>0</v>
      </c>
      <c r="E181">
        <v>0</v>
      </c>
      <c r="F181">
        <v>0</v>
      </c>
    </row>
    <row r="182" spans="1:6" x14ac:dyDescent="0.25">
      <c r="A182" t="s">
        <v>1585</v>
      </c>
      <c r="B182" t="s">
        <v>1619</v>
      </c>
      <c r="C182">
        <v>13209</v>
      </c>
      <c r="D182">
        <v>0</v>
      </c>
      <c r="E182">
        <v>0</v>
      </c>
      <c r="F182">
        <v>0</v>
      </c>
    </row>
    <row r="183" spans="1:6" x14ac:dyDescent="0.25">
      <c r="A183" t="s">
        <v>1587</v>
      </c>
      <c r="B183" t="s">
        <v>1620</v>
      </c>
      <c r="C183">
        <v>13210</v>
      </c>
      <c r="D183">
        <v>0</v>
      </c>
      <c r="E183">
        <v>0</v>
      </c>
      <c r="F183">
        <v>0</v>
      </c>
    </row>
    <row r="184" spans="1:6" x14ac:dyDescent="0.25">
      <c r="A184" t="s">
        <v>1589</v>
      </c>
      <c r="B184" t="s">
        <v>1621</v>
      </c>
      <c r="C184">
        <v>13211</v>
      </c>
      <c r="D184">
        <v>0</v>
      </c>
      <c r="E184">
        <v>0</v>
      </c>
      <c r="F184">
        <v>0</v>
      </c>
    </row>
    <row r="185" spans="1:6" x14ac:dyDescent="0.25">
      <c r="A185" t="s">
        <v>1591</v>
      </c>
      <c r="B185" t="s">
        <v>1622</v>
      </c>
      <c r="C185">
        <v>13212</v>
      </c>
      <c r="D185">
        <v>0</v>
      </c>
      <c r="E185">
        <v>0</v>
      </c>
      <c r="F185">
        <v>0</v>
      </c>
    </row>
    <row r="186" spans="1:6" x14ac:dyDescent="0.25">
      <c r="A186" t="s">
        <v>1593</v>
      </c>
      <c r="B186" t="s">
        <v>1623</v>
      </c>
      <c r="C186">
        <v>13213</v>
      </c>
      <c r="D186">
        <v>0</v>
      </c>
      <c r="E186">
        <v>0</v>
      </c>
      <c r="F186">
        <v>0</v>
      </c>
    </row>
    <row r="187" spans="1:6" x14ac:dyDescent="0.25">
      <c r="A187" t="s">
        <v>1595</v>
      </c>
      <c r="B187" t="s">
        <v>1624</v>
      </c>
      <c r="C187">
        <v>13214</v>
      </c>
      <c r="D187">
        <v>0</v>
      </c>
      <c r="E187">
        <v>0</v>
      </c>
      <c r="F187">
        <v>0</v>
      </c>
    </row>
    <row r="188" spans="1:6" x14ac:dyDescent="0.25">
      <c r="A188" t="s">
        <v>1597</v>
      </c>
      <c r="B188" t="s">
        <v>1625</v>
      </c>
      <c r="C188">
        <v>13215</v>
      </c>
      <c r="D188">
        <v>0</v>
      </c>
      <c r="E188">
        <v>0</v>
      </c>
      <c r="F188">
        <v>0</v>
      </c>
    </row>
    <row r="189" spans="1:6" x14ac:dyDescent="0.25">
      <c r="A189" t="s">
        <v>1599</v>
      </c>
      <c r="B189" t="s">
        <v>1626</v>
      </c>
      <c r="C189">
        <v>13216</v>
      </c>
      <c r="D189">
        <v>0</v>
      </c>
      <c r="E189">
        <v>0</v>
      </c>
      <c r="F189">
        <v>0</v>
      </c>
    </row>
    <row r="190" spans="1:6" x14ac:dyDescent="0.25">
      <c r="A190" t="s">
        <v>1601</v>
      </c>
      <c r="B190" t="s">
        <v>1627</v>
      </c>
      <c r="C190">
        <v>13217</v>
      </c>
      <c r="D190">
        <v>0</v>
      </c>
      <c r="E190">
        <v>0</v>
      </c>
      <c r="F190">
        <v>0</v>
      </c>
    </row>
    <row r="191" spans="1:6" x14ac:dyDescent="0.25">
      <c r="A191" t="s">
        <v>1603</v>
      </c>
      <c r="B191" t="s">
        <v>1596</v>
      </c>
      <c r="C191">
        <v>13218</v>
      </c>
      <c r="D191">
        <v>0</v>
      </c>
      <c r="E191">
        <v>0</v>
      </c>
      <c r="F191">
        <v>0</v>
      </c>
    </row>
    <row r="192" spans="1:6" x14ac:dyDescent="0.25">
      <c r="A192" t="s">
        <v>1605</v>
      </c>
      <c r="B192" t="s">
        <v>1598</v>
      </c>
      <c r="C192">
        <v>13219</v>
      </c>
      <c r="D192">
        <v>0</v>
      </c>
      <c r="E192">
        <v>0</v>
      </c>
      <c r="F192">
        <v>0</v>
      </c>
    </row>
    <row r="193" spans="1:6" x14ac:dyDescent="0.25">
      <c r="A193" t="s">
        <v>1607</v>
      </c>
      <c r="B193" t="s">
        <v>1602</v>
      </c>
      <c r="C193">
        <v>13220</v>
      </c>
      <c r="D193">
        <v>0</v>
      </c>
      <c r="E193">
        <v>0</v>
      </c>
      <c r="F193">
        <v>0</v>
      </c>
    </row>
    <row r="194" spans="1:6" x14ac:dyDescent="0.25">
      <c r="B194" t="s">
        <v>1663</v>
      </c>
      <c r="D194">
        <v>0</v>
      </c>
      <c r="E194">
        <v>0</v>
      </c>
      <c r="F194">
        <v>0</v>
      </c>
    </row>
    <row r="195" spans="1:6" x14ac:dyDescent="0.25">
      <c r="B195" t="s">
        <v>1629</v>
      </c>
    </row>
    <row r="196" spans="1:6" x14ac:dyDescent="0.25">
      <c r="A196" t="s">
        <v>2</v>
      </c>
      <c r="B196" t="s">
        <v>1627</v>
      </c>
      <c r="C196">
        <v>13301</v>
      </c>
      <c r="D196">
        <v>0</v>
      </c>
      <c r="E196">
        <v>0</v>
      </c>
      <c r="F196">
        <v>0</v>
      </c>
    </row>
    <row r="197" spans="1:6" x14ac:dyDescent="0.25">
      <c r="A197" t="s">
        <v>15</v>
      </c>
      <c r="B197" t="s">
        <v>1625</v>
      </c>
      <c r="C197">
        <v>13302</v>
      </c>
      <c r="D197">
        <v>0</v>
      </c>
      <c r="E197">
        <v>0</v>
      </c>
      <c r="F197">
        <v>0</v>
      </c>
    </row>
    <row r="198" spans="1:6" x14ac:dyDescent="0.25">
      <c r="A198" t="s">
        <v>16</v>
      </c>
      <c r="B198" t="s">
        <v>1626</v>
      </c>
      <c r="C198">
        <v>13303</v>
      </c>
      <c r="D198">
        <v>0</v>
      </c>
      <c r="E198">
        <v>0</v>
      </c>
      <c r="F198">
        <v>0</v>
      </c>
    </row>
    <row r="199" spans="1:6" x14ac:dyDescent="0.25">
      <c r="B199" t="s">
        <v>1664</v>
      </c>
      <c r="D199">
        <v>0</v>
      </c>
      <c r="E199">
        <v>0</v>
      </c>
      <c r="F199">
        <v>0</v>
      </c>
    </row>
    <row r="200" spans="1:6" x14ac:dyDescent="0.25">
      <c r="B200" t="s">
        <v>1631</v>
      </c>
    </row>
    <row r="201" spans="1:6" x14ac:dyDescent="0.25">
      <c r="A201" t="s">
        <v>2</v>
      </c>
      <c r="B201" t="s">
        <v>1627</v>
      </c>
      <c r="C201">
        <v>13401</v>
      </c>
      <c r="D201">
        <v>0</v>
      </c>
      <c r="E201">
        <v>0</v>
      </c>
      <c r="F201">
        <v>0</v>
      </c>
    </row>
    <row r="202" spans="1:6" x14ac:dyDescent="0.25">
      <c r="A202" t="s">
        <v>15</v>
      </c>
      <c r="B202" t="s">
        <v>1625</v>
      </c>
      <c r="C202">
        <v>13402</v>
      </c>
      <c r="D202">
        <v>0</v>
      </c>
      <c r="E202">
        <v>0</v>
      </c>
      <c r="F202">
        <v>0</v>
      </c>
    </row>
    <row r="203" spans="1:6" x14ac:dyDescent="0.25">
      <c r="A203" t="s">
        <v>16</v>
      </c>
      <c r="B203" t="s">
        <v>1626</v>
      </c>
      <c r="C203">
        <v>13403</v>
      </c>
      <c r="D203">
        <v>0</v>
      </c>
      <c r="E203">
        <v>0</v>
      </c>
      <c r="F203">
        <v>0</v>
      </c>
    </row>
    <row r="204" spans="1:6" x14ac:dyDescent="0.25">
      <c r="B204" t="s">
        <v>1665</v>
      </c>
      <c r="D204">
        <v>0</v>
      </c>
      <c r="E204">
        <v>0</v>
      </c>
      <c r="F204">
        <v>0</v>
      </c>
    </row>
    <row r="205" spans="1:6" x14ac:dyDescent="0.25">
      <c r="B205" t="s">
        <v>1633</v>
      </c>
    </row>
    <row r="206" spans="1:6" x14ac:dyDescent="0.25">
      <c r="A206" t="s">
        <v>2</v>
      </c>
      <c r="B206" t="s">
        <v>1634</v>
      </c>
      <c r="C206">
        <v>13501</v>
      </c>
      <c r="D206">
        <v>0</v>
      </c>
      <c r="E206">
        <v>0</v>
      </c>
      <c r="F206">
        <v>0</v>
      </c>
    </row>
    <row r="207" spans="1:6" x14ac:dyDescent="0.25">
      <c r="A207" t="s">
        <v>15</v>
      </c>
      <c r="B207" t="s">
        <v>1635</v>
      </c>
      <c r="C207">
        <v>13502</v>
      </c>
      <c r="D207">
        <v>0</v>
      </c>
      <c r="E207">
        <v>0</v>
      </c>
      <c r="F207">
        <v>0</v>
      </c>
    </row>
    <row r="208" spans="1:6" x14ac:dyDescent="0.25">
      <c r="A208" t="s">
        <v>16</v>
      </c>
      <c r="B208" t="s">
        <v>1636</v>
      </c>
      <c r="C208">
        <v>13503</v>
      </c>
      <c r="D208">
        <v>0</v>
      </c>
      <c r="E208">
        <v>0</v>
      </c>
      <c r="F208">
        <v>0</v>
      </c>
    </row>
    <row r="209" spans="1:6" x14ac:dyDescent="0.25">
      <c r="A209" t="s">
        <v>25</v>
      </c>
      <c r="B209" t="s">
        <v>1637</v>
      </c>
      <c r="C209">
        <v>13504</v>
      </c>
      <c r="D209">
        <v>0</v>
      </c>
      <c r="E209">
        <v>0</v>
      </c>
      <c r="F209">
        <v>0</v>
      </c>
    </row>
    <row r="210" spans="1:6" x14ac:dyDescent="0.25">
      <c r="A210" t="s">
        <v>26</v>
      </c>
      <c r="B210" t="s">
        <v>1638</v>
      </c>
      <c r="C210">
        <v>13505</v>
      </c>
      <c r="D210">
        <v>0</v>
      </c>
      <c r="E210">
        <v>0</v>
      </c>
      <c r="F210">
        <v>0</v>
      </c>
    </row>
    <row r="211" spans="1:6" x14ac:dyDescent="0.25">
      <c r="A211" t="s">
        <v>27</v>
      </c>
      <c r="B211" t="s">
        <v>1639</v>
      </c>
      <c r="C211">
        <v>13506</v>
      </c>
      <c r="D211">
        <v>0</v>
      </c>
      <c r="E211">
        <v>0</v>
      </c>
      <c r="F211">
        <v>0</v>
      </c>
    </row>
    <row r="212" spans="1:6" x14ac:dyDescent="0.25">
      <c r="A212" t="s">
        <v>531</v>
      </c>
      <c r="B212" t="s">
        <v>1640</v>
      </c>
      <c r="C212">
        <v>13507</v>
      </c>
      <c r="D212">
        <v>0</v>
      </c>
      <c r="E212">
        <v>0</v>
      </c>
      <c r="F212">
        <v>0</v>
      </c>
    </row>
    <row r="213" spans="1:6" x14ac:dyDescent="0.25">
      <c r="A213" t="s">
        <v>1583</v>
      </c>
      <c r="B213" t="s">
        <v>1641</v>
      </c>
      <c r="C213">
        <v>13508</v>
      </c>
      <c r="D213">
        <v>0</v>
      </c>
      <c r="E213">
        <v>0</v>
      </c>
      <c r="F213">
        <v>0</v>
      </c>
    </row>
    <row r="214" spans="1:6" x14ac:dyDescent="0.25">
      <c r="B214" t="s">
        <v>1666</v>
      </c>
      <c r="D214">
        <v>0</v>
      </c>
      <c r="E214">
        <v>0</v>
      </c>
      <c r="F214">
        <v>0</v>
      </c>
    </row>
    <row r="215" spans="1:6" x14ac:dyDescent="0.25">
      <c r="B215" t="s">
        <v>1643</v>
      </c>
    </row>
    <row r="216" spans="1:6" x14ac:dyDescent="0.25">
      <c r="A216" t="s">
        <v>2</v>
      </c>
      <c r="B216" t="s">
        <v>1634</v>
      </c>
      <c r="C216">
        <v>13601</v>
      </c>
      <c r="D216">
        <v>0</v>
      </c>
      <c r="E216">
        <v>0</v>
      </c>
      <c r="F216">
        <v>0</v>
      </c>
    </row>
    <row r="217" spans="1:6" x14ac:dyDescent="0.25">
      <c r="A217" t="s">
        <v>15</v>
      </c>
      <c r="B217" t="s">
        <v>1635</v>
      </c>
      <c r="C217">
        <v>13602</v>
      </c>
      <c r="D217">
        <v>0</v>
      </c>
      <c r="E217">
        <v>0</v>
      </c>
      <c r="F217">
        <v>0</v>
      </c>
    </row>
    <row r="218" spans="1:6" x14ac:dyDescent="0.25">
      <c r="A218" t="s">
        <v>16</v>
      </c>
      <c r="B218" t="s">
        <v>1636</v>
      </c>
      <c r="C218">
        <v>13603</v>
      </c>
      <c r="D218">
        <v>0</v>
      </c>
      <c r="E218">
        <v>0</v>
      </c>
      <c r="F218">
        <v>0</v>
      </c>
    </row>
    <row r="219" spans="1:6" x14ac:dyDescent="0.25">
      <c r="A219" t="s">
        <v>25</v>
      </c>
      <c r="B219" t="s">
        <v>1637</v>
      </c>
      <c r="C219">
        <v>13604</v>
      </c>
      <c r="D219">
        <v>0</v>
      </c>
      <c r="E219">
        <v>0</v>
      </c>
      <c r="F219">
        <v>0</v>
      </c>
    </row>
    <row r="220" spans="1:6" x14ac:dyDescent="0.25">
      <c r="A220" t="s">
        <v>26</v>
      </c>
      <c r="B220" t="s">
        <v>1638</v>
      </c>
      <c r="C220">
        <v>13605</v>
      </c>
      <c r="D220">
        <v>0</v>
      </c>
      <c r="E220">
        <v>0</v>
      </c>
      <c r="F220">
        <v>0</v>
      </c>
    </row>
    <row r="221" spans="1:6" x14ac:dyDescent="0.25">
      <c r="A221" t="s">
        <v>27</v>
      </c>
      <c r="B221" t="s">
        <v>1639</v>
      </c>
      <c r="C221">
        <v>13606</v>
      </c>
      <c r="D221">
        <v>0</v>
      </c>
      <c r="E221">
        <v>0</v>
      </c>
      <c r="F221">
        <v>0</v>
      </c>
    </row>
    <row r="222" spans="1:6" x14ac:dyDescent="0.25">
      <c r="A222" t="s">
        <v>531</v>
      </c>
      <c r="B222" t="s">
        <v>1640</v>
      </c>
      <c r="C222">
        <v>13607</v>
      </c>
      <c r="D222">
        <v>0</v>
      </c>
      <c r="E222">
        <v>0</v>
      </c>
      <c r="F222">
        <v>0</v>
      </c>
    </row>
    <row r="223" spans="1:6" x14ac:dyDescent="0.25">
      <c r="A223" t="s">
        <v>1583</v>
      </c>
      <c r="B223" t="s">
        <v>1641</v>
      </c>
      <c r="C223">
        <v>13608</v>
      </c>
      <c r="D223">
        <v>0</v>
      </c>
      <c r="E223">
        <v>0</v>
      </c>
      <c r="F223">
        <v>0</v>
      </c>
    </row>
    <row r="224" spans="1:6" x14ac:dyDescent="0.25">
      <c r="B224" t="s">
        <v>1667</v>
      </c>
      <c r="D224">
        <v>0</v>
      </c>
      <c r="E224">
        <v>0</v>
      </c>
      <c r="F224">
        <v>0</v>
      </c>
    </row>
    <row r="225" spans="1:6" x14ac:dyDescent="0.25">
      <c r="B225" t="s">
        <v>1645</v>
      </c>
    </row>
    <row r="226" spans="1:6" x14ac:dyDescent="0.25">
      <c r="A226" t="s">
        <v>2</v>
      </c>
      <c r="B226" t="s">
        <v>1634</v>
      </c>
      <c r="C226">
        <v>13701</v>
      </c>
      <c r="D226">
        <v>0</v>
      </c>
      <c r="E226">
        <v>0</v>
      </c>
      <c r="F226">
        <v>0</v>
      </c>
    </row>
    <row r="227" spans="1:6" x14ac:dyDescent="0.25">
      <c r="A227" t="s">
        <v>15</v>
      </c>
      <c r="B227" t="s">
        <v>1635</v>
      </c>
      <c r="C227">
        <v>13702</v>
      </c>
      <c r="D227">
        <v>0</v>
      </c>
      <c r="E227">
        <v>0</v>
      </c>
      <c r="F227">
        <v>0</v>
      </c>
    </row>
    <row r="228" spans="1:6" x14ac:dyDescent="0.25">
      <c r="A228" t="s">
        <v>16</v>
      </c>
      <c r="B228" t="s">
        <v>1636</v>
      </c>
      <c r="C228">
        <v>13703</v>
      </c>
      <c r="D228">
        <v>0</v>
      </c>
      <c r="E228">
        <v>0</v>
      </c>
      <c r="F228">
        <v>0</v>
      </c>
    </row>
    <row r="229" spans="1:6" x14ac:dyDescent="0.25">
      <c r="A229" t="s">
        <v>25</v>
      </c>
      <c r="B229" t="s">
        <v>1637</v>
      </c>
      <c r="C229">
        <v>13704</v>
      </c>
      <c r="D229">
        <v>0</v>
      </c>
      <c r="E229">
        <v>0</v>
      </c>
      <c r="F229">
        <v>0</v>
      </c>
    </row>
    <row r="230" spans="1:6" x14ac:dyDescent="0.25">
      <c r="A230" t="s">
        <v>26</v>
      </c>
      <c r="B230" t="s">
        <v>1638</v>
      </c>
      <c r="C230">
        <v>13705</v>
      </c>
      <c r="D230">
        <v>0</v>
      </c>
      <c r="E230">
        <v>0</v>
      </c>
      <c r="F230">
        <v>0</v>
      </c>
    </row>
    <row r="231" spans="1:6" x14ac:dyDescent="0.25">
      <c r="A231" t="s">
        <v>27</v>
      </c>
      <c r="B231" t="s">
        <v>1639</v>
      </c>
      <c r="C231">
        <v>13706</v>
      </c>
      <c r="D231">
        <v>0</v>
      </c>
      <c r="E231">
        <v>0</v>
      </c>
      <c r="F231">
        <v>0</v>
      </c>
    </row>
    <row r="232" spans="1:6" x14ac:dyDescent="0.25">
      <c r="A232" t="s">
        <v>531</v>
      </c>
      <c r="B232" t="s">
        <v>1640</v>
      </c>
      <c r="C232">
        <v>13707</v>
      </c>
      <c r="D232">
        <v>0</v>
      </c>
      <c r="E232">
        <v>0</v>
      </c>
      <c r="F232">
        <v>0</v>
      </c>
    </row>
    <row r="233" spans="1:6" x14ac:dyDescent="0.25">
      <c r="A233" t="s">
        <v>1583</v>
      </c>
      <c r="B233" t="s">
        <v>1641</v>
      </c>
      <c r="C233">
        <v>13708</v>
      </c>
      <c r="D233">
        <v>0</v>
      </c>
      <c r="E233">
        <v>0</v>
      </c>
      <c r="F233">
        <v>0</v>
      </c>
    </row>
    <row r="234" spans="1:6" x14ac:dyDescent="0.25">
      <c r="B234" t="s">
        <v>1668</v>
      </c>
      <c r="D234">
        <v>0</v>
      </c>
      <c r="E234">
        <v>0</v>
      </c>
      <c r="F234">
        <v>0</v>
      </c>
    </row>
    <row r="235" spans="1:6" x14ac:dyDescent="0.25">
      <c r="B235" t="s">
        <v>1647</v>
      </c>
    </row>
    <row r="236" spans="1:6" x14ac:dyDescent="0.25">
      <c r="A236" t="s">
        <v>2</v>
      </c>
      <c r="B236" t="s">
        <v>1648</v>
      </c>
      <c r="C236">
        <v>13801</v>
      </c>
      <c r="D236">
        <v>0</v>
      </c>
      <c r="E236">
        <v>0</v>
      </c>
      <c r="F236">
        <v>0</v>
      </c>
    </row>
    <row r="237" spans="1:6" x14ac:dyDescent="0.25">
      <c r="A237" t="s">
        <v>15</v>
      </c>
      <c r="B237" t="s">
        <v>1649</v>
      </c>
      <c r="C237">
        <v>13802</v>
      </c>
      <c r="D237">
        <v>0</v>
      </c>
      <c r="E237">
        <v>0</v>
      </c>
      <c r="F237">
        <v>0</v>
      </c>
    </row>
    <row r="238" spans="1:6" x14ac:dyDescent="0.25">
      <c r="A238" t="s">
        <v>16</v>
      </c>
      <c r="B238" t="s">
        <v>1637</v>
      </c>
      <c r="C238">
        <v>13803</v>
      </c>
      <c r="D238">
        <v>0</v>
      </c>
      <c r="E238">
        <v>0</v>
      </c>
      <c r="F238">
        <v>0</v>
      </c>
    </row>
    <row r="239" spans="1:6" x14ac:dyDescent="0.25">
      <c r="A239" t="s">
        <v>25</v>
      </c>
      <c r="B239" t="s">
        <v>1638</v>
      </c>
      <c r="C239">
        <v>13804</v>
      </c>
      <c r="D239">
        <v>0</v>
      </c>
      <c r="E239">
        <v>0</v>
      </c>
      <c r="F239">
        <v>0</v>
      </c>
    </row>
    <row r="240" spans="1:6" x14ac:dyDescent="0.25">
      <c r="A240" t="s">
        <v>26</v>
      </c>
      <c r="B240" t="s">
        <v>1650</v>
      </c>
      <c r="C240">
        <v>13805</v>
      </c>
      <c r="D240">
        <v>0</v>
      </c>
      <c r="E240">
        <v>0</v>
      </c>
      <c r="F240">
        <v>0</v>
      </c>
    </row>
    <row r="241" spans="1:6" x14ac:dyDescent="0.25">
      <c r="A241" t="s">
        <v>27</v>
      </c>
      <c r="B241" t="s">
        <v>1651</v>
      </c>
      <c r="C241">
        <v>13806</v>
      </c>
      <c r="D241">
        <v>0</v>
      </c>
      <c r="E241">
        <v>0</v>
      </c>
      <c r="F241">
        <v>0</v>
      </c>
    </row>
    <row r="242" spans="1:6" x14ac:dyDescent="0.25">
      <c r="A242" t="s">
        <v>531</v>
      </c>
      <c r="B242" t="s">
        <v>1640</v>
      </c>
      <c r="C242">
        <v>13807</v>
      </c>
      <c r="D242">
        <v>0</v>
      </c>
      <c r="E242">
        <v>0</v>
      </c>
      <c r="F242">
        <v>0</v>
      </c>
    </row>
    <row r="243" spans="1:6" x14ac:dyDescent="0.25">
      <c r="A243" t="s">
        <v>1583</v>
      </c>
      <c r="B243" t="s">
        <v>1641</v>
      </c>
      <c r="C243">
        <v>13808</v>
      </c>
      <c r="D243">
        <v>0</v>
      </c>
      <c r="E243">
        <v>0</v>
      </c>
      <c r="F243">
        <v>0</v>
      </c>
    </row>
    <row r="244" spans="1:6" x14ac:dyDescent="0.25">
      <c r="B244" t="s">
        <v>1669</v>
      </c>
      <c r="D244">
        <v>0</v>
      </c>
      <c r="E244">
        <v>0</v>
      </c>
      <c r="F244">
        <v>0</v>
      </c>
    </row>
    <row r="245" spans="1:6" x14ac:dyDescent="0.25">
      <c r="B245" t="s">
        <v>1670</v>
      </c>
      <c r="D245">
        <v>0</v>
      </c>
      <c r="E245">
        <v>0</v>
      </c>
      <c r="F245">
        <v>0</v>
      </c>
    </row>
    <row r="246" spans="1:6" x14ac:dyDescent="0.25">
      <c r="B246" t="s">
        <v>1671</v>
      </c>
    </row>
    <row r="247" spans="1:6" x14ac:dyDescent="0.25">
      <c r="B247" t="s">
        <v>1672</v>
      </c>
    </row>
    <row r="248" spans="1:6" x14ac:dyDescent="0.25">
      <c r="A248" t="s">
        <v>2</v>
      </c>
      <c r="B248" t="s">
        <v>1673</v>
      </c>
      <c r="C248">
        <v>14101</v>
      </c>
      <c r="D248">
        <v>0</v>
      </c>
      <c r="E248">
        <v>0</v>
      </c>
      <c r="F248">
        <v>0</v>
      </c>
    </row>
    <row r="249" spans="1:6" x14ac:dyDescent="0.25">
      <c r="A249" t="s">
        <v>15</v>
      </c>
      <c r="B249" t="s">
        <v>1674</v>
      </c>
      <c r="C249">
        <v>14102</v>
      </c>
      <c r="D249">
        <v>0</v>
      </c>
      <c r="E249">
        <v>0</v>
      </c>
      <c r="F249">
        <v>0</v>
      </c>
    </row>
    <row r="250" spans="1:6" x14ac:dyDescent="0.25">
      <c r="A250" t="s">
        <v>16</v>
      </c>
      <c r="B250" t="s">
        <v>1675</v>
      </c>
      <c r="C250">
        <v>14103</v>
      </c>
      <c r="D250">
        <v>0</v>
      </c>
      <c r="E250">
        <v>0</v>
      </c>
      <c r="F250">
        <v>0</v>
      </c>
    </row>
    <row r="251" spans="1:6" x14ac:dyDescent="0.25">
      <c r="A251" t="s">
        <v>25</v>
      </c>
      <c r="B251" t="s">
        <v>1676</v>
      </c>
      <c r="C251">
        <v>14104</v>
      </c>
      <c r="D251">
        <v>0</v>
      </c>
      <c r="E251">
        <v>0</v>
      </c>
      <c r="F251">
        <v>0</v>
      </c>
    </row>
    <row r="252" spans="1:6" x14ac:dyDescent="0.25">
      <c r="A252" t="s">
        <v>26</v>
      </c>
      <c r="B252" t="s">
        <v>1677</v>
      </c>
      <c r="C252">
        <v>14105</v>
      </c>
      <c r="D252">
        <v>0</v>
      </c>
      <c r="E252">
        <v>0</v>
      </c>
      <c r="F252">
        <v>0</v>
      </c>
    </row>
    <row r="253" spans="1:6" x14ac:dyDescent="0.25">
      <c r="B253" t="s">
        <v>1678</v>
      </c>
      <c r="D253">
        <v>0</v>
      </c>
      <c r="E253">
        <v>0</v>
      </c>
      <c r="F253">
        <v>0</v>
      </c>
    </row>
    <row r="254" spans="1:6" x14ac:dyDescent="0.25">
      <c r="B254" t="s">
        <v>1679</v>
      </c>
    </row>
    <row r="255" spans="1:6" x14ac:dyDescent="0.25">
      <c r="A255" t="s">
        <v>2</v>
      </c>
      <c r="B255" t="s">
        <v>1680</v>
      </c>
      <c r="C255">
        <v>14201</v>
      </c>
      <c r="D255">
        <v>0</v>
      </c>
      <c r="E255">
        <v>0</v>
      </c>
      <c r="F255">
        <v>0</v>
      </c>
    </row>
    <row r="256" spans="1:6" x14ac:dyDescent="0.25">
      <c r="A256" t="s">
        <v>15</v>
      </c>
      <c r="B256" t="s">
        <v>1681</v>
      </c>
      <c r="C256">
        <v>14202</v>
      </c>
      <c r="D256">
        <v>0</v>
      </c>
      <c r="E256">
        <v>0</v>
      </c>
      <c r="F256">
        <v>0</v>
      </c>
    </row>
    <row r="257" spans="1:6" x14ac:dyDescent="0.25">
      <c r="A257" t="s">
        <v>16</v>
      </c>
      <c r="B257" t="s">
        <v>1682</v>
      </c>
      <c r="C257">
        <v>14203</v>
      </c>
      <c r="D257">
        <v>0</v>
      </c>
      <c r="E257">
        <v>0</v>
      </c>
      <c r="F257">
        <v>0</v>
      </c>
    </row>
    <row r="258" spans="1:6" x14ac:dyDescent="0.25">
      <c r="A258" t="s">
        <v>25</v>
      </c>
      <c r="B258" t="s">
        <v>1683</v>
      </c>
      <c r="C258">
        <v>14204</v>
      </c>
      <c r="D258">
        <v>0</v>
      </c>
      <c r="E258">
        <v>0</v>
      </c>
      <c r="F258">
        <v>0</v>
      </c>
    </row>
    <row r="259" spans="1:6" x14ac:dyDescent="0.25">
      <c r="A259" t="s">
        <v>26</v>
      </c>
      <c r="B259" t="s">
        <v>1684</v>
      </c>
      <c r="C259">
        <v>14205</v>
      </c>
      <c r="D259">
        <v>0</v>
      </c>
      <c r="E259">
        <v>0</v>
      </c>
      <c r="F259">
        <v>0</v>
      </c>
    </row>
    <row r="260" spans="1:6" x14ac:dyDescent="0.25">
      <c r="A260" t="s">
        <v>27</v>
      </c>
      <c r="B260" t="s">
        <v>1685</v>
      </c>
      <c r="C260">
        <v>14206</v>
      </c>
      <c r="D260">
        <v>0</v>
      </c>
      <c r="E260">
        <v>0</v>
      </c>
      <c r="F260">
        <v>0</v>
      </c>
    </row>
    <row r="261" spans="1:6" x14ac:dyDescent="0.25">
      <c r="A261" t="s">
        <v>531</v>
      </c>
      <c r="B261" t="s">
        <v>1686</v>
      </c>
      <c r="C261">
        <v>14207</v>
      </c>
      <c r="D261">
        <v>0</v>
      </c>
      <c r="E261">
        <v>0</v>
      </c>
      <c r="F261">
        <v>0</v>
      </c>
    </row>
    <row r="262" spans="1:6" x14ac:dyDescent="0.25">
      <c r="A262" t="s">
        <v>1583</v>
      </c>
      <c r="B262" t="s">
        <v>1687</v>
      </c>
      <c r="C262">
        <v>14208</v>
      </c>
      <c r="D262">
        <v>0</v>
      </c>
      <c r="E262">
        <v>0</v>
      </c>
      <c r="F262">
        <v>0</v>
      </c>
    </row>
    <row r="263" spans="1:6" x14ac:dyDescent="0.25">
      <c r="A263" t="s">
        <v>1585</v>
      </c>
      <c r="B263" t="s">
        <v>1688</v>
      </c>
      <c r="C263">
        <v>14209</v>
      </c>
      <c r="D263">
        <v>0</v>
      </c>
      <c r="E263">
        <v>0</v>
      </c>
      <c r="F263">
        <v>0</v>
      </c>
    </row>
    <row r="264" spans="1:6" x14ac:dyDescent="0.25">
      <c r="A264" t="s">
        <v>1587</v>
      </c>
      <c r="B264" t="s">
        <v>1637</v>
      </c>
      <c r="C264">
        <v>14210</v>
      </c>
      <c r="D264">
        <v>0</v>
      </c>
      <c r="E264">
        <v>0</v>
      </c>
      <c r="F264">
        <v>0</v>
      </c>
    </row>
    <row r="265" spans="1:6" x14ac:dyDescent="0.25">
      <c r="A265" t="s">
        <v>1589</v>
      </c>
      <c r="B265" t="s">
        <v>1640</v>
      </c>
      <c r="C265">
        <v>14211</v>
      </c>
      <c r="D265">
        <v>0</v>
      </c>
      <c r="E265">
        <v>0</v>
      </c>
      <c r="F265">
        <v>0</v>
      </c>
    </row>
    <row r="266" spans="1:6" x14ac:dyDescent="0.25">
      <c r="A266" t="s">
        <v>1591</v>
      </c>
      <c r="B266" t="s">
        <v>1689</v>
      </c>
      <c r="C266">
        <v>14212</v>
      </c>
      <c r="D266">
        <v>0</v>
      </c>
      <c r="E266">
        <v>0</v>
      </c>
      <c r="F266">
        <v>0</v>
      </c>
    </row>
    <row r="267" spans="1:6" x14ac:dyDescent="0.25">
      <c r="A267" t="s">
        <v>1593</v>
      </c>
      <c r="B267" t="s">
        <v>1690</v>
      </c>
      <c r="C267">
        <v>14213</v>
      </c>
      <c r="D267">
        <v>0</v>
      </c>
      <c r="E267">
        <v>0</v>
      </c>
      <c r="F267">
        <v>0</v>
      </c>
    </row>
    <row r="268" spans="1:6" x14ac:dyDescent="0.25">
      <c r="B268" t="s">
        <v>1691</v>
      </c>
      <c r="D268">
        <v>0</v>
      </c>
      <c r="E268">
        <v>0</v>
      </c>
      <c r="F268">
        <v>0</v>
      </c>
    </row>
    <row r="269" spans="1:6" x14ac:dyDescent="0.25">
      <c r="B269" t="s">
        <v>1692</v>
      </c>
    </row>
    <row r="270" spans="1:6" x14ac:dyDescent="0.25">
      <c r="A270" t="s">
        <v>2</v>
      </c>
      <c r="B270" t="s">
        <v>1693</v>
      </c>
      <c r="C270">
        <v>14301</v>
      </c>
      <c r="D270">
        <v>0</v>
      </c>
      <c r="E270">
        <v>0</v>
      </c>
      <c r="F270">
        <v>0</v>
      </c>
    </row>
    <row r="271" spans="1:6" x14ac:dyDescent="0.25">
      <c r="A271" t="s">
        <v>15</v>
      </c>
      <c r="B271" t="s">
        <v>1694</v>
      </c>
      <c r="C271">
        <v>14302</v>
      </c>
      <c r="D271">
        <v>0</v>
      </c>
      <c r="E271">
        <v>0</v>
      </c>
      <c r="F271">
        <v>0</v>
      </c>
    </row>
    <row r="272" spans="1:6" x14ac:dyDescent="0.25">
      <c r="A272" t="s">
        <v>16</v>
      </c>
      <c r="B272" t="s">
        <v>1695</v>
      </c>
      <c r="C272">
        <v>14303</v>
      </c>
      <c r="D272">
        <v>0</v>
      </c>
      <c r="E272">
        <v>0</v>
      </c>
      <c r="F272">
        <v>0</v>
      </c>
    </row>
    <row r="273" spans="1:6" x14ac:dyDescent="0.25">
      <c r="A273" t="s">
        <v>25</v>
      </c>
      <c r="B273" t="s">
        <v>1696</v>
      </c>
      <c r="C273">
        <v>14304</v>
      </c>
      <c r="D273">
        <v>0</v>
      </c>
      <c r="E273">
        <v>0</v>
      </c>
      <c r="F273">
        <v>0</v>
      </c>
    </row>
    <row r="274" spans="1:6" x14ac:dyDescent="0.25">
      <c r="A274" t="s">
        <v>26</v>
      </c>
      <c r="B274" t="s">
        <v>1680</v>
      </c>
      <c r="C274">
        <v>14305</v>
      </c>
      <c r="D274">
        <v>0</v>
      </c>
      <c r="E274">
        <v>0</v>
      </c>
      <c r="F274">
        <v>0</v>
      </c>
    </row>
    <row r="275" spans="1:6" x14ac:dyDescent="0.25">
      <c r="A275" t="s">
        <v>27</v>
      </c>
      <c r="B275" t="s">
        <v>1681</v>
      </c>
      <c r="C275">
        <v>14306</v>
      </c>
      <c r="D275">
        <v>0</v>
      </c>
      <c r="E275">
        <v>0</v>
      </c>
      <c r="F275">
        <v>0</v>
      </c>
    </row>
    <row r="276" spans="1:6" x14ac:dyDescent="0.25">
      <c r="A276" t="s">
        <v>531</v>
      </c>
      <c r="B276" t="s">
        <v>1682</v>
      </c>
      <c r="C276">
        <v>14307</v>
      </c>
      <c r="D276">
        <v>0</v>
      </c>
      <c r="E276">
        <v>0</v>
      </c>
      <c r="F276">
        <v>0</v>
      </c>
    </row>
    <row r="277" spans="1:6" x14ac:dyDescent="0.25">
      <c r="A277" t="s">
        <v>1583</v>
      </c>
      <c r="B277" t="s">
        <v>1683</v>
      </c>
      <c r="C277">
        <v>14308</v>
      </c>
      <c r="D277">
        <v>0</v>
      </c>
      <c r="E277">
        <v>0</v>
      </c>
      <c r="F277">
        <v>0</v>
      </c>
    </row>
    <row r="278" spans="1:6" x14ac:dyDescent="0.25">
      <c r="A278" t="s">
        <v>1585</v>
      </c>
      <c r="B278" t="s">
        <v>1684</v>
      </c>
      <c r="C278">
        <v>14309</v>
      </c>
      <c r="D278">
        <v>0</v>
      </c>
      <c r="E278">
        <v>0</v>
      </c>
      <c r="F278">
        <v>0</v>
      </c>
    </row>
    <row r="279" spans="1:6" x14ac:dyDescent="0.25">
      <c r="A279" t="s">
        <v>1587</v>
      </c>
      <c r="B279" t="s">
        <v>1685</v>
      </c>
      <c r="C279">
        <v>14310</v>
      </c>
      <c r="D279">
        <v>0</v>
      </c>
      <c r="E279">
        <v>0</v>
      </c>
      <c r="F279">
        <v>0</v>
      </c>
    </row>
    <row r="280" spans="1:6" x14ac:dyDescent="0.25">
      <c r="A280" t="s">
        <v>1589</v>
      </c>
      <c r="B280" t="s">
        <v>1686</v>
      </c>
      <c r="C280">
        <v>14311</v>
      </c>
      <c r="D280">
        <v>0</v>
      </c>
      <c r="E280">
        <v>0</v>
      </c>
      <c r="F280">
        <v>0</v>
      </c>
    </row>
    <row r="281" spans="1:6" x14ac:dyDescent="0.25">
      <c r="A281" t="s">
        <v>1591</v>
      </c>
      <c r="B281" t="s">
        <v>1687</v>
      </c>
      <c r="C281">
        <v>14312</v>
      </c>
      <c r="D281">
        <v>0</v>
      </c>
      <c r="E281">
        <v>0</v>
      </c>
      <c r="F281">
        <v>0</v>
      </c>
    </row>
    <row r="282" spans="1:6" x14ac:dyDescent="0.25">
      <c r="A282" t="s">
        <v>1593</v>
      </c>
      <c r="B282" t="s">
        <v>1688</v>
      </c>
      <c r="C282">
        <v>14313</v>
      </c>
      <c r="D282">
        <v>0</v>
      </c>
      <c r="E282">
        <v>0</v>
      </c>
      <c r="F282">
        <v>0</v>
      </c>
    </row>
    <row r="283" spans="1:6" x14ac:dyDescent="0.25">
      <c r="A283" t="s">
        <v>1595</v>
      </c>
      <c r="B283" t="s">
        <v>1690</v>
      </c>
      <c r="C283">
        <v>14314</v>
      </c>
      <c r="D283">
        <v>0</v>
      </c>
      <c r="E283">
        <v>0</v>
      </c>
      <c r="F283">
        <v>0</v>
      </c>
    </row>
    <row r="284" spans="1:6" x14ac:dyDescent="0.25">
      <c r="A284" t="s">
        <v>1597</v>
      </c>
      <c r="B284" t="s">
        <v>1637</v>
      </c>
      <c r="C284">
        <v>14315</v>
      </c>
      <c r="D284">
        <v>0</v>
      </c>
      <c r="E284">
        <v>0</v>
      </c>
      <c r="F284">
        <v>0</v>
      </c>
    </row>
    <row r="285" spans="1:6" x14ac:dyDescent="0.25">
      <c r="A285" t="s">
        <v>1599</v>
      </c>
      <c r="B285" t="s">
        <v>1640</v>
      </c>
      <c r="C285">
        <v>14316</v>
      </c>
      <c r="D285">
        <v>0</v>
      </c>
      <c r="E285">
        <v>0</v>
      </c>
      <c r="F285">
        <v>0</v>
      </c>
    </row>
    <row r="286" spans="1:6" x14ac:dyDescent="0.25">
      <c r="A286" t="s">
        <v>1601</v>
      </c>
      <c r="B286" t="s">
        <v>1636</v>
      </c>
      <c r="C286">
        <v>14317</v>
      </c>
      <c r="D286">
        <v>0</v>
      </c>
      <c r="E286">
        <v>0</v>
      </c>
      <c r="F286">
        <v>0</v>
      </c>
    </row>
    <row r="287" spans="1:6" x14ac:dyDescent="0.25">
      <c r="A287" t="s">
        <v>1603</v>
      </c>
      <c r="B287" t="s">
        <v>1689</v>
      </c>
      <c r="C287">
        <v>14318</v>
      </c>
      <c r="D287">
        <v>0</v>
      </c>
      <c r="E287">
        <v>0</v>
      </c>
      <c r="F287">
        <v>0</v>
      </c>
    </row>
    <row r="288" spans="1:6" x14ac:dyDescent="0.25">
      <c r="B288" t="s">
        <v>1697</v>
      </c>
      <c r="D288">
        <v>0</v>
      </c>
      <c r="E288">
        <v>0</v>
      </c>
      <c r="F288">
        <v>0</v>
      </c>
    </row>
    <row r="289" spans="1:6" x14ac:dyDescent="0.25">
      <c r="B289" t="s">
        <v>1698</v>
      </c>
    </row>
    <row r="290" spans="1:6" x14ac:dyDescent="0.25">
      <c r="A290" t="s">
        <v>2</v>
      </c>
      <c r="B290" t="s">
        <v>1699</v>
      </c>
      <c r="C290">
        <v>14401</v>
      </c>
      <c r="D290">
        <v>0</v>
      </c>
      <c r="E290">
        <v>0</v>
      </c>
      <c r="F290">
        <v>0</v>
      </c>
    </row>
    <row r="291" spans="1:6" x14ac:dyDescent="0.25">
      <c r="A291" t="s">
        <v>15</v>
      </c>
      <c r="B291" t="s">
        <v>1694</v>
      </c>
      <c r="C291">
        <v>14402</v>
      </c>
      <c r="D291">
        <v>0</v>
      </c>
      <c r="E291">
        <v>0</v>
      </c>
      <c r="F291">
        <v>0</v>
      </c>
    </row>
    <row r="292" spans="1:6" x14ac:dyDescent="0.25">
      <c r="A292" t="s">
        <v>16</v>
      </c>
      <c r="B292" t="s">
        <v>1695</v>
      </c>
      <c r="C292">
        <v>14403</v>
      </c>
      <c r="D292">
        <v>0</v>
      </c>
      <c r="E292">
        <v>0</v>
      </c>
      <c r="F292">
        <v>0</v>
      </c>
    </row>
    <row r="293" spans="1:6" x14ac:dyDescent="0.25">
      <c r="A293" t="s">
        <v>25</v>
      </c>
      <c r="B293" t="s">
        <v>1696</v>
      </c>
      <c r="C293">
        <v>14404</v>
      </c>
      <c r="D293">
        <v>0</v>
      </c>
      <c r="E293">
        <v>0</v>
      </c>
      <c r="F293">
        <v>0</v>
      </c>
    </row>
    <row r="294" spans="1:6" x14ac:dyDescent="0.25">
      <c r="A294" t="s">
        <v>26</v>
      </c>
      <c r="B294" t="s">
        <v>1680</v>
      </c>
      <c r="C294">
        <v>14405</v>
      </c>
      <c r="D294">
        <v>0</v>
      </c>
      <c r="E294">
        <v>0</v>
      </c>
      <c r="F294">
        <v>0</v>
      </c>
    </row>
    <row r="295" spans="1:6" x14ac:dyDescent="0.25">
      <c r="A295" t="s">
        <v>27</v>
      </c>
      <c r="B295" t="s">
        <v>1681</v>
      </c>
      <c r="C295">
        <v>14406</v>
      </c>
      <c r="D295">
        <v>0</v>
      </c>
      <c r="E295">
        <v>0</v>
      </c>
      <c r="F295">
        <v>0</v>
      </c>
    </row>
    <row r="296" spans="1:6" x14ac:dyDescent="0.25">
      <c r="A296" t="s">
        <v>531</v>
      </c>
      <c r="B296" t="s">
        <v>1682</v>
      </c>
      <c r="C296">
        <v>14407</v>
      </c>
      <c r="D296">
        <v>0</v>
      </c>
      <c r="E296">
        <v>0</v>
      </c>
      <c r="F296">
        <v>0</v>
      </c>
    </row>
    <row r="297" spans="1:6" x14ac:dyDescent="0.25">
      <c r="A297" t="s">
        <v>1583</v>
      </c>
      <c r="B297" t="s">
        <v>1683</v>
      </c>
      <c r="C297">
        <v>14408</v>
      </c>
      <c r="D297">
        <v>0</v>
      </c>
      <c r="E297">
        <v>0</v>
      </c>
      <c r="F297">
        <v>0</v>
      </c>
    </row>
    <row r="298" spans="1:6" x14ac:dyDescent="0.25">
      <c r="A298" t="s">
        <v>1585</v>
      </c>
      <c r="B298" t="s">
        <v>1684</v>
      </c>
      <c r="C298">
        <v>14409</v>
      </c>
      <c r="D298">
        <v>0</v>
      </c>
      <c r="E298">
        <v>0</v>
      </c>
      <c r="F298">
        <v>0</v>
      </c>
    </row>
    <row r="299" spans="1:6" x14ac:dyDescent="0.25">
      <c r="A299" t="s">
        <v>1587</v>
      </c>
      <c r="B299" t="s">
        <v>1685</v>
      </c>
      <c r="C299">
        <v>14410</v>
      </c>
      <c r="D299">
        <v>0</v>
      </c>
      <c r="E299">
        <v>0</v>
      </c>
      <c r="F299">
        <v>0</v>
      </c>
    </row>
    <row r="300" spans="1:6" x14ac:dyDescent="0.25">
      <c r="A300" t="s">
        <v>1589</v>
      </c>
      <c r="B300" t="s">
        <v>1686</v>
      </c>
      <c r="C300">
        <v>14411</v>
      </c>
      <c r="D300">
        <v>0</v>
      </c>
      <c r="E300">
        <v>0</v>
      </c>
      <c r="F300">
        <v>0</v>
      </c>
    </row>
    <row r="301" spans="1:6" x14ac:dyDescent="0.25">
      <c r="A301" t="s">
        <v>1591</v>
      </c>
      <c r="B301" t="s">
        <v>1687</v>
      </c>
      <c r="C301">
        <v>14412</v>
      </c>
      <c r="D301">
        <v>0</v>
      </c>
      <c r="E301">
        <v>0</v>
      </c>
      <c r="F301">
        <v>0</v>
      </c>
    </row>
    <row r="302" spans="1:6" x14ac:dyDescent="0.25">
      <c r="A302" t="s">
        <v>1593</v>
      </c>
      <c r="B302" t="s">
        <v>1688</v>
      </c>
      <c r="C302">
        <v>14413</v>
      </c>
      <c r="D302">
        <v>0</v>
      </c>
      <c r="E302">
        <v>0</v>
      </c>
      <c r="F302">
        <v>0</v>
      </c>
    </row>
    <row r="303" spans="1:6" x14ac:dyDescent="0.25">
      <c r="A303" t="s">
        <v>1595</v>
      </c>
      <c r="B303" t="s">
        <v>1690</v>
      </c>
      <c r="C303">
        <v>14414</v>
      </c>
      <c r="D303">
        <v>0</v>
      </c>
      <c r="E303">
        <v>0</v>
      </c>
      <c r="F303">
        <v>0</v>
      </c>
    </row>
    <row r="304" spans="1:6" x14ac:dyDescent="0.25">
      <c r="A304" t="s">
        <v>1597</v>
      </c>
      <c r="B304" t="s">
        <v>1637</v>
      </c>
      <c r="C304">
        <v>14415</v>
      </c>
      <c r="D304">
        <v>0</v>
      </c>
      <c r="E304">
        <v>0</v>
      </c>
      <c r="F304">
        <v>0</v>
      </c>
    </row>
    <row r="305" spans="1:6" x14ac:dyDescent="0.25">
      <c r="A305" t="s">
        <v>1599</v>
      </c>
      <c r="B305" t="s">
        <v>1640</v>
      </c>
      <c r="C305">
        <v>14416</v>
      </c>
      <c r="D305">
        <v>0</v>
      </c>
      <c r="E305">
        <v>0</v>
      </c>
      <c r="F305">
        <v>0</v>
      </c>
    </row>
    <row r="306" spans="1:6" x14ac:dyDescent="0.25">
      <c r="A306" t="s">
        <v>1601</v>
      </c>
      <c r="B306" t="s">
        <v>1636</v>
      </c>
      <c r="C306">
        <v>14417</v>
      </c>
      <c r="D306">
        <v>0</v>
      </c>
      <c r="E306">
        <v>0</v>
      </c>
      <c r="F306">
        <v>0</v>
      </c>
    </row>
    <row r="307" spans="1:6" x14ac:dyDescent="0.25">
      <c r="A307" t="s">
        <v>1603</v>
      </c>
      <c r="B307" t="s">
        <v>1689</v>
      </c>
      <c r="C307">
        <v>14418</v>
      </c>
      <c r="D307">
        <v>0</v>
      </c>
      <c r="E307">
        <v>0</v>
      </c>
      <c r="F307">
        <v>0</v>
      </c>
    </row>
    <row r="308" spans="1:6" x14ac:dyDescent="0.25">
      <c r="B308" t="s">
        <v>1700</v>
      </c>
      <c r="D308">
        <v>0</v>
      </c>
      <c r="E308">
        <v>0</v>
      </c>
      <c r="F308">
        <v>0</v>
      </c>
    </row>
    <row r="309" spans="1:6" x14ac:dyDescent="0.25">
      <c r="B309" t="s">
        <v>1701</v>
      </c>
    </row>
    <row r="310" spans="1:6" x14ac:dyDescent="0.25">
      <c r="A310" t="s">
        <v>2</v>
      </c>
      <c r="B310" t="s">
        <v>1702</v>
      </c>
      <c r="C310">
        <v>14501</v>
      </c>
      <c r="D310">
        <v>0</v>
      </c>
      <c r="E310">
        <v>0</v>
      </c>
      <c r="F310">
        <v>0</v>
      </c>
    </row>
    <row r="311" spans="1:6" x14ac:dyDescent="0.25">
      <c r="A311" t="s">
        <v>15</v>
      </c>
      <c r="B311" t="s">
        <v>1703</v>
      </c>
      <c r="C311">
        <v>14502</v>
      </c>
      <c r="D311">
        <v>0</v>
      </c>
      <c r="E311">
        <v>0</v>
      </c>
      <c r="F311">
        <v>0</v>
      </c>
    </row>
    <row r="312" spans="1:6" x14ac:dyDescent="0.25">
      <c r="B312" t="s">
        <v>1704</v>
      </c>
      <c r="D312">
        <v>0</v>
      </c>
      <c r="E312">
        <v>0</v>
      </c>
      <c r="F312">
        <v>0</v>
      </c>
    </row>
    <row r="313" spans="1:6" x14ac:dyDescent="0.25">
      <c r="B313" t="s">
        <v>1705</v>
      </c>
    </row>
    <row r="314" spans="1:6" x14ac:dyDescent="0.25">
      <c r="A314" t="s">
        <v>2</v>
      </c>
      <c r="B314" t="s">
        <v>1702</v>
      </c>
      <c r="C314">
        <v>14601</v>
      </c>
      <c r="D314">
        <v>0</v>
      </c>
      <c r="E314">
        <v>0</v>
      </c>
      <c r="F314">
        <v>0</v>
      </c>
    </row>
    <row r="315" spans="1:6" x14ac:dyDescent="0.25">
      <c r="A315" t="s">
        <v>15</v>
      </c>
      <c r="B315" t="s">
        <v>1703</v>
      </c>
      <c r="C315">
        <v>14602</v>
      </c>
      <c r="D315">
        <v>0</v>
      </c>
      <c r="E315">
        <v>0</v>
      </c>
      <c r="F315">
        <v>0</v>
      </c>
    </row>
    <row r="316" spans="1:6" x14ac:dyDescent="0.25">
      <c r="B316" t="s">
        <v>1706</v>
      </c>
      <c r="D316">
        <v>0</v>
      </c>
      <c r="E316">
        <v>0</v>
      </c>
      <c r="F316">
        <v>0</v>
      </c>
    </row>
    <row r="317" spans="1:6" x14ac:dyDescent="0.25">
      <c r="B317" t="s">
        <v>1707</v>
      </c>
    </row>
    <row r="318" spans="1:6" x14ac:dyDescent="0.25">
      <c r="A318" t="s">
        <v>2</v>
      </c>
      <c r="B318" t="s">
        <v>1702</v>
      </c>
      <c r="C318">
        <v>14701</v>
      </c>
      <c r="D318">
        <v>0</v>
      </c>
      <c r="E318">
        <v>0</v>
      </c>
      <c r="F318">
        <v>0</v>
      </c>
    </row>
    <row r="319" spans="1:6" x14ac:dyDescent="0.25">
      <c r="A319" t="s">
        <v>15</v>
      </c>
      <c r="B319" t="s">
        <v>1703</v>
      </c>
      <c r="C319">
        <v>14702</v>
      </c>
      <c r="D319">
        <v>0</v>
      </c>
      <c r="E319">
        <v>0</v>
      </c>
      <c r="F319">
        <v>0</v>
      </c>
    </row>
    <row r="320" spans="1:6" x14ac:dyDescent="0.25">
      <c r="B320" t="s">
        <v>1708</v>
      </c>
      <c r="D320">
        <v>0</v>
      </c>
      <c r="E320">
        <v>0</v>
      </c>
      <c r="F320">
        <v>0</v>
      </c>
    </row>
    <row r="321" spans="1:6" x14ac:dyDescent="0.25">
      <c r="B321" t="s">
        <v>1709</v>
      </c>
    </row>
    <row r="322" spans="1:6" x14ac:dyDescent="0.25">
      <c r="A322" t="s">
        <v>2</v>
      </c>
      <c r="B322" t="s">
        <v>1710</v>
      </c>
      <c r="C322">
        <v>14801</v>
      </c>
      <c r="D322">
        <v>0</v>
      </c>
      <c r="E322">
        <v>0</v>
      </c>
      <c r="F322">
        <v>0</v>
      </c>
    </row>
    <row r="323" spans="1:6" x14ac:dyDescent="0.25">
      <c r="A323" t="s">
        <v>15</v>
      </c>
      <c r="B323" t="s">
        <v>1711</v>
      </c>
      <c r="C323">
        <v>14802</v>
      </c>
      <c r="D323">
        <v>0</v>
      </c>
      <c r="E323">
        <v>0</v>
      </c>
      <c r="F323">
        <v>0</v>
      </c>
    </row>
    <row r="324" spans="1:6" x14ac:dyDescent="0.25">
      <c r="A324" t="s">
        <v>16</v>
      </c>
      <c r="B324" t="s">
        <v>1712</v>
      </c>
      <c r="C324">
        <v>14803</v>
      </c>
      <c r="D324">
        <v>0</v>
      </c>
      <c r="E324">
        <v>0</v>
      </c>
      <c r="F324">
        <v>0</v>
      </c>
    </row>
    <row r="325" spans="1:6" x14ac:dyDescent="0.25">
      <c r="A325" t="s">
        <v>25</v>
      </c>
      <c r="B325" t="s">
        <v>1713</v>
      </c>
      <c r="C325">
        <v>14804</v>
      </c>
      <c r="D325">
        <v>0</v>
      </c>
      <c r="E325">
        <v>0</v>
      </c>
      <c r="F325">
        <v>0</v>
      </c>
    </row>
    <row r="326" spans="1:6" x14ac:dyDescent="0.25">
      <c r="A326" t="s">
        <v>26</v>
      </c>
      <c r="B326" t="s">
        <v>1714</v>
      </c>
      <c r="C326">
        <v>14805</v>
      </c>
      <c r="D326">
        <v>0</v>
      </c>
      <c r="E326">
        <v>0</v>
      </c>
      <c r="F326">
        <v>0</v>
      </c>
    </row>
    <row r="327" spans="1:6" x14ac:dyDescent="0.25">
      <c r="B327" t="s">
        <v>1715</v>
      </c>
      <c r="D327">
        <v>0</v>
      </c>
      <c r="E327">
        <v>0</v>
      </c>
      <c r="F327">
        <v>0</v>
      </c>
    </row>
    <row r="328" spans="1:6" x14ac:dyDescent="0.25">
      <c r="B328" t="s">
        <v>1716</v>
      </c>
      <c r="D328">
        <v>0</v>
      </c>
      <c r="E328">
        <v>0</v>
      </c>
      <c r="F328">
        <v>0</v>
      </c>
    </row>
    <row r="329" spans="1:6" x14ac:dyDescent="0.25">
      <c r="B329" t="s">
        <v>1717</v>
      </c>
    </row>
    <row r="330" spans="1:6" x14ac:dyDescent="0.25">
      <c r="B330" t="s">
        <v>1575</v>
      </c>
    </row>
    <row r="331" spans="1:6" x14ac:dyDescent="0.25">
      <c r="A331" t="s">
        <v>2</v>
      </c>
      <c r="B331" t="s">
        <v>1576</v>
      </c>
      <c r="C331">
        <v>15101</v>
      </c>
      <c r="D331">
        <v>0</v>
      </c>
      <c r="F331">
        <v>0</v>
      </c>
    </row>
    <row r="332" spans="1:6" x14ac:dyDescent="0.25">
      <c r="A332" t="s">
        <v>15</v>
      </c>
      <c r="B332" t="s">
        <v>1577</v>
      </c>
      <c r="C332">
        <v>15102</v>
      </c>
      <c r="D332">
        <v>0</v>
      </c>
      <c r="F332">
        <v>0</v>
      </c>
    </row>
    <row r="333" spans="1:6" x14ac:dyDescent="0.25">
      <c r="A333" t="s">
        <v>16</v>
      </c>
      <c r="B333" t="s">
        <v>1578</v>
      </c>
      <c r="C333">
        <v>15103</v>
      </c>
      <c r="D333">
        <v>0</v>
      </c>
      <c r="F333">
        <v>0</v>
      </c>
    </row>
    <row r="334" spans="1:6" x14ac:dyDescent="0.25">
      <c r="A334" t="s">
        <v>25</v>
      </c>
      <c r="B334" t="s">
        <v>1579</v>
      </c>
      <c r="C334">
        <v>15104</v>
      </c>
      <c r="D334">
        <v>0</v>
      </c>
      <c r="F334">
        <v>0</v>
      </c>
    </row>
    <row r="335" spans="1:6" x14ac:dyDescent="0.25">
      <c r="A335" t="s">
        <v>26</v>
      </c>
      <c r="B335" t="s">
        <v>1580</v>
      </c>
      <c r="C335">
        <v>15105</v>
      </c>
      <c r="D335">
        <v>0</v>
      </c>
      <c r="F335">
        <v>0</v>
      </c>
    </row>
    <row r="336" spans="1:6" x14ac:dyDescent="0.25">
      <c r="A336" t="s">
        <v>27</v>
      </c>
      <c r="B336" t="s">
        <v>1581</v>
      </c>
      <c r="C336">
        <v>15106</v>
      </c>
      <c r="D336">
        <v>0</v>
      </c>
      <c r="F336">
        <v>0</v>
      </c>
    </row>
    <row r="337" spans="1:6" x14ac:dyDescent="0.25">
      <c r="A337" t="s">
        <v>531</v>
      </c>
      <c r="B337" t="s">
        <v>1582</v>
      </c>
      <c r="C337">
        <v>15107</v>
      </c>
      <c r="D337">
        <v>4412</v>
      </c>
      <c r="F337">
        <v>4412</v>
      </c>
    </row>
    <row r="338" spans="1:6" x14ac:dyDescent="0.25">
      <c r="A338" t="s">
        <v>1583</v>
      </c>
      <c r="B338" t="s">
        <v>1584</v>
      </c>
      <c r="C338">
        <v>15108</v>
      </c>
      <c r="D338">
        <v>0</v>
      </c>
      <c r="F338">
        <v>0</v>
      </c>
    </row>
    <row r="339" spans="1:6" x14ac:dyDescent="0.25">
      <c r="A339" t="s">
        <v>1585</v>
      </c>
      <c r="B339" t="s">
        <v>1586</v>
      </c>
      <c r="C339">
        <v>15109</v>
      </c>
      <c r="D339">
        <v>5608</v>
      </c>
      <c r="F339">
        <v>5608</v>
      </c>
    </row>
    <row r="340" spans="1:6" x14ac:dyDescent="0.25">
      <c r="A340" t="s">
        <v>1587</v>
      </c>
      <c r="B340" t="s">
        <v>1588</v>
      </c>
      <c r="C340">
        <v>15110</v>
      </c>
      <c r="D340">
        <v>2262</v>
      </c>
      <c r="F340">
        <v>2262</v>
      </c>
    </row>
    <row r="341" spans="1:6" x14ac:dyDescent="0.25">
      <c r="A341" t="s">
        <v>1589</v>
      </c>
      <c r="B341" t="s">
        <v>1590</v>
      </c>
      <c r="C341">
        <v>15111</v>
      </c>
      <c r="D341">
        <v>803470</v>
      </c>
      <c r="F341">
        <v>803470</v>
      </c>
    </row>
    <row r="342" spans="1:6" x14ac:dyDescent="0.25">
      <c r="A342" t="s">
        <v>1591</v>
      </c>
      <c r="B342" t="s">
        <v>1592</v>
      </c>
      <c r="C342">
        <v>15112</v>
      </c>
      <c r="D342">
        <v>16931116</v>
      </c>
      <c r="F342">
        <v>16931116</v>
      </c>
    </row>
    <row r="343" spans="1:6" x14ac:dyDescent="0.25">
      <c r="A343" t="s">
        <v>1593</v>
      </c>
      <c r="B343" t="s">
        <v>1594</v>
      </c>
      <c r="C343">
        <v>15113</v>
      </c>
      <c r="D343">
        <v>2448</v>
      </c>
      <c r="F343">
        <v>2448</v>
      </c>
    </row>
    <row r="344" spans="1:6" x14ac:dyDescent="0.25">
      <c r="A344" t="s">
        <v>1595</v>
      </c>
      <c r="B344" t="s">
        <v>1596</v>
      </c>
      <c r="C344">
        <v>15114</v>
      </c>
      <c r="D344">
        <v>461975</v>
      </c>
      <c r="F344">
        <v>461975</v>
      </c>
    </row>
    <row r="345" spans="1:6" x14ac:dyDescent="0.25">
      <c r="A345" t="s">
        <v>1597</v>
      </c>
      <c r="B345" t="s">
        <v>1598</v>
      </c>
      <c r="C345">
        <v>15115</v>
      </c>
      <c r="D345">
        <v>6762451</v>
      </c>
      <c r="F345">
        <v>6762451</v>
      </c>
    </row>
    <row r="346" spans="1:6" x14ac:dyDescent="0.25">
      <c r="A346" t="s">
        <v>1599</v>
      </c>
      <c r="B346" t="s">
        <v>1600</v>
      </c>
      <c r="C346">
        <v>15116</v>
      </c>
      <c r="D346">
        <v>0</v>
      </c>
      <c r="F346">
        <v>0</v>
      </c>
    </row>
    <row r="347" spans="1:6" x14ac:dyDescent="0.25">
      <c r="A347" t="s">
        <v>1601</v>
      </c>
      <c r="B347" t="s">
        <v>1602</v>
      </c>
      <c r="C347">
        <v>15117</v>
      </c>
      <c r="D347">
        <v>0</v>
      </c>
      <c r="F347">
        <v>0</v>
      </c>
    </row>
    <row r="348" spans="1:6" x14ac:dyDescent="0.25">
      <c r="A348" t="s">
        <v>1603</v>
      </c>
      <c r="B348" t="s">
        <v>1604</v>
      </c>
      <c r="C348">
        <v>15118</v>
      </c>
      <c r="D348">
        <v>636147</v>
      </c>
      <c r="F348">
        <v>636147</v>
      </c>
    </row>
    <row r="349" spans="1:6" x14ac:dyDescent="0.25">
      <c r="A349" t="s">
        <v>1605</v>
      </c>
      <c r="B349" t="s">
        <v>1606</v>
      </c>
      <c r="C349">
        <v>15119</v>
      </c>
      <c r="D349">
        <v>0</v>
      </c>
      <c r="F349">
        <v>0</v>
      </c>
    </row>
    <row r="350" spans="1:6" x14ac:dyDescent="0.25">
      <c r="A350" t="s">
        <v>1607</v>
      </c>
      <c r="B350" t="s">
        <v>1608</v>
      </c>
      <c r="C350">
        <v>15120</v>
      </c>
      <c r="D350">
        <v>0</v>
      </c>
      <c r="F350">
        <v>0</v>
      </c>
    </row>
    <row r="351" spans="1:6" x14ac:dyDescent="0.25">
      <c r="B351" t="s">
        <v>1718</v>
      </c>
      <c r="D351">
        <v>25609889</v>
      </c>
      <c r="F351">
        <v>25609889</v>
      </c>
    </row>
    <row r="352" spans="1:6" x14ac:dyDescent="0.25">
      <c r="B352" t="s">
        <v>1656</v>
      </c>
    </row>
    <row r="353" spans="1:6" x14ac:dyDescent="0.25">
      <c r="A353" t="s">
        <v>2</v>
      </c>
      <c r="B353" t="s">
        <v>1611</v>
      </c>
      <c r="C353">
        <v>15201</v>
      </c>
      <c r="D353">
        <v>0</v>
      </c>
      <c r="F353">
        <v>0</v>
      </c>
    </row>
    <row r="354" spans="1:6" x14ac:dyDescent="0.25">
      <c r="A354" t="s">
        <v>15</v>
      </c>
      <c r="B354" t="s">
        <v>1612</v>
      </c>
      <c r="C354">
        <v>15202</v>
      </c>
      <c r="D354">
        <v>0</v>
      </c>
      <c r="F354">
        <v>0</v>
      </c>
    </row>
    <row r="355" spans="1:6" x14ac:dyDescent="0.25">
      <c r="A355" t="s">
        <v>16</v>
      </c>
      <c r="B355" t="s">
        <v>1613</v>
      </c>
      <c r="C355">
        <v>15203</v>
      </c>
      <c r="D355">
        <v>0</v>
      </c>
      <c r="F355">
        <v>0</v>
      </c>
    </row>
    <row r="356" spans="1:6" x14ac:dyDescent="0.25">
      <c r="A356" t="s">
        <v>25</v>
      </c>
      <c r="B356" t="s">
        <v>1614</v>
      </c>
      <c r="C356">
        <v>15204</v>
      </c>
      <c r="D356">
        <v>0</v>
      </c>
      <c r="F356">
        <v>0</v>
      </c>
    </row>
    <row r="357" spans="1:6" x14ac:dyDescent="0.25">
      <c r="A357" t="s">
        <v>26</v>
      </c>
      <c r="B357" t="s">
        <v>1615</v>
      </c>
      <c r="C357">
        <v>15205</v>
      </c>
      <c r="D357">
        <v>0</v>
      </c>
      <c r="F357">
        <v>0</v>
      </c>
    </row>
    <row r="358" spans="1:6" x14ac:dyDescent="0.25">
      <c r="A358" t="s">
        <v>27</v>
      </c>
      <c r="B358" t="s">
        <v>1616</v>
      </c>
      <c r="C358">
        <v>15206</v>
      </c>
      <c r="D358">
        <v>0</v>
      </c>
      <c r="F358">
        <v>0</v>
      </c>
    </row>
    <row r="359" spans="1:6" x14ac:dyDescent="0.25">
      <c r="A359" t="s">
        <v>531</v>
      </c>
      <c r="B359" t="s">
        <v>1617</v>
      </c>
      <c r="C359">
        <v>15207</v>
      </c>
      <c r="D359">
        <v>0</v>
      </c>
      <c r="F359">
        <v>0</v>
      </c>
    </row>
    <row r="360" spans="1:6" x14ac:dyDescent="0.25">
      <c r="A360" t="s">
        <v>1583</v>
      </c>
      <c r="B360" t="s">
        <v>1618</v>
      </c>
      <c r="C360">
        <v>15208</v>
      </c>
      <c r="D360">
        <v>0</v>
      </c>
      <c r="F360">
        <v>0</v>
      </c>
    </row>
    <row r="361" spans="1:6" x14ac:dyDescent="0.25">
      <c r="A361" t="s">
        <v>1585</v>
      </c>
      <c r="B361" t="s">
        <v>1619</v>
      </c>
      <c r="C361">
        <v>15209</v>
      </c>
      <c r="D361">
        <v>0</v>
      </c>
      <c r="F361">
        <v>0</v>
      </c>
    </row>
    <row r="362" spans="1:6" x14ac:dyDescent="0.25">
      <c r="A362" t="s">
        <v>1587</v>
      </c>
      <c r="B362" t="s">
        <v>1620</v>
      </c>
      <c r="C362">
        <v>15210</v>
      </c>
      <c r="D362">
        <v>40394</v>
      </c>
      <c r="F362">
        <v>40394</v>
      </c>
    </row>
    <row r="363" spans="1:6" x14ac:dyDescent="0.25">
      <c r="A363" t="s">
        <v>1589</v>
      </c>
      <c r="B363" t="s">
        <v>1621</v>
      </c>
      <c r="C363">
        <v>15211</v>
      </c>
      <c r="D363">
        <v>72612</v>
      </c>
      <c r="F363">
        <v>72612</v>
      </c>
    </row>
    <row r="364" spans="1:6" x14ac:dyDescent="0.25">
      <c r="A364" t="s">
        <v>1591</v>
      </c>
      <c r="B364" t="s">
        <v>1622</v>
      </c>
      <c r="C364">
        <v>15212</v>
      </c>
      <c r="D364">
        <v>11776548</v>
      </c>
      <c r="F364">
        <v>11776548</v>
      </c>
    </row>
    <row r="365" spans="1:6" x14ac:dyDescent="0.25">
      <c r="A365" t="s">
        <v>1593</v>
      </c>
      <c r="B365" t="s">
        <v>1623</v>
      </c>
      <c r="C365">
        <v>15213</v>
      </c>
      <c r="D365">
        <v>200</v>
      </c>
      <c r="F365">
        <v>200</v>
      </c>
    </row>
    <row r="366" spans="1:6" x14ac:dyDescent="0.25">
      <c r="A366" t="s">
        <v>1595</v>
      </c>
      <c r="B366" t="s">
        <v>1624</v>
      </c>
      <c r="C366">
        <v>15214</v>
      </c>
      <c r="D366">
        <v>1050739</v>
      </c>
      <c r="F366">
        <v>1050739</v>
      </c>
    </row>
    <row r="367" spans="1:6" x14ac:dyDescent="0.25">
      <c r="A367" t="s">
        <v>1597</v>
      </c>
      <c r="B367" t="s">
        <v>1625</v>
      </c>
      <c r="C367">
        <v>15215</v>
      </c>
      <c r="D367">
        <v>1582</v>
      </c>
      <c r="F367">
        <v>1582</v>
      </c>
    </row>
    <row r="368" spans="1:6" x14ac:dyDescent="0.25">
      <c r="A368" t="s">
        <v>1599</v>
      </c>
      <c r="B368" t="s">
        <v>1626</v>
      </c>
      <c r="C368">
        <v>15216</v>
      </c>
      <c r="D368">
        <v>0</v>
      </c>
      <c r="F368">
        <v>0</v>
      </c>
    </row>
    <row r="369" spans="1:6" x14ac:dyDescent="0.25">
      <c r="A369" t="s">
        <v>1601</v>
      </c>
      <c r="B369" t="s">
        <v>1627</v>
      </c>
      <c r="C369">
        <v>15217</v>
      </c>
      <c r="D369">
        <v>0</v>
      </c>
      <c r="F369">
        <v>0</v>
      </c>
    </row>
    <row r="370" spans="1:6" x14ac:dyDescent="0.25">
      <c r="A370" t="s">
        <v>1603</v>
      </c>
      <c r="B370" t="s">
        <v>1596</v>
      </c>
      <c r="C370">
        <v>15218</v>
      </c>
      <c r="D370">
        <v>845</v>
      </c>
      <c r="F370">
        <v>845</v>
      </c>
    </row>
    <row r="371" spans="1:6" x14ac:dyDescent="0.25">
      <c r="A371" t="s">
        <v>1605</v>
      </c>
      <c r="B371" t="s">
        <v>1598</v>
      </c>
      <c r="C371">
        <v>15219</v>
      </c>
      <c r="D371">
        <v>0</v>
      </c>
      <c r="F371">
        <v>0</v>
      </c>
    </row>
    <row r="372" spans="1:6" x14ac:dyDescent="0.25">
      <c r="A372" t="s">
        <v>1607</v>
      </c>
      <c r="B372" t="s">
        <v>1602</v>
      </c>
      <c r="C372">
        <v>15220</v>
      </c>
      <c r="D372">
        <v>0</v>
      </c>
      <c r="F372">
        <v>0</v>
      </c>
    </row>
    <row r="373" spans="1:6" x14ac:dyDescent="0.25">
      <c r="B373" t="s">
        <v>1719</v>
      </c>
      <c r="D373">
        <v>12942920</v>
      </c>
      <c r="F373">
        <v>12942920</v>
      </c>
    </row>
    <row r="374" spans="1:6" x14ac:dyDescent="0.25">
      <c r="B374" t="s">
        <v>1629</v>
      </c>
    </row>
    <row r="375" spans="1:6" x14ac:dyDescent="0.25">
      <c r="A375" t="s">
        <v>2</v>
      </c>
      <c r="B375" t="s">
        <v>1627</v>
      </c>
      <c r="C375">
        <v>15301</v>
      </c>
      <c r="D375">
        <v>0</v>
      </c>
      <c r="F375">
        <v>0</v>
      </c>
    </row>
    <row r="376" spans="1:6" x14ac:dyDescent="0.25">
      <c r="A376" t="s">
        <v>15</v>
      </c>
      <c r="B376" t="s">
        <v>1625</v>
      </c>
      <c r="C376">
        <v>15302</v>
      </c>
      <c r="D376">
        <v>33849</v>
      </c>
      <c r="F376">
        <v>33849</v>
      </c>
    </row>
    <row r="377" spans="1:6" x14ac:dyDescent="0.25">
      <c r="A377" t="s">
        <v>16</v>
      </c>
      <c r="B377" t="s">
        <v>1626</v>
      </c>
      <c r="C377">
        <v>15303</v>
      </c>
      <c r="D377">
        <v>0</v>
      </c>
      <c r="F377">
        <v>0</v>
      </c>
    </row>
    <row r="378" spans="1:6" x14ac:dyDescent="0.25">
      <c r="B378" t="s">
        <v>1720</v>
      </c>
      <c r="D378">
        <v>33849</v>
      </c>
      <c r="F378">
        <v>33849</v>
      </c>
    </row>
    <row r="379" spans="1:6" x14ac:dyDescent="0.25">
      <c r="B379" t="s">
        <v>1631</v>
      </c>
    </row>
    <row r="380" spans="1:6" x14ac:dyDescent="0.25">
      <c r="A380" t="s">
        <v>2</v>
      </c>
      <c r="B380" t="s">
        <v>1627</v>
      </c>
      <c r="C380">
        <v>15401</v>
      </c>
      <c r="D380">
        <v>0</v>
      </c>
      <c r="F380">
        <v>0</v>
      </c>
    </row>
    <row r="381" spans="1:6" x14ac:dyDescent="0.25">
      <c r="A381" t="s">
        <v>15</v>
      </c>
      <c r="B381" t="s">
        <v>1625</v>
      </c>
      <c r="C381">
        <v>15402</v>
      </c>
      <c r="D381">
        <v>0</v>
      </c>
      <c r="F381">
        <v>0</v>
      </c>
    </row>
    <row r="382" spans="1:6" x14ac:dyDescent="0.25">
      <c r="A382" t="s">
        <v>16</v>
      </c>
      <c r="B382" t="s">
        <v>1626</v>
      </c>
      <c r="C382">
        <v>15403</v>
      </c>
      <c r="D382">
        <v>0</v>
      </c>
      <c r="F382">
        <v>0</v>
      </c>
    </row>
    <row r="383" spans="1:6" x14ac:dyDescent="0.25">
      <c r="B383" t="s">
        <v>1721</v>
      </c>
      <c r="D383">
        <v>0</v>
      </c>
      <c r="F383">
        <v>0</v>
      </c>
    </row>
    <row r="384" spans="1:6" x14ac:dyDescent="0.25">
      <c r="B384" t="s">
        <v>1722</v>
      </c>
    </row>
    <row r="385" spans="1:6" x14ac:dyDescent="0.25">
      <c r="A385" t="s">
        <v>2</v>
      </c>
      <c r="B385" t="s">
        <v>1634</v>
      </c>
      <c r="C385">
        <v>15501</v>
      </c>
      <c r="D385">
        <v>0</v>
      </c>
      <c r="F385">
        <v>0</v>
      </c>
    </row>
    <row r="386" spans="1:6" x14ac:dyDescent="0.25">
      <c r="A386" t="s">
        <v>15</v>
      </c>
      <c r="B386" t="s">
        <v>1635</v>
      </c>
      <c r="C386">
        <v>15502</v>
      </c>
      <c r="D386">
        <v>0</v>
      </c>
      <c r="F386">
        <v>0</v>
      </c>
    </row>
    <row r="387" spans="1:6" x14ac:dyDescent="0.25">
      <c r="A387" t="s">
        <v>16</v>
      </c>
      <c r="B387" t="s">
        <v>1636</v>
      </c>
      <c r="C387">
        <v>15503</v>
      </c>
      <c r="D387">
        <v>0</v>
      </c>
      <c r="F387">
        <v>0</v>
      </c>
    </row>
    <row r="388" spans="1:6" x14ac:dyDescent="0.25">
      <c r="A388" t="s">
        <v>25</v>
      </c>
      <c r="B388" t="s">
        <v>1637</v>
      </c>
      <c r="C388">
        <v>15504</v>
      </c>
      <c r="D388">
        <v>1063589</v>
      </c>
      <c r="F388">
        <v>1063589</v>
      </c>
    </row>
    <row r="389" spans="1:6" x14ac:dyDescent="0.25">
      <c r="A389" t="s">
        <v>26</v>
      </c>
      <c r="B389" t="s">
        <v>1638</v>
      </c>
      <c r="C389">
        <v>15505</v>
      </c>
      <c r="D389">
        <v>230695</v>
      </c>
      <c r="F389">
        <v>230695</v>
      </c>
    </row>
    <row r="390" spans="1:6" x14ac:dyDescent="0.25">
      <c r="A390" t="s">
        <v>27</v>
      </c>
      <c r="B390" t="s">
        <v>1639</v>
      </c>
      <c r="C390">
        <v>15506</v>
      </c>
      <c r="D390">
        <v>0</v>
      </c>
      <c r="F390">
        <v>0</v>
      </c>
    </row>
    <row r="391" spans="1:6" x14ac:dyDescent="0.25">
      <c r="A391" t="s">
        <v>531</v>
      </c>
      <c r="B391" t="s">
        <v>1640</v>
      </c>
      <c r="C391">
        <v>15507</v>
      </c>
      <c r="D391">
        <v>0</v>
      </c>
      <c r="F391">
        <v>0</v>
      </c>
    </row>
    <row r="392" spans="1:6" x14ac:dyDescent="0.25">
      <c r="A392" t="s">
        <v>1583</v>
      </c>
      <c r="B392" t="s">
        <v>1641</v>
      </c>
      <c r="C392">
        <v>15508</v>
      </c>
      <c r="D392">
        <v>0</v>
      </c>
      <c r="F392">
        <v>0</v>
      </c>
    </row>
    <row r="393" spans="1:6" x14ac:dyDescent="0.25">
      <c r="B393" t="s">
        <v>1723</v>
      </c>
      <c r="D393">
        <v>1294284</v>
      </c>
      <c r="F393">
        <v>1294284</v>
      </c>
    </row>
    <row r="394" spans="1:6" x14ac:dyDescent="0.25">
      <c r="B394" t="s">
        <v>1724</v>
      </c>
    </row>
    <row r="395" spans="1:6" x14ac:dyDescent="0.25">
      <c r="A395" t="s">
        <v>2</v>
      </c>
      <c r="B395" t="s">
        <v>1634</v>
      </c>
      <c r="C395">
        <v>15601</v>
      </c>
      <c r="D395">
        <v>0</v>
      </c>
      <c r="F395">
        <v>0</v>
      </c>
    </row>
    <row r="396" spans="1:6" x14ac:dyDescent="0.25">
      <c r="A396" t="s">
        <v>15</v>
      </c>
      <c r="B396" t="s">
        <v>1635</v>
      </c>
      <c r="C396">
        <v>15602</v>
      </c>
      <c r="D396">
        <v>0</v>
      </c>
      <c r="F396">
        <v>0</v>
      </c>
    </row>
    <row r="397" spans="1:6" x14ac:dyDescent="0.25">
      <c r="A397" t="s">
        <v>16</v>
      </c>
      <c r="B397" t="s">
        <v>1636</v>
      </c>
      <c r="C397">
        <v>15603</v>
      </c>
      <c r="D397">
        <v>0</v>
      </c>
      <c r="F397">
        <v>0</v>
      </c>
    </row>
    <row r="398" spans="1:6" x14ac:dyDescent="0.25">
      <c r="A398" t="s">
        <v>25</v>
      </c>
      <c r="B398" t="s">
        <v>1637</v>
      </c>
      <c r="C398">
        <v>15604</v>
      </c>
      <c r="D398">
        <v>0</v>
      </c>
      <c r="F398">
        <v>0</v>
      </c>
    </row>
    <row r="399" spans="1:6" x14ac:dyDescent="0.25">
      <c r="A399" t="s">
        <v>26</v>
      </c>
      <c r="B399" t="s">
        <v>1638</v>
      </c>
      <c r="C399">
        <v>15605</v>
      </c>
      <c r="D399">
        <v>21079</v>
      </c>
      <c r="F399">
        <v>21079</v>
      </c>
    </row>
    <row r="400" spans="1:6" x14ac:dyDescent="0.25">
      <c r="A400" t="s">
        <v>27</v>
      </c>
      <c r="B400" t="s">
        <v>1639</v>
      </c>
      <c r="C400">
        <v>15606</v>
      </c>
      <c r="D400">
        <v>0</v>
      </c>
      <c r="F400">
        <v>0</v>
      </c>
    </row>
    <row r="401" spans="1:6" x14ac:dyDescent="0.25">
      <c r="A401" t="s">
        <v>531</v>
      </c>
      <c r="B401" t="s">
        <v>1640</v>
      </c>
      <c r="C401">
        <v>15607</v>
      </c>
      <c r="D401">
        <v>0</v>
      </c>
      <c r="F401">
        <v>0</v>
      </c>
    </row>
    <row r="402" spans="1:6" x14ac:dyDescent="0.25">
      <c r="A402" t="s">
        <v>1583</v>
      </c>
      <c r="B402" t="s">
        <v>1641</v>
      </c>
      <c r="C402">
        <v>15608</v>
      </c>
      <c r="D402">
        <v>156267</v>
      </c>
      <c r="F402">
        <v>156267</v>
      </c>
    </row>
    <row r="403" spans="1:6" x14ac:dyDescent="0.25">
      <c r="B403" t="s">
        <v>1725</v>
      </c>
      <c r="D403">
        <v>177346</v>
      </c>
      <c r="F403">
        <v>177346</v>
      </c>
    </row>
    <row r="404" spans="1:6" x14ac:dyDescent="0.25">
      <c r="B404" t="s">
        <v>1726</v>
      </c>
    </row>
    <row r="405" spans="1:6" x14ac:dyDescent="0.25">
      <c r="A405" t="s">
        <v>2</v>
      </c>
      <c r="B405" t="s">
        <v>1648</v>
      </c>
      <c r="C405">
        <v>15701</v>
      </c>
      <c r="D405">
        <v>0</v>
      </c>
      <c r="F405">
        <v>0</v>
      </c>
    </row>
    <row r="406" spans="1:6" x14ac:dyDescent="0.25">
      <c r="A406" t="s">
        <v>15</v>
      </c>
      <c r="B406" t="s">
        <v>1649</v>
      </c>
      <c r="C406">
        <v>15702</v>
      </c>
      <c r="D406">
        <v>0</v>
      </c>
      <c r="F406">
        <v>0</v>
      </c>
    </row>
    <row r="407" spans="1:6" x14ac:dyDescent="0.25">
      <c r="A407" t="s">
        <v>16</v>
      </c>
      <c r="B407" t="s">
        <v>1637</v>
      </c>
      <c r="C407">
        <v>15703</v>
      </c>
      <c r="D407">
        <v>0</v>
      </c>
      <c r="F407">
        <v>0</v>
      </c>
    </row>
    <row r="408" spans="1:6" x14ac:dyDescent="0.25">
      <c r="A408" t="s">
        <v>25</v>
      </c>
      <c r="B408" t="s">
        <v>1638</v>
      </c>
      <c r="C408">
        <v>15704</v>
      </c>
      <c r="D408">
        <v>453582</v>
      </c>
      <c r="F408">
        <v>453582</v>
      </c>
    </row>
    <row r="409" spans="1:6" x14ac:dyDescent="0.25">
      <c r="A409" t="s">
        <v>26</v>
      </c>
      <c r="B409" t="s">
        <v>1650</v>
      </c>
      <c r="C409">
        <v>15705</v>
      </c>
      <c r="D409">
        <v>0</v>
      </c>
      <c r="F409">
        <v>0</v>
      </c>
    </row>
    <row r="410" spans="1:6" x14ac:dyDescent="0.25">
      <c r="A410" t="s">
        <v>27</v>
      </c>
      <c r="B410" t="s">
        <v>1651</v>
      </c>
      <c r="C410">
        <v>15706</v>
      </c>
      <c r="D410">
        <v>0</v>
      </c>
      <c r="F410">
        <v>0</v>
      </c>
    </row>
    <row r="411" spans="1:6" x14ac:dyDescent="0.25">
      <c r="A411" t="s">
        <v>531</v>
      </c>
      <c r="B411" t="s">
        <v>1640</v>
      </c>
      <c r="C411">
        <v>15707</v>
      </c>
      <c r="D411">
        <v>0</v>
      </c>
      <c r="F411">
        <v>0</v>
      </c>
    </row>
    <row r="412" spans="1:6" x14ac:dyDescent="0.25">
      <c r="A412" t="s">
        <v>1583</v>
      </c>
      <c r="B412" t="s">
        <v>1641</v>
      </c>
      <c r="C412">
        <v>15708</v>
      </c>
      <c r="D412">
        <v>0</v>
      </c>
      <c r="F412">
        <v>0</v>
      </c>
    </row>
    <row r="413" spans="1:6" x14ac:dyDescent="0.25">
      <c r="B413" t="s">
        <v>1727</v>
      </c>
      <c r="D413">
        <v>453582</v>
      </c>
      <c r="F413">
        <v>453582</v>
      </c>
    </row>
    <row r="414" spans="1:6" x14ac:dyDescent="0.25">
      <c r="B414" t="s">
        <v>1728</v>
      </c>
      <c r="D414">
        <v>40511870</v>
      </c>
      <c r="F414">
        <v>40511870</v>
      </c>
    </row>
    <row r="415" spans="1:6" x14ac:dyDescent="0.25">
      <c r="B415" t="s">
        <v>1729</v>
      </c>
    </row>
    <row r="416" spans="1:6" x14ac:dyDescent="0.25">
      <c r="B416" t="s">
        <v>1730</v>
      </c>
    </row>
    <row r="417" spans="1:6" x14ac:dyDescent="0.25">
      <c r="A417" t="s">
        <v>2</v>
      </c>
      <c r="B417" t="s">
        <v>1710</v>
      </c>
      <c r="C417">
        <v>16101</v>
      </c>
      <c r="D417">
        <v>0</v>
      </c>
      <c r="E417">
        <v>0</v>
      </c>
      <c r="F417">
        <v>0</v>
      </c>
    </row>
    <row r="418" spans="1:6" x14ac:dyDescent="0.25">
      <c r="A418" t="s">
        <v>15</v>
      </c>
      <c r="B418" t="s">
        <v>1711</v>
      </c>
      <c r="C418">
        <v>16102</v>
      </c>
      <c r="D418">
        <v>0</v>
      </c>
      <c r="E418">
        <v>0</v>
      </c>
      <c r="F418">
        <v>0</v>
      </c>
    </row>
    <row r="419" spans="1:6" x14ac:dyDescent="0.25">
      <c r="A419" t="s">
        <v>16</v>
      </c>
      <c r="B419" t="s">
        <v>1712</v>
      </c>
      <c r="C419">
        <v>16103</v>
      </c>
      <c r="D419">
        <v>0</v>
      </c>
      <c r="E419">
        <v>0</v>
      </c>
      <c r="F419">
        <v>0</v>
      </c>
    </row>
    <row r="420" spans="1:6" x14ac:dyDescent="0.25">
      <c r="A420" t="s">
        <v>25</v>
      </c>
      <c r="B420" t="s">
        <v>1713</v>
      </c>
      <c r="C420">
        <v>16104</v>
      </c>
      <c r="D420">
        <v>0</v>
      </c>
      <c r="E420">
        <v>0</v>
      </c>
      <c r="F420">
        <v>0</v>
      </c>
    </row>
    <row r="421" spans="1:6" x14ac:dyDescent="0.25">
      <c r="A421" t="s">
        <v>26</v>
      </c>
      <c r="B421" t="s">
        <v>1714</v>
      </c>
      <c r="C421">
        <v>16105</v>
      </c>
      <c r="D421">
        <v>0</v>
      </c>
      <c r="E421">
        <v>0</v>
      </c>
      <c r="F421">
        <v>0</v>
      </c>
    </row>
    <row r="422" spans="1:6" x14ac:dyDescent="0.25">
      <c r="B422" t="s">
        <v>1731</v>
      </c>
      <c r="D422">
        <v>0</v>
      </c>
      <c r="E422">
        <v>0</v>
      </c>
      <c r="F422">
        <v>0</v>
      </c>
    </row>
    <row r="423" spans="1:6" x14ac:dyDescent="0.25">
      <c r="B423" t="s">
        <v>1732</v>
      </c>
      <c r="D423">
        <v>0</v>
      </c>
      <c r="E423">
        <v>0</v>
      </c>
      <c r="F423">
        <v>0</v>
      </c>
    </row>
    <row r="424" spans="1:6" x14ac:dyDescent="0.25">
      <c r="B424" t="s">
        <v>1733</v>
      </c>
      <c r="D424">
        <v>77774970</v>
      </c>
      <c r="E424">
        <v>1850504</v>
      </c>
      <c r="F424">
        <v>79625474</v>
      </c>
    </row>
    <row r="425" spans="1:6" x14ac:dyDescent="0.25">
      <c r="B425" t="s">
        <v>1734</v>
      </c>
    </row>
    <row r="426" spans="1:6" x14ac:dyDescent="0.25">
      <c r="B426" t="s">
        <v>1735</v>
      </c>
    </row>
    <row r="427" spans="1:6" x14ac:dyDescent="0.25">
      <c r="B427" t="s">
        <v>1736</v>
      </c>
    </row>
    <row r="428" spans="1:6" x14ac:dyDescent="0.25">
      <c r="A428" t="s">
        <v>2</v>
      </c>
      <c r="B428" t="s">
        <v>1576</v>
      </c>
      <c r="C428">
        <v>21101</v>
      </c>
      <c r="D428">
        <v>0</v>
      </c>
      <c r="E428">
        <v>0</v>
      </c>
      <c r="F428">
        <v>0</v>
      </c>
    </row>
    <row r="429" spans="1:6" x14ac:dyDescent="0.25">
      <c r="A429" t="s">
        <v>15</v>
      </c>
      <c r="B429" t="s">
        <v>1577</v>
      </c>
      <c r="C429">
        <v>21102</v>
      </c>
      <c r="D429">
        <v>0</v>
      </c>
      <c r="E429">
        <v>0</v>
      </c>
      <c r="F429">
        <v>0</v>
      </c>
    </row>
    <row r="430" spans="1:6" x14ac:dyDescent="0.25">
      <c r="A430" t="s">
        <v>16</v>
      </c>
      <c r="B430" t="s">
        <v>1578</v>
      </c>
      <c r="C430">
        <v>21103</v>
      </c>
      <c r="D430">
        <v>0</v>
      </c>
      <c r="E430">
        <v>0</v>
      </c>
      <c r="F430">
        <v>0</v>
      </c>
    </row>
    <row r="431" spans="1:6" x14ac:dyDescent="0.25">
      <c r="A431" t="s">
        <v>25</v>
      </c>
      <c r="B431" t="s">
        <v>1579</v>
      </c>
      <c r="C431">
        <v>21104</v>
      </c>
      <c r="D431">
        <v>0</v>
      </c>
      <c r="E431">
        <v>0</v>
      </c>
      <c r="F431">
        <v>0</v>
      </c>
    </row>
    <row r="432" spans="1:6" x14ac:dyDescent="0.25">
      <c r="A432" t="s">
        <v>26</v>
      </c>
      <c r="B432" t="s">
        <v>1580</v>
      </c>
      <c r="C432">
        <v>21105</v>
      </c>
      <c r="D432">
        <v>0</v>
      </c>
      <c r="E432">
        <v>0</v>
      </c>
      <c r="F432">
        <v>0</v>
      </c>
    </row>
    <row r="433" spans="1:6" x14ac:dyDescent="0.25">
      <c r="A433" t="s">
        <v>27</v>
      </c>
      <c r="B433" t="s">
        <v>1581</v>
      </c>
      <c r="C433">
        <v>21106</v>
      </c>
      <c r="D433">
        <v>0</v>
      </c>
      <c r="E433">
        <v>0</v>
      </c>
      <c r="F433">
        <v>0</v>
      </c>
    </row>
    <row r="434" spans="1:6" x14ac:dyDescent="0.25">
      <c r="A434" t="s">
        <v>531</v>
      </c>
      <c r="B434" t="s">
        <v>1582</v>
      </c>
      <c r="C434">
        <v>21107</v>
      </c>
      <c r="D434">
        <v>0</v>
      </c>
      <c r="E434">
        <v>0</v>
      </c>
      <c r="F434">
        <v>0</v>
      </c>
    </row>
    <row r="435" spans="1:6" x14ac:dyDescent="0.25">
      <c r="A435" t="s">
        <v>1583</v>
      </c>
      <c r="B435" t="s">
        <v>1584</v>
      </c>
      <c r="C435">
        <v>21108</v>
      </c>
      <c r="D435">
        <v>0</v>
      </c>
      <c r="E435">
        <v>0</v>
      </c>
      <c r="F435">
        <v>0</v>
      </c>
    </row>
    <row r="436" spans="1:6" x14ac:dyDescent="0.25">
      <c r="A436" t="s">
        <v>1585</v>
      </c>
      <c r="B436" t="s">
        <v>1586</v>
      </c>
      <c r="C436">
        <v>21109</v>
      </c>
      <c r="D436">
        <v>0</v>
      </c>
      <c r="E436">
        <v>0</v>
      </c>
      <c r="F436">
        <v>0</v>
      </c>
    </row>
    <row r="437" spans="1:6" x14ac:dyDescent="0.25">
      <c r="A437" t="s">
        <v>1587</v>
      </c>
      <c r="B437" t="s">
        <v>1588</v>
      </c>
      <c r="C437">
        <v>21110</v>
      </c>
      <c r="D437">
        <v>0</v>
      </c>
      <c r="E437">
        <v>0</v>
      </c>
      <c r="F437">
        <v>0</v>
      </c>
    </row>
    <row r="438" spans="1:6" x14ac:dyDescent="0.25">
      <c r="A438" t="s">
        <v>1589</v>
      </c>
      <c r="B438" t="s">
        <v>1590</v>
      </c>
      <c r="C438">
        <v>21111</v>
      </c>
      <c r="D438">
        <v>0</v>
      </c>
      <c r="E438">
        <v>0</v>
      </c>
      <c r="F438">
        <v>0</v>
      </c>
    </row>
    <row r="439" spans="1:6" x14ac:dyDescent="0.25">
      <c r="A439" t="s">
        <v>1591</v>
      </c>
      <c r="B439" t="s">
        <v>1592</v>
      </c>
      <c r="C439">
        <v>21112</v>
      </c>
      <c r="D439">
        <v>1860588</v>
      </c>
      <c r="E439">
        <v>0</v>
      </c>
      <c r="F439">
        <v>1860588</v>
      </c>
    </row>
    <row r="440" spans="1:6" x14ac:dyDescent="0.25">
      <c r="A440" t="s">
        <v>1593</v>
      </c>
      <c r="B440" t="s">
        <v>1594</v>
      </c>
      <c r="C440">
        <v>21113</v>
      </c>
      <c r="D440">
        <v>604</v>
      </c>
      <c r="E440">
        <v>0</v>
      </c>
      <c r="F440">
        <v>604</v>
      </c>
    </row>
    <row r="441" spans="1:6" x14ac:dyDescent="0.25">
      <c r="A441" t="s">
        <v>1595</v>
      </c>
      <c r="B441" t="s">
        <v>1596</v>
      </c>
      <c r="C441">
        <v>21114</v>
      </c>
      <c r="D441">
        <v>0</v>
      </c>
      <c r="E441">
        <v>0</v>
      </c>
      <c r="F441">
        <v>0</v>
      </c>
    </row>
    <row r="442" spans="1:6" x14ac:dyDescent="0.25">
      <c r="A442" t="s">
        <v>1597</v>
      </c>
      <c r="B442" t="s">
        <v>1598</v>
      </c>
      <c r="C442">
        <v>21115</v>
      </c>
      <c r="D442">
        <v>170653</v>
      </c>
      <c r="E442">
        <v>0</v>
      </c>
      <c r="F442">
        <v>170653</v>
      </c>
    </row>
    <row r="443" spans="1:6" x14ac:dyDescent="0.25">
      <c r="A443" t="s">
        <v>1599</v>
      </c>
      <c r="B443" t="s">
        <v>1600</v>
      </c>
      <c r="C443">
        <v>21116</v>
      </c>
      <c r="D443">
        <v>0</v>
      </c>
      <c r="E443">
        <v>0</v>
      </c>
      <c r="F443">
        <v>0</v>
      </c>
    </row>
    <row r="444" spans="1:6" x14ac:dyDescent="0.25">
      <c r="A444" t="s">
        <v>1601</v>
      </c>
      <c r="B444" t="s">
        <v>1602</v>
      </c>
      <c r="C444">
        <v>21117</v>
      </c>
      <c r="D444">
        <v>0</v>
      </c>
      <c r="E444">
        <v>0</v>
      </c>
      <c r="F444">
        <v>0</v>
      </c>
    </row>
    <row r="445" spans="1:6" x14ac:dyDescent="0.25">
      <c r="A445" t="s">
        <v>1603</v>
      </c>
      <c r="B445" t="s">
        <v>1604</v>
      </c>
      <c r="C445">
        <v>21118</v>
      </c>
      <c r="D445">
        <v>0</v>
      </c>
      <c r="E445">
        <v>0</v>
      </c>
      <c r="F445">
        <v>0</v>
      </c>
    </row>
    <row r="446" spans="1:6" x14ac:dyDescent="0.25">
      <c r="A446" t="s">
        <v>1605</v>
      </c>
      <c r="B446" t="s">
        <v>1606</v>
      </c>
      <c r="C446">
        <v>21119</v>
      </c>
      <c r="D446">
        <v>0</v>
      </c>
      <c r="E446">
        <v>0</v>
      </c>
      <c r="F446">
        <v>0</v>
      </c>
    </row>
    <row r="447" spans="1:6" x14ac:dyDescent="0.25">
      <c r="A447" t="s">
        <v>1607</v>
      </c>
      <c r="B447" t="s">
        <v>1608</v>
      </c>
      <c r="C447">
        <v>21120</v>
      </c>
      <c r="D447">
        <v>0</v>
      </c>
      <c r="E447">
        <v>0</v>
      </c>
      <c r="F447">
        <v>0</v>
      </c>
    </row>
    <row r="448" spans="1:6" x14ac:dyDescent="0.25">
      <c r="B448" t="s">
        <v>1737</v>
      </c>
      <c r="D448">
        <v>2031845</v>
      </c>
      <c r="E448">
        <v>0</v>
      </c>
      <c r="F448">
        <v>2031845</v>
      </c>
    </row>
    <row r="449" spans="1:6" x14ac:dyDescent="0.25">
      <c r="B449" t="s">
        <v>1738</v>
      </c>
    </row>
    <row r="450" spans="1:6" x14ac:dyDescent="0.25">
      <c r="A450" t="s">
        <v>2</v>
      </c>
      <c r="B450" t="s">
        <v>1611</v>
      </c>
      <c r="C450">
        <v>21201</v>
      </c>
      <c r="D450">
        <v>0</v>
      </c>
      <c r="E450">
        <v>0</v>
      </c>
      <c r="F450">
        <v>0</v>
      </c>
    </row>
    <row r="451" spans="1:6" x14ac:dyDescent="0.25">
      <c r="A451" t="s">
        <v>15</v>
      </c>
      <c r="B451" t="s">
        <v>1612</v>
      </c>
      <c r="C451">
        <v>21202</v>
      </c>
      <c r="D451">
        <v>0</v>
      </c>
      <c r="E451">
        <v>0</v>
      </c>
      <c r="F451">
        <v>0</v>
      </c>
    </row>
    <row r="452" spans="1:6" x14ac:dyDescent="0.25">
      <c r="A452" t="s">
        <v>16</v>
      </c>
      <c r="B452" t="s">
        <v>1613</v>
      </c>
      <c r="C452">
        <v>21203</v>
      </c>
      <c r="D452">
        <v>0</v>
      </c>
      <c r="E452">
        <v>0</v>
      </c>
      <c r="F452">
        <v>0</v>
      </c>
    </row>
    <row r="453" spans="1:6" x14ac:dyDescent="0.25">
      <c r="A453" t="s">
        <v>25</v>
      </c>
      <c r="B453" t="s">
        <v>1614</v>
      </c>
      <c r="C453">
        <v>21204</v>
      </c>
      <c r="D453">
        <v>0</v>
      </c>
      <c r="E453">
        <v>0</v>
      </c>
      <c r="F453">
        <v>0</v>
      </c>
    </row>
    <row r="454" spans="1:6" x14ac:dyDescent="0.25">
      <c r="A454" t="s">
        <v>26</v>
      </c>
      <c r="B454" t="s">
        <v>1615</v>
      </c>
      <c r="C454">
        <v>21205</v>
      </c>
      <c r="D454">
        <v>0</v>
      </c>
      <c r="E454">
        <v>0</v>
      </c>
      <c r="F454">
        <v>0</v>
      </c>
    </row>
    <row r="455" spans="1:6" x14ac:dyDescent="0.25">
      <c r="A455" t="s">
        <v>27</v>
      </c>
      <c r="B455" t="s">
        <v>1616</v>
      </c>
      <c r="C455">
        <v>21206</v>
      </c>
      <c r="D455">
        <v>0</v>
      </c>
      <c r="E455">
        <v>0</v>
      </c>
      <c r="F455">
        <v>0</v>
      </c>
    </row>
    <row r="456" spans="1:6" x14ac:dyDescent="0.25">
      <c r="A456" t="s">
        <v>531</v>
      </c>
      <c r="B456" t="s">
        <v>1617</v>
      </c>
      <c r="C456">
        <v>21207</v>
      </c>
      <c r="D456">
        <v>0</v>
      </c>
      <c r="E456">
        <v>0</v>
      </c>
      <c r="F456">
        <v>0</v>
      </c>
    </row>
    <row r="457" spans="1:6" x14ac:dyDescent="0.25">
      <c r="A457" t="s">
        <v>1583</v>
      </c>
      <c r="B457" t="s">
        <v>1618</v>
      </c>
      <c r="C457">
        <v>21208</v>
      </c>
      <c r="D457">
        <v>0</v>
      </c>
      <c r="E457">
        <v>0</v>
      </c>
      <c r="F457">
        <v>0</v>
      </c>
    </row>
    <row r="458" spans="1:6" x14ac:dyDescent="0.25">
      <c r="A458" t="s">
        <v>1585</v>
      </c>
      <c r="B458" t="s">
        <v>1619</v>
      </c>
      <c r="C458">
        <v>21209</v>
      </c>
      <c r="D458">
        <v>0</v>
      </c>
      <c r="E458">
        <v>0</v>
      </c>
      <c r="F458">
        <v>0</v>
      </c>
    </row>
    <row r="459" spans="1:6" x14ac:dyDescent="0.25">
      <c r="A459" t="s">
        <v>1587</v>
      </c>
      <c r="B459" t="s">
        <v>1620</v>
      </c>
      <c r="C459">
        <v>21210</v>
      </c>
      <c r="D459">
        <v>0</v>
      </c>
      <c r="E459">
        <v>0</v>
      </c>
      <c r="F459">
        <v>0</v>
      </c>
    </row>
    <row r="460" spans="1:6" x14ac:dyDescent="0.25">
      <c r="A460" t="s">
        <v>1589</v>
      </c>
      <c r="B460" t="s">
        <v>1621</v>
      </c>
      <c r="C460">
        <v>21211</v>
      </c>
      <c r="D460">
        <v>0</v>
      </c>
      <c r="E460">
        <v>0</v>
      </c>
      <c r="F460">
        <v>0</v>
      </c>
    </row>
    <row r="461" spans="1:6" x14ac:dyDescent="0.25">
      <c r="A461" t="s">
        <v>1591</v>
      </c>
      <c r="B461" t="s">
        <v>1622</v>
      </c>
      <c r="C461">
        <v>21212</v>
      </c>
      <c r="D461">
        <v>0</v>
      </c>
      <c r="E461">
        <v>0</v>
      </c>
      <c r="F461">
        <v>0</v>
      </c>
    </row>
    <row r="462" spans="1:6" x14ac:dyDescent="0.25">
      <c r="A462" t="s">
        <v>1593</v>
      </c>
      <c r="B462" t="s">
        <v>1623</v>
      </c>
      <c r="C462">
        <v>21213</v>
      </c>
      <c r="D462">
        <v>0</v>
      </c>
      <c r="E462">
        <v>0</v>
      </c>
      <c r="F462">
        <v>0</v>
      </c>
    </row>
    <row r="463" spans="1:6" x14ac:dyDescent="0.25">
      <c r="A463" t="s">
        <v>1595</v>
      </c>
      <c r="B463" t="s">
        <v>1624</v>
      </c>
      <c r="C463">
        <v>21214</v>
      </c>
      <c r="D463">
        <v>0</v>
      </c>
      <c r="E463">
        <v>0</v>
      </c>
      <c r="F463">
        <v>0</v>
      </c>
    </row>
    <row r="464" spans="1:6" x14ac:dyDescent="0.25">
      <c r="A464" t="s">
        <v>1597</v>
      </c>
      <c r="B464" t="s">
        <v>1625</v>
      </c>
      <c r="C464">
        <v>21215</v>
      </c>
      <c r="D464">
        <v>0</v>
      </c>
      <c r="E464">
        <v>0</v>
      </c>
      <c r="F464">
        <v>0</v>
      </c>
    </row>
    <row r="465" spans="1:6" x14ac:dyDescent="0.25">
      <c r="A465" t="s">
        <v>1599</v>
      </c>
      <c r="B465" t="s">
        <v>1626</v>
      </c>
      <c r="C465">
        <v>21216</v>
      </c>
      <c r="D465">
        <v>0</v>
      </c>
      <c r="E465">
        <v>0</v>
      </c>
      <c r="F465">
        <v>0</v>
      </c>
    </row>
    <row r="466" spans="1:6" x14ac:dyDescent="0.25">
      <c r="A466" t="s">
        <v>1601</v>
      </c>
      <c r="B466" t="s">
        <v>1627</v>
      </c>
      <c r="C466">
        <v>21217</v>
      </c>
      <c r="D466">
        <v>0</v>
      </c>
      <c r="E466">
        <v>0</v>
      </c>
      <c r="F466">
        <v>0</v>
      </c>
    </row>
    <row r="467" spans="1:6" x14ac:dyDescent="0.25">
      <c r="A467" t="s">
        <v>1603</v>
      </c>
      <c r="B467" t="s">
        <v>1596</v>
      </c>
      <c r="C467">
        <v>21218</v>
      </c>
      <c r="D467">
        <v>0</v>
      </c>
      <c r="E467">
        <v>0</v>
      </c>
      <c r="F467">
        <v>0</v>
      </c>
    </row>
    <row r="468" spans="1:6" x14ac:dyDescent="0.25">
      <c r="A468" t="s">
        <v>1605</v>
      </c>
      <c r="B468" t="s">
        <v>1598</v>
      </c>
      <c r="C468">
        <v>21219</v>
      </c>
      <c r="D468">
        <v>0</v>
      </c>
      <c r="E468">
        <v>0</v>
      </c>
      <c r="F468">
        <v>0</v>
      </c>
    </row>
    <row r="469" spans="1:6" x14ac:dyDescent="0.25">
      <c r="A469" t="s">
        <v>1607</v>
      </c>
      <c r="B469" t="s">
        <v>1602</v>
      </c>
      <c r="C469">
        <v>21220</v>
      </c>
      <c r="D469">
        <v>0</v>
      </c>
      <c r="E469">
        <v>0</v>
      </c>
      <c r="F469">
        <v>0</v>
      </c>
    </row>
    <row r="470" spans="1:6" x14ac:dyDescent="0.25">
      <c r="B470" t="s">
        <v>1739</v>
      </c>
      <c r="D470">
        <v>0</v>
      </c>
      <c r="E470">
        <v>0</v>
      </c>
      <c r="F470">
        <v>0</v>
      </c>
    </row>
    <row r="471" spans="1:6" x14ac:dyDescent="0.25">
      <c r="B471" t="s">
        <v>1740</v>
      </c>
    </row>
    <row r="472" spans="1:6" x14ac:dyDescent="0.25">
      <c r="A472" t="s">
        <v>2</v>
      </c>
      <c r="B472" t="s">
        <v>1627</v>
      </c>
      <c r="C472">
        <v>21301</v>
      </c>
      <c r="D472">
        <v>0</v>
      </c>
      <c r="E472">
        <v>0</v>
      </c>
      <c r="F472">
        <v>0</v>
      </c>
    </row>
    <row r="473" spans="1:6" x14ac:dyDescent="0.25">
      <c r="A473" t="s">
        <v>15</v>
      </c>
      <c r="B473" t="s">
        <v>1625</v>
      </c>
      <c r="C473">
        <v>21302</v>
      </c>
      <c r="D473">
        <v>0</v>
      </c>
      <c r="E473">
        <v>0</v>
      </c>
      <c r="F473">
        <v>0</v>
      </c>
    </row>
    <row r="474" spans="1:6" x14ac:dyDescent="0.25">
      <c r="A474" t="s">
        <v>16</v>
      </c>
      <c r="B474" t="s">
        <v>1626</v>
      </c>
      <c r="C474">
        <v>21303</v>
      </c>
      <c r="D474">
        <v>0</v>
      </c>
      <c r="E474">
        <v>0</v>
      </c>
      <c r="F474">
        <v>0</v>
      </c>
    </row>
    <row r="475" spans="1:6" x14ac:dyDescent="0.25">
      <c r="B475" t="s">
        <v>1741</v>
      </c>
      <c r="D475">
        <v>0</v>
      </c>
      <c r="E475">
        <v>0</v>
      </c>
      <c r="F475">
        <v>0</v>
      </c>
    </row>
    <row r="476" spans="1:6" x14ac:dyDescent="0.25">
      <c r="B476" t="s">
        <v>1653</v>
      </c>
      <c r="D476">
        <v>2031845</v>
      </c>
      <c r="E476">
        <v>0</v>
      </c>
      <c r="F476">
        <v>2031845</v>
      </c>
    </row>
    <row r="477" spans="1:6" x14ac:dyDescent="0.25">
      <c r="B477" t="s">
        <v>1742</v>
      </c>
    </row>
    <row r="478" spans="1:6" x14ac:dyDescent="0.25">
      <c r="B478" t="s">
        <v>1743</v>
      </c>
    </row>
    <row r="479" spans="1:6" x14ac:dyDescent="0.25">
      <c r="A479" t="s">
        <v>2</v>
      </c>
      <c r="B479" t="s">
        <v>1634</v>
      </c>
      <c r="C479">
        <v>22101</v>
      </c>
      <c r="D479">
        <v>0</v>
      </c>
      <c r="F479">
        <v>0</v>
      </c>
    </row>
    <row r="480" spans="1:6" x14ac:dyDescent="0.25">
      <c r="A480" t="s">
        <v>15</v>
      </c>
      <c r="B480" t="s">
        <v>1635</v>
      </c>
      <c r="C480">
        <v>22102</v>
      </c>
      <c r="D480">
        <v>0</v>
      </c>
      <c r="F480">
        <v>0</v>
      </c>
    </row>
    <row r="481" spans="1:6" x14ac:dyDescent="0.25">
      <c r="A481" t="s">
        <v>16</v>
      </c>
      <c r="B481" t="s">
        <v>1636</v>
      </c>
      <c r="C481">
        <v>22103</v>
      </c>
      <c r="D481">
        <v>0</v>
      </c>
      <c r="F481">
        <v>0</v>
      </c>
    </row>
    <row r="482" spans="1:6" x14ac:dyDescent="0.25">
      <c r="A482" t="s">
        <v>25</v>
      </c>
      <c r="B482" t="s">
        <v>1637</v>
      </c>
      <c r="C482">
        <v>22104</v>
      </c>
      <c r="D482">
        <v>0</v>
      </c>
      <c r="F482">
        <v>0</v>
      </c>
    </row>
    <row r="483" spans="1:6" x14ac:dyDescent="0.25">
      <c r="A483" t="s">
        <v>26</v>
      </c>
      <c r="B483" t="s">
        <v>1638</v>
      </c>
      <c r="C483">
        <v>22105</v>
      </c>
      <c r="D483">
        <v>0</v>
      </c>
      <c r="F483">
        <v>0</v>
      </c>
    </row>
    <row r="484" spans="1:6" x14ac:dyDescent="0.25">
      <c r="A484" t="s">
        <v>27</v>
      </c>
      <c r="B484" t="s">
        <v>1639</v>
      </c>
      <c r="C484">
        <v>22106</v>
      </c>
      <c r="D484">
        <v>0</v>
      </c>
      <c r="F484">
        <v>0</v>
      </c>
    </row>
    <row r="485" spans="1:6" x14ac:dyDescent="0.25">
      <c r="A485" t="s">
        <v>531</v>
      </c>
      <c r="B485" t="s">
        <v>1640</v>
      </c>
      <c r="C485">
        <v>22107</v>
      </c>
      <c r="D485">
        <v>0</v>
      </c>
      <c r="F485">
        <v>0</v>
      </c>
    </row>
    <row r="486" spans="1:6" x14ac:dyDescent="0.25">
      <c r="A486" t="s">
        <v>1583</v>
      </c>
      <c r="B486" t="s">
        <v>1641</v>
      </c>
      <c r="C486">
        <v>22108</v>
      </c>
      <c r="D486">
        <v>0</v>
      </c>
      <c r="F486">
        <v>0</v>
      </c>
    </row>
    <row r="487" spans="1:6" x14ac:dyDescent="0.25">
      <c r="B487" t="s">
        <v>1744</v>
      </c>
      <c r="D487">
        <v>0</v>
      </c>
      <c r="F487">
        <v>0</v>
      </c>
    </row>
    <row r="488" spans="1:6" x14ac:dyDescent="0.25">
      <c r="B488" t="s">
        <v>1745</v>
      </c>
    </row>
    <row r="489" spans="1:6" x14ac:dyDescent="0.25">
      <c r="A489" t="s">
        <v>2</v>
      </c>
      <c r="B489" t="s">
        <v>1634</v>
      </c>
      <c r="C489">
        <v>22201</v>
      </c>
      <c r="D489">
        <v>0</v>
      </c>
      <c r="F489">
        <v>0</v>
      </c>
    </row>
    <row r="490" spans="1:6" x14ac:dyDescent="0.25">
      <c r="A490" t="s">
        <v>15</v>
      </c>
      <c r="B490" t="s">
        <v>1635</v>
      </c>
      <c r="C490">
        <v>22202</v>
      </c>
      <c r="D490">
        <v>0</v>
      </c>
      <c r="F490">
        <v>0</v>
      </c>
    </row>
    <row r="491" spans="1:6" x14ac:dyDescent="0.25">
      <c r="A491" t="s">
        <v>16</v>
      </c>
      <c r="B491" t="s">
        <v>1636</v>
      </c>
      <c r="C491">
        <v>22203</v>
      </c>
      <c r="D491">
        <v>0</v>
      </c>
      <c r="F491">
        <v>0</v>
      </c>
    </row>
    <row r="492" spans="1:6" x14ac:dyDescent="0.25">
      <c r="A492" t="s">
        <v>25</v>
      </c>
      <c r="B492" t="s">
        <v>1637</v>
      </c>
      <c r="C492">
        <v>22204</v>
      </c>
      <c r="D492">
        <v>0</v>
      </c>
      <c r="F492">
        <v>0</v>
      </c>
    </row>
    <row r="493" spans="1:6" x14ac:dyDescent="0.25">
      <c r="A493" t="s">
        <v>26</v>
      </c>
      <c r="B493" t="s">
        <v>1638</v>
      </c>
      <c r="C493">
        <v>22205</v>
      </c>
      <c r="D493">
        <v>0</v>
      </c>
      <c r="F493">
        <v>0</v>
      </c>
    </row>
    <row r="494" spans="1:6" x14ac:dyDescent="0.25">
      <c r="A494" t="s">
        <v>27</v>
      </c>
      <c r="B494" t="s">
        <v>1639</v>
      </c>
      <c r="C494">
        <v>22206</v>
      </c>
      <c r="D494">
        <v>0</v>
      </c>
      <c r="F494">
        <v>0</v>
      </c>
    </row>
    <row r="495" spans="1:6" x14ac:dyDescent="0.25">
      <c r="A495" t="s">
        <v>531</v>
      </c>
      <c r="B495" t="s">
        <v>1640</v>
      </c>
      <c r="C495">
        <v>22207</v>
      </c>
      <c r="D495">
        <v>0</v>
      </c>
      <c r="F495">
        <v>0</v>
      </c>
    </row>
    <row r="496" spans="1:6" x14ac:dyDescent="0.25">
      <c r="A496" t="s">
        <v>1583</v>
      </c>
      <c r="B496" t="s">
        <v>1641</v>
      </c>
      <c r="C496">
        <v>22208</v>
      </c>
      <c r="D496">
        <v>0</v>
      </c>
      <c r="F496">
        <v>0</v>
      </c>
    </row>
    <row r="497" spans="1:6" x14ac:dyDescent="0.25">
      <c r="B497" t="s">
        <v>1746</v>
      </c>
      <c r="D497">
        <v>0</v>
      </c>
      <c r="F497">
        <v>0</v>
      </c>
    </row>
    <row r="498" spans="1:6" x14ac:dyDescent="0.25">
      <c r="B498" t="s">
        <v>1747</v>
      </c>
    </row>
    <row r="499" spans="1:6" x14ac:dyDescent="0.25">
      <c r="A499" t="s">
        <v>2</v>
      </c>
      <c r="B499" t="s">
        <v>1634</v>
      </c>
      <c r="C499">
        <v>22301</v>
      </c>
      <c r="D499">
        <v>181702</v>
      </c>
      <c r="F499">
        <v>181702</v>
      </c>
    </row>
    <row r="500" spans="1:6" x14ac:dyDescent="0.25">
      <c r="A500" t="s">
        <v>15</v>
      </c>
      <c r="B500" t="s">
        <v>1635</v>
      </c>
      <c r="C500">
        <v>22302</v>
      </c>
      <c r="D500">
        <v>2733</v>
      </c>
      <c r="F500">
        <v>2733</v>
      </c>
    </row>
    <row r="501" spans="1:6" x14ac:dyDescent="0.25">
      <c r="A501" t="s">
        <v>16</v>
      </c>
      <c r="B501" t="s">
        <v>1636</v>
      </c>
      <c r="C501">
        <v>22303</v>
      </c>
      <c r="D501">
        <v>0</v>
      </c>
      <c r="F501">
        <v>0</v>
      </c>
    </row>
    <row r="502" spans="1:6" x14ac:dyDescent="0.25">
      <c r="A502" t="s">
        <v>25</v>
      </c>
      <c r="B502" t="s">
        <v>1637</v>
      </c>
      <c r="C502">
        <v>22304</v>
      </c>
      <c r="D502">
        <v>63695</v>
      </c>
      <c r="F502">
        <v>63695</v>
      </c>
    </row>
    <row r="503" spans="1:6" x14ac:dyDescent="0.25">
      <c r="A503" t="s">
        <v>26</v>
      </c>
      <c r="B503" t="s">
        <v>1638</v>
      </c>
      <c r="C503">
        <v>22305</v>
      </c>
      <c r="D503">
        <v>250259</v>
      </c>
      <c r="F503">
        <v>250259</v>
      </c>
    </row>
    <row r="504" spans="1:6" x14ac:dyDescent="0.25">
      <c r="A504" t="s">
        <v>27</v>
      </c>
      <c r="B504" t="s">
        <v>1639</v>
      </c>
      <c r="C504">
        <v>22306</v>
      </c>
      <c r="D504">
        <v>0</v>
      </c>
      <c r="F504">
        <v>0</v>
      </c>
    </row>
    <row r="505" spans="1:6" x14ac:dyDescent="0.25">
      <c r="A505" t="s">
        <v>531</v>
      </c>
      <c r="B505" t="s">
        <v>1640</v>
      </c>
      <c r="C505">
        <v>22307</v>
      </c>
      <c r="D505">
        <v>0</v>
      </c>
      <c r="F505">
        <v>0</v>
      </c>
    </row>
    <row r="506" spans="1:6" x14ac:dyDescent="0.25">
      <c r="A506" t="s">
        <v>1583</v>
      </c>
      <c r="B506" t="s">
        <v>1641</v>
      </c>
      <c r="C506">
        <v>22308</v>
      </c>
      <c r="D506">
        <v>73800</v>
      </c>
      <c r="F506">
        <v>73800</v>
      </c>
    </row>
    <row r="507" spans="1:6" x14ac:dyDescent="0.25">
      <c r="B507" t="s">
        <v>1748</v>
      </c>
      <c r="D507">
        <v>572189</v>
      </c>
      <c r="F507">
        <v>572189</v>
      </c>
    </row>
    <row r="508" spans="1:6" x14ac:dyDescent="0.25">
      <c r="B508" t="s">
        <v>1749</v>
      </c>
    </row>
    <row r="509" spans="1:6" x14ac:dyDescent="0.25">
      <c r="A509" t="s">
        <v>2</v>
      </c>
      <c r="B509" t="s">
        <v>1634</v>
      </c>
      <c r="C509">
        <v>22401</v>
      </c>
      <c r="D509">
        <v>0</v>
      </c>
      <c r="F509">
        <v>0</v>
      </c>
    </row>
    <row r="510" spans="1:6" x14ac:dyDescent="0.25">
      <c r="A510" t="s">
        <v>15</v>
      </c>
      <c r="B510" t="s">
        <v>1635</v>
      </c>
      <c r="C510">
        <v>22402</v>
      </c>
      <c r="D510">
        <v>0</v>
      </c>
      <c r="F510">
        <v>0</v>
      </c>
    </row>
    <row r="511" spans="1:6" x14ac:dyDescent="0.25">
      <c r="A511" t="s">
        <v>16</v>
      </c>
      <c r="B511" t="s">
        <v>1636</v>
      </c>
      <c r="C511">
        <v>22403</v>
      </c>
      <c r="D511">
        <v>0</v>
      </c>
      <c r="F511">
        <v>0</v>
      </c>
    </row>
    <row r="512" spans="1:6" x14ac:dyDescent="0.25">
      <c r="A512" t="s">
        <v>25</v>
      </c>
      <c r="B512" t="s">
        <v>1637</v>
      </c>
      <c r="C512">
        <v>22404</v>
      </c>
      <c r="D512">
        <v>0</v>
      </c>
      <c r="F512">
        <v>0</v>
      </c>
    </row>
    <row r="513" spans="1:6" x14ac:dyDescent="0.25">
      <c r="A513" t="s">
        <v>26</v>
      </c>
      <c r="B513" t="s">
        <v>1638</v>
      </c>
      <c r="C513">
        <v>22405</v>
      </c>
      <c r="D513">
        <v>20826</v>
      </c>
      <c r="F513">
        <v>20826</v>
      </c>
    </row>
    <row r="514" spans="1:6" x14ac:dyDescent="0.25">
      <c r="A514" t="s">
        <v>27</v>
      </c>
      <c r="B514" t="s">
        <v>1639</v>
      </c>
      <c r="C514">
        <v>22406</v>
      </c>
      <c r="D514">
        <v>0</v>
      </c>
      <c r="F514">
        <v>0</v>
      </c>
    </row>
    <row r="515" spans="1:6" x14ac:dyDescent="0.25">
      <c r="A515" t="s">
        <v>531</v>
      </c>
      <c r="B515" t="s">
        <v>1640</v>
      </c>
      <c r="C515">
        <v>22407</v>
      </c>
      <c r="D515">
        <v>0</v>
      </c>
      <c r="F515">
        <v>0</v>
      </c>
    </row>
    <row r="516" spans="1:6" x14ac:dyDescent="0.25">
      <c r="A516" t="s">
        <v>1583</v>
      </c>
      <c r="B516" t="s">
        <v>1641</v>
      </c>
      <c r="C516">
        <v>22408</v>
      </c>
      <c r="D516">
        <v>0</v>
      </c>
      <c r="F516">
        <v>0</v>
      </c>
    </row>
    <row r="517" spans="1:6" x14ac:dyDescent="0.25">
      <c r="B517" t="s">
        <v>1750</v>
      </c>
      <c r="D517">
        <v>20826</v>
      </c>
      <c r="F517">
        <v>20826</v>
      </c>
    </row>
    <row r="518" spans="1:6" x14ac:dyDescent="0.25">
      <c r="B518" t="s">
        <v>1751</v>
      </c>
    </row>
    <row r="519" spans="1:6" x14ac:dyDescent="0.25">
      <c r="A519" t="s">
        <v>2</v>
      </c>
      <c r="B519" t="s">
        <v>1648</v>
      </c>
      <c r="C519">
        <v>22501</v>
      </c>
      <c r="D519">
        <v>0</v>
      </c>
      <c r="F519">
        <v>0</v>
      </c>
    </row>
    <row r="520" spans="1:6" x14ac:dyDescent="0.25">
      <c r="A520" t="s">
        <v>15</v>
      </c>
      <c r="B520" t="s">
        <v>1649</v>
      </c>
      <c r="C520">
        <v>22502</v>
      </c>
      <c r="D520">
        <v>0</v>
      </c>
      <c r="F520">
        <v>0</v>
      </c>
    </row>
    <row r="521" spans="1:6" x14ac:dyDescent="0.25">
      <c r="A521" t="s">
        <v>16</v>
      </c>
      <c r="B521" t="s">
        <v>1637</v>
      </c>
      <c r="C521">
        <v>22503</v>
      </c>
      <c r="D521">
        <v>0</v>
      </c>
      <c r="F521">
        <v>0</v>
      </c>
    </row>
    <row r="522" spans="1:6" x14ac:dyDescent="0.25">
      <c r="A522" t="s">
        <v>25</v>
      </c>
      <c r="B522" t="s">
        <v>1638</v>
      </c>
      <c r="C522">
        <v>22504</v>
      </c>
      <c r="D522">
        <v>0</v>
      </c>
      <c r="F522">
        <v>0</v>
      </c>
    </row>
    <row r="523" spans="1:6" x14ac:dyDescent="0.25">
      <c r="A523" t="s">
        <v>26</v>
      </c>
      <c r="B523" t="s">
        <v>1650</v>
      </c>
      <c r="C523">
        <v>22505</v>
      </c>
      <c r="D523">
        <v>0</v>
      </c>
      <c r="F523">
        <v>0</v>
      </c>
    </row>
    <row r="524" spans="1:6" x14ac:dyDescent="0.25">
      <c r="A524" t="s">
        <v>27</v>
      </c>
      <c r="B524" t="s">
        <v>1651</v>
      </c>
      <c r="C524">
        <v>22506</v>
      </c>
      <c r="D524">
        <v>0</v>
      </c>
      <c r="F524">
        <v>0</v>
      </c>
    </row>
    <row r="525" spans="1:6" x14ac:dyDescent="0.25">
      <c r="A525" t="s">
        <v>531</v>
      </c>
      <c r="B525" t="s">
        <v>1640</v>
      </c>
      <c r="C525">
        <v>22507</v>
      </c>
      <c r="D525">
        <v>0</v>
      </c>
      <c r="F525">
        <v>0</v>
      </c>
    </row>
    <row r="526" spans="1:6" x14ac:dyDescent="0.25">
      <c r="A526" t="s">
        <v>1583</v>
      </c>
      <c r="B526" t="s">
        <v>1641</v>
      </c>
      <c r="C526">
        <v>22508</v>
      </c>
      <c r="D526">
        <v>0</v>
      </c>
      <c r="F526">
        <v>0</v>
      </c>
    </row>
    <row r="527" spans="1:6" x14ac:dyDescent="0.25">
      <c r="B527" t="s">
        <v>1752</v>
      </c>
      <c r="D527">
        <v>0</v>
      </c>
      <c r="F527">
        <v>0</v>
      </c>
    </row>
    <row r="528" spans="1:6" x14ac:dyDescent="0.25">
      <c r="B528" t="s">
        <v>1660</v>
      </c>
      <c r="D528">
        <v>593015</v>
      </c>
      <c r="F528">
        <v>593015</v>
      </c>
    </row>
    <row r="529" spans="1:6" x14ac:dyDescent="0.25">
      <c r="B529" t="s">
        <v>1753</v>
      </c>
    </row>
    <row r="530" spans="1:6" x14ac:dyDescent="0.25">
      <c r="B530" t="s">
        <v>1754</v>
      </c>
    </row>
    <row r="531" spans="1:6" x14ac:dyDescent="0.25">
      <c r="A531" t="s">
        <v>2</v>
      </c>
      <c r="B531" t="s">
        <v>1637</v>
      </c>
      <c r="C531">
        <v>23101</v>
      </c>
      <c r="D531">
        <v>77406</v>
      </c>
      <c r="F531">
        <v>77406</v>
      </c>
    </row>
    <row r="532" spans="1:6" x14ac:dyDescent="0.25">
      <c r="A532" t="s">
        <v>15</v>
      </c>
      <c r="B532" t="s">
        <v>1638</v>
      </c>
      <c r="C532">
        <v>23102</v>
      </c>
      <c r="D532">
        <v>493642</v>
      </c>
      <c r="F532">
        <v>493642</v>
      </c>
    </row>
    <row r="533" spans="1:6" x14ac:dyDescent="0.25">
      <c r="A533" t="s">
        <v>16</v>
      </c>
      <c r="B533" t="s">
        <v>1640</v>
      </c>
      <c r="C533">
        <v>23103</v>
      </c>
      <c r="D533">
        <v>0</v>
      </c>
      <c r="F533">
        <v>0</v>
      </c>
    </row>
    <row r="534" spans="1:6" x14ac:dyDescent="0.25">
      <c r="A534" t="s">
        <v>25</v>
      </c>
      <c r="B534" t="s">
        <v>1641</v>
      </c>
      <c r="C534">
        <v>23104</v>
      </c>
      <c r="D534">
        <v>0</v>
      </c>
      <c r="F534">
        <v>0</v>
      </c>
    </row>
    <row r="535" spans="1:6" x14ac:dyDescent="0.25">
      <c r="B535" t="s">
        <v>1755</v>
      </c>
      <c r="D535">
        <v>571048</v>
      </c>
      <c r="F535">
        <v>571048</v>
      </c>
    </row>
    <row r="536" spans="1:6" x14ac:dyDescent="0.25">
      <c r="B536" t="s">
        <v>1756</v>
      </c>
    </row>
    <row r="537" spans="1:6" x14ac:dyDescent="0.25">
      <c r="A537" t="s">
        <v>2</v>
      </c>
      <c r="B537" t="s">
        <v>1637</v>
      </c>
      <c r="C537">
        <v>23201</v>
      </c>
      <c r="D537">
        <v>205819</v>
      </c>
      <c r="F537">
        <v>205819</v>
      </c>
    </row>
    <row r="538" spans="1:6" x14ac:dyDescent="0.25">
      <c r="A538" t="s">
        <v>15</v>
      </c>
      <c r="B538" t="s">
        <v>1638</v>
      </c>
      <c r="C538">
        <v>23202</v>
      </c>
      <c r="D538">
        <v>889383</v>
      </c>
      <c r="F538">
        <v>889383</v>
      </c>
    </row>
    <row r="539" spans="1:6" x14ac:dyDescent="0.25">
      <c r="A539" t="s">
        <v>16</v>
      </c>
      <c r="B539" t="s">
        <v>1640</v>
      </c>
      <c r="C539">
        <v>23203</v>
      </c>
      <c r="D539">
        <v>115923</v>
      </c>
      <c r="F539">
        <v>115923</v>
      </c>
    </row>
    <row r="540" spans="1:6" x14ac:dyDescent="0.25">
      <c r="A540" t="s">
        <v>25</v>
      </c>
      <c r="B540" t="s">
        <v>1641</v>
      </c>
      <c r="C540">
        <v>23204</v>
      </c>
      <c r="D540">
        <v>0</v>
      </c>
      <c r="F540">
        <v>0</v>
      </c>
    </row>
    <row r="541" spans="1:6" x14ac:dyDescent="0.25">
      <c r="B541" t="s">
        <v>1757</v>
      </c>
      <c r="D541">
        <v>1211125</v>
      </c>
      <c r="F541">
        <v>1211125</v>
      </c>
    </row>
    <row r="542" spans="1:6" x14ac:dyDescent="0.25">
      <c r="B542" t="s">
        <v>1758</v>
      </c>
    </row>
    <row r="543" spans="1:6" x14ac:dyDescent="0.25">
      <c r="A543" t="s">
        <v>2</v>
      </c>
      <c r="B543" t="s">
        <v>1637</v>
      </c>
      <c r="C543">
        <v>23301</v>
      </c>
      <c r="D543">
        <v>0</v>
      </c>
      <c r="F543">
        <v>0</v>
      </c>
    </row>
    <row r="544" spans="1:6" x14ac:dyDescent="0.25">
      <c r="A544" t="s">
        <v>15</v>
      </c>
      <c r="B544" t="s">
        <v>1638</v>
      </c>
      <c r="C544">
        <v>23302</v>
      </c>
      <c r="D544">
        <v>5739819</v>
      </c>
      <c r="F544">
        <v>5739819</v>
      </c>
    </row>
    <row r="545" spans="1:6" x14ac:dyDescent="0.25">
      <c r="A545" t="s">
        <v>16</v>
      </c>
      <c r="B545" t="s">
        <v>1640</v>
      </c>
      <c r="C545">
        <v>23303</v>
      </c>
      <c r="D545">
        <v>0</v>
      </c>
      <c r="F545">
        <v>0</v>
      </c>
    </row>
    <row r="546" spans="1:6" x14ac:dyDescent="0.25">
      <c r="A546" t="s">
        <v>25</v>
      </c>
      <c r="B546" t="s">
        <v>1641</v>
      </c>
      <c r="C546">
        <v>23304</v>
      </c>
      <c r="D546">
        <v>0</v>
      </c>
      <c r="F546">
        <v>0</v>
      </c>
    </row>
    <row r="547" spans="1:6" x14ac:dyDescent="0.25">
      <c r="B547" t="s">
        <v>1759</v>
      </c>
      <c r="D547">
        <v>5739819</v>
      </c>
      <c r="F547">
        <v>5739819</v>
      </c>
    </row>
    <row r="548" spans="1:6" x14ac:dyDescent="0.25">
      <c r="B548" t="s">
        <v>1760</v>
      </c>
    </row>
    <row r="549" spans="1:6" x14ac:dyDescent="0.25">
      <c r="A549" t="s">
        <v>2</v>
      </c>
      <c r="B549" t="s">
        <v>1637</v>
      </c>
      <c r="C549">
        <v>23401</v>
      </c>
      <c r="D549">
        <v>6300</v>
      </c>
      <c r="F549">
        <v>6300</v>
      </c>
    </row>
    <row r="550" spans="1:6" x14ac:dyDescent="0.25">
      <c r="A550" t="s">
        <v>15</v>
      </c>
      <c r="B550" t="s">
        <v>1638</v>
      </c>
      <c r="C550">
        <v>23402</v>
      </c>
      <c r="D550">
        <v>2008</v>
      </c>
      <c r="F550">
        <v>2008</v>
      </c>
    </row>
    <row r="551" spans="1:6" x14ac:dyDescent="0.25">
      <c r="A551" t="s">
        <v>16</v>
      </c>
      <c r="B551" t="s">
        <v>1640</v>
      </c>
      <c r="C551">
        <v>23403</v>
      </c>
      <c r="D551">
        <v>202092</v>
      </c>
      <c r="F551">
        <v>202092</v>
      </c>
    </row>
    <row r="552" spans="1:6" x14ac:dyDescent="0.25">
      <c r="A552" t="s">
        <v>25</v>
      </c>
      <c r="B552" t="s">
        <v>1641</v>
      </c>
      <c r="C552">
        <v>23404</v>
      </c>
      <c r="D552">
        <v>0</v>
      </c>
      <c r="F552">
        <v>0</v>
      </c>
    </row>
    <row r="553" spans="1:6" x14ac:dyDescent="0.25">
      <c r="B553" t="s">
        <v>1761</v>
      </c>
      <c r="D553">
        <v>210400</v>
      </c>
      <c r="F553">
        <v>210400</v>
      </c>
    </row>
    <row r="554" spans="1:6" x14ac:dyDescent="0.25">
      <c r="B554" t="s">
        <v>1762</v>
      </c>
    </row>
    <row r="555" spans="1:6" x14ac:dyDescent="0.25">
      <c r="A555" t="s">
        <v>2</v>
      </c>
      <c r="B555" t="s">
        <v>1637</v>
      </c>
      <c r="C555">
        <v>23501</v>
      </c>
      <c r="D555">
        <v>1458</v>
      </c>
      <c r="E555">
        <v>0</v>
      </c>
      <c r="F555">
        <v>1458</v>
      </c>
    </row>
    <row r="556" spans="1:6" x14ac:dyDescent="0.25">
      <c r="A556" t="s">
        <v>15</v>
      </c>
      <c r="B556" t="s">
        <v>1763</v>
      </c>
      <c r="C556">
        <v>23502</v>
      </c>
      <c r="D556">
        <v>1288204</v>
      </c>
      <c r="E556">
        <v>0</v>
      </c>
      <c r="F556">
        <v>1288204</v>
      </c>
    </row>
    <row r="557" spans="1:6" x14ac:dyDescent="0.25">
      <c r="A557" t="s">
        <v>16</v>
      </c>
      <c r="B557" t="s">
        <v>1640</v>
      </c>
      <c r="C557">
        <v>23503</v>
      </c>
      <c r="D557">
        <v>28779</v>
      </c>
      <c r="E557">
        <v>0</v>
      </c>
      <c r="F557">
        <v>28779</v>
      </c>
    </row>
    <row r="558" spans="1:6" x14ac:dyDescent="0.25">
      <c r="A558" t="s">
        <v>25</v>
      </c>
      <c r="B558" t="s">
        <v>1764</v>
      </c>
      <c r="C558">
        <v>23504</v>
      </c>
      <c r="D558">
        <v>0</v>
      </c>
      <c r="E558">
        <v>0</v>
      </c>
      <c r="F558">
        <v>0</v>
      </c>
    </row>
    <row r="559" spans="1:6" x14ac:dyDescent="0.25">
      <c r="B559" t="s">
        <v>1765</v>
      </c>
      <c r="D559">
        <v>1318441</v>
      </c>
      <c r="E559">
        <v>0</v>
      </c>
      <c r="F559">
        <v>1318441</v>
      </c>
    </row>
    <row r="560" spans="1:6" x14ac:dyDescent="0.25">
      <c r="B560" t="s">
        <v>1766</v>
      </c>
    </row>
    <row r="561" spans="1:6" x14ac:dyDescent="0.25">
      <c r="A561" t="s">
        <v>2</v>
      </c>
      <c r="B561" t="s">
        <v>1637</v>
      </c>
      <c r="C561">
        <v>23601</v>
      </c>
      <c r="D561">
        <v>0</v>
      </c>
      <c r="E561">
        <v>0</v>
      </c>
      <c r="F561">
        <v>0</v>
      </c>
    </row>
    <row r="562" spans="1:6" x14ac:dyDescent="0.25">
      <c r="A562" t="s">
        <v>15</v>
      </c>
      <c r="B562" t="s">
        <v>1763</v>
      </c>
      <c r="C562">
        <v>23602</v>
      </c>
      <c r="D562">
        <v>0</v>
      </c>
      <c r="E562">
        <v>0</v>
      </c>
      <c r="F562">
        <v>0</v>
      </c>
    </row>
    <row r="563" spans="1:6" x14ac:dyDescent="0.25">
      <c r="A563" t="s">
        <v>16</v>
      </c>
      <c r="B563" t="s">
        <v>1640</v>
      </c>
      <c r="C563">
        <v>23603</v>
      </c>
      <c r="D563">
        <v>0</v>
      </c>
      <c r="E563">
        <v>0</v>
      </c>
      <c r="F563">
        <v>0</v>
      </c>
    </row>
    <row r="564" spans="1:6" x14ac:dyDescent="0.25">
      <c r="A564" t="s">
        <v>25</v>
      </c>
      <c r="B564" t="s">
        <v>1764</v>
      </c>
      <c r="C564">
        <v>23604</v>
      </c>
      <c r="D564">
        <v>0</v>
      </c>
      <c r="E564">
        <v>0</v>
      </c>
      <c r="F564">
        <v>0</v>
      </c>
    </row>
    <row r="565" spans="1:6" x14ac:dyDescent="0.25">
      <c r="B565" t="s">
        <v>1767</v>
      </c>
      <c r="D565">
        <v>0</v>
      </c>
      <c r="E565">
        <v>0</v>
      </c>
      <c r="F565">
        <v>0</v>
      </c>
    </row>
    <row r="566" spans="1:6" x14ac:dyDescent="0.25">
      <c r="B566" t="s">
        <v>1768</v>
      </c>
    </row>
    <row r="567" spans="1:6" x14ac:dyDescent="0.25">
      <c r="A567" t="s">
        <v>2</v>
      </c>
      <c r="B567" t="s">
        <v>1769</v>
      </c>
      <c r="C567">
        <v>23701</v>
      </c>
      <c r="D567">
        <v>0</v>
      </c>
      <c r="E567">
        <v>0</v>
      </c>
      <c r="F567">
        <v>0</v>
      </c>
    </row>
    <row r="568" spans="1:6" x14ac:dyDescent="0.25">
      <c r="A568" t="s">
        <v>15</v>
      </c>
      <c r="B568" t="s">
        <v>1770</v>
      </c>
      <c r="C568">
        <v>23702</v>
      </c>
      <c r="D568">
        <v>0</v>
      </c>
      <c r="E568">
        <v>0</v>
      </c>
      <c r="F568">
        <v>0</v>
      </c>
    </row>
    <row r="569" spans="1:6" x14ac:dyDescent="0.25">
      <c r="A569" t="s">
        <v>16</v>
      </c>
      <c r="B569" t="s">
        <v>1771</v>
      </c>
      <c r="C569">
        <v>23703</v>
      </c>
      <c r="D569">
        <v>0</v>
      </c>
      <c r="E569">
        <v>0</v>
      </c>
      <c r="F569">
        <v>0</v>
      </c>
    </row>
    <row r="570" spans="1:6" x14ac:dyDescent="0.25">
      <c r="A570" t="s">
        <v>25</v>
      </c>
      <c r="B570" t="s">
        <v>1772</v>
      </c>
      <c r="C570">
        <v>23704</v>
      </c>
      <c r="D570">
        <v>0</v>
      </c>
      <c r="E570">
        <v>0</v>
      </c>
      <c r="F570">
        <v>0</v>
      </c>
    </row>
    <row r="571" spans="1:6" x14ac:dyDescent="0.25">
      <c r="B571" t="s">
        <v>1773</v>
      </c>
      <c r="D571">
        <v>0</v>
      </c>
      <c r="E571">
        <v>0</v>
      </c>
      <c r="F571">
        <v>0</v>
      </c>
    </row>
    <row r="572" spans="1:6" x14ac:dyDescent="0.25">
      <c r="B572" t="s">
        <v>1774</v>
      </c>
    </row>
    <row r="573" spans="1:6" x14ac:dyDescent="0.25">
      <c r="A573" t="s">
        <v>2</v>
      </c>
      <c r="B573" t="s">
        <v>1769</v>
      </c>
      <c r="C573">
        <v>23801</v>
      </c>
      <c r="D573">
        <v>0</v>
      </c>
      <c r="E573">
        <v>0</v>
      </c>
      <c r="F573">
        <v>0</v>
      </c>
    </row>
    <row r="574" spans="1:6" x14ac:dyDescent="0.25">
      <c r="A574" t="s">
        <v>15</v>
      </c>
      <c r="B574" t="s">
        <v>1770</v>
      </c>
      <c r="C574">
        <v>23802</v>
      </c>
      <c r="D574">
        <v>0</v>
      </c>
      <c r="E574">
        <v>0</v>
      </c>
      <c r="F574">
        <v>0</v>
      </c>
    </row>
    <row r="575" spans="1:6" x14ac:dyDescent="0.25">
      <c r="A575" t="s">
        <v>16</v>
      </c>
      <c r="B575" t="s">
        <v>1771</v>
      </c>
      <c r="C575">
        <v>23803</v>
      </c>
      <c r="D575">
        <v>0</v>
      </c>
      <c r="E575">
        <v>0</v>
      </c>
      <c r="F575">
        <v>0</v>
      </c>
    </row>
    <row r="576" spans="1:6" x14ac:dyDescent="0.25">
      <c r="A576" t="s">
        <v>25</v>
      </c>
      <c r="B576" t="s">
        <v>1772</v>
      </c>
      <c r="C576">
        <v>23804</v>
      </c>
      <c r="D576">
        <v>0</v>
      </c>
      <c r="E576">
        <v>0</v>
      </c>
      <c r="F576">
        <v>0</v>
      </c>
    </row>
    <row r="577" spans="1:6" x14ac:dyDescent="0.25">
      <c r="B577" t="s">
        <v>1775</v>
      </c>
      <c r="D577">
        <v>0</v>
      </c>
      <c r="E577">
        <v>0</v>
      </c>
      <c r="F577">
        <v>0</v>
      </c>
    </row>
    <row r="578" spans="1:6" x14ac:dyDescent="0.25">
      <c r="B578" t="s">
        <v>1776</v>
      </c>
    </row>
    <row r="579" spans="1:6" x14ac:dyDescent="0.25">
      <c r="A579" t="s">
        <v>2</v>
      </c>
      <c r="B579" t="s">
        <v>1637</v>
      </c>
      <c r="C579">
        <v>23901</v>
      </c>
      <c r="D579">
        <v>0</v>
      </c>
      <c r="F579">
        <v>0</v>
      </c>
    </row>
    <row r="580" spans="1:6" x14ac:dyDescent="0.25">
      <c r="A580" t="s">
        <v>15</v>
      </c>
      <c r="B580" t="s">
        <v>1763</v>
      </c>
      <c r="C580">
        <v>23902</v>
      </c>
      <c r="D580">
        <v>0</v>
      </c>
      <c r="F580">
        <v>0</v>
      </c>
    </row>
    <row r="581" spans="1:6" x14ac:dyDescent="0.25">
      <c r="A581" t="s">
        <v>16</v>
      </c>
      <c r="B581" t="s">
        <v>1777</v>
      </c>
      <c r="C581">
        <v>23903</v>
      </c>
      <c r="D581">
        <v>0</v>
      </c>
      <c r="F581">
        <v>0</v>
      </c>
    </row>
    <row r="582" spans="1:6" x14ac:dyDescent="0.25">
      <c r="A582" t="s">
        <v>25</v>
      </c>
      <c r="B582" t="s">
        <v>1764</v>
      </c>
      <c r="C582">
        <v>23904</v>
      </c>
      <c r="D582">
        <v>0</v>
      </c>
      <c r="F582">
        <v>0</v>
      </c>
    </row>
    <row r="583" spans="1:6" x14ac:dyDescent="0.25">
      <c r="B583" t="s">
        <v>1778</v>
      </c>
      <c r="D583">
        <v>0</v>
      </c>
      <c r="F583">
        <v>0</v>
      </c>
    </row>
    <row r="584" spans="1:6" x14ac:dyDescent="0.25">
      <c r="B584" t="s">
        <v>1670</v>
      </c>
      <c r="D584">
        <v>9050833</v>
      </c>
      <c r="E584">
        <v>0</v>
      </c>
      <c r="F584">
        <v>9050833</v>
      </c>
    </row>
    <row r="585" spans="1:6" x14ac:dyDescent="0.25">
      <c r="B585" t="s">
        <v>1779</v>
      </c>
    </row>
    <row r="586" spans="1:6" x14ac:dyDescent="0.25">
      <c r="B586" t="s">
        <v>1672</v>
      </c>
    </row>
    <row r="587" spans="1:6" x14ac:dyDescent="0.25">
      <c r="A587" t="s">
        <v>2</v>
      </c>
      <c r="B587" t="s">
        <v>1673</v>
      </c>
      <c r="C587">
        <v>24101</v>
      </c>
      <c r="D587">
        <v>0</v>
      </c>
      <c r="E587">
        <v>0</v>
      </c>
      <c r="F587">
        <v>0</v>
      </c>
    </row>
    <row r="588" spans="1:6" x14ac:dyDescent="0.25">
      <c r="A588" t="s">
        <v>15</v>
      </c>
      <c r="B588" t="s">
        <v>1674</v>
      </c>
      <c r="C588">
        <v>24102</v>
      </c>
      <c r="D588">
        <v>0</v>
      </c>
      <c r="E588">
        <v>0</v>
      </c>
      <c r="F588">
        <v>0</v>
      </c>
    </row>
    <row r="589" spans="1:6" x14ac:dyDescent="0.25">
      <c r="A589" t="s">
        <v>16</v>
      </c>
      <c r="B589" t="s">
        <v>1675</v>
      </c>
      <c r="C589">
        <v>24103</v>
      </c>
      <c r="D589">
        <v>0</v>
      </c>
      <c r="E589">
        <v>0</v>
      </c>
      <c r="F589">
        <v>0</v>
      </c>
    </row>
    <row r="590" spans="1:6" x14ac:dyDescent="0.25">
      <c r="A590" t="s">
        <v>25</v>
      </c>
      <c r="B590" t="s">
        <v>1676</v>
      </c>
      <c r="C590">
        <v>24104</v>
      </c>
      <c r="D590">
        <v>0</v>
      </c>
      <c r="E590">
        <v>0</v>
      </c>
      <c r="F590">
        <v>0</v>
      </c>
    </row>
    <row r="591" spans="1:6" x14ac:dyDescent="0.25">
      <c r="A591" t="s">
        <v>26</v>
      </c>
      <c r="B591" t="s">
        <v>1677</v>
      </c>
      <c r="C591">
        <v>24105</v>
      </c>
      <c r="D591">
        <v>0</v>
      </c>
      <c r="E591">
        <v>0</v>
      </c>
      <c r="F591">
        <v>0</v>
      </c>
    </row>
    <row r="592" spans="1:6" x14ac:dyDescent="0.25">
      <c r="B592" t="s">
        <v>1780</v>
      </c>
      <c r="D592">
        <v>0</v>
      </c>
      <c r="E592">
        <v>0</v>
      </c>
      <c r="F592">
        <v>0</v>
      </c>
    </row>
    <row r="593" spans="1:6" x14ac:dyDescent="0.25">
      <c r="B593" t="s">
        <v>1781</v>
      </c>
    </row>
    <row r="594" spans="1:6" x14ac:dyDescent="0.25">
      <c r="A594" t="s">
        <v>2</v>
      </c>
      <c r="B594" t="s">
        <v>1693</v>
      </c>
      <c r="C594">
        <v>24201</v>
      </c>
      <c r="D594">
        <v>0</v>
      </c>
      <c r="E594">
        <v>0</v>
      </c>
      <c r="F594">
        <v>0</v>
      </c>
    </row>
    <row r="595" spans="1:6" x14ac:dyDescent="0.25">
      <c r="A595" t="s">
        <v>15</v>
      </c>
      <c r="B595" t="s">
        <v>1694</v>
      </c>
      <c r="C595">
        <v>24202</v>
      </c>
      <c r="D595">
        <v>0</v>
      </c>
      <c r="E595">
        <v>0</v>
      </c>
      <c r="F595">
        <v>0</v>
      </c>
    </row>
    <row r="596" spans="1:6" x14ac:dyDescent="0.25">
      <c r="A596" t="s">
        <v>16</v>
      </c>
      <c r="B596" t="s">
        <v>1695</v>
      </c>
      <c r="C596">
        <v>24203</v>
      </c>
      <c r="D596">
        <v>0</v>
      </c>
      <c r="E596">
        <v>0</v>
      </c>
      <c r="F596">
        <v>0</v>
      </c>
    </row>
    <row r="597" spans="1:6" x14ac:dyDescent="0.25">
      <c r="A597" t="s">
        <v>25</v>
      </c>
      <c r="B597" t="s">
        <v>1696</v>
      </c>
      <c r="C597">
        <v>24204</v>
      </c>
      <c r="D597">
        <v>0</v>
      </c>
      <c r="E597">
        <v>0</v>
      </c>
      <c r="F597">
        <v>0</v>
      </c>
    </row>
    <row r="598" spans="1:6" x14ac:dyDescent="0.25">
      <c r="A598" t="s">
        <v>26</v>
      </c>
      <c r="B598" t="s">
        <v>1680</v>
      </c>
      <c r="C598">
        <v>24205</v>
      </c>
      <c r="D598">
        <v>0</v>
      </c>
      <c r="E598">
        <v>0</v>
      </c>
      <c r="F598">
        <v>0</v>
      </c>
    </row>
    <row r="599" spans="1:6" x14ac:dyDescent="0.25">
      <c r="A599" t="s">
        <v>27</v>
      </c>
      <c r="B599" t="s">
        <v>1681</v>
      </c>
      <c r="C599">
        <v>24206</v>
      </c>
      <c r="D599">
        <v>0</v>
      </c>
      <c r="E599">
        <v>0</v>
      </c>
      <c r="F599">
        <v>0</v>
      </c>
    </row>
    <row r="600" spans="1:6" x14ac:dyDescent="0.25">
      <c r="A600" t="s">
        <v>531</v>
      </c>
      <c r="B600" t="s">
        <v>1682</v>
      </c>
      <c r="C600">
        <v>24207</v>
      </c>
      <c r="D600">
        <v>0</v>
      </c>
      <c r="E600">
        <v>0</v>
      </c>
      <c r="F600">
        <v>0</v>
      </c>
    </row>
    <row r="601" spans="1:6" x14ac:dyDescent="0.25">
      <c r="A601" t="s">
        <v>1583</v>
      </c>
      <c r="B601" t="s">
        <v>1683</v>
      </c>
      <c r="C601">
        <v>24208</v>
      </c>
      <c r="D601">
        <v>0</v>
      </c>
      <c r="E601">
        <v>0</v>
      </c>
      <c r="F601">
        <v>0</v>
      </c>
    </row>
    <row r="602" spans="1:6" x14ac:dyDescent="0.25">
      <c r="A602" t="s">
        <v>1585</v>
      </c>
      <c r="B602" t="s">
        <v>1684</v>
      </c>
      <c r="C602">
        <v>24209</v>
      </c>
      <c r="D602">
        <v>0</v>
      </c>
      <c r="E602">
        <v>0</v>
      </c>
      <c r="F602">
        <v>0</v>
      </c>
    </row>
    <row r="603" spans="1:6" x14ac:dyDescent="0.25">
      <c r="A603" t="s">
        <v>1587</v>
      </c>
      <c r="B603" t="s">
        <v>1685</v>
      </c>
      <c r="C603">
        <v>24210</v>
      </c>
      <c r="D603">
        <v>0</v>
      </c>
      <c r="E603">
        <v>0</v>
      </c>
      <c r="F603">
        <v>0</v>
      </c>
    </row>
    <row r="604" spans="1:6" x14ac:dyDescent="0.25">
      <c r="A604" t="s">
        <v>1589</v>
      </c>
      <c r="B604" t="s">
        <v>1686</v>
      </c>
      <c r="C604">
        <v>24211</v>
      </c>
      <c r="D604">
        <v>2187</v>
      </c>
      <c r="E604">
        <v>0</v>
      </c>
      <c r="F604">
        <v>2187</v>
      </c>
    </row>
    <row r="605" spans="1:6" x14ac:dyDescent="0.25">
      <c r="A605" t="s">
        <v>1591</v>
      </c>
      <c r="B605" t="s">
        <v>1687</v>
      </c>
      <c r="C605">
        <v>24212</v>
      </c>
      <c r="D605">
        <v>21168</v>
      </c>
      <c r="E605">
        <v>4672</v>
      </c>
      <c r="F605">
        <v>25840</v>
      </c>
    </row>
    <row r="606" spans="1:6" x14ac:dyDescent="0.25">
      <c r="A606" t="s">
        <v>1593</v>
      </c>
      <c r="B606" t="s">
        <v>1688</v>
      </c>
      <c r="C606">
        <v>24213</v>
      </c>
      <c r="D606">
        <v>356</v>
      </c>
      <c r="E606">
        <v>0</v>
      </c>
      <c r="F606">
        <v>356</v>
      </c>
    </row>
    <row r="607" spans="1:6" x14ac:dyDescent="0.25">
      <c r="A607" t="s">
        <v>1595</v>
      </c>
      <c r="B607" t="s">
        <v>1690</v>
      </c>
      <c r="C607">
        <v>24214</v>
      </c>
      <c r="D607">
        <v>8</v>
      </c>
      <c r="E607">
        <v>0</v>
      </c>
      <c r="F607">
        <v>8</v>
      </c>
    </row>
    <row r="608" spans="1:6" x14ac:dyDescent="0.25">
      <c r="A608" t="s">
        <v>1597</v>
      </c>
      <c r="B608" t="s">
        <v>1637</v>
      </c>
      <c r="C608">
        <v>24215</v>
      </c>
      <c r="D608">
        <v>0</v>
      </c>
      <c r="E608">
        <v>0</v>
      </c>
      <c r="F608">
        <v>0</v>
      </c>
    </row>
    <row r="609" spans="1:6" x14ac:dyDescent="0.25">
      <c r="A609" t="s">
        <v>1599</v>
      </c>
      <c r="B609" t="s">
        <v>1640</v>
      </c>
      <c r="C609">
        <v>24216</v>
      </c>
      <c r="D609">
        <v>0</v>
      </c>
      <c r="E609">
        <v>0</v>
      </c>
      <c r="F609">
        <v>0</v>
      </c>
    </row>
    <row r="610" spans="1:6" x14ac:dyDescent="0.25">
      <c r="A610" t="s">
        <v>1601</v>
      </c>
      <c r="B610" t="s">
        <v>1636</v>
      </c>
      <c r="C610">
        <v>24217</v>
      </c>
      <c r="D610">
        <v>0</v>
      </c>
      <c r="E610">
        <v>0</v>
      </c>
      <c r="F610">
        <v>0</v>
      </c>
    </row>
    <row r="611" spans="1:6" x14ac:dyDescent="0.25">
      <c r="A611" t="s">
        <v>1603</v>
      </c>
      <c r="B611" t="s">
        <v>1689</v>
      </c>
      <c r="C611">
        <v>24218</v>
      </c>
      <c r="D611">
        <v>739</v>
      </c>
      <c r="E611">
        <v>5</v>
      </c>
      <c r="F611">
        <v>744</v>
      </c>
    </row>
    <row r="612" spans="1:6" x14ac:dyDescent="0.25">
      <c r="B612" t="s">
        <v>1782</v>
      </c>
      <c r="D612">
        <v>24458</v>
      </c>
      <c r="E612">
        <v>4677</v>
      </c>
      <c r="F612">
        <v>29135</v>
      </c>
    </row>
    <row r="613" spans="1:6" x14ac:dyDescent="0.25">
      <c r="B613" t="s">
        <v>1783</v>
      </c>
    </row>
    <row r="614" spans="1:6" x14ac:dyDescent="0.25">
      <c r="A614" t="s">
        <v>2</v>
      </c>
      <c r="B614" t="s">
        <v>1699</v>
      </c>
      <c r="C614">
        <v>24301</v>
      </c>
      <c r="D614">
        <v>0</v>
      </c>
      <c r="E614">
        <v>0</v>
      </c>
      <c r="F614">
        <v>0</v>
      </c>
    </row>
    <row r="615" spans="1:6" x14ac:dyDescent="0.25">
      <c r="A615" t="s">
        <v>15</v>
      </c>
      <c r="B615" t="s">
        <v>1694</v>
      </c>
      <c r="C615">
        <v>24302</v>
      </c>
      <c r="D615">
        <v>0</v>
      </c>
      <c r="E615">
        <v>0</v>
      </c>
      <c r="F615">
        <v>0</v>
      </c>
    </row>
    <row r="616" spans="1:6" x14ac:dyDescent="0.25">
      <c r="A616" t="s">
        <v>16</v>
      </c>
      <c r="B616" t="s">
        <v>1695</v>
      </c>
      <c r="C616">
        <v>24303</v>
      </c>
      <c r="D616">
        <v>0</v>
      </c>
      <c r="E616">
        <v>0</v>
      </c>
      <c r="F616">
        <v>0</v>
      </c>
    </row>
    <row r="617" spans="1:6" x14ac:dyDescent="0.25">
      <c r="A617" t="s">
        <v>25</v>
      </c>
      <c r="B617" t="s">
        <v>1696</v>
      </c>
      <c r="C617">
        <v>24304</v>
      </c>
      <c r="D617">
        <v>0</v>
      </c>
      <c r="E617">
        <v>0</v>
      </c>
      <c r="F617">
        <v>0</v>
      </c>
    </row>
    <row r="618" spans="1:6" x14ac:dyDescent="0.25">
      <c r="A618" t="s">
        <v>26</v>
      </c>
      <c r="B618" t="s">
        <v>1680</v>
      </c>
      <c r="C618">
        <v>24305</v>
      </c>
      <c r="D618">
        <v>0</v>
      </c>
      <c r="E618">
        <v>0</v>
      </c>
      <c r="F618">
        <v>0</v>
      </c>
    </row>
    <row r="619" spans="1:6" x14ac:dyDescent="0.25">
      <c r="A619" t="s">
        <v>27</v>
      </c>
      <c r="B619" t="s">
        <v>1681</v>
      </c>
      <c r="C619">
        <v>24306</v>
      </c>
      <c r="D619">
        <v>0</v>
      </c>
      <c r="E619">
        <v>0</v>
      </c>
      <c r="F619">
        <v>0</v>
      </c>
    </row>
    <row r="620" spans="1:6" x14ac:dyDescent="0.25">
      <c r="A620" t="s">
        <v>531</v>
      </c>
      <c r="B620" t="s">
        <v>1682</v>
      </c>
      <c r="C620">
        <v>24307</v>
      </c>
      <c r="D620">
        <v>0</v>
      </c>
      <c r="E620">
        <v>0</v>
      </c>
      <c r="F620">
        <v>0</v>
      </c>
    </row>
    <row r="621" spans="1:6" x14ac:dyDescent="0.25">
      <c r="A621" t="s">
        <v>1583</v>
      </c>
      <c r="B621" t="s">
        <v>1683</v>
      </c>
      <c r="C621">
        <v>24308</v>
      </c>
      <c r="D621">
        <v>0</v>
      </c>
      <c r="E621">
        <v>0</v>
      </c>
      <c r="F621">
        <v>0</v>
      </c>
    </row>
    <row r="622" spans="1:6" x14ac:dyDescent="0.25">
      <c r="A622" t="s">
        <v>1585</v>
      </c>
      <c r="B622" t="s">
        <v>1684</v>
      </c>
      <c r="C622">
        <v>24309</v>
      </c>
      <c r="D622">
        <v>0</v>
      </c>
      <c r="E622">
        <v>0</v>
      </c>
      <c r="F622">
        <v>0</v>
      </c>
    </row>
    <row r="623" spans="1:6" x14ac:dyDescent="0.25">
      <c r="A623" t="s">
        <v>1587</v>
      </c>
      <c r="B623" t="s">
        <v>1685</v>
      </c>
      <c r="C623">
        <v>24310</v>
      </c>
      <c r="D623">
        <v>0</v>
      </c>
      <c r="E623">
        <v>0</v>
      </c>
      <c r="F623">
        <v>0</v>
      </c>
    </row>
    <row r="624" spans="1:6" x14ac:dyDescent="0.25">
      <c r="A624" t="s">
        <v>1589</v>
      </c>
      <c r="B624" t="s">
        <v>1686</v>
      </c>
      <c r="C624">
        <v>24311</v>
      </c>
      <c r="D624">
        <v>0</v>
      </c>
      <c r="E624">
        <v>0</v>
      </c>
      <c r="F624">
        <v>0</v>
      </c>
    </row>
    <row r="625" spans="1:6" x14ac:dyDescent="0.25">
      <c r="A625" t="s">
        <v>1591</v>
      </c>
      <c r="B625" t="s">
        <v>1687</v>
      </c>
      <c r="C625">
        <v>24312</v>
      </c>
      <c r="D625">
        <v>0</v>
      </c>
      <c r="E625">
        <v>0</v>
      </c>
      <c r="F625">
        <v>0</v>
      </c>
    </row>
    <row r="626" spans="1:6" x14ac:dyDescent="0.25">
      <c r="A626" t="s">
        <v>1593</v>
      </c>
      <c r="B626" t="s">
        <v>1688</v>
      </c>
      <c r="C626">
        <v>24313</v>
      </c>
      <c r="D626">
        <v>99</v>
      </c>
      <c r="E626">
        <v>0</v>
      </c>
      <c r="F626">
        <v>99</v>
      </c>
    </row>
    <row r="627" spans="1:6" x14ac:dyDescent="0.25">
      <c r="A627" t="s">
        <v>1595</v>
      </c>
      <c r="B627" t="s">
        <v>1690</v>
      </c>
      <c r="C627">
        <v>24314</v>
      </c>
      <c r="D627">
        <v>0</v>
      </c>
      <c r="E627">
        <v>0</v>
      </c>
      <c r="F627">
        <v>0</v>
      </c>
    </row>
    <row r="628" spans="1:6" x14ac:dyDescent="0.25">
      <c r="A628" t="s">
        <v>1597</v>
      </c>
      <c r="B628" t="s">
        <v>1637</v>
      </c>
      <c r="C628">
        <v>24315</v>
      </c>
      <c r="D628">
        <v>0</v>
      </c>
      <c r="E628">
        <v>0</v>
      </c>
      <c r="F628">
        <v>0</v>
      </c>
    </row>
    <row r="629" spans="1:6" x14ac:dyDescent="0.25">
      <c r="A629" t="s">
        <v>1599</v>
      </c>
      <c r="B629" t="s">
        <v>1640</v>
      </c>
      <c r="C629">
        <v>24316</v>
      </c>
      <c r="D629">
        <v>0</v>
      </c>
      <c r="E629">
        <v>0</v>
      </c>
      <c r="F629">
        <v>0</v>
      </c>
    </row>
    <row r="630" spans="1:6" x14ac:dyDescent="0.25">
      <c r="A630" t="s">
        <v>1601</v>
      </c>
      <c r="B630" t="s">
        <v>1636</v>
      </c>
      <c r="C630">
        <v>24317</v>
      </c>
      <c r="D630">
        <v>0</v>
      </c>
      <c r="E630">
        <v>0</v>
      </c>
      <c r="F630">
        <v>0</v>
      </c>
    </row>
    <row r="631" spans="1:6" x14ac:dyDescent="0.25">
      <c r="A631" t="s">
        <v>1603</v>
      </c>
      <c r="B631" t="s">
        <v>1689</v>
      </c>
      <c r="C631">
        <v>24318</v>
      </c>
      <c r="D631">
        <v>0</v>
      </c>
      <c r="E631">
        <v>0</v>
      </c>
      <c r="F631">
        <v>0</v>
      </c>
    </row>
    <row r="632" spans="1:6" x14ac:dyDescent="0.25">
      <c r="B632" t="s">
        <v>1784</v>
      </c>
      <c r="D632">
        <v>99</v>
      </c>
      <c r="E632">
        <v>0</v>
      </c>
      <c r="F632">
        <v>99</v>
      </c>
    </row>
    <row r="633" spans="1:6" x14ac:dyDescent="0.25">
      <c r="B633" t="s">
        <v>1785</v>
      </c>
    </row>
    <row r="634" spans="1:6" x14ac:dyDescent="0.25">
      <c r="A634" t="s">
        <v>2</v>
      </c>
      <c r="B634" t="s">
        <v>1702</v>
      </c>
      <c r="C634">
        <v>24401</v>
      </c>
      <c r="D634">
        <v>141839</v>
      </c>
      <c r="E634">
        <v>17097</v>
      </c>
      <c r="F634">
        <v>158936</v>
      </c>
    </row>
    <row r="635" spans="1:6" x14ac:dyDescent="0.25">
      <c r="A635" t="s">
        <v>15</v>
      </c>
      <c r="B635" t="s">
        <v>1703</v>
      </c>
      <c r="C635">
        <v>24402</v>
      </c>
      <c r="D635">
        <v>2094</v>
      </c>
      <c r="E635">
        <v>280</v>
      </c>
      <c r="F635">
        <v>2374</v>
      </c>
    </row>
    <row r="636" spans="1:6" x14ac:dyDescent="0.25">
      <c r="B636" t="s">
        <v>1786</v>
      </c>
      <c r="D636">
        <v>143933</v>
      </c>
      <c r="E636">
        <v>17377</v>
      </c>
      <c r="F636">
        <v>161310</v>
      </c>
    </row>
    <row r="637" spans="1:6" x14ac:dyDescent="0.25">
      <c r="B637" t="s">
        <v>1787</v>
      </c>
    </row>
    <row r="638" spans="1:6" x14ac:dyDescent="0.25">
      <c r="A638" t="s">
        <v>2</v>
      </c>
      <c r="B638" t="s">
        <v>1702</v>
      </c>
      <c r="C638">
        <v>24501</v>
      </c>
      <c r="D638">
        <v>0</v>
      </c>
      <c r="E638">
        <v>0</v>
      </c>
      <c r="F638">
        <v>0</v>
      </c>
    </row>
    <row r="639" spans="1:6" x14ac:dyDescent="0.25">
      <c r="A639" t="s">
        <v>15</v>
      </c>
      <c r="B639" t="s">
        <v>1703</v>
      </c>
      <c r="C639">
        <v>24502</v>
      </c>
      <c r="D639">
        <v>0</v>
      </c>
      <c r="E639">
        <v>0</v>
      </c>
      <c r="F639">
        <v>0</v>
      </c>
    </row>
    <row r="640" spans="1:6" x14ac:dyDescent="0.25">
      <c r="B640" t="s">
        <v>1788</v>
      </c>
      <c r="D640">
        <v>0</v>
      </c>
      <c r="E640">
        <v>0</v>
      </c>
      <c r="F640">
        <v>0</v>
      </c>
    </row>
    <row r="641" spans="1:6" x14ac:dyDescent="0.25">
      <c r="B641" t="s">
        <v>1789</v>
      </c>
    </row>
    <row r="642" spans="1:6" x14ac:dyDescent="0.25">
      <c r="A642" t="s">
        <v>2</v>
      </c>
      <c r="B642" t="s">
        <v>1710</v>
      </c>
      <c r="C642">
        <v>24601</v>
      </c>
      <c r="D642">
        <v>0</v>
      </c>
      <c r="E642">
        <v>0</v>
      </c>
      <c r="F642">
        <v>0</v>
      </c>
    </row>
    <row r="643" spans="1:6" x14ac:dyDescent="0.25">
      <c r="A643" t="s">
        <v>15</v>
      </c>
      <c r="B643" t="s">
        <v>1711</v>
      </c>
      <c r="C643">
        <v>24602</v>
      </c>
      <c r="D643">
        <v>0</v>
      </c>
      <c r="E643">
        <v>0</v>
      </c>
      <c r="F643">
        <v>0</v>
      </c>
    </row>
    <row r="644" spans="1:6" x14ac:dyDescent="0.25">
      <c r="A644" t="s">
        <v>16</v>
      </c>
      <c r="B644" t="s">
        <v>1712</v>
      </c>
      <c r="C644">
        <v>24603</v>
      </c>
      <c r="D644">
        <v>3181</v>
      </c>
      <c r="E644">
        <v>0</v>
      </c>
      <c r="F644">
        <v>3181</v>
      </c>
    </row>
    <row r="645" spans="1:6" x14ac:dyDescent="0.25">
      <c r="A645" t="s">
        <v>25</v>
      </c>
      <c r="B645" t="s">
        <v>1713</v>
      </c>
      <c r="C645">
        <v>24604</v>
      </c>
      <c r="D645">
        <v>197</v>
      </c>
      <c r="E645">
        <v>0</v>
      </c>
      <c r="F645">
        <v>197</v>
      </c>
    </row>
    <row r="646" spans="1:6" x14ac:dyDescent="0.25">
      <c r="A646" t="s">
        <v>26</v>
      </c>
      <c r="B646" t="s">
        <v>1714</v>
      </c>
      <c r="C646">
        <v>24605</v>
      </c>
      <c r="D646">
        <v>0</v>
      </c>
      <c r="E646">
        <v>0</v>
      </c>
      <c r="F646">
        <v>0</v>
      </c>
    </row>
    <row r="647" spans="1:6" x14ac:dyDescent="0.25">
      <c r="B647" t="s">
        <v>1790</v>
      </c>
      <c r="D647">
        <v>3378</v>
      </c>
      <c r="E647">
        <v>0</v>
      </c>
      <c r="F647">
        <v>3378</v>
      </c>
    </row>
    <row r="648" spans="1:6" x14ac:dyDescent="0.25">
      <c r="B648" t="s">
        <v>1716</v>
      </c>
      <c r="D648">
        <v>171868</v>
      </c>
      <c r="E648">
        <v>22054</v>
      </c>
      <c r="F648">
        <v>193922</v>
      </c>
    </row>
    <row r="649" spans="1:6" x14ac:dyDescent="0.25">
      <c r="B649" t="s">
        <v>1791</v>
      </c>
    </row>
    <row r="650" spans="1:6" x14ac:dyDescent="0.25">
      <c r="B650" t="s">
        <v>1792</v>
      </c>
    </row>
    <row r="651" spans="1:6" x14ac:dyDescent="0.25">
      <c r="A651" t="s">
        <v>2</v>
      </c>
      <c r="B651" t="s">
        <v>1793</v>
      </c>
      <c r="C651">
        <v>25101</v>
      </c>
      <c r="D651">
        <v>1409535</v>
      </c>
      <c r="F651">
        <v>1409535</v>
      </c>
    </row>
    <row r="652" spans="1:6" x14ac:dyDescent="0.25">
      <c r="A652" t="s">
        <v>15</v>
      </c>
      <c r="B652" t="s">
        <v>1794</v>
      </c>
      <c r="C652">
        <v>25102</v>
      </c>
      <c r="D652">
        <v>14645708</v>
      </c>
      <c r="F652">
        <v>14645708</v>
      </c>
    </row>
    <row r="653" spans="1:6" x14ac:dyDescent="0.25">
      <c r="A653" t="s">
        <v>16</v>
      </c>
      <c r="B653" t="s">
        <v>1795</v>
      </c>
      <c r="C653">
        <v>25103</v>
      </c>
      <c r="D653">
        <v>0</v>
      </c>
      <c r="F653">
        <v>0</v>
      </c>
    </row>
    <row r="654" spans="1:6" x14ac:dyDescent="0.25">
      <c r="A654" t="s">
        <v>25</v>
      </c>
      <c r="B654" t="s">
        <v>1796</v>
      </c>
      <c r="C654">
        <v>25104</v>
      </c>
      <c r="D654">
        <v>3582052</v>
      </c>
      <c r="F654">
        <v>3582052</v>
      </c>
    </row>
    <row r="655" spans="1:6" x14ac:dyDescent="0.25">
      <c r="A655" t="s">
        <v>26</v>
      </c>
      <c r="B655" t="s">
        <v>1797</v>
      </c>
      <c r="C655">
        <v>25105</v>
      </c>
      <c r="D655">
        <v>0</v>
      </c>
      <c r="F655">
        <v>0</v>
      </c>
    </row>
    <row r="656" spans="1:6" x14ac:dyDescent="0.25">
      <c r="B656" t="s">
        <v>1798</v>
      </c>
      <c r="D656">
        <v>19637295</v>
      </c>
      <c r="F656">
        <v>19637295</v>
      </c>
    </row>
    <row r="657" spans="1:6" x14ac:dyDescent="0.25">
      <c r="B657" t="s">
        <v>1799</v>
      </c>
    </row>
    <row r="658" spans="1:6" x14ac:dyDescent="0.25">
      <c r="A658" t="s">
        <v>2</v>
      </c>
      <c r="B658" t="s">
        <v>1793</v>
      </c>
      <c r="C658">
        <v>25201</v>
      </c>
      <c r="D658">
        <v>0</v>
      </c>
      <c r="F658">
        <v>0</v>
      </c>
    </row>
    <row r="659" spans="1:6" x14ac:dyDescent="0.25">
      <c r="A659" t="s">
        <v>15</v>
      </c>
      <c r="B659" t="s">
        <v>1794</v>
      </c>
      <c r="C659">
        <v>25202</v>
      </c>
      <c r="D659">
        <v>0</v>
      </c>
      <c r="F659">
        <v>0</v>
      </c>
    </row>
    <row r="660" spans="1:6" x14ac:dyDescent="0.25">
      <c r="A660" t="s">
        <v>16</v>
      </c>
      <c r="B660" t="s">
        <v>1795</v>
      </c>
      <c r="C660">
        <v>25203</v>
      </c>
      <c r="D660">
        <v>0</v>
      </c>
      <c r="F660">
        <v>0</v>
      </c>
    </row>
    <row r="661" spans="1:6" x14ac:dyDescent="0.25">
      <c r="A661" t="s">
        <v>25</v>
      </c>
      <c r="B661" t="s">
        <v>1796</v>
      </c>
      <c r="C661">
        <v>25204</v>
      </c>
      <c r="D661">
        <v>0</v>
      </c>
      <c r="F661">
        <v>0</v>
      </c>
    </row>
    <row r="662" spans="1:6" x14ac:dyDescent="0.25">
      <c r="A662" t="s">
        <v>26</v>
      </c>
      <c r="B662" t="s">
        <v>1797</v>
      </c>
      <c r="C662">
        <v>25205</v>
      </c>
      <c r="D662">
        <v>0</v>
      </c>
      <c r="F662">
        <v>0</v>
      </c>
    </row>
    <row r="663" spans="1:6" x14ac:dyDescent="0.25">
      <c r="B663" t="s">
        <v>1800</v>
      </c>
      <c r="D663">
        <v>0</v>
      </c>
      <c r="F663">
        <v>0</v>
      </c>
    </row>
    <row r="664" spans="1:6" x14ac:dyDescent="0.25">
      <c r="B664" t="s">
        <v>1801</v>
      </c>
    </row>
    <row r="665" spans="1:6" x14ac:dyDescent="0.25">
      <c r="A665" t="s">
        <v>2</v>
      </c>
      <c r="B665" t="s">
        <v>1793</v>
      </c>
      <c r="C665">
        <v>25301</v>
      </c>
      <c r="D665">
        <v>1</v>
      </c>
      <c r="F665">
        <v>1</v>
      </c>
    </row>
    <row r="666" spans="1:6" x14ac:dyDescent="0.25">
      <c r="A666" t="s">
        <v>15</v>
      </c>
      <c r="B666" t="s">
        <v>1794</v>
      </c>
      <c r="C666">
        <v>25302</v>
      </c>
      <c r="D666">
        <v>0</v>
      </c>
      <c r="F666">
        <v>0</v>
      </c>
    </row>
    <row r="667" spans="1:6" x14ac:dyDescent="0.25">
      <c r="A667" t="s">
        <v>16</v>
      </c>
      <c r="B667" t="s">
        <v>1795</v>
      </c>
      <c r="C667">
        <v>25303</v>
      </c>
      <c r="D667">
        <v>0</v>
      </c>
      <c r="F667">
        <v>0</v>
      </c>
    </row>
    <row r="668" spans="1:6" x14ac:dyDescent="0.25">
      <c r="A668" t="s">
        <v>25</v>
      </c>
      <c r="B668" t="s">
        <v>1796</v>
      </c>
      <c r="C668">
        <v>25304</v>
      </c>
      <c r="D668">
        <v>0</v>
      </c>
      <c r="F668">
        <v>0</v>
      </c>
    </row>
    <row r="669" spans="1:6" x14ac:dyDescent="0.25">
      <c r="A669" t="s">
        <v>26</v>
      </c>
      <c r="B669" t="s">
        <v>1797</v>
      </c>
      <c r="C669">
        <v>25305</v>
      </c>
      <c r="D669">
        <v>0</v>
      </c>
      <c r="F669">
        <v>0</v>
      </c>
    </row>
    <row r="670" spans="1:6" x14ac:dyDescent="0.25">
      <c r="B670" t="s">
        <v>1802</v>
      </c>
      <c r="D670">
        <v>1</v>
      </c>
      <c r="F670">
        <v>1</v>
      </c>
    </row>
    <row r="671" spans="1:6" x14ac:dyDescent="0.25">
      <c r="B671" t="s">
        <v>1803</v>
      </c>
    </row>
    <row r="672" spans="1:6" x14ac:dyDescent="0.25">
      <c r="A672" t="s">
        <v>2</v>
      </c>
      <c r="B672" t="s">
        <v>1793</v>
      </c>
      <c r="C672">
        <v>25401</v>
      </c>
      <c r="D672">
        <v>24</v>
      </c>
      <c r="F672">
        <v>24</v>
      </c>
    </row>
    <row r="673" spans="1:6" x14ac:dyDescent="0.25">
      <c r="A673" t="s">
        <v>15</v>
      </c>
      <c r="B673" t="s">
        <v>1794</v>
      </c>
      <c r="C673">
        <v>25402</v>
      </c>
      <c r="D673">
        <v>0</v>
      </c>
      <c r="F673">
        <v>0</v>
      </c>
    </row>
    <row r="674" spans="1:6" x14ac:dyDescent="0.25">
      <c r="A674" t="s">
        <v>16</v>
      </c>
      <c r="B674" t="s">
        <v>1795</v>
      </c>
      <c r="C674">
        <v>25403</v>
      </c>
      <c r="D674">
        <v>0</v>
      </c>
      <c r="F674">
        <v>0</v>
      </c>
    </row>
    <row r="675" spans="1:6" x14ac:dyDescent="0.25">
      <c r="A675" t="s">
        <v>25</v>
      </c>
      <c r="B675" t="s">
        <v>1796</v>
      </c>
      <c r="C675">
        <v>25404</v>
      </c>
      <c r="D675">
        <v>0</v>
      </c>
      <c r="F675">
        <v>0</v>
      </c>
    </row>
    <row r="676" spans="1:6" x14ac:dyDescent="0.25">
      <c r="A676" t="s">
        <v>26</v>
      </c>
      <c r="B676" t="s">
        <v>1797</v>
      </c>
      <c r="C676">
        <v>25405</v>
      </c>
      <c r="D676">
        <v>0</v>
      </c>
      <c r="F676">
        <v>0</v>
      </c>
    </row>
    <row r="677" spans="1:6" x14ac:dyDescent="0.25">
      <c r="B677" t="s">
        <v>1804</v>
      </c>
      <c r="D677">
        <v>24</v>
      </c>
      <c r="F677">
        <v>24</v>
      </c>
    </row>
    <row r="678" spans="1:6" x14ac:dyDescent="0.25">
      <c r="B678" t="s">
        <v>1805</v>
      </c>
    </row>
    <row r="679" spans="1:6" x14ac:dyDescent="0.25">
      <c r="A679" t="s">
        <v>2</v>
      </c>
      <c r="B679" t="s">
        <v>1793</v>
      </c>
      <c r="C679">
        <v>25501</v>
      </c>
      <c r="D679">
        <v>1</v>
      </c>
      <c r="F679">
        <v>1</v>
      </c>
    </row>
    <row r="680" spans="1:6" x14ac:dyDescent="0.25">
      <c r="A680" t="s">
        <v>15</v>
      </c>
      <c r="B680" t="s">
        <v>1794</v>
      </c>
      <c r="C680">
        <v>25502</v>
      </c>
      <c r="D680">
        <v>0</v>
      </c>
      <c r="F680">
        <v>0</v>
      </c>
    </row>
    <row r="681" spans="1:6" x14ac:dyDescent="0.25">
      <c r="A681" t="s">
        <v>16</v>
      </c>
      <c r="B681" t="s">
        <v>1795</v>
      </c>
      <c r="C681">
        <v>25503</v>
      </c>
      <c r="D681">
        <v>0</v>
      </c>
      <c r="F681">
        <v>0</v>
      </c>
    </row>
    <row r="682" spans="1:6" x14ac:dyDescent="0.25">
      <c r="A682" t="s">
        <v>25</v>
      </c>
      <c r="B682" t="s">
        <v>1796</v>
      </c>
      <c r="C682">
        <v>25504</v>
      </c>
      <c r="D682">
        <v>0</v>
      </c>
      <c r="F682">
        <v>0</v>
      </c>
    </row>
    <row r="683" spans="1:6" x14ac:dyDescent="0.25">
      <c r="A683" t="s">
        <v>26</v>
      </c>
      <c r="B683" t="s">
        <v>1797</v>
      </c>
      <c r="C683">
        <v>25505</v>
      </c>
      <c r="D683">
        <v>0</v>
      </c>
      <c r="F683">
        <v>0</v>
      </c>
    </row>
    <row r="684" spans="1:6" x14ac:dyDescent="0.25">
      <c r="B684" t="s">
        <v>1806</v>
      </c>
      <c r="D684">
        <v>1</v>
      </c>
      <c r="F684">
        <v>1</v>
      </c>
    </row>
    <row r="685" spans="1:6" x14ac:dyDescent="0.25">
      <c r="B685" t="s">
        <v>1807</v>
      </c>
    </row>
    <row r="686" spans="1:6" x14ac:dyDescent="0.25">
      <c r="A686" t="s">
        <v>2</v>
      </c>
      <c r="B686" t="s">
        <v>1808</v>
      </c>
      <c r="C686">
        <v>25601</v>
      </c>
      <c r="D686">
        <v>3360</v>
      </c>
      <c r="F686">
        <v>3360</v>
      </c>
    </row>
    <row r="687" spans="1:6" x14ac:dyDescent="0.25">
      <c r="B687" t="s">
        <v>1728</v>
      </c>
      <c r="D687">
        <v>19640681</v>
      </c>
      <c r="F687">
        <v>19640681</v>
      </c>
    </row>
    <row r="688" spans="1:6" x14ac:dyDescent="0.25">
      <c r="B688" t="s">
        <v>1809</v>
      </c>
    </row>
    <row r="689" spans="1:6" x14ac:dyDescent="0.25">
      <c r="B689" t="s">
        <v>1810</v>
      </c>
    </row>
    <row r="690" spans="1:6" x14ac:dyDescent="0.25">
      <c r="A690" t="s">
        <v>2</v>
      </c>
      <c r="B690" t="s">
        <v>1811</v>
      </c>
      <c r="C690">
        <v>26101</v>
      </c>
      <c r="D690">
        <v>199704</v>
      </c>
      <c r="F690">
        <v>199704</v>
      </c>
    </row>
    <row r="691" spans="1:6" x14ac:dyDescent="0.25">
      <c r="A691" t="s">
        <v>15</v>
      </c>
      <c r="B691" t="s">
        <v>1008</v>
      </c>
      <c r="C691">
        <v>26102</v>
      </c>
      <c r="D691">
        <v>62398</v>
      </c>
      <c r="F691">
        <v>62398</v>
      </c>
    </row>
    <row r="692" spans="1:6" x14ac:dyDescent="0.25">
      <c r="A692" t="s">
        <v>16</v>
      </c>
      <c r="B692" t="s">
        <v>1812</v>
      </c>
      <c r="C692">
        <v>26103</v>
      </c>
      <c r="D692">
        <v>3663</v>
      </c>
      <c r="F692">
        <v>3663</v>
      </c>
    </row>
    <row r="693" spans="1:6" x14ac:dyDescent="0.25">
      <c r="A693" t="s">
        <v>25</v>
      </c>
      <c r="B693" t="s">
        <v>1813</v>
      </c>
      <c r="C693">
        <v>26104</v>
      </c>
      <c r="D693">
        <v>4691</v>
      </c>
      <c r="F693">
        <v>4691</v>
      </c>
    </row>
    <row r="694" spans="1:6" x14ac:dyDescent="0.25">
      <c r="A694" t="s">
        <v>26</v>
      </c>
      <c r="B694" t="s">
        <v>1814</v>
      </c>
      <c r="C694">
        <v>26105</v>
      </c>
      <c r="D694">
        <v>0</v>
      </c>
      <c r="F694">
        <v>0</v>
      </c>
    </row>
    <row r="695" spans="1:6" x14ac:dyDescent="0.25">
      <c r="A695" t="s">
        <v>27</v>
      </c>
      <c r="B695" t="s">
        <v>1815</v>
      </c>
      <c r="C695">
        <v>26106</v>
      </c>
      <c r="D695">
        <v>3039</v>
      </c>
      <c r="F695">
        <v>3039</v>
      </c>
    </row>
    <row r="696" spans="1:6" x14ac:dyDescent="0.25">
      <c r="B696" t="s">
        <v>1816</v>
      </c>
      <c r="D696">
        <v>273495</v>
      </c>
      <c r="F696">
        <v>273495</v>
      </c>
    </row>
    <row r="697" spans="1:6" x14ac:dyDescent="0.25">
      <c r="B697" t="s">
        <v>1817</v>
      </c>
    </row>
    <row r="698" spans="1:6" x14ac:dyDescent="0.25">
      <c r="A698" t="s">
        <v>2</v>
      </c>
      <c r="B698" t="s">
        <v>1811</v>
      </c>
      <c r="C698">
        <v>26201</v>
      </c>
      <c r="D698">
        <v>1935025</v>
      </c>
      <c r="F698">
        <v>1935025</v>
      </c>
    </row>
    <row r="699" spans="1:6" x14ac:dyDescent="0.25">
      <c r="A699" t="s">
        <v>15</v>
      </c>
      <c r="B699" t="s">
        <v>1008</v>
      </c>
      <c r="C699">
        <v>26202</v>
      </c>
      <c r="D699">
        <v>1759518</v>
      </c>
      <c r="F699">
        <v>1759518</v>
      </c>
    </row>
    <row r="700" spans="1:6" x14ac:dyDescent="0.25">
      <c r="A700" t="s">
        <v>16</v>
      </c>
      <c r="B700" t="s">
        <v>1812</v>
      </c>
      <c r="C700">
        <v>26203</v>
      </c>
      <c r="D700">
        <v>5599</v>
      </c>
      <c r="F700">
        <v>5599</v>
      </c>
    </row>
    <row r="701" spans="1:6" x14ac:dyDescent="0.25">
      <c r="A701" t="s">
        <v>25</v>
      </c>
      <c r="B701" t="s">
        <v>1813</v>
      </c>
      <c r="C701">
        <v>26204</v>
      </c>
      <c r="D701">
        <v>4169</v>
      </c>
      <c r="F701">
        <v>4169</v>
      </c>
    </row>
    <row r="702" spans="1:6" x14ac:dyDescent="0.25">
      <c r="A702" t="s">
        <v>26</v>
      </c>
      <c r="B702" t="s">
        <v>1814</v>
      </c>
      <c r="C702">
        <v>26205</v>
      </c>
      <c r="D702">
        <v>296</v>
      </c>
      <c r="F702">
        <v>296</v>
      </c>
    </row>
    <row r="703" spans="1:6" x14ac:dyDescent="0.25">
      <c r="A703" t="s">
        <v>27</v>
      </c>
      <c r="B703" t="s">
        <v>1815</v>
      </c>
      <c r="C703">
        <v>26206</v>
      </c>
      <c r="D703">
        <v>11004</v>
      </c>
      <c r="F703">
        <v>11004</v>
      </c>
    </row>
    <row r="704" spans="1:6" x14ac:dyDescent="0.25">
      <c r="B704" t="s">
        <v>1818</v>
      </c>
      <c r="D704">
        <v>3715611</v>
      </c>
      <c r="F704">
        <v>3715611</v>
      </c>
    </row>
    <row r="705" spans="1:6" x14ac:dyDescent="0.25">
      <c r="B705" t="s">
        <v>1819</v>
      </c>
    </row>
    <row r="706" spans="1:6" x14ac:dyDescent="0.25">
      <c r="A706" t="s">
        <v>2</v>
      </c>
      <c r="B706" t="s">
        <v>1820</v>
      </c>
      <c r="C706">
        <v>26301</v>
      </c>
      <c r="D706">
        <v>198664123</v>
      </c>
      <c r="F706">
        <v>198664123</v>
      </c>
    </row>
    <row r="707" spans="1:6" x14ac:dyDescent="0.25">
      <c r="A707" t="s">
        <v>15</v>
      </c>
      <c r="B707" t="s">
        <v>1821</v>
      </c>
      <c r="C707">
        <v>26302</v>
      </c>
      <c r="D707">
        <v>27059719</v>
      </c>
      <c r="F707">
        <v>27059719</v>
      </c>
    </row>
    <row r="708" spans="1:6" x14ac:dyDescent="0.25">
      <c r="A708" t="s">
        <v>16</v>
      </c>
      <c r="B708" t="s">
        <v>1822</v>
      </c>
      <c r="C708">
        <v>26303</v>
      </c>
      <c r="D708">
        <v>835288</v>
      </c>
      <c r="F708">
        <v>835288</v>
      </c>
    </row>
    <row r="709" spans="1:6" x14ac:dyDescent="0.25">
      <c r="A709" t="s">
        <v>25</v>
      </c>
      <c r="B709" t="s">
        <v>1823</v>
      </c>
      <c r="C709">
        <v>26304</v>
      </c>
      <c r="D709">
        <v>529594</v>
      </c>
      <c r="F709">
        <v>529594</v>
      </c>
    </row>
    <row r="710" spans="1:6" x14ac:dyDescent="0.25">
      <c r="A710" t="s">
        <v>26</v>
      </c>
      <c r="B710" t="s">
        <v>1824</v>
      </c>
      <c r="C710">
        <v>26305</v>
      </c>
      <c r="D710">
        <v>27446</v>
      </c>
      <c r="F710">
        <v>27446</v>
      </c>
    </row>
    <row r="711" spans="1:6" x14ac:dyDescent="0.25">
      <c r="A711" t="s">
        <v>27</v>
      </c>
      <c r="B711" t="s">
        <v>1825</v>
      </c>
      <c r="C711">
        <v>26306</v>
      </c>
      <c r="D711">
        <v>1296636</v>
      </c>
      <c r="F711">
        <v>1296636</v>
      </c>
    </row>
    <row r="712" spans="1:6" x14ac:dyDescent="0.25">
      <c r="B712" t="s">
        <v>1826</v>
      </c>
      <c r="D712">
        <v>228412806</v>
      </c>
      <c r="F712">
        <v>228412806</v>
      </c>
    </row>
    <row r="713" spans="1:6" x14ac:dyDescent="0.25">
      <c r="B713" t="s">
        <v>1827</v>
      </c>
    </row>
    <row r="714" spans="1:6" x14ac:dyDescent="0.25">
      <c r="A714" t="s">
        <v>2</v>
      </c>
      <c r="B714" t="s">
        <v>1828</v>
      </c>
      <c r="C714">
        <v>26401</v>
      </c>
      <c r="D714">
        <v>25862</v>
      </c>
      <c r="F714">
        <v>25862</v>
      </c>
    </row>
    <row r="715" spans="1:6" x14ac:dyDescent="0.25">
      <c r="A715" t="s">
        <v>15</v>
      </c>
      <c r="B715" t="s">
        <v>1829</v>
      </c>
      <c r="C715">
        <v>26402</v>
      </c>
      <c r="D715">
        <v>680</v>
      </c>
      <c r="F715">
        <v>680</v>
      </c>
    </row>
    <row r="716" spans="1:6" x14ac:dyDescent="0.25">
      <c r="A716" t="s">
        <v>16</v>
      </c>
      <c r="B716" t="s">
        <v>1830</v>
      </c>
      <c r="C716">
        <v>26403</v>
      </c>
      <c r="D716">
        <v>1209</v>
      </c>
      <c r="F716">
        <v>1209</v>
      </c>
    </row>
    <row r="717" spans="1:6" x14ac:dyDescent="0.25">
      <c r="A717" t="s">
        <v>25</v>
      </c>
      <c r="B717" t="s">
        <v>1831</v>
      </c>
      <c r="C717">
        <v>26404</v>
      </c>
      <c r="D717">
        <v>1450</v>
      </c>
      <c r="F717">
        <v>1450</v>
      </c>
    </row>
    <row r="718" spans="1:6" x14ac:dyDescent="0.25">
      <c r="A718" t="s">
        <v>26</v>
      </c>
      <c r="B718" t="s">
        <v>1832</v>
      </c>
      <c r="C718">
        <v>26405</v>
      </c>
      <c r="D718">
        <v>0</v>
      </c>
      <c r="F718">
        <v>0</v>
      </c>
    </row>
    <row r="719" spans="1:6" x14ac:dyDescent="0.25">
      <c r="B719" t="s">
        <v>1833</v>
      </c>
      <c r="D719">
        <v>29201</v>
      </c>
      <c r="F719">
        <v>29201</v>
      </c>
    </row>
    <row r="720" spans="1:6" x14ac:dyDescent="0.25">
      <c r="B720" t="s">
        <v>1834</v>
      </c>
    </row>
    <row r="721" spans="1:6" x14ac:dyDescent="0.25">
      <c r="A721" t="s">
        <v>2</v>
      </c>
      <c r="B721" t="s">
        <v>1828</v>
      </c>
      <c r="C721">
        <v>26501</v>
      </c>
      <c r="D721">
        <v>6530196</v>
      </c>
      <c r="F721">
        <v>6530196</v>
      </c>
    </row>
    <row r="722" spans="1:6" x14ac:dyDescent="0.25">
      <c r="A722" t="s">
        <v>15</v>
      </c>
      <c r="B722" t="s">
        <v>1829</v>
      </c>
      <c r="C722">
        <v>26502</v>
      </c>
      <c r="D722">
        <v>205047</v>
      </c>
      <c r="F722">
        <v>205047</v>
      </c>
    </row>
    <row r="723" spans="1:6" x14ac:dyDescent="0.25">
      <c r="A723" t="s">
        <v>16</v>
      </c>
      <c r="B723" t="s">
        <v>1830</v>
      </c>
      <c r="C723">
        <v>26503</v>
      </c>
      <c r="D723">
        <v>2576786</v>
      </c>
      <c r="F723">
        <v>2576786</v>
      </c>
    </row>
    <row r="724" spans="1:6" x14ac:dyDescent="0.25">
      <c r="A724" t="s">
        <v>25</v>
      </c>
      <c r="B724" t="s">
        <v>1831</v>
      </c>
      <c r="C724">
        <v>26504</v>
      </c>
      <c r="D724">
        <v>261741</v>
      </c>
      <c r="F724">
        <v>261741</v>
      </c>
    </row>
    <row r="725" spans="1:6" x14ac:dyDescent="0.25">
      <c r="A725" t="s">
        <v>26</v>
      </c>
      <c r="B725" t="s">
        <v>1832</v>
      </c>
      <c r="C725">
        <v>26505</v>
      </c>
      <c r="D725">
        <v>0</v>
      </c>
      <c r="F725">
        <v>0</v>
      </c>
    </row>
    <row r="726" spans="1:6" x14ac:dyDescent="0.25">
      <c r="B726" t="s">
        <v>1835</v>
      </c>
      <c r="D726">
        <v>9573770</v>
      </c>
      <c r="F726">
        <v>9573770</v>
      </c>
    </row>
    <row r="727" spans="1:6" x14ac:dyDescent="0.25">
      <c r="B727" t="s">
        <v>1732</v>
      </c>
      <c r="D727">
        <v>242004883</v>
      </c>
      <c r="F727">
        <v>242004883</v>
      </c>
    </row>
    <row r="728" spans="1:6" x14ac:dyDescent="0.25">
      <c r="B728" t="s">
        <v>1836</v>
      </c>
    </row>
    <row r="729" spans="1:6" x14ac:dyDescent="0.25">
      <c r="B729" t="s">
        <v>1385</v>
      </c>
    </row>
    <row r="730" spans="1:6" x14ac:dyDescent="0.25">
      <c r="A730" t="s">
        <v>2</v>
      </c>
      <c r="B730" t="s">
        <v>1837</v>
      </c>
      <c r="C730">
        <v>27101</v>
      </c>
      <c r="D730">
        <v>0</v>
      </c>
      <c r="E730">
        <v>2</v>
      </c>
      <c r="F730">
        <v>2</v>
      </c>
    </row>
    <row r="731" spans="1:6" x14ac:dyDescent="0.25">
      <c r="A731" t="s">
        <v>15</v>
      </c>
      <c r="B731" t="s">
        <v>1838</v>
      </c>
      <c r="C731">
        <v>27102</v>
      </c>
      <c r="D731">
        <v>128550</v>
      </c>
      <c r="E731">
        <v>438</v>
      </c>
      <c r="F731">
        <v>128988</v>
      </c>
    </row>
    <row r="732" spans="1:6" x14ac:dyDescent="0.25">
      <c r="A732" t="s">
        <v>16</v>
      </c>
      <c r="B732" t="s">
        <v>1689</v>
      </c>
      <c r="C732">
        <v>27103</v>
      </c>
      <c r="D732">
        <v>74524</v>
      </c>
      <c r="E732">
        <v>9</v>
      </c>
      <c r="F732">
        <v>74533</v>
      </c>
    </row>
    <row r="733" spans="1:6" x14ac:dyDescent="0.25">
      <c r="A733" t="s">
        <v>25</v>
      </c>
      <c r="B733" t="s">
        <v>1839</v>
      </c>
      <c r="C733">
        <v>27104</v>
      </c>
      <c r="D733">
        <v>55129</v>
      </c>
      <c r="E733">
        <v>1190</v>
      </c>
      <c r="F733">
        <v>56319</v>
      </c>
    </row>
    <row r="734" spans="1:6" x14ac:dyDescent="0.25">
      <c r="B734" t="s">
        <v>1840</v>
      </c>
      <c r="D734">
        <v>258203</v>
      </c>
      <c r="E734">
        <v>1639</v>
      </c>
      <c r="F734">
        <v>259842</v>
      </c>
    </row>
    <row r="735" spans="1:6" x14ac:dyDescent="0.25">
      <c r="B735" t="s">
        <v>1386</v>
      </c>
    </row>
    <row r="736" spans="1:6" x14ac:dyDescent="0.25">
      <c r="A736" t="s">
        <v>2</v>
      </c>
      <c r="B736" t="s">
        <v>1837</v>
      </c>
      <c r="C736">
        <v>27201</v>
      </c>
      <c r="D736">
        <v>0</v>
      </c>
      <c r="E736">
        <v>0</v>
      </c>
      <c r="F736">
        <v>0</v>
      </c>
    </row>
    <row r="737" spans="1:6" x14ac:dyDescent="0.25">
      <c r="A737" t="s">
        <v>15</v>
      </c>
      <c r="B737" t="s">
        <v>1838</v>
      </c>
      <c r="C737">
        <v>27202</v>
      </c>
      <c r="D737">
        <v>396169</v>
      </c>
      <c r="E737">
        <v>18375</v>
      </c>
      <c r="F737">
        <v>414544</v>
      </c>
    </row>
    <row r="738" spans="1:6" x14ac:dyDescent="0.25">
      <c r="A738" t="s">
        <v>16</v>
      </c>
      <c r="B738" t="s">
        <v>1689</v>
      </c>
      <c r="C738">
        <v>27203</v>
      </c>
      <c r="D738">
        <v>125489</v>
      </c>
      <c r="E738">
        <v>152</v>
      </c>
      <c r="F738">
        <v>125641</v>
      </c>
    </row>
    <row r="739" spans="1:6" x14ac:dyDescent="0.25">
      <c r="A739" t="s">
        <v>25</v>
      </c>
      <c r="B739" t="s">
        <v>1839</v>
      </c>
      <c r="C739">
        <v>27204</v>
      </c>
      <c r="D739">
        <v>1343981</v>
      </c>
      <c r="E739">
        <v>33593</v>
      </c>
      <c r="F739">
        <v>1377574</v>
      </c>
    </row>
    <row r="740" spans="1:6" x14ac:dyDescent="0.25">
      <c r="B740" t="s">
        <v>1841</v>
      </c>
      <c r="D740">
        <v>1865639</v>
      </c>
      <c r="E740">
        <v>52120</v>
      </c>
      <c r="F740">
        <v>1917759</v>
      </c>
    </row>
    <row r="741" spans="1:6" x14ac:dyDescent="0.25">
      <c r="B741" t="s">
        <v>1387</v>
      </c>
    </row>
    <row r="742" spans="1:6" x14ac:dyDescent="0.25">
      <c r="A742" t="s">
        <v>2</v>
      </c>
      <c r="B742" t="s">
        <v>1842</v>
      </c>
      <c r="C742">
        <v>27301</v>
      </c>
      <c r="D742">
        <v>0</v>
      </c>
      <c r="E742">
        <v>8983</v>
      </c>
      <c r="F742">
        <v>8983</v>
      </c>
    </row>
    <row r="743" spans="1:6" x14ac:dyDescent="0.25">
      <c r="A743" t="s">
        <v>15</v>
      </c>
      <c r="B743" t="s">
        <v>1843</v>
      </c>
      <c r="C743">
        <v>27302</v>
      </c>
      <c r="D743">
        <v>0</v>
      </c>
      <c r="E743">
        <v>0</v>
      </c>
      <c r="F743">
        <v>0</v>
      </c>
    </row>
    <row r="744" spans="1:6" x14ac:dyDescent="0.25">
      <c r="A744" t="s">
        <v>16</v>
      </c>
      <c r="B744" t="s">
        <v>1844</v>
      </c>
      <c r="C744">
        <v>27303</v>
      </c>
      <c r="D744">
        <v>0</v>
      </c>
      <c r="E744">
        <v>0</v>
      </c>
      <c r="F744">
        <v>0</v>
      </c>
    </row>
    <row r="745" spans="1:6" x14ac:dyDescent="0.25">
      <c r="A745" t="s">
        <v>25</v>
      </c>
      <c r="B745" t="s">
        <v>1845</v>
      </c>
      <c r="C745">
        <v>27304</v>
      </c>
      <c r="D745">
        <v>0</v>
      </c>
      <c r="E745">
        <v>8137</v>
      </c>
      <c r="F745">
        <v>8137</v>
      </c>
    </row>
    <row r="746" spans="1:6" x14ac:dyDescent="0.25">
      <c r="B746" t="s">
        <v>1846</v>
      </c>
      <c r="D746">
        <v>0</v>
      </c>
      <c r="E746">
        <v>17120</v>
      </c>
      <c r="F746">
        <v>17120</v>
      </c>
    </row>
    <row r="747" spans="1:6" x14ac:dyDescent="0.25">
      <c r="B747" t="s">
        <v>1388</v>
      </c>
    </row>
    <row r="748" spans="1:6" x14ac:dyDescent="0.25">
      <c r="A748" t="s">
        <v>2</v>
      </c>
      <c r="B748" t="s">
        <v>1847</v>
      </c>
      <c r="C748">
        <v>27401</v>
      </c>
      <c r="D748">
        <v>0</v>
      </c>
      <c r="E748">
        <v>0</v>
      </c>
      <c r="F748">
        <v>0</v>
      </c>
    </row>
    <row r="749" spans="1:6" x14ac:dyDescent="0.25">
      <c r="A749" t="s">
        <v>15</v>
      </c>
      <c r="B749" t="s">
        <v>1848</v>
      </c>
      <c r="C749">
        <v>27402</v>
      </c>
      <c r="D749">
        <v>317592</v>
      </c>
      <c r="E749">
        <v>12085</v>
      </c>
      <c r="F749">
        <v>329677</v>
      </c>
    </row>
    <row r="750" spans="1:6" x14ac:dyDescent="0.25">
      <c r="A750" t="s">
        <v>16</v>
      </c>
      <c r="B750" t="s">
        <v>1849</v>
      </c>
      <c r="C750">
        <v>27403</v>
      </c>
      <c r="D750">
        <v>115755</v>
      </c>
      <c r="E750">
        <v>67</v>
      </c>
      <c r="F750">
        <v>115822</v>
      </c>
    </row>
    <row r="751" spans="1:6" x14ac:dyDescent="0.25">
      <c r="A751" t="s">
        <v>25</v>
      </c>
      <c r="B751" t="s">
        <v>1850</v>
      </c>
      <c r="C751">
        <v>27404</v>
      </c>
      <c r="D751">
        <v>105042</v>
      </c>
      <c r="E751">
        <v>13236</v>
      </c>
      <c r="F751">
        <v>118278</v>
      </c>
    </row>
    <row r="752" spans="1:6" x14ac:dyDescent="0.25">
      <c r="A752" t="s">
        <v>26</v>
      </c>
      <c r="B752" t="s">
        <v>1851</v>
      </c>
      <c r="C752">
        <v>27405</v>
      </c>
      <c r="D752">
        <v>0</v>
      </c>
      <c r="E752">
        <v>0</v>
      </c>
      <c r="F752">
        <v>0</v>
      </c>
    </row>
    <row r="753" spans="1:6" x14ac:dyDescent="0.25">
      <c r="A753" t="s">
        <v>27</v>
      </c>
      <c r="B753" t="s">
        <v>1852</v>
      </c>
      <c r="C753">
        <v>27406</v>
      </c>
      <c r="D753">
        <v>0</v>
      </c>
      <c r="E753">
        <v>0</v>
      </c>
      <c r="F753">
        <v>0</v>
      </c>
    </row>
    <row r="754" spans="1:6" x14ac:dyDescent="0.25">
      <c r="A754" t="s">
        <v>531</v>
      </c>
      <c r="B754" t="s">
        <v>1853</v>
      </c>
      <c r="C754">
        <v>27407</v>
      </c>
      <c r="D754">
        <v>0</v>
      </c>
      <c r="E754">
        <v>0</v>
      </c>
      <c r="F754">
        <v>0</v>
      </c>
    </row>
    <row r="755" spans="1:6" x14ac:dyDescent="0.25">
      <c r="A755" t="s">
        <v>1583</v>
      </c>
      <c r="B755" t="s">
        <v>1854</v>
      </c>
      <c r="C755">
        <v>27408</v>
      </c>
      <c r="D755">
        <v>157018</v>
      </c>
      <c r="E755">
        <v>18020</v>
      </c>
      <c r="F755">
        <v>175038</v>
      </c>
    </row>
    <row r="756" spans="1:6" x14ac:dyDescent="0.25">
      <c r="A756" t="s">
        <v>1585</v>
      </c>
      <c r="B756" t="s">
        <v>1855</v>
      </c>
      <c r="C756">
        <v>27409</v>
      </c>
      <c r="D756">
        <v>93831</v>
      </c>
      <c r="E756">
        <v>2605</v>
      </c>
      <c r="F756">
        <v>96436</v>
      </c>
    </row>
    <row r="757" spans="1:6" x14ac:dyDescent="0.25">
      <c r="B757" t="s">
        <v>1856</v>
      </c>
      <c r="D757">
        <v>789238</v>
      </c>
      <c r="E757">
        <v>46013</v>
      </c>
      <c r="F757">
        <v>835251</v>
      </c>
    </row>
    <row r="758" spans="1:6" x14ac:dyDescent="0.25">
      <c r="B758" t="s">
        <v>1857</v>
      </c>
    </row>
    <row r="759" spans="1:6" x14ac:dyDescent="0.25">
      <c r="A759" t="s">
        <v>2</v>
      </c>
      <c r="B759" t="s">
        <v>1842</v>
      </c>
      <c r="C759">
        <v>27501</v>
      </c>
      <c r="D759">
        <v>0</v>
      </c>
      <c r="E759">
        <v>0</v>
      </c>
      <c r="F759">
        <v>0</v>
      </c>
    </row>
    <row r="760" spans="1:6" x14ac:dyDescent="0.25">
      <c r="A760" t="s">
        <v>15</v>
      </c>
      <c r="B760" t="s">
        <v>1843</v>
      </c>
      <c r="C760">
        <v>27502</v>
      </c>
      <c r="D760">
        <v>338807</v>
      </c>
      <c r="E760">
        <v>3892</v>
      </c>
      <c r="F760">
        <v>342699</v>
      </c>
    </row>
    <row r="761" spans="1:6" x14ac:dyDescent="0.25">
      <c r="A761" t="s">
        <v>16</v>
      </c>
      <c r="B761" t="s">
        <v>1844</v>
      </c>
      <c r="C761">
        <v>27503</v>
      </c>
      <c r="D761">
        <v>3626</v>
      </c>
      <c r="E761">
        <v>0</v>
      </c>
      <c r="F761">
        <v>3626</v>
      </c>
    </row>
    <row r="762" spans="1:6" x14ac:dyDescent="0.25">
      <c r="A762" t="s">
        <v>25</v>
      </c>
      <c r="B762" t="s">
        <v>1845</v>
      </c>
      <c r="C762">
        <v>27504</v>
      </c>
      <c r="D762">
        <v>0</v>
      </c>
      <c r="E762">
        <v>0</v>
      </c>
      <c r="F762">
        <v>0</v>
      </c>
    </row>
    <row r="763" spans="1:6" x14ac:dyDescent="0.25">
      <c r="B763" t="s">
        <v>1858</v>
      </c>
      <c r="D763">
        <v>342433</v>
      </c>
      <c r="E763">
        <v>3892</v>
      </c>
      <c r="F763">
        <v>346325</v>
      </c>
    </row>
    <row r="764" spans="1:6" x14ac:dyDescent="0.25">
      <c r="B764" t="s">
        <v>1390</v>
      </c>
    </row>
    <row r="765" spans="1:6" x14ac:dyDescent="0.25">
      <c r="A765" t="s">
        <v>2</v>
      </c>
      <c r="B765" t="s">
        <v>1859</v>
      </c>
      <c r="C765">
        <v>27601</v>
      </c>
      <c r="D765">
        <v>32</v>
      </c>
      <c r="E765">
        <v>0</v>
      </c>
      <c r="F765">
        <v>32</v>
      </c>
    </row>
    <row r="766" spans="1:6" x14ac:dyDescent="0.25">
      <c r="A766" t="s">
        <v>15</v>
      </c>
      <c r="B766" t="s">
        <v>1860</v>
      </c>
      <c r="C766">
        <v>27602</v>
      </c>
      <c r="D766">
        <v>177527</v>
      </c>
      <c r="E766">
        <v>0</v>
      </c>
      <c r="F766">
        <v>177527</v>
      </c>
    </row>
    <row r="767" spans="1:6" x14ac:dyDescent="0.25">
      <c r="A767" t="s">
        <v>16</v>
      </c>
      <c r="B767" t="s">
        <v>1596</v>
      </c>
      <c r="C767">
        <v>27603</v>
      </c>
      <c r="D767">
        <v>0</v>
      </c>
      <c r="E767">
        <v>0</v>
      </c>
      <c r="F767">
        <v>0</v>
      </c>
    </row>
    <row r="768" spans="1:6" x14ac:dyDescent="0.25">
      <c r="A768" t="s">
        <v>25</v>
      </c>
      <c r="B768" t="s">
        <v>1861</v>
      </c>
      <c r="C768">
        <v>27604</v>
      </c>
      <c r="D768">
        <v>1978</v>
      </c>
      <c r="E768">
        <v>0</v>
      </c>
      <c r="F768">
        <v>1978</v>
      </c>
    </row>
    <row r="769" spans="1:6" x14ac:dyDescent="0.25">
      <c r="B769" t="s">
        <v>1862</v>
      </c>
      <c r="D769">
        <v>179537</v>
      </c>
      <c r="E769">
        <v>0</v>
      </c>
      <c r="F769">
        <v>179537</v>
      </c>
    </row>
    <row r="770" spans="1:6" x14ac:dyDescent="0.25">
      <c r="B770" t="s">
        <v>1391</v>
      </c>
    </row>
    <row r="771" spans="1:6" x14ac:dyDescent="0.25">
      <c r="A771" t="s">
        <v>2</v>
      </c>
      <c r="B771" t="s">
        <v>1837</v>
      </c>
      <c r="C771">
        <v>27701</v>
      </c>
      <c r="D771">
        <v>0</v>
      </c>
      <c r="E771">
        <v>0</v>
      </c>
      <c r="F771">
        <v>0</v>
      </c>
    </row>
    <row r="772" spans="1:6" x14ac:dyDescent="0.25">
      <c r="A772" t="s">
        <v>15</v>
      </c>
      <c r="B772" t="s">
        <v>1838</v>
      </c>
      <c r="C772">
        <v>27702</v>
      </c>
      <c r="D772">
        <v>0</v>
      </c>
      <c r="E772">
        <v>0</v>
      </c>
      <c r="F772">
        <v>0</v>
      </c>
    </row>
    <row r="773" spans="1:6" x14ac:dyDescent="0.25">
      <c r="A773" t="s">
        <v>16</v>
      </c>
      <c r="B773" t="s">
        <v>1689</v>
      </c>
      <c r="C773">
        <v>27703</v>
      </c>
      <c r="D773">
        <v>0</v>
      </c>
      <c r="E773">
        <v>0</v>
      </c>
      <c r="F773">
        <v>0</v>
      </c>
    </row>
    <row r="774" spans="1:6" x14ac:dyDescent="0.25">
      <c r="A774" t="s">
        <v>25</v>
      </c>
      <c r="B774" t="s">
        <v>1839</v>
      </c>
      <c r="C774">
        <v>27704</v>
      </c>
      <c r="D774">
        <v>77</v>
      </c>
      <c r="E774">
        <v>0</v>
      </c>
      <c r="F774">
        <v>77</v>
      </c>
    </row>
    <row r="775" spans="1:6" x14ac:dyDescent="0.25">
      <c r="B775" t="s">
        <v>1863</v>
      </c>
      <c r="D775">
        <v>77</v>
      </c>
      <c r="E775">
        <v>0</v>
      </c>
      <c r="F775">
        <v>77</v>
      </c>
    </row>
    <row r="776" spans="1:6" x14ac:dyDescent="0.25">
      <c r="B776" t="s">
        <v>1392</v>
      </c>
    </row>
    <row r="777" spans="1:6" x14ac:dyDescent="0.25">
      <c r="A777" t="s">
        <v>2</v>
      </c>
      <c r="B777" t="s">
        <v>1859</v>
      </c>
      <c r="C777">
        <v>27801</v>
      </c>
      <c r="D777">
        <v>0</v>
      </c>
      <c r="E777">
        <v>0</v>
      </c>
      <c r="F777">
        <v>0</v>
      </c>
    </row>
    <row r="778" spans="1:6" x14ac:dyDescent="0.25">
      <c r="A778" t="s">
        <v>15</v>
      </c>
      <c r="B778" t="s">
        <v>1860</v>
      </c>
      <c r="C778">
        <v>27802</v>
      </c>
      <c r="D778">
        <v>52605</v>
      </c>
      <c r="E778">
        <v>0</v>
      </c>
      <c r="F778">
        <v>52605</v>
      </c>
    </row>
    <row r="779" spans="1:6" x14ac:dyDescent="0.25">
      <c r="A779" t="s">
        <v>16</v>
      </c>
      <c r="B779" t="s">
        <v>1596</v>
      </c>
      <c r="C779">
        <v>27803</v>
      </c>
      <c r="D779">
        <v>1084</v>
      </c>
      <c r="E779">
        <v>0</v>
      </c>
      <c r="F779">
        <v>1084</v>
      </c>
    </row>
    <row r="780" spans="1:6" x14ac:dyDescent="0.25">
      <c r="A780" t="s">
        <v>25</v>
      </c>
      <c r="B780" t="s">
        <v>1861</v>
      </c>
      <c r="C780">
        <v>27804</v>
      </c>
      <c r="D780">
        <v>0</v>
      </c>
      <c r="E780">
        <v>0</v>
      </c>
      <c r="F780">
        <v>0</v>
      </c>
    </row>
    <row r="781" spans="1:6" x14ac:dyDescent="0.25">
      <c r="B781" t="s">
        <v>1864</v>
      </c>
      <c r="D781">
        <v>53689</v>
      </c>
      <c r="E781">
        <v>0</v>
      </c>
      <c r="F781">
        <v>53689</v>
      </c>
    </row>
    <row r="782" spans="1:6" x14ac:dyDescent="0.25">
      <c r="B782" t="s">
        <v>1393</v>
      </c>
    </row>
    <row r="783" spans="1:6" x14ac:dyDescent="0.25">
      <c r="A783" t="s">
        <v>2</v>
      </c>
      <c r="B783" t="s">
        <v>1842</v>
      </c>
      <c r="C783">
        <v>27901</v>
      </c>
      <c r="D783">
        <v>5</v>
      </c>
      <c r="E783">
        <v>20264</v>
      </c>
      <c r="F783">
        <v>20269</v>
      </c>
    </row>
    <row r="784" spans="1:6" x14ac:dyDescent="0.25">
      <c r="A784" t="s">
        <v>15</v>
      </c>
      <c r="B784" t="s">
        <v>1843</v>
      </c>
      <c r="C784">
        <v>27902</v>
      </c>
      <c r="D784">
        <v>59193</v>
      </c>
      <c r="E784">
        <v>0</v>
      </c>
      <c r="F784">
        <v>59193</v>
      </c>
    </row>
    <row r="785" spans="1:6" x14ac:dyDescent="0.25">
      <c r="A785" t="s">
        <v>16</v>
      </c>
      <c r="B785" t="s">
        <v>1844</v>
      </c>
      <c r="C785">
        <v>27903</v>
      </c>
      <c r="D785">
        <v>18089</v>
      </c>
      <c r="E785">
        <v>7</v>
      </c>
      <c r="F785">
        <v>18096</v>
      </c>
    </row>
    <row r="786" spans="1:6" x14ac:dyDescent="0.25">
      <c r="A786" t="s">
        <v>25</v>
      </c>
      <c r="B786" t="s">
        <v>1845</v>
      </c>
      <c r="C786">
        <v>27904</v>
      </c>
      <c r="D786">
        <v>13011</v>
      </c>
      <c r="E786">
        <v>41</v>
      </c>
      <c r="F786">
        <v>13052</v>
      </c>
    </row>
    <row r="787" spans="1:6" x14ac:dyDescent="0.25">
      <c r="A787" t="s">
        <v>26</v>
      </c>
      <c r="B787" t="s">
        <v>1865</v>
      </c>
      <c r="C787">
        <v>27900</v>
      </c>
      <c r="D787">
        <v>90298</v>
      </c>
      <c r="E787">
        <v>20312</v>
      </c>
      <c r="F787">
        <v>110610</v>
      </c>
    </row>
    <row r="788" spans="1:6" x14ac:dyDescent="0.25">
      <c r="B788" t="s">
        <v>1866</v>
      </c>
      <c r="D788">
        <v>3579114</v>
      </c>
      <c r="E788">
        <v>141096</v>
      </c>
      <c r="F788">
        <v>3720210</v>
      </c>
    </row>
    <row r="789" spans="1:6" x14ac:dyDescent="0.25">
      <c r="B789" t="s">
        <v>1867</v>
      </c>
    </row>
    <row r="790" spans="1:6" x14ac:dyDescent="0.25">
      <c r="B790" t="s">
        <v>1868</v>
      </c>
    </row>
    <row r="791" spans="1:6" x14ac:dyDescent="0.25">
      <c r="A791" t="s">
        <v>2</v>
      </c>
      <c r="B791" t="s">
        <v>1869</v>
      </c>
      <c r="C791">
        <v>28101</v>
      </c>
      <c r="D791">
        <v>1140684</v>
      </c>
      <c r="F791">
        <v>1140684</v>
      </c>
    </row>
    <row r="792" spans="1:6" x14ac:dyDescent="0.25">
      <c r="A792" t="s">
        <v>15</v>
      </c>
      <c r="B792" t="s">
        <v>1870</v>
      </c>
      <c r="C792">
        <v>28102</v>
      </c>
      <c r="D792">
        <v>0</v>
      </c>
      <c r="F792">
        <v>0</v>
      </c>
    </row>
    <row r="793" spans="1:6" x14ac:dyDescent="0.25">
      <c r="A793" t="s">
        <v>16</v>
      </c>
      <c r="B793" t="s">
        <v>1871</v>
      </c>
      <c r="C793">
        <v>28103</v>
      </c>
      <c r="D793">
        <v>0</v>
      </c>
      <c r="F793">
        <v>0</v>
      </c>
    </row>
    <row r="794" spans="1:6" x14ac:dyDescent="0.25">
      <c r="A794" t="s">
        <v>25</v>
      </c>
      <c r="B794" t="s">
        <v>1872</v>
      </c>
      <c r="C794">
        <v>28104</v>
      </c>
      <c r="D794">
        <v>0</v>
      </c>
      <c r="F794">
        <v>0</v>
      </c>
    </row>
    <row r="795" spans="1:6" x14ac:dyDescent="0.25">
      <c r="B795" t="s">
        <v>1873</v>
      </c>
      <c r="D795">
        <v>1140684</v>
      </c>
      <c r="F795">
        <v>1140684</v>
      </c>
    </row>
    <row r="796" spans="1:6" x14ac:dyDescent="0.25">
      <c r="B796" t="s">
        <v>1874</v>
      </c>
    </row>
    <row r="797" spans="1:6" x14ac:dyDescent="0.25">
      <c r="A797" t="s">
        <v>2</v>
      </c>
      <c r="B797" t="s">
        <v>1875</v>
      </c>
      <c r="C797">
        <v>28201</v>
      </c>
      <c r="D797">
        <v>0</v>
      </c>
      <c r="F797">
        <v>0</v>
      </c>
    </row>
    <row r="798" spans="1:6" x14ac:dyDescent="0.25">
      <c r="A798" t="s">
        <v>15</v>
      </c>
      <c r="B798" t="s">
        <v>1876</v>
      </c>
      <c r="C798">
        <v>28202</v>
      </c>
      <c r="D798">
        <v>9999684</v>
      </c>
      <c r="F798">
        <v>9999684</v>
      </c>
    </row>
    <row r="799" spans="1:6" x14ac:dyDescent="0.25">
      <c r="A799" t="s">
        <v>16</v>
      </c>
      <c r="B799" t="s">
        <v>1877</v>
      </c>
      <c r="C799">
        <v>28203</v>
      </c>
      <c r="D799">
        <v>0</v>
      </c>
      <c r="F799">
        <v>0</v>
      </c>
    </row>
    <row r="800" spans="1:6" x14ac:dyDescent="0.25">
      <c r="A800" t="s">
        <v>25</v>
      </c>
      <c r="B800" t="s">
        <v>1878</v>
      </c>
      <c r="C800">
        <v>28204</v>
      </c>
      <c r="D800">
        <v>1174519</v>
      </c>
      <c r="F800">
        <v>1174519</v>
      </c>
    </row>
    <row r="801" spans="1:6" x14ac:dyDescent="0.25">
      <c r="B801" t="s">
        <v>1879</v>
      </c>
      <c r="D801">
        <v>11174203</v>
      </c>
      <c r="F801">
        <v>11174203</v>
      </c>
    </row>
    <row r="802" spans="1:6" x14ac:dyDescent="0.25">
      <c r="B802" t="s">
        <v>1880</v>
      </c>
    </row>
    <row r="803" spans="1:6" x14ac:dyDescent="0.25">
      <c r="A803" t="s">
        <v>2</v>
      </c>
      <c r="B803" t="s">
        <v>1881</v>
      </c>
      <c r="C803">
        <v>28301</v>
      </c>
      <c r="D803">
        <v>4496</v>
      </c>
      <c r="E803">
        <v>0</v>
      </c>
      <c r="F803">
        <v>4496</v>
      </c>
    </row>
    <row r="804" spans="1:6" x14ac:dyDescent="0.25">
      <c r="A804" t="s">
        <v>15</v>
      </c>
      <c r="B804" t="s">
        <v>1882</v>
      </c>
      <c r="C804">
        <v>28302</v>
      </c>
      <c r="D804">
        <v>11958</v>
      </c>
      <c r="E804">
        <v>0</v>
      </c>
      <c r="F804">
        <v>11958</v>
      </c>
    </row>
    <row r="805" spans="1:6" x14ac:dyDescent="0.25">
      <c r="A805" t="s">
        <v>16</v>
      </c>
      <c r="B805" t="s">
        <v>1883</v>
      </c>
      <c r="C805">
        <v>28303</v>
      </c>
      <c r="D805">
        <v>0</v>
      </c>
      <c r="E805">
        <v>0</v>
      </c>
      <c r="F805">
        <v>0</v>
      </c>
    </row>
    <row r="806" spans="1:6" x14ac:dyDescent="0.25">
      <c r="B806" t="s">
        <v>1884</v>
      </c>
      <c r="D806">
        <v>16454</v>
      </c>
      <c r="E806">
        <v>0</v>
      </c>
      <c r="F806">
        <v>16454</v>
      </c>
    </row>
    <row r="807" spans="1:6" x14ac:dyDescent="0.25">
      <c r="B807" t="s">
        <v>1885</v>
      </c>
    </row>
    <row r="808" spans="1:6" x14ac:dyDescent="0.25">
      <c r="A808" t="s">
        <v>2</v>
      </c>
      <c r="B808" t="s">
        <v>1886</v>
      </c>
      <c r="C808">
        <v>28401</v>
      </c>
      <c r="D808">
        <v>119222</v>
      </c>
      <c r="E808">
        <v>7538</v>
      </c>
      <c r="F808">
        <v>126760</v>
      </c>
    </row>
    <row r="809" spans="1:6" x14ac:dyDescent="0.25">
      <c r="A809" t="s">
        <v>15</v>
      </c>
      <c r="B809" t="s">
        <v>1887</v>
      </c>
      <c r="C809">
        <v>28402</v>
      </c>
      <c r="D809">
        <v>782</v>
      </c>
      <c r="E809">
        <v>66</v>
      </c>
      <c r="F809">
        <v>848</v>
      </c>
    </row>
    <row r="810" spans="1:6" x14ac:dyDescent="0.25">
      <c r="B810" t="s">
        <v>1888</v>
      </c>
      <c r="D810">
        <v>120004</v>
      </c>
      <c r="E810">
        <v>7604</v>
      </c>
      <c r="F810">
        <v>127608</v>
      </c>
    </row>
    <row r="811" spans="1:6" x14ac:dyDescent="0.25">
      <c r="B811" t="s">
        <v>1889</v>
      </c>
    </row>
    <row r="812" spans="1:6" x14ac:dyDescent="0.25">
      <c r="A812" t="s">
        <v>2</v>
      </c>
      <c r="B812" t="s">
        <v>1890</v>
      </c>
      <c r="C812">
        <v>28501</v>
      </c>
      <c r="D812">
        <v>0</v>
      </c>
      <c r="F812">
        <v>0</v>
      </c>
    </row>
    <row r="813" spans="1:6" x14ac:dyDescent="0.25">
      <c r="A813" t="s">
        <v>15</v>
      </c>
      <c r="B813" t="s">
        <v>1891</v>
      </c>
      <c r="C813">
        <v>28502</v>
      </c>
      <c r="D813">
        <v>0</v>
      </c>
      <c r="E813">
        <v>0</v>
      </c>
      <c r="F813">
        <v>0</v>
      </c>
    </row>
    <row r="814" spans="1:6" x14ac:dyDescent="0.25">
      <c r="A814" t="s">
        <v>16</v>
      </c>
      <c r="B814" t="s">
        <v>1892</v>
      </c>
      <c r="C814">
        <v>28503</v>
      </c>
      <c r="D814">
        <v>0</v>
      </c>
      <c r="F814">
        <v>0</v>
      </c>
    </row>
    <row r="815" spans="1:6" x14ac:dyDescent="0.25">
      <c r="A815" t="s">
        <v>25</v>
      </c>
      <c r="B815" t="s">
        <v>1893</v>
      </c>
      <c r="C815">
        <v>28504</v>
      </c>
      <c r="D815">
        <v>3383</v>
      </c>
      <c r="F815">
        <v>3383</v>
      </c>
    </row>
    <row r="816" spans="1:6" x14ac:dyDescent="0.25">
      <c r="B816" t="s">
        <v>1894</v>
      </c>
      <c r="D816">
        <v>3383</v>
      </c>
      <c r="E816">
        <v>0</v>
      </c>
      <c r="F816">
        <v>3383</v>
      </c>
    </row>
    <row r="817" spans="1:6" x14ac:dyDescent="0.25">
      <c r="B817" t="s">
        <v>1895</v>
      </c>
    </row>
    <row r="818" spans="1:6" x14ac:dyDescent="0.25">
      <c r="A818" t="s">
        <v>2</v>
      </c>
      <c r="B818" t="s">
        <v>1896</v>
      </c>
      <c r="C818">
        <v>28601</v>
      </c>
      <c r="D818">
        <v>3475</v>
      </c>
      <c r="F818">
        <v>3475</v>
      </c>
    </row>
    <row r="819" spans="1:6" x14ac:dyDescent="0.25">
      <c r="A819" t="s">
        <v>15</v>
      </c>
      <c r="B819" t="s">
        <v>1897</v>
      </c>
      <c r="C819">
        <v>28602</v>
      </c>
      <c r="D819">
        <v>0</v>
      </c>
      <c r="F819">
        <v>0</v>
      </c>
    </row>
    <row r="820" spans="1:6" x14ac:dyDescent="0.25">
      <c r="B820" t="s">
        <v>1898</v>
      </c>
      <c r="D820">
        <v>3475</v>
      </c>
      <c r="F820">
        <v>3475</v>
      </c>
    </row>
    <row r="821" spans="1:6" x14ac:dyDescent="0.25">
      <c r="B821" t="s">
        <v>1899</v>
      </c>
    </row>
    <row r="822" spans="1:6" x14ac:dyDescent="0.25">
      <c r="A822" t="s">
        <v>2</v>
      </c>
      <c r="B822" t="s">
        <v>1900</v>
      </c>
      <c r="C822">
        <v>28701</v>
      </c>
      <c r="D822">
        <v>0</v>
      </c>
      <c r="F822">
        <v>0</v>
      </c>
    </row>
    <row r="823" spans="1:6" x14ac:dyDescent="0.25">
      <c r="A823" t="s">
        <v>15</v>
      </c>
      <c r="B823" t="s">
        <v>1901</v>
      </c>
      <c r="C823">
        <v>28702</v>
      </c>
      <c r="D823">
        <v>0</v>
      </c>
      <c r="F823">
        <v>0</v>
      </c>
    </row>
    <row r="824" spans="1:6" x14ac:dyDescent="0.25">
      <c r="A824" t="s">
        <v>16</v>
      </c>
      <c r="B824" t="s">
        <v>1902</v>
      </c>
      <c r="C824">
        <v>28703</v>
      </c>
      <c r="D824">
        <v>0</v>
      </c>
      <c r="F824">
        <v>0</v>
      </c>
    </row>
    <row r="825" spans="1:6" x14ac:dyDescent="0.25">
      <c r="A825" t="s">
        <v>25</v>
      </c>
      <c r="B825" t="s">
        <v>1903</v>
      </c>
      <c r="C825">
        <v>28704</v>
      </c>
      <c r="D825">
        <v>0</v>
      </c>
      <c r="F825">
        <v>0</v>
      </c>
    </row>
    <row r="826" spans="1:6" x14ac:dyDescent="0.25">
      <c r="B826" t="s">
        <v>1904</v>
      </c>
      <c r="D826">
        <v>0</v>
      </c>
      <c r="F826">
        <v>0</v>
      </c>
    </row>
    <row r="827" spans="1:6" x14ac:dyDescent="0.25">
      <c r="B827" t="s">
        <v>1905</v>
      </c>
    </row>
    <row r="828" spans="1:6" x14ac:dyDescent="0.25">
      <c r="A828" t="s">
        <v>2</v>
      </c>
      <c r="B828" t="s">
        <v>1906</v>
      </c>
      <c r="C828">
        <v>28801</v>
      </c>
      <c r="D828">
        <v>656368</v>
      </c>
      <c r="E828">
        <v>0</v>
      </c>
      <c r="F828">
        <v>656368</v>
      </c>
    </row>
    <row r="829" spans="1:6" x14ac:dyDescent="0.25">
      <c r="A829" t="s">
        <v>15</v>
      </c>
      <c r="B829" t="s">
        <v>1907</v>
      </c>
      <c r="C829">
        <v>28802</v>
      </c>
      <c r="D829">
        <v>479585</v>
      </c>
      <c r="E829">
        <v>35</v>
      </c>
      <c r="F829">
        <v>479620</v>
      </c>
    </row>
    <row r="830" spans="1:6" x14ac:dyDescent="0.25">
      <c r="A830" t="s">
        <v>16</v>
      </c>
      <c r="B830" t="s">
        <v>1908</v>
      </c>
      <c r="C830">
        <v>28803</v>
      </c>
      <c r="D830">
        <v>45009</v>
      </c>
      <c r="E830">
        <v>0</v>
      </c>
      <c r="F830">
        <v>45009</v>
      </c>
    </row>
    <row r="831" spans="1:6" x14ac:dyDescent="0.25">
      <c r="B831" t="s">
        <v>1909</v>
      </c>
      <c r="D831">
        <v>1180962</v>
      </c>
      <c r="E831">
        <v>35</v>
      </c>
      <c r="F831">
        <v>1180997</v>
      </c>
    </row>
    <row r="832" spans="1:6" x14ac:dyDescent="0.25">
      <c r="B832" t="s">
        <v>1910</v>
      </c>
      <c r="D832">
        <v>13639165</v>
      </c>
      <c r="E832">
        <v>7639</v>
      </c>
      <c r="F832">
        <v>13646804</v>
      </c>
    </row>
    <row r="833" spans="1:6" x14ac:dyDescent="0.25">
      <c r="B833" t="s">
        <v>1911</v>
      </c>
    </row>
    <row r="834" spans="1:6" x14ac:dyDescent="0.25">
      <c r="B834" t="s">
        <v>1912</v>
      </c>
    </row>
    <row r="835" spans="1:6" x14ac:dyDescent="0.25">
      <c r="A835" t="s">
        <v>2</v>
      </c>
      <c r="B835" t="s">
        <v>1913</v>
      </c>
      <c r="C835">
        <v>29101</v>
      </c>
      <c r="D835">
        <v>15440</v>
      </c>
      <c r="F835">
        <v>15440</v>
      </c>
    </row>
    <row r="836" spans="1:6" x14ac:dyDescent="0.25">
      <c r="A836" t="s">
        <v>15</v>
      </c>
      <c r="B836" t="s">
        <v>1914</v>
      </c>
      <c r="C836">
        <v>29102</v>
      </c>
      <c r="D836">
        <v>0</v>
      </c>
      <c r="F836">
        <v>0</v>
      </c>
    </row>
    <row r="837" spans="1:6" x14ac:dyDescent="0.25">
      <c r="A837" t="s">
        <v>16</v>
      </c>
      <c r="B837" t="s">
        <v>1915</v>
      </c>
      <c r="C837">
        <v>29103</v>
      </c>
      <c r="D837">
        <v>67140</v>
      </c>
      <c r="F837">
        <v>67140</v>
      </c>
    </row>
    <row r="838" spans="1:6" x14ac:dyDescent="0.25">
      <c r="A838" t="s">
        <v>25</v>
      </c>
      <c r="B838" t="s">
        <v>1916</v>
      </c>
      <c r="C838">
        <v>29104</v>
      </c>
      <c r="D838">
        <v>0</v>
      </c>
      <c r="F838">
        <v>0</v>
      </c>
    </row>
    <row r="839" spans="1:6" x14ac:dyDescent="0.25">
      <c r="A839" t="s">
        <v>26</v>
      </c>
      <c r="B839" t="s">
        <v>1917</v>
      </c>
      <c r="C839">
        <v>29105</v>
      </c>
      <c r="D839">
        <v>0</v>
      </c>
      <c r="F839">
        <v>0</v>
      </c>
    </row>
    <row r="840" spans="1:6" x14ac:dyDescent="0.25">
      <c r="A840" t="s">
        <v>27</v>
      </c>
      <c r="B840" t="s">
        <v>1918</v>
      </c>
      <c r="C840">
        <v>29106</v>
      </c>
      <c r="D840">
        <v>0</v>
      </c>
      <c r="F840">
        <v>0</v>
      </c>
    </row>
    <row r="841" spans="1:6" x14ac:dyDescent="0.25">
      <c r="A841" t="s">
        <v>531</v>
      </c>
      <c r="B841" t="s">
        <v>1919</v>
      </c>
      <c r="C841">
        <v>29107</v>
      </c>
      <c r="D841">
        <v>0</v>
      </c>
      <c r="F841">
        <v>0</v>
      </c>
    </row>
    <row r="842" spans="1:6" x14ac:dyDescent="0.25">
      <c r="B842" t="s">
        <v>1920</v>
      </c>
      <c r="D842">
        <v>82580</v>
      </c>
      <c r="F842">
        <v>82580</v>
      </c>
    </row>
    <row r="843" spans="1:6" x14ac:dyDescent="0.25">
      <c r="B843" t="s">
        <v>1921</v>
      </c>
    </row>
    <row r="844" spans="1:6" x14ac:dyDescent="0.25">
      <c r="A844" t="s">
        <v>2</v>
      </c>
      <c r="B844" t="s">
        <v>1922</v>
      </c>
      <c r="C844">
        <v>29201</v>
      </c>
      <c r="D844">
        <v>0</v>
      </c>
      <c r="E844">
        <v>0</v>
      </c>
      <c r="F844">
        <v>0</v>
      </c>
    </row>
    <row r="845" spans="1:6" x14ac:dyDescent="0.25">
      <c r="A845" t="s">
        <v>15</v>
      </c>
      <c r="B845" t="s">
        <v>1923</v>
      </c>
      <c r="C845">
        <v>29202</v>
      </c>
      <c r="D845">
        <v>0</v>
      </c>
      <c r="E845">
        <v>0</v>
      </c>
      <c r="F845">
        <v>0</v>
      </c>
    </row>
    <row r="846" spans="1:6" x14ac:dyDescent="0.25">
      <c r="A846" t="s">
        <v>16</v>
      </c>
      <c r="B846" t="s">
        <v>1924</v>
      </c>
      <c r="C846">
        <v>29203</v>
      </c>
      <c r="D846">
        <v>0</v>
      </c>
      <c r="E846">
        <v>0</v>
      </c>
      <c r="F846">
        <v>0</v>
      </c>
    </row>
    <row r="847" spans="1:6" x14ac:dyDescent="0.25">
      <c r="A847" t="s">
        <v>25</v>
      </c>
      <c r="B847" t="s">
        <v>1925</v>
      </c>
      <c r="C847">
        <v>29204</v>
      </c>
      <c r="D847">
        <v>0</v>
      </c>
      <c r="E847">
        <v>0</v>
      </c>
      <c r="F847">
        <v>0</v>
      </c>
    </row>
    <row r="848" spans="1:6" x14ac:dyDescent="0.25">
      <c r="A848" t="s">
        <v>26</v>
      </c>
      <c r="B848" t="s">
        <v>1926</v>
      </c>
      <c r="C848">
        <v>29205</v>
      </c>
      <c r="D848">
        <v>61</v>
      </c>
      <c r="E848">
        <v>0</v>
      </c>
      <c r="F848">
        <v>61</v>
      </c>
    </row>
    <row r="849" spans="1:6" x14ac:dyDescent="0.25">
      <c r="A849" t="s">
        <v>27</v>
      </c>
      <c r="B849" t="s">
        <v>1927</v>
      </c>
      <c r="C849">
        <v>29206</v>
      </c>
      <c r="D849">
        <v>0</v>
      </c>
      <c r="E849">
        <v>0</v>
      </c>
      <c r="F849">
        <v>0</v>
      </c>
    </row>
    <row r="850" spans="1:6" x14ac:dyDescent="0.25">
      <c r="A850" t="s">
        <v>531</v>
      </c>
      <c r="B850" t="s">
        <v>1928</v>
      </c>
      <c r="C850">
        <v>29207</v>
      </c>
      <c r="D850">
        <v>0</v>
      </c>
      <c r="E850">
        <v>0</v>
      </c>
      <c r="F850">
        <v>0</v>
      </c>
    </row>
    <row r="851" spans="1:6" x14ac:dyDescent="0.25">
      <c r="A851" t="s">
        <v>1583</v>
      </c>
      <c r="B851" t="s">
        <v>1929</v>
      </c>
      <c r="C851">
        <v>29208</v>
      </c>
      <c r="D851">
        <v>0</v>
      </c>
      <c r="E851">
        <v>0</v>
      </c>
      <c r="F851">
        <v>0</v>
      </c>
    </row>
    <row r="852" spans="1:6" x14ac:dyDescent="0.25">
      <c r="B852" t="s">
        <v>1930</v>
      </c>
      <c r="D852">
        <v>61</v>
      </c>
      <c r="E852">
        <v>0</v>
      </c>
      <c r="F852">
        <v>61</v>
      </c>
    </row>
    <row r="853" spans="1:6" x14ac:dyDescent="0.25">
      <c r="B853" t="s">
        <v>1931</v>
      </c>
    </row>
    <row r="854" spans="1:6" x14ac:dyDescent="0.25">
      <c r="A854" t="s">
        <v>2</v>
      </c>
      <c r="B854" t="s">
        <v>1932</v>
      </c>
      <c r="C854">
        <v>29301</v>
      </c>
      <c r="D854">
        <v>0</v>
      </c>
      <c r="F854">
        <v>0</v>
      </c>
    </row>
    <row r="855" spans="1:6" x14ac:dyDescent="0.25">
      <c r="A855" t="s">
        <v>15</v>
      </c>
      <c r="B855" t="s">
        <v>1933</v>
      </c>
      <c r="C855">
        <v>29302</v>
      </c>
      <c r="D855">
        <v>0</v>
      </c>
      <c r="F855">
        <v>0</v>
      </c>
    </row>
    <row r="856" spans="1:6" x14ac:dyDescent="0.25">
      <c r="A856" t="s">
        <v>16</v>
      </c>
      <c r="B856" t="s">
        <v>1934</v>
      </c>
      <c r="C856">
        <v>29303</v>
      </c>
      <c r="D856">
        <v>0</v>
      </c>
      <c r="F856">
        <v>0</v>
      </c>
    </row>
    <row r="857" spans="1:6" x14ac:dyDescent="0.25">
      <c r="A857" t="s">
        <v>25</v>
      </c>
      <c r="B857" t="s">
        <v>1935</v>
      </c>
      <c r="C857">
        <v>29304</v>
      </c>
      <c r="D857">
        <v>3189</v>
      </c>
      <c r="F857">
        <v>3189</v>
      </c>
    </row>
    <row r="858" spans="1:6" x14ac:dyDescent="0.25">
      <c r="B858" t="s">
        <v>1936</v>
      </c>
      <c r="D858">
        <v>3189</v>
      </c>
      <c r="F858">
        <v>3189</v>
      </c>
    </row>
    <row r="859" spans="1:6" x14ac:dyDescent="0.25">
      <c r="B859" t="s">
        <v>1937</v>
      </c>
    </row>
    <row r="860" spans="1:6" x14ac:dyDescent="0.25">
      <c r="A860" t="s">
        <v>2</v>
      </c>
      <c r="B860" t="s">
        <v>1938</v>
      </c>
      <c r="C860">
        <v>29401</v>
      </c>
      <c r="D860">
        <v>24</v>
      </c>
      <c r="E860">
        <v>0</v>
      </c>
      <c r="F860">
        <v>24</v>
      </c>
    </row>
    <row r="861" spans="1:6" x14ac:dyDescent="0.25">
      <c r="A861" t="s">
        <v>15</v>
      </c>
      <c r="B861" t="s">
        <v>1939</v>
      </c>
      <c r="C861">
        <v>29402</v>
      </c>
      <c r="D861">
        <v>412</v>
      </c>
      <c r="E861">
        <v>0</v>
      </c>
      <c r="F861">
        <v>412</v>
      </c>
    </row>
    <row r="862" spans="1:6" x14ac:dyDescent="0.25">
      <c r="A862" t="s">
        <v>16</v>
      </c>
      <c r="B862" t="s">
        <v>1940</v>
      </c>
      <c r="C862">
        <v>29403</v>
      </c>
      <c r="D862">
        <v>2824</v>
      </c>
      <c r="E862">
        <v>0</v>
      </c>
      <c r="F862">
        <v>2824</v>
      </c>
    </row>
    <row r="863" spans="1:6" x14ac:dyDescent="0.25">
      <c r="A863" t="s">
        <v>25</v>
      </c>
      <c r="B863" t="s">
        <v>1941</v>
      </c>
      <c r="C863">
        <v>29404</v>
      </c>
      <c r="D863">
        <v>0</v>
      </c>
      <c r="E863">
        <v>0</v>
      </c>
      <c r="F863">
        <v>0</v>
      </c>
    </row>
    <row r="864" spans="1:6" x14ac:dyDescent="0.25">
      <c r="A864" t="s">
        <v>26</v>
      </c>
      <c r="B864" t="s">
        <v>1942</v>
      </c>
      <c r="C864">
        <v>29405</v>
      </c>
      <c r="D864">
        <v>7633</v>
      </c>
      <c r="E864">
        <v>16</v>
      </c>
      <c r="F864">
        <v>7649</v>
      </c>
    </row>
    <row r="865" spans="1:6" x14ac:dyDescent="0.25">
      <c r="A865" t="s">
        <v>27</v>
      </c>
      <c r="B865" t="s">
        <v>1943</v>
      </c>
      <c r="C865">
        <v>29406</v>
      </c>
      <c r="D865">
        <v>55276</v>
      </c>
      <c r="E865">
        <v>4178</v>
      </c>
      <c r="F865">
        <v>59454</v>
      </c>
    </row>
    <row r="866" spans="1:6" x14ac:dyDescent="0.25">
      <c r="A866" t="s">
        <v>531</v>
      </c>
      <c r="B866" t="s">
        <v>1944</v>
      </c>
      <c r="C866">
        <v>29407</v>
      </c>
      <c r="D866">
        <v>5</v>
      </c>
      <c r="E866">
        <v>0</v>
      </c>
      <c r="F866">
        <v>5</v>
      </c>
    </row>
    <row r="867" spans="1:6" x14ac:dyDescent="0.25">
      <c r="B867" t="s">
        <v>1945</v>
      </c>
      <c r="D867">
        <v>66174</v>
      </c>
      <c r="E867">
        <v>4194</v>
      </c>
      <c r="F867">
        <v>70368</v>
      </c>
    </row>
    <row r="868" spans="1:6" x14ac:dyDescent="0.25">
      <c r="B868" t="s">
        <v>1946</v>
      </c>
      <c r="D868">
        <v>152004</v>
      </c>
      <c r="E868">
        <v>4194</v>
      </c>
      <c r="F868">
        <v>156198</v>
      </c>
    </row>
    <row r="869" spans="1:6" x14ac:dyDescent="0.25">
      <c r="B869" t="s">
        <v>1947</v>
      </c>
      <c r="D869">
        <v>290863408</v>
      </c>
      <c r="E869">
        <v>174983</v>
      </c>
      <c r="F869">
        <v>291038391</v>
      </c>
    </row>
    <row r="870" spans="1:6" x14ac:dyDescent="0.25">
      <c r="B870" t="s">
        <v>1948</v>
      </c>
      <c r="D870">
        <v>368638378</v>
      </c>
      <c r="E870">
        <v>2025487</v>
      </c>
      <c r="F870">
        <v>370663865</v>
      </c>
    </row>
    <row r="871" spans="1:6" x14ac:dyDescent="0.25">
      <c r="B871" t="s">
        <v>1949</v>
      </c>
    </row>
    <row r="872" spans="1:6" x14ac:dyDescent="0.25">
      <c r="B872" t="s">
        <v>1950</v>
      </c>
    </row>
    <row r="873" spans="1:6" x14ac:dyDescent="0.25">
      <c r="B873" t="s">
        <v>1672</v>
      </c>
    </row>
    <row r="874" spans="1:6" x14ac:dyDescent="0.25">
      <c r="A874" t="s">
        <v>2</v>
      </c>
      <c r="B874" t="s">
        <v>1673</v>
      </c>
      <c r="C874">
        <v>31101</v>
      </c>
      <c r="D874">
        <v>192107</v>
      </c>
      <c r="E874">
        <v>0</v>
      </c>
      <c r="F874">
        <v>192107</v>
      </c>
    </row>
    <row r="875" spans="1:6" x14ac:dyDescent="0.25">
      <c r="A875" t="s">
        <v>15</v>
      </c>
      <c r="B875" t="s">
        <v>1674</v>
      </c>
      <c r="C875">
        <v>31102</v>
      </c>
      <c r="D875">
        <v>804483</v>
      </c>
      <c r="E875">
        <v>159</v>
      </c>
      <c r="F875">
        <v>804642</v>
      </c>
    </row>
    <row r="876" spans="1:6" x14ac:dyDescent="0.25">
      <c r="A876" t="s">
        <v>16</v>
      </c>
      <c r="B876" t="s">
        <v>1675</v>
      </c>
      <c r="C876">
        <v>31103</v>
      </c>
      <c r="D876">
        <v>528</v>
      </c>
      <c r="E876">
        <v>14345</v>
      </c>
      <c r="F876">
        <v>14873</v>
      </c>
    </row>
    <row r="877" spans="1:6" x14ac:dyDescent="0.25">
      <c r="A877" t="s">
        <v>25</v>
      </c>
      <c r="B877" t="s">
        <v>1676</v>
      </c>
      <c r="C877">
        <v>31104</v>
      </c>
      <c r="D877">
        <v>0</v>
      </c>
      <c r="E877">
        <v>0</v>
      </c>
      <c r="F877">
        <v>0</v>
      </c>
    </row>
    <row r="878" spans="1:6" x14ac:dyDescent="0.25">
      <c r="A878" t="s">
        <v>26</v>
      </c>
      <c r="B878" t="s">
        <v>1677</v>
      </c>
      <c r="C878">
        <v>31105</v>
      </c>
      <c r="D878">
        <v>0</v>
      </c>
      <c r="E878">
        <v>0</v>
      </c>
      <c r="F878">
        <v>0</v>
      </c>
    </row>
    <row r="879" spans="1:6" x14ac:dyDescent="0.25">
      <c r="B879" t="s">
        <v>1951</v>
      </c>
      <c r="D879">
        <v>997118</v>
      </c>
      <c r="E879">
        <v>14504</v>
      </c>
      <c r="F879">
        <v>1011622</v>
      </c>
    </row>
    <row r="880" spans="1:6" x14ac:dyDescent="0.25">
      <c r="B880" t="s">
        <v>1679</v>
      </c>
    </row>
    <row r="881" spans="1:6" x14ac:dyDescent="0.25">
      <c r="A881" t="s">
        <v>2</v>
      </c>
      <c r="B881" t="s">
        <v>1680</v>
      </c>
      <c r="C881">
        <v>31201</v>
      </c>
      <c r="D881">
        <v>0</v>
      </c>
      <c r="E881">
        <v>0</v>
      </c>
      <c r="F881">
        <v>0</v>
      </c>
    </row>
    <row r="882" spans="1:6" x14ac:dyDescent="0.25">
      <c r="A882" t="s">
        <v>15</v>
      </c>
      <c r="B882" t="s">
        <v>1681</v>
      </c>
      <c r="C882">
        <v>31202</v>
      </c>
      <c r="D882">
        <v>0</v>
      </c>
      <c r="E882">
        <v>0</v>
      </c>
      <c r="F882">
        <v>0</v>
      </c>
    </row>
    <row r="883" spans="1:6" x14ac:dyDescent="0.25">
      <c r="A883" t="s">
        <v>16</v>
      </c>
      <c r="B883" t="s">
        <v>1682</v>
      </c>
      <c r="C883">
        <v>31203</v>
      </c>
      <c r="D883">
        <v>15325</v>
      </c>
      <c r="E883">
        <v>0</v>
      </c>
      <c r="F883">
        <v>15325</v>
      </c>
    </row>
    <row r="884" spans="1:6" x14ac:dyDescent="0.25">
      <c r="A884" t="s">
        <v>25</v>
      </c>
      <c r="B884" t="s">
        <v>1683</v>
      </c>
      <c r="C884">
        <v>31204</v>
      </c>
      <c r="D884">
        <v>0</v>
      </c>
      <c r="E884">
        <v>0</v>
      </c>
      <c r="F884">
        <v>0</v>
      </c>
    </row>
    <row r="885" spans="1:6" x14ac:dyDescent="0.25">
      <c r="A885" t="s">
        <v>26</v>
      </c>
      <c r="B885" t="s">
        <v>1684</v>
      </c>
      <c r="C885">
        <v>31205</v>
      </c>
      <c r="D885">
        <v>1872</v>
      </c>
      <c r="E885">
        <v>0</v>
      </c>
      <c r="F885">
        <v>1872</v>
      </c>
    </row>
    <row r="886" spans="1:6" x14ac:dyDescent="0.25">
      <c r="A886" t="s">
        <v>27</v>
      </c>
      <c r="B886" t="s">
        <v>1685</v>
      </c>
      <c r="C886">
        <v>31206</v>
      </c>
      <c r="D886">
        <v>4150</v>
      </c>
      <c r="E886">
        <v>0</v>
      </c>
      <c r="F886">
        <v>4150</v>
      </c>
    </row>
    <row r="887" spans="1:6" x14ac:dyDescent="0.25">
      <c r="A887" t="s">
        <v>531</v>
      </c>
      <c r="B887" t="s">
        <v>1686</v>
      </c>
      <c r="C887">
        <v>31207</v>
      </c>
      <c r="D887">
        <v>35748</v>
      </c>
      <c r="E887">
        <v>0</v>
      </c>
      <c r="F887">
        <v>35748</v>
      </c>
    </row>
    <row r="888" spans="1:6" x14ac:dyDescent="0.25">
      <c r="A888" t="s">
        <v>1583</v>
      </c>
      <c r="B888" t="s">
        <v>1687</v>
      </c>
      <c r="C888">
        <v>31208</v>
      </c>
      <c r="D888">
        <v>576910</v>
      </c>
      <c r="E888">
        <v>4696</v>
      </c>
      <c r="F888">
        <v>581606</v>
      </c>
    </row>
    <row r="889" spans="1:6" x14ac:dyDescent="0.25">
      <c r="A889" t="s">
        <v>1585</v>
      </c>
      <c r="B889" t="s">
        <v>1688</v>
      </c>
      <c r="C889">
        <v>31209</v>
      </c>
      <c r="D889">
        <v>24967</v>
      </c>
      <c r="E889">
        <v>0</v>
      </c>
      <c r="F889">
        <v>24967</v>
      </c>
    </row>
    <row r="890" spans="1:6" x14ac:dyDescent="0.25">
      <c r="A890" t="s">
        <v>1587</v>
      </c>
      <c r="B890" t="s">
        <v>1637</v>
      </c>
      <c r="C890">
        <v>31210</v>
      </c>
      <c r="D890">
        <v>1361</v>
      </c>
      <c r="E890">
        <v>35</v>
      </c>
      <c r="F890">
        <v>1396</v>
      </c>
    </row>
    <row r="891" spans="1:6" x14ac:dyDescent="0.25">
      <c r="A891" t="s">
        <v>1589</v>
      </c>
      <c r="B891" t="s">
        <v>1640</v>
      </c>
      <c r="C891">
        <v>31211</v>
      </c>
      <c r="D891">
        <v>0</v>
      </c>
      <c r="E891">
        <v>0</v>
      </c>
      <c r="F891">
        <v>0</v>
      </c>
    </row>
    <row r="892" spans="1:6" x14ac:dyDescent="0.25">
      <c r="A892" t="s">
        <v>1591</v>
      </c>
      <c r="B892" t="s">
        <v>1689</v>
      </c>
      <c r="C892">
        <v>31212</v>
      </c>
      <c r="D892">
        <v>3406</v>
      </c>
      <c r="E892">
        <v>0</v>
      </c>
      <c r="F892">
        <v>3406</v>
      </c>
    </row>
    <row r="893" spans="1:6" x14ac:dyDescent="0.25">
      <c r="A893" t="s">
        <v>1593</v>
      </c>
      <c r="B893" t="s">
        <v>1690</v>
      </c>
      <c r="C893">
        <v>31213</v>
      </c>
      <c r="D893">
        <v>0</v>
      </c>
      <c r="E893">
        <v>0</v>
      </c>
      <c r="F893">
        <v>0</v>
      </c>
    </row>
    <row r="894" spans="1:6" x14ac:dyDescent="0.25">
      <c r="B894" t="s">
        <v>1952</v>
      </c>
      <c r="D894">
        <v>663739</v>
      </c>
      <c r="E894">
        <v>4731</v>
      </c>
      <c r="F894">
        <v>668470</v>
      </c>
    </row>
    <row r="895" spans="1:6" x14ac:dyDescent="0.25">
      <c r="B895" t="s">
        <v>1692</v>
      </c>
    </row>
    <row r="896" spans="1:6" x14ac:dyDescent="0.25">
      <c r="A896" t="s">
        <v>2</v>
      </c>
      <c r="B896" t="s">
        <v>1693</v>
      </c>
      <c r="C896">
        <v>31301</v>
      </c>
      <c r="D896">
        <v>0</v>
      </c>
      <c r="E896">
        <v>0</v>
      </c>
      <c r="F896">
        <v>0</v>
      </c>
    </row>
    <row r="897" spans="1:6" x14ac:dyDescent="0.25">
      <c r="A897" t="s">
        <v>15</v>
      </c>
      <c r="B897" t="s">
        <v>1694</v>
      </c>
      <c r="C897">
        <v>31302</v>
      </c>
      <c r="D897">
        <v>1054707</v>
      </c>
      <c r="E897">
        <v>0</v>
      </c>
      <c r="F897">
        <v>1054707</v>
      </c>
    </row>
    <row r="898" spans="1:6" x14ac:dyDescent="0.25">
      <c r="A898" t="s">
        <v>16</v>
      </c>
      <c r="B898" t="s">
        <v>1695</v>
      </c>
      <c r="C898">
        <v>31303</v>
      </c>
      <c r="D898">
        <v>0</v>
      </c>
      <c r="E898">
        <v>0</v>
      </c>
      <c r="F898">
        <v>0</v>
      </c>
    </row>
    <row r="899" spans="1:6" x14ac:dyDescent="0.25">
      <c r="A899" t="s">
        <v>25</v>
      </c>
      <c r="B899" t="s">
        <v>1696</v>
      </c>
      <c r="C899">
        <v>31304</v>
      </c>
      <c r="D899">
        <v>0</v>
      </c>
      <c r="E899">
        <v>0</v>
      </c>
      <c r="F899">
        <v>0</v>
      </c>
    </row>
    <row r="900" spans="1:6" x14ac:dyDescent="0.25">
      <c r="A900" t="s">
        <v>26</v>
      </c>
      <c r="B900" t="s">
        <v>1680</v>
      </c>
      <c r="C900">
        <v>31305</v>
      </c>
      <c r="D900">
        <v>151882</v>
      </c>
      <c r="E900">
        <v>0</v>
      </c>
      <c r="F900">
        <v>151882</v>
      </c>
    </row>
    <row r="901" spans="1:6" x14ac:dyDescent="0.25">
      <c r="A901" t="s">
        <v>27</v>
      </c>
      <c r="B901" t="s">
        <v>1681</v>
      </c>
      <c r="C901">
        <v>31306</v>
      </c>
      <c r="D901">
        <v>410</v>
      </c>
      <c r="E901">
        <v>0</v>
      </c>
      <c r="F901">
        <v>410</v>
      </c>
    </row>
    <row r="902" spans="1:6" x14ac:dyDescent="0.25">
      <c r="A902" t="s">
        <v>531</v>
      </c>
      <c r="B902" t="s">
        <v>1682</v>
      </c>
      <c r="C902">
        <v>31307</v>
      </c>
      <c r="D902">
        <v>453605</v>
      </c>
      <c r="E902">
        <v>0</v>
      </c>
      <c r="F902">
        <v>453605</v>
      </c>
    </row>
    <row r="903" spans="1:6" x14ac:dyDescent="0.25">
      <c r="A903" t="s">
        <v>1583</v>
      </c>
      <c r="B903" t="s">
        <v>1683</v>
      </c>
      <c r="C903">
        <v>31308</v>
      </c>
      <c r="D903">
        <v>38304</v>
      </c>
      <c r="E903">
        <v>0</v>
      </c>
      <c r="F903">
        <v>38304</v>
      </c>
    </row>
    <row r="904" spans="1:6" x14ac:dyDescent="0.25">
      <c r="A904" t="s">
        <v>1585</v>
      </c>
      <c r="B904" t="s">
        <v>1684</v>
      </c>
      <c r="C904">
        <v>31309</v>
      </c>
      <c r="D904">
        <v>123147</v>
      </c>
      <c r="E904">
        <v>0</v>
      </c>
      <c r="F904">
        <v>123147</v>
      </c>
    </row>
    <row r="905" spans="1:6" x14ac:dyDescent="0.25">
      <c r="A905" t="s">
        <v>1587</v>
      </c>
      <c r="B905" t="s">
        <v>1685</v>
      </c>
      <c r="C905">
        <v>31310</v>
      </c>
      <c r="D905">
        <v>405226</v>
      </c>
      <c r="E905">
        <v>0</v>
      </c>
      <c r="F905">
        <v>405226</v>
      </c>
    </row>
    <row r="906" spans="1:6" x14ac:dyDescent="0.25">
      <c r="A906" t="s">
        <v>1589</v>
      </c>
      <c r="B906" t="s">
        <v>1686</v>
      </c>
      <c r="C906">
        <v>31311</v>
      </c>
      <c r="D906">
        <v>1022417</v>
      </c>
      <c r="E906">
        <v>2238</v>
      </c>
      <c r="F906">
        <v>1024655</v>
      </c>
    </row>
    <row r="907" spans="1:6" x14ac:dyDescent="0.25">
      <c r="A907" t="s">
        <v>1591</v>
      </c>
      <c r="B907" t="s">
        <v>1687</v>
      </c>
      <c r="C907">
        <v>31312</v>
      </c>
      <c r="D907">
        <v>4969385</v>
      </c>
      <c r="E907">
        <v>13067</v>
      </c>
      <c r="F907">
        <v>4982452</v>
      </c>
    </row>
    <row r="908" spans="1:6" x14ac:dyDescent="0.25">
      <c r="A908" t="s">
        <v>1593</v>
      </c>
      <c r="B908" t="s">
        <v>1688</v>
      </c>
      <c r="C908">
        <v>31313</v>
      </c>
      <c r="D908">
        <v>918202</v>
      </c>
      <c r="E908">
        <v>80</v>
      </c>
      <c r="F908">
        <v>918282</v>
      </c>
    </row>
    <row r="909" spans="1:6" x14ac:dyDescent="0.25">
      <c r="A909" t="s">
        <v>1595</v>
      </c>
      <c r="B909" t="s">
        <v>1690</v>
      </c>
      <c r="C909">
        <v>31314</v>
      </c>
      <c r="D909">
        <v>1195</v>
      </c>
      <c r="E909">
        <v>5058556</v>
      </c>
      <c r="F909">
        <v>5059751</v>
      </c>
    </row>
    <row r="910" spans="1:6" x14ac:dyDescent="0.25">
      <c r="A910" t="s">
        <v>1597</v>
      </c>
      <c r="B910" t="s">
        <v>1637</v>
      </c>
      <c r="C910">
        <v>31315</v>
      </c>
      <c r="D910">
        <v>0</v>
      </c>
      <c r="E910">
        <v>0</v>
      </c>
      <c r="F910">
        <v>0</v>
      </c>
    </row>
    <row r="911" spans="1:6" x14ac:dyDescent="0.25">
      <c r="A911" t="s">
        <v>1599</v>
      </c>
      <c r="B911" t="s">
        <v>1640</v>
      </c>
      <c r="C911">
        <v>31316</v>
      </c>
      <c r="D911">
        <v>0</v>
      </c>
      <c r="E911">
        <v>0</v>
      </c>
      <c r="F911">
        <v>0</v>
      </c>
    </row>
    <row r="912" spans="1:6" x14ac:dyDescent="0.25">
      <c r="A912" t="s">
        <v>1601</v>
      </c>
      <c r="B912" t="s">
        <v>1636</v>
      </c>
      <c r="C912">
        <v>31317</v>
      </c>
      <c r="D912">
        <v>0</v>
      </c>
      <c r="E912">
        <v>0</v>
      </c>
      <c r="F912">
        <v>0</v>
      </c>
    </row>
    <row r="913" spans="1:6" x14ac:dyDescent="0.25">
      <c r="A913" t="s">
        <v>1603</v>
      </c>
      <c r="B913" t="s">
        <v>1689</v>
      </c>
      <c r="C913">
        <v>31318</v>
      </c>
      <c r="D913">
        <v>0</v>
      </c>
      <c r="E913">
        <v>0</v>
      </c>
      <c r="F913">
        <v>0</v>
      </c>
    </row>
    <row r="914" spans="1:6" x14ac:dyDescent="0.25">
      <c r="B914" t="s">
        <v>1953</v>
      </c>
      <c r="D914">
        <v>9138480</v>
      </c>
      <c r="E914">
        <v>5073941</v>
      </c>
      <c r="F914">
        <v>14212421</v>
      </c>
    </row>
    <row r="915" spans="1:6" x14ac:dyDescent="0.25">
      <c r="B915" t="s">
        <v>1698</v>
      </c>
    </row>
    <row r="916" spans="1:6" x14ac:dyDescent="0.25">
      <c r="A916" t="s">
        <v>2</v>
      </c>
      <c r="B916" t="s">
        <v>1699</v>
      </c>
      <c r="C916">
        <v>31401</v>
      </c>
      <c r="D916">
        <v>0</v>
      </c>
      <c r="E916">
        <v>0</v>
      </c>
      <c r="F916">
        <v>0</v>
      </c>
    </row>
    <row r="917" spans="1:6" x14ac:dyDescent="0.25">
      <c r="A917" t="s">
        <v>15</v>
      </c>
      <c r="B917" t="s">
        <v>1694</v>
      </c>
      <c r="C917">
        <v>31402</v>
      </c>
      <c r="D917">
        <v>0</v>
      </c>
      <c r="E917">
        <v>0</v>
      </c>
      <c r="F917">
        <v>0</v>
      </c>
    </row>
    <row r="918" spans="1:6" x14ac:dyDescent="0.25">
      <c r="A918" t="s">
        <v>16</v>
      </c>
      <c r="B918" t="s">
        <v>1695</v>
      </c>
      <c r="C918">
        <v>31403</v>
      </c>
      <c r="D918">
        <v>0</v>
      </c>
      <c r="E918">
        <v>0</v>
      </c>
      <c r="F918">
        <v>0</v>
      </c>
    </row>
    <row r="919" spans="1:6" x14ac:dyDescent="0.25">
      <c r="A919" t="s">
        <v>25</v>
      </c>
      <c r="B919" t="s">
        <v>1696</v>
      </c>
      <c r="C919">
        <v>31404</v>
      </c>
      <c r="D919">
        <v>0</v>
      </c>
      <c r="E919">
        <v>0</v>
      </c>
      <c r="F919">
        <v>0</v>
      </c>
    </row>
    <row r="920" spans="1:6" x14ac:dyDescent="0.25">
      <c r="A920" t="s">
        <v>26</v>
      </c>
      <c r="B920" t="s">
        <v>1680</v>
      </c>
      <c r="C920">
        <v>31405</v>
      </c>
      <c r="D920">
        <v>0</v>
      </c>
      <c r="E920">
        <v>0</v>
      </c>
      <c r="F920">
        <v>0</v>
      </c>
    </row>
    <row r="921" spans="1:6" x14ac:dyDescent="0.25">
      <c r="A921" t="s">
        <v>27</v>
      </c>
      <c r="B921" t="s">
        <v>1681</v>
      </c>
      <c r="C921">
        <v>31406</v>
      </c>
      <c r="D921">
        <v>0</v>
      </c>
      <c r="E921">
        <v>0</v>
      </c>
      <c r="F921">
        <v>0</v>
      </c>
    </row>
    <row r="922" spans="1:6" x14ac:dyDescent="0.25">
      <c r="A922" t="s">
        <v>531</v>
      </c>
      <c r="B922" t="s">
        <v>1682</v>
      </c>
      <c r="C922">
        <v>31407</v>
      </c>
      <c r="D922">
        <v>121075</v>
      </c>
      <c r="E922">
        <v>0</v>
      </c>
      <c r="F922">
        <v>121075</v>
      </c>
    </row>
    <row r="923" spans="1:6" x14ac:dyDescent="0.25">
      <c r="A923" t="s">
        <v>1583</v>
      </c>
      <c r="B923" t="s">
        <v>1683</v>
      </c>
      <c r="C923">
        <v>31408</v>
      </c>
      <c r="D923">
        <v>0</v>
      </c>
      <c r="E923">
        <v>0</v>
      </c>
      <c r="F923">
        <v>0</v>
      </c>
    </row>
    <row r="924" spans="1:6" x14ac:dyDescent="0.25">
      <c r="A924" t="s">
        <v>1585</v>
      </c>
      <c r="B924" t="s">
        <v>1684</v>
      </c>
      <c r="C924">
        <v>31409</v>
      </c>
      <c r="D924">
        <v>0</v>
      </c>
      <c r="E924">
        <v>0</v>
      </c>
      <c r="F924">
        <v>0</v>
      </c>
    </row>
    <row r="925" spans="1:6" x14ac:dyDescent="0.25">
      <c r="A925" t="s">
        <v>1587</v>
      </c>
      <c r="B925" t="s">
        <v>1685</v>
      </c>
      <c r="C925">
        <v>31410</v>
      </c>
      <c r="D925">
        <v>0</v>
      </c>
      <c r="E925">
        <v>0</v>
      </c>
      <c r="F925">
        <v>0</v>
      </c>
    </row>
    <row r="926" spans="1:6" x14ac:dyDescent="0.25">
      <c r="A926" t="s">
        <v>1589</v>
      </c>
      <c r="B926" t="s">
        <v>1686</v>
      </c>
      <c r="C926">
        <v>31411</v>
      </c>
      <c r="D926">
        <v>0</v>
      </c>
      <c r="E926">
        <v>0</v>
      </c>
      <c r="F926">
        <v>0</v>
      </c>
    </row>
    <row r="927" spans="1:6" x14ac:dyDescent="0.25">
      <c r="A927" t="s">
        <v>1591</v>
      </c>
      <c r="B927" t="s">
        <v>1687</v>
      </c>
      <c r="C927">
        <v>31412</v>
      </c>
      <c r="D927">
        <v>733</v>
      </c>
      <c r="E927">
        <v>0</v>
      </c>
      <c r="F927">
        <v>733</v>
      </c>
    </row>
    <row r="928" spans="1:6" x14ac:dyDescent="0.25">
      <c r="A928" t="s">
        <v>1593</v>
      </c>
      <c r="B928" t="s">
        <v>1688</v>
      </c>
      <c r="C928">
        <v>31413</v>
      </c>
      <c r="D928">
        <v>0</v>
      </c>
      <c r="E928">
        <v>0</v>
      </c>
      <c r="F928">
        <v>0</v>
      </c>
    </row>
    <row r="929" spans="1:6" x14ac:dyDescent="0.25">
      <c r="A929" t="s">
        <v>1595</v>
      </c>
      <c r="B929" t="s">
        <v>1690</v>
      </c>
      <c r="C929">
        <v>31414</v>
      </c>
      <c r="D929">
        <v>6267</v>
      </c>
      <c r="E929">
        <v>4</v>
      </c>
      <c r="F929">
        <v>6271</v>
      </c>
    </row>
    <row r="930" spans="1:6" x14ac:dyDescent="0.25">
      <c r="A930" t="s">
        <v>1597</v>
      </c>
      <c r="B930" t="s">
        <v>1637</v>
      </c>
      <c r="C930">
        <v>31415</v>
      </c>
      <c r="D930">
        <v>388132</v>
      </c>
      <c r="E930">
        <v>15676</v>
      </c>
      <c r="F930">
        <v>403808</v>
      </c>
    </row>
    <row r="931" spans="1:6" x14ac:dyDescent="0.25">
      <c r="A931" t="s">
        <v>1599</v>
      </c>
      <c r="B931" t="s">
        <v>1640</v>
      </c>
      <c r="C931">
        <v>31416</v>
      </c>
      <c r="D931">
        <v>0</v>
      </c>
      <c r="E931">
        <v>0</v>
      </c>
      <c r="F931">
        <v>0</v>
      </c>
    </row>
    <row r="932" spans="1:6" x14ac:dyDescent="0.25">
      <c r="A932" t="s">
        <v>1601</v>
      </c>
      <c r="B932" t="s">
        <v>1636</v>
      </c>
      <c r="C932">
        <v>31417</v>
      </c>
      <c r="D932">
        <v>283565</v>
      </c>
      <c r="E932">
        <v>0</v>
      </c>
      <c r="F932">
        <v>283565</v>
      </c>
    </row>
    <row r="933" spans="1:6" x14ac:dyDescent="0.25">
      <c r="A933" t="s">
        <v>1603</v>
      </c>
      <c r="B933" t="s">
        <v>1689</v>
      </c>
      <c r="C933">
        <v>31418</v>
      </c>
      <c r="D933">
        <v>45740</v>
      </c>
      <c r="E933">
        <v>650</v>
      </c>
      <c r="F933">
        <v>46390</v>
      </c>
    </row>
    <row r="934" spans="1:6" x14ac:dyDescent="0.25">
      <c r="B934" t="s">
        <v>1954</v>
      </c>
      <c r="D934">
        <v>845512</v>
      </c>
      <c r="E934">
        <v>16330</v>
      </c>
      <c r="F934">
        <v>861842</v>
      </c>
    </row>
    <row r="935" spans="1:6" x14ac:dyDescent="0.25">
      <c r="B935" t="s">
        <v>1701</v>
      </c>
    </row>
    <row r="936" spans="1:6" x14ac:dyDescent="0.25">
      <c r="A936" t="s">
        <v>2</v>
      </c>
      <c r="B936" t="s">
        <v>1702</v>
      </c>
      <c r="C936">
        <v>31501</v>
      </c>
      <c r="D936">
        <v>47097</v>
      </c>
      <c r="E936">
        <v>306</v>
      </c>
      <c r="F936">
        <v>47403</v>
      </c>
    </row>
    <row r="937" spans="1:6" x14ac:dyDescent="0.25">
      <c r="A937" t="s">
        <v>15</v>
      </c>
      <c r="B937" t="s">
        <v>1703</v>
      </c>
      <c r="C937">
        <v>31502</v>
      </c>
      <c r="D937">
        <v>239</v>
      </c>
      <c r="E937">
        <v>0</v>
      </c>
      <c r="F937">
        <v>239</v>
      </c>
    </row>
    <row r="938" spans="1:6" x14ac:dyDescent="0.25">
      <c r="B938" t="s">
        <v>1955</v>
      </c>
      <c r="D938">
        <v>47336</v>
      </c>
      <c r="E938">
        <v>306</v>
      </c>
      <c r="F938">
        <v>47642</v>
      </c>
    </row>
    <row r="939" spans="1:6" x14ac:dyDescent="0.25">
      <c r="B939" t="s">
        <v>1705</v>
      </c>
    </row>
    <row r="940" spans="1:6" x14ac:dyDescent="0.25">
      <c r="A940" t="s">
        <v>2</v>
      </c>
      <c r="B940" t="s">
        <v>1702</v>
      </c>
      <c r="C940">
        <v>31601</v>
      </c>
      <c r="D940">
        <v>6625826</v>
      </c>
      <c r="E940">
        <v>567930</v>
      </c>
      <c r="F940">
        <v>7193756</v>
      </c>
    </row>
    <row r="941" spans="1:6" x14ac:dyDescent="0.25">
      <c r="A941" t="s">
        <v>15</v>
      </c>
      <c r="B941" t="s">
        <v>1703</v>
      </c>
      <c r="C941">
        <v>31602</v>
      </c>
      <c r="D941">
        <v>30746</v>
      </c>
      <c r="E941">
        <v>10459</v>
      </c>
      <c r="F941">
        <v>41205</v>
      </c>
    </row>
    <row r="942" spans="1:6" x14ac:dyDescent="0.25">
      <c r="B942" t="s">
        <v>1956</v>
      </c>
      <c r="D942">
        <v>6656572</v>
      </c>
      <c r="E942">
        <v>578389</v>
      </c>
      <c r="F942">
        <v>7234961</v>
      </c>
    </row>
    <row r="943" spans="1:6" x14ac:dyDescent="0.25">
      <c r="B943" t="s">
        <v>1707</v>
      </c>
    </row>
    <row r="944" spans="1:6" x14ac:dyDescent="0.25">
      <c r="A944" t="s">
        <v>2</v>
      </c>
      <c r="B944" t="s">
        <v>1702</v>
      </c>
      <c r="C944">
        <v>31701</v>
      </c>
      <c r="D944">
        <v>0</v>
      </c>
      <c r="E944">
        <v>0</v>
      </c>
      <c r="F944">
        <v>0</v>
      </c>
    </row>
    <row r="945" spans="1:6" x14ac:dyDescent="0.25">
      <c r="A945" t="s">
        <v>15</v>
      </c>
      <c r="B945" t="s">
        <v>1703</v>
      </c>
      <c r="C945">
        <v>31702</v>
      </c>
      <c r="D945">
        <v>0</v>
      </c>
      <c r="E945">
        <v>0</v>
      </c>
      <c r="F945">
        <v>0</v>
      </c>
    </row>
    <row r="946" spans="1:6" x14ac:dyDescent="0.25">
      <c r="B946" t="s">
        <v>1957</v>
      </c>
      <c r="D946">
        <v>0</v>
      </c>
      <c r="E946">
        <v>0</v>
      </c>
      <c r="F946">
        <v>0</v>
      </c>
    </row>
    <row r="947" spans="1:6" x14ac:dyDescent="0.25">
      <c r="B947" t="s">
        <v>1709</v>
      </c>
    </row>
    <row r="948" spans="1:6" x14ac:dyDescent="0.25">
      <c r="A948" t="s">
        <v>2</v>
      </c>
      <c r="B948" t="s">
        <v>1710</v>
      </c>
      <c r="C948">
        <v>31801</v>
      </c>
      <c r="D948">
        <v>701291</v>
      </c>
      <c r="E948">
        <v>0</v>
      </c>
      <c r="F948">
        <v>701291</v>
      </c>
    </row>
    <row r="949" spans="1:6" x14ac:dyDescent="0.25">
      <c r="A949" t="s">
        <v>15</v>
      </c>
      <c r="B949" t="s">
        <v>1711</v>
      </c>
      <c r="C949">
        <v>31802</v>
      </c>
      <c r="D949">
        <v>0</v>
      </c>
      <c r="E949">
        <v>0</v>
      </c>
      <c r="F949">
        <v>0</v>
      </c>
    </row>
    <row r="950" spans="1:6" x14ac:dyDescent="0.25">
      <c r="A950" t="s">
        <v>16</v>
      </c>
      <c r="B950" t="s">
        <v>1712</v>
      </c>
      <c r="C950">
        <v>31803</v>
      </c>
      <c r="D950">
        <v>206833</v>
      </c>
      <c r="E950">
        <v>0</v>
      </c>
      <c r="F950">
        <v>206833</v>
      </c>
    </row>
    <row r="951" spans="1:6" x14ac:dyDescent="0.25">
      <c r="A951" t="s">
        <v>25</v>
      </c>
      <c r="B951" t="s">
        <v>1713</v>
      </c>
      <c r="C951">
        <v>31804</v>
      </c>
      <c r="D951">
        <v>3438368</v>
      </c>
      <c r="E951">
        <v>7177</v>
      </c>
      <c r="F951">
        <v>3445545</v>
      </c>
    </row>
    <row r="952" spans="1:6" x14ac:dyDescent="0.25">
      <c r="A952" t="s">
        <v>26</v>
      </c>
      <c r="B952" t="s">
        <v>1714</v>
      </c>
      <c r="C952">
        <v>31805</v>
      </c>
      <c r="D952">
        <v>0</v>
      </c>
      <c r="E952">
        <v>0</v>
      </c>
      <c r="F952">
        <v>0</v>
      </c>
    </row>
    <row r="953" spans="1:6" x14ac:dyDescent="0.25">
      <c r="B953" t="s">
        <v>1958</v>
      </c>
      <c r="D953">
        <v>4346492</v>
      </c>
      <c r="E953">
        <v>7177</v>
      </c>
      <c r="F953">
        <v>4353669</v>
      </c>
    </row>
    <row r="954" spans="1:6" x14ac:dyDescent="0.25">
      <c r="B954" t="s">
        <v>1959</v>
      </c>
    </row>
    <row r="955" spans="1:6" x14ac:dyDescent="0.25">
      <c r="A955" t="s">
        <v>2</v>
      </c>
      <c r="B955" t="s">
        <v>1960</v>
      </c>
      <c r="C955">
        <v>31901</v>
      </c>
      <c r="D955">
        <v>0</v>
      </c>
      <c r="E955">
        <v>2188</v>
      </c>
      <c r="F955">
        <v>2188</v>
      </c>
    </row>
    <row r="956" spans="1:6" x14ac:dyDescent="0.25">
      <c r="A956" t="s">
        <v>15</v>
      </c>
      <c r="B956" t="s">
        <v>1961</v>
      </c>
      <c r="C956">
        <v>31902</v>
      </c>
      <c r="D956">
        <v>0</v>
      </c>
      <c r="E956">
        <v>0</v>
      </c>
      <c r="F956">
        <v>0</v>
      </c>
    </row>
    <row r="957" spans="1:6" x14ac:dyDescent="0.25">
      <c r="A957" t="s">
        <v>16</v>
      </c>
      <c r="B957" t="s">
        <v>1962</v>
      </c>
      <c r="C957">
        <v>31903</v>
      </c>
      <c r="D957">
        <v>0</v>
      </c>
      <c r="E957">
        <v>0</v>
      </c>
      <c r="F957">
        <v>0</v>
      </c>
    </row>
    <row r="958" spans="1:6" x14ac:dyDescent="0.25">
      <c r="B958" t="s">
        <v>1963</v>
      </c>
      <c r="D958">
        <v>0</v>
      </c>
      <c r="E958">
        <v>2188</v>
      </c>
      <c r="F958">
        <v>2188</v>
      </c>
    </row>
    <row r="959" spans="1:6" x14ac:dyDescent="0.25">
      <c r="B959" t="s">
        <v>1653</v>
      </c>
      <c r="D959">
        <v>22695249</v>
      </c>
      <c r="E959">
        <v>5697566</v>
      </c>
      <c r="F959">
        <v>28392815</v>
      </c>
    </row>
    <row r="960" spans="1:6" x14ac:dyDescent="0.25">
      <c r="B960" t="s">
        <v>1964</v>
      </c>
    </row>
    <row r="961" spans="1:6" x14ac:dyDescent="0.25">
      <c r="B961" t="s">
        <v>1672</v>
      </c>
    </row>
    <row r="962" spans="1:6" x14ac:dyDescent="0.25">
      <c r="A962" t="s">
        <v>2</v>
      </c>
      <c r="B962" t="s">
        <v>1673</v>
      </c>
      <c r="C962">
        <v>32101</v>
      </c>
      <c r="D962">
        <v>0</v>
      </c>
      <c r="E962">
        <v>0</v>
      </c>
      <c r="F962">
        <v>0</v>
      </c>
    </row>
    <row r="963" spans="1:6" x14ac:dyDescent="0.25">
      <c r="A963" t="s">
        <v>15</v>
      </c>
      <c r="B963" t="s">
        <v>1674</v>
      </c>
      <c r="C963">
        <v>32102</v>
      </c>
      <c r="D963">
        <v>0</v>
      </c>
      <c r="E963">
        <v>0</v>
      </c>
      <c r="F963">
        <v>0</v>
      </c>
    </row>
    <row r="964" spans="1:6" x14ac:dyDescent="0.25">
      <c r="A964" t="s">
        <v>16</v>
      </c>
      <c r="B964" t="s">
        <v>1675</v>
      </c>
      <c r="C964">
        <v>32103</v>
      </c>
      <c r="D964">
        <v>0</v>
      </c>
      <c r="E964">
        <v>0</v>
      </c>
      <c r="F964">
        <v>0</v>
      </c>
    </row>
    <row r="965" spans="1:6" x14ac:dyDescent="0.25">
      <c r="A965" t="s">
        <v>25</v>
      </c>
      <c r="B965" t="s">
        <v>1676</v>
      </c>
      <c r="C965">
        <v>32104</v>
      </c>
      <c r="D965">
        <v>0</v>
      </c>
      <c r="E965">
        <v>0</v>
      </c>
      <c r="F965">
        <v>0</v>
      </c>
    </row>
    <row r="966" spans="1:6" x14ac:dyDescent="0.25">
      <c r="A966" t="s">
        <v>26</v>
      </c>
      <c r="B966" t="s">
        <v>1677</v>
      </c>
      <c r="C966">
        <v>32105</v>
      </c>
      <c r="D966">
        <v>552</v>
      </c>
      <c r="E966">
        <v>0</v>
      </c>
      <c r="F966">
        <v>552</v>
      </c>
    </row>
    <row r="967" spans="1:6" x14ac:dyDescent="0.25">
      <c r="B967" t="s">
        <v>1965</v>
      </c>
      <c r="D967">
        <v>552</v>
      </c>
      <c r="E967">
        <v>0</v>
      </c>
      <c r="F967">
        <v>552</v>
      </c>
    </row>
    <row r="968" spans="1:6" x14ac:dyDescent="0.25">
      <c r="B968" t="s">
        <v>1781</v>
      </c>
    </row>
    <row r="969" spans="1:6" x14ac:dyDescent="0.25">
      <c r="A969" t="s">
        <v>2</v>
      </c>
      <c r="B969" t="s">
        <v>1693</v>
      </c>
      <c r="C969">
        <v>32201</v>
      </c>
      <c r="D969">
        <v>0</v>
      </c>
      <c r="E969">
        <v>0</v>
      </c>
      <c r="F969">
        <v>0</v>
      </c>
    </row>
    <row r="970" spans="1:6" x14ac:dyDescent="0.25">
      <c r="A970" t="s">
        <v>15</v>
      </c>
      <c r="B970" t="s">
        <v>1694</v>
      </c>
      <c r="C970">
        <v>32202</v>
      </c>
      <c r="D970">
        <v>0</v>
      </c>
      <c r="E970">
        <v>0</v>
      </c>
      <c r="F970">
        <v>0</v>
      </c>
    </row>
    <row r="971" spans="1:6" x14ac:dyDescent="0.25">
      <c r="A971" t="s">
        <v>16</v>
      </c>
      <c r="B971" t="s">
        <v>1695</v>
      </c>
      <c r="C971">
        <v>32203</v>
      </c>
      <c r="D971">
        <v>0</v>
      </c>
      <c r="E971">
        <v>0</v>
      </c>
      <c r="F971">
        <v>0</v>
      </c>
    </row>
    <row r="972" spans="1:6" x14ac:dyDescent="0.25">
      <c r="A972" t="s">
        <v>25</v>
      </c>
      <c r="B972" t="s">
        <v>1696</v>
      </c>
      <c r="C972">
        <v>32204</v>
      </c>
      <c r="D972">
        <v>0</v>
      </c>
      <c r="E972">
        <v>0</v>
      </c>
      <c r="F972">
        <v>0</v>
      </c>
    </row>
    <row r="973" spans="1:6" x14ac:dyDescent="0.25">
      <c r="A973" t="s">
        <v>26</v>
      </c>
      <c r="B973" t="s">
        <v>1680</v>
      </c>
      <c r="C973">
        <v>32205</v>
      </c>
      <c r="D973">
        <v>0</v>
      </c>
      <c r="E973">
        <v>0</v>
      </c>
      <c r="F973">
        <v>0</v>
      </c>
    </row>
    <row r="974" spans="1:6" x14ac:dyDescent="0.25">
      <c r="A974" t="s">
        <v>27</v>
      </c>
      <c r="B974" t="s">
        <v>1681</v>
      </c>
      <c r="C974">
        <v>32206</v>
      </c>
      <c r="D974">
        <v>0</v>
      </c>
      <c r="E974">
        <v>0</v>
      </c>
      <c r="F974">
        <v>0</v>
      </c>
    </row>
    <row r="975" spans="1:6" x14ac:dyDescent="0.25">
      <c r="A975" t="s">
        <v>531</v>
      </c>
      <c r="B975" t="s">
        <v>1682</v>
      </c>
      <c r="C975">
        <v>32207</v>
      </c>
      <c r="D975">
        <v>0</v>
      </c>
      <c r="E975">
        <v>0</v>
      </c>
      <c r="F975">
        <v>0</v>
      </c>
    </row>
    <row r="976" spans="1:6" x14ac:dyDescent="0.25">
      <c r="A976" t="s">
        <v>1583</v>
      </c>
      <c r="B976" t="s">
        <v>1683</v>
      </c>
      <c r="C976">
        <v>32208</v>
      </c>
      <c r="D976">
        <v>0</v>
      </c>
      <c r="E976">
        <v>0</v>
      </c>
      <c r="F976">
        <v>0</v>
      </c>
    </row>
    <row r="977" spans="1:6" x14ac:dyDescent="0.25">
      <c r="A977" t="s">
        <v>1585</v>
      </c>
      <c r="B977" t="s">
        <v>1684</v>
      </c>
      <c r="C977">
        <v>32209</v>
      </c>
      <c r="D977">
        <v>0</v>
      </c>
      <c r="E977">
        <v>0</v>
      </c>
      <c r="F977">
        <v>0</v>
      </c>
    </row>
    <row r="978" spans="1:6" x14ac:dyDescent="0.25">
      <c r="A978" t="s">
        <v>1587</v>
      </c>
      <c r="B978" t="s">
        <v>1685</v>
      </c>
      <c r="C978">
        <v>32210</v>
      </c>
      <c r="D978">
        <v>0</v>
      </c>
      <c r="E978">
        <v>0</v>
      </c>
      <c r="F978">
        <v>0</v>
      </c>
    </row>
    <row r="979" spans="1:6" x14ac:dyDescent="0.25">
      <c r="A979" t="s">
        <v>1589</v>
      </c>
      <c r="B979" t="s">
        <v>1686</v>
      </c>
      <c r="C979">
        <v>32211</v>
      </c>
      <c r="D979">
        <v>0</v>
      </c>
      <c r="E979">
        <v>0</v>
      </c>
      <c r="F979">
        <v>0</v>
      </c>
    </row>
    <row r="980" spans="1:6" x14ac:dyDescent="0.25">
      <c r="A980" t="s">
        <v>1591</v>
      </c>
      <c r="B980" t="s">
        <v>1687</v>
      </c>
      <c r="C980">
        <v>32212</v>
      </c>
      <c r="D980">
        <v>0</v>
      </c>
      <c r="E980">
        <v>0</v>
      </c>
      <c r="F980">
        <v>0</v>
      </c>
    </row>
    <row r="981" spans="1:6" x14ac:dyDescent="0.25">
      <c r="A981" t="s">
        <v>1593</v>
      </c>
      <c r="B981" t="s">
        <v>1688</v>
      </c>
      <c r="C981">
        <v>32213</v>
      </c>
      <c r="D981">
        <v>0</v>
      </c>
      <c r="E981">
        <v>0</v>
      </c>
      <c r="F981">
        <v>0</v>
      </c>
    </row>
    <row r="982" spans="1:6" x14ac:dyDescent="0.25">
      <c r="A982" t="s">
        <v>1595</v>
      </c>
      <c r="B982" t="s">
        <v>1690</v>
      </c>
      <c r="C982">
        <v>32214</v>
      </c>
      <c r="D982">
        <v>0</v>
      </c>
      <c r="E982">
        <v>0</v>
      </c>
      <c r="F982">
        <v>0</v>
      </c>
    </row>
    <row r="983" spans="1:6" x14ac:dyDescent="0.25">
      <c r="A983" t="s">
        <v>1597</v>
      </c>
      <c r="B983" t="s">
        <v>1637</v>
      </c>
      <c r="C983">
        <v>32215</v>
      </c>
      <c r="D983">
        <v>0</v>
      </c>
      <c r="E983">
        <v>0</v>
      </c>
      <c r="F983">
        <v>0</v>
      </c>
    </row>
    <row r="984" spans="1:6" x14ac:dyDescent="0.25">
      <c r="A984" t="s">
        <v>1599</v>
      </c>
      <c r="B984" t="s">
        <v>1640</v>
      </c>
      <c r="C984">
        <v>32216</v>
      </c>
      <c r="D984">
        <v>0</v>
      </c>
      <c r="E984">
        <v>0</v>
      </c>
      <c r="F984">
        <v>0</v>
      </c>
    </row>
    <row r="985" spans="1:6" x14ac:dyDescent="0.25">
      <c r="A985" t="s">
        <v>1601</v>
      </c>
      <c r="B985" t="s">
        <v>1636</v>
      </c>
      <c r="C985">
        <v>32217</v>
      </c>
      <c r="D985">
        <v>0</v>
      </c>
      <c r="E985">
        <v>0</v>
      </c>
      <c r="F985">
        <v>0</v>
      </c>
    </row>
    <row r="986" spans="1:6" x14ac:dyDescent="0.25">
      <c r="A986" t="s">
        <v>1603</v>
      </c>
      <c r="B986" t="s">
        <v>1689</v>
      </c>
      <c r="C986">
        <v>32218</v>
      </c>
      <c r="D986">
        <v>0</v>
      </c>
      <c r="E986">
        <v>0</v>
      </c>
      <c r="F986">
        <v>0</v>
      </c>
    </row>
    <row r="987" spans="1:6" x14ac:dyDescent="0.25">
      <c r="B987" t="s">
        <v>1966</v>
      </c>
      <c r="D987">
        <v>0</v>
      </c>
      <c r="E987">
        <v>0</v>
      </c>
      <c r="F987">
        <v>0</v>
      </c>
    </row>
    <row r="988" spans="1:6" x14ac:dyDescent="0.25">
      <c r="B988" t="s">
        <v>1783</v>
      </c>
    </row>
    <row r="989" spans="1:6" x14ac:dyDescent="0.25">
      <c r="A989" t="s">
        <v>2</v>
      </c>
      <c r="B989" t="s">
        <v>1699</v>
      </c>
      <c r="C989">
        <v>32301</v>
      </c>
      <c r="D989">
        <v>0</v>
      </c>
      <c r="E989">
        <v>0</v>
      </c>
      <c r="F989">
        <v>0</v>
      </c>
    </row>
    <row r="990" spans="1:6" x14ac:dyDescent="0.25">
      <c r="A990" t="s">
        <v>15</v>
      </c>
      <c r="B990" t="s">
        <v>1694</v>
      </c>
      <c r="C990">
        <v>32302</v>
      </c>
      <c r="D990">
        <v>0</v>
      </c>
      <c r="E990">
        <v>0</v>
      </c>
      <c r="F990">
        <v>0</v>
      </c>
    </row>
    <row r="991" spans="1:6" x14ac:dyDescent="0.25">
      <c r="A991" t="s">
        <v>16</v>
      </c>
      <c r="B991" t="s">
        <v>1695</v>
      </c>
      <c r="C991">
        <v>32303</v>
      </c>
      <c r="D991">
        <v>0</v>
      </c>
      <c r="E991">
        <v>0</v>
      </c>
      <c r="F991">
        <v>0</v>
      </c>
    </row>
    <row r="992" spans="1:6" x14ac:dyDescent="0.25">
      <c r="A992" t="s">
        <v>25</v>
      </c>
      <c r="B992" t="s">
        <v>1696</v>
      </c>
      <c r="C992">
        <v>32304</v>
      </c>
      <c r="D992">
        <v>0</v>
      </c>
      <c r="E992">
        <v>0</v>
      </c>
      <c r="F992">
        <v>0</v>
      </c>
    </row>
    <row r="993" spans="1:6" x14ac:dyDescent="0.25">
      <c r="A993" t="s">
        <v>26</v>
      </c>
      <c r="B993" t="s">
        <v>1680</v>
      </c>
      <c r="C993">
        <v>32305</v>
      </c>
      <c r="D993">
        <v>0</v>
      </c>
      <c r="E993">
        <v>0</v>
      </c>
      <c r="F993">
        <v>0</v>
      </c>
    </row>
    <row r="994" spans="1:6" x14ac:dyDescent="0.25">
      <c r="A994" t="s">
        <v>27</v>
      </c>
      <c r="B994" t="s">
        <v>1681</v>
      </c>
      <c r="C994">
        <v>32306</v>
      </c>
      <c r="D994">
        <v>0</v>
      </c>
      <c r="E994">
        <v>0</v>
      </c>
      <c r="F994">
        <v>0</v>
      </c>
    </row>
    <row r="995" spans="1:6" x14ac:dyDescent="0.25">
      <c r="A995" t="s">
        <v>531</v>
      </c>
      <c r="B995" t="s">
        <v>1682</v>
      </c>
      <c r="C995">
        <v>32307</v>
      </c>
      <c r="D995">
        <v>0</v>
      </c>
      <c r="E995">
        <v>0</v>
      </c>
      <c r="F995">
        <v>0</v>
      </c>
    </row>
    <row r="996" spans="1:6" x14ac:dyDescent="0.25">
      <c r="A996" t="s">
        <v>1583</v>
      </c>
      <c r="B996" t="s">
        <v>1683</v>
      </c>
      <c r="C996">
        <v>32308</v>
      </c>
      <c r="D996">
        <v>0</v>
      </c>
      <c r="E996">
        <v>0</v>
      </c>
      <c r="F996">
        <v>0</v>
      </c>
    </row>
    <row r="997" spans="1:6" x14ac:dyDescent="0.25">
      <c r="A997" t="s">
        <v>1585</v>
      </c>
      <c r="B997" t="s">
        <v>1684</v>
      </c>
      <c r="C997">
        <v>32309</v>
      </c>
      <c r="D997">
        <v>0</v>
      </c>
      <c r="E997">
        <v>0</v>
      </c>
      <c r="F997">
        <v>0</v>
      </c>
    </row>
    <row r="998" spans="1:6" x14ac:dyDescent="0.25">
      <c r="A998" t="s">
        <v>1587</v>
      </c>
      <c r="B998" t="s">
        <v>1685</v>
      </c>
      <c r="C998">
        <v>32310</v>
      </c>
      <c r="D998">
        <v>0</v>
      </c>
      <c r="E998">
        <v>0</v>
      </c>
      <c r="F998">
        <v>0</v>
      </c>
    </row>
    <row r="999" spans="1:6" x14ac:dyDescent="0.25">
      <c r="A999" t="s">
        <v>1589</v>
      </c>
      <c r="B999" t="s">
        <v>1686</v>
      </c>
      <c r="C999">
        <v>32311</v>
      </c>
      <c r="D999">
        <v>0</v>
      </c>
      <c r="E999">
        <v>0</v>
      </c>
      <c r="F999">
        <v>0</v>
      </c>
    </row>
    <row r="1000" spans="1:6" x14ac:dyDescent="0.25">
      <c r="A1000" t="s">
        <v>1591</v>
      </c>
      <c r="B1000" t="s">
        <v>1687</v>
      </c>
      <c r="C1000">
        <v>32312</v>
      </c>
      <c r="D1000">
        <v>0</v>
      </c>
      <c r="E1000">
        <v>0</v>
      </c>
      <c r="F1000">
        <v>0</v>
      </c>
    </row>
    <row r="1001" spans="1:6" x14ac:dyDescent="0.25">
      <c r="A1001" t="s">
        <v>1593</v>
      </c>
      <c r="B1001" t="s">
        <v>1688</v>
      </c>
      <c r="C1001">
        <v>32313</v>
      </c>
      <c r="D1001">
        <v>0</v>
      </c>
      <c r="E1001">
        <v>0</v>
      </c>
      <c r="F1001">
        <v>0</v>
      </c>
    </row>
    <row r="1002" spans="1:6" x14ac:dyDescent="0.25">
      <c r="A1002" t="s">
        <v>1595</v>
      </c>
      <c r="B1002" t="s">
        <v>1690</v>
      </c>
      <c r="C1002">
        <v>32314</v>
      </c>
      <c r="D1002">
        <v>0</v>
      </c>
      <c r="E1002">
        <v>0</v>
      </c>
      <c r="F1002">
        <v>0</v>
      </c>
    </row>
    <row r="1003" spans="1:6" x14ac:dyDescent="0.25">
      <c r="A1003" t="s">
        <v>1597</v>
      </c>
      <c r="B1003" t="s">
        <v>1637</v>
      </c>
      <c r="C1003">
        <v>32315</v>
      </c>
      <c r="D1003">
        <v>8500</v>
      </c>
      <c r="E1003">
        <v>0</v>
      </c>
      <c r="F1003">
        <v>8500</v>
      </c>
    </row>
    <row r="1004" spans="1:6" x14ac:dyDescent="0.25">
      <c r="A1004" t="s">
        <v>1599</v>
      </c>
      <c r="B1004" t="s">
        <v>1640</v>
      </c>
      <c r="C1004">
        <v>32316</v>
      </c>
      <c r="D1004">
        <v>0</v>
      </c>
      <c r="E1004">
        <v>0</v>
      </c>
      <c r="F1004">
        <v>0</v>
      </c>
    </row>
    <row r="1005" spans="1:6" x14ac:dyDescent="0.25">
      <c r="A1005" t="s">
        <v>1601</v>
      </c>
      <c r="B1005" t="s">
        <v>1636</v>
      </c>
      <c r="C1005">
        <v>32317</v>
      </c>
      <c r="D1005">
        <v>2142</v>
      </c>
      <c r="E1005">
        <v>0</v>
      </c>
      <c r="F1005">
        <v>2142</v>
      </c>
    </row>
    <row r="1006" spans="1:6" x14ac:dyDescent="0.25">
      <c r="A1006" t="s">
        <v>1603</v>
      </c>
      <c r="B1006" t="s">
        <v>1689</v>
      </c>
      <c r="C1006">
        <v>32318</v>
      </c>
      <c r="D1006">
        <v>0</v>
      </c>
      <c r="E1006">
        <v>0</v>
      </c>
      <c r="F1006">
        <v>0</v>
      </c>
    </row>
    <row r="1007" spans="1:6" x14ac:dyDescent="0.25">
      <c r="B1007" t="s">
        <v>1967</v>
      </c>
      <c r="D1007">
        <v>10642</v>
      </c>
      <c r="E1007">
        <v>0</v>
      </c>
      <c r="F1007">
        <v>10642</v>
      </c>
    </row>
    <row r="1008" spans="1:6" x14ac:dyDescent="0.25">
      <c r="B1008" t="s">
        <v>1785</v>
      </c>
    </row>
    <row r="1009" spans="1:6" x14ac:dyDescent="0.25">
      <c r="A1009" t="s">
        <v>2</v>
      </c>
      <c r="B1009" t="s">
        <v>1702</v>
      </c>
      <c r="C1009">
        <v>32401</v>
      </c>
      <c r="D1009">
        <v>168</v>
      </c>
      <c r="E1009">
        <v>0</v>
      </c>
      <c r="F1009">
        <v>168</v>
      </c>
    </row>
    <row r="1010" spans="1:6" x14ac:dyDescent="0.25">
      <c r="A1010" t="s">
        <v>15</v>
      </c>
      <c r="B1010" t="s">
        <v>1703</v>
      </c>
      <c r="C1010">
        <v>32402</v>
      </c>
      <c r="D1010">
        <v>0</v>
      </c>
      <c r="E1010">
        <v>0</v>
      </c>
      <c r="F1010">
        <v>0</v>
      </c>
    </row>
    <row r="1011" spans="1:6" x14ac:dyDescent="0.25">
      <c r="B1011" t="s">
        <v>1968</v>
      </c>
      <c r="D1011">
        <v>168</v>
      </c>
      <c r="E1011">
        <v>0</v>
      </c>
      <c r="F1011">
        <v>168</v>
      </c>
    </row>
    <row r="1012" spans="1:6" x14ac:dyDescent="0.25">
      <c r="B1012" t="s">
        <v>1787</v>
      </c>
    </row>
    <row r="1013" spans="1:6" x14ac:dyDescent="0.25">
      <c r="A1013" t="s">
        <v>2</v>
      </c>
      <c r="B1013" t="s">
        <v>1702</v>
      </c>
      <c r="C1013">
        <v>32501</v>
      </c>
      <c r="D1013">
        <v>0</v>
      </c>
      <c r="E1013">
        <v>0</v>
      </c>
      <c r="F1013">
        <v>0</v>
      </c>
    </row>
    <row r="1014" spans="1:6" x14ac:dyDescent="0.25">
      <c r="A1014" t="s">
        <v>15</v>
      </c>
      <c r="B1014" t="s">
        <v>1703</v>
      </c>
      <c r="C1014">
        <v>32502</v>
      </c>
      <c r="D1014">
        <v>0</v>
      </c>
      <c r="E1014">
        <v>0</v>
      </c>
      <c r="F1014">
        <v>0</v>
      </c>
    </row>
    <row r="1015" spans="1:6" x14ac:dyDescent="0.25">
      <c r="B1015" t="s">
        <v>1969</v>
      </c>
      <c r="D1015">
        <v>0</v>
      </c>
      <c r="E1015">
        <v>0</v>
      </c>
      <c r="F1015">
        <v>0</v>
      </c>
    </row>
    <row r="1016" spans="1:6" x14ac:dyDescent="0.25">
      <c r="B1016" t="s">
        <v>1789</v>
      </c>
    </row>
    <row r="1017" spans="1:6" x14ac:dyDescent="0.25">
      <c r="A1017" t="s">
        <v>2</v>
      </c>
      <c r="B1017" t="s">
        <v>1710</v>
      </c>
      <c r="C1017">
        <v>32601</v>
      </c>
      <c r="D1017">
        <v>0</v>
      </c>
      <c r="E1017">
        <v>0</v>
      </c>
      <c r="F1017">
        <v>0</v>
      </c>
    </row>
    <row r="1018" spans="1:6" x14ac:dyDescent="0.25">
      <c r="A1018" t="s">
        <v>15</v>
      </c>
      <c r="B1018" t="s">
        <v>1711</v>
      </c>
      <c r="C1018">
        <v>32602</v>
      </c>
      <c r="D1018">
        <v>0</v>
      </c>
      <c r="E1018">
        <v>0</v>
      </c>
      <c r="F1018">
        <v>0</v>
      </c>
    </row>
    <row r="1019" spans="1:6" x14ac:dyDescent="0.25">
      <c r="A1019" t="s">
        <v>16</v>
      </c>
      <c r="B1019" t="s">
        <v>1712</v>
      </c>
      <c r="C1019">
        <v>32603</v>
      </c>
      <c r="D1019">
        <v>0</v>
      </c>
      <c r="E1019">
        <v>0</v>
      </c>
      <c r="F1019">
        <v>0</v>
      </c>
    </row>
    <row r="1020" spans="1:6" x14ac:dyDescent="0.25">
      <c r="A1020" t="s">
        <v>25</v>
      </c>
      <c r="B1020" t="s">
        <v>1713</v>
      </c>
      <c r="C1020">
        <v>32604</v>
      </c>
      <c r="D1020">
        <v>0</v>
      </c>
      <c r="E1020">
        <v>0</v>
      </c>
      <c r="F1020">
        <v>0</v>
      </c>
    </row>
    <row r="1021" spans="1:6" x14ac:dyDescent="0.25">
      <c r="A1021" t="s">
        <v>26</v>
      </c>
      <c r="B1021" t="s">
        <v>1714</v>
      </c>
      <c r="C1021">
        <v>32605</v>
      </c>
      <c r="D1021">
        <v>0</v>
      </c>
      <c r="E1021">
        <v>0</v>
      </c>
      <c r="F1021">
        <v>0</v>
      </c>
    </row>
    <row r="1022" spans="1:6" x14ac:dyDescent="0.25">
      <c r="B1022" t="s">
        <v>1970</v>
      </c>
      <c r="D1022">
        <v>0</v>
      </c>
      <c r="E1022">
        <v>0</v>
      </c>
      <c r="F1022">
        <v>0</v>
      </c>
    </row>
    <row r="1023" spans="1:6" x14ac:dyDescent="0.25">
      <c r="B1023" t="s">
        <v>1660</v>
      </c>
      <c r="D1023">
        <v>11362</v>
      </c>
      <c r="E1023">
        <v>0</v>
      </c>
      <c r="F1023">
        <v>11362</v>
      </c>
    </row>
    <row r="1024" spans="1:6" x14ac:dyDescent="0.25">
      <c r="B1024" t="s">
        <v>1971</v>
      </c>
    </row>
    <row r="1025" spans="1:6" x14ac:dyDescent="0.25">
      <c r="B1025" t="s">
        <v>1575</v>
      </c>
    </row>
    <row r="1026" spans="1:6" x14ac:dyDescent="0.25">
      <c r="A1026" t="s">
        <v>2</v>
      </c>
      <c r="B1026" t="s">
        <v>1576</v>
      </c>
      <c r="C1026">
        <v>33101</v>
      </c>
      <c r="D1026">
        <v>0</v>
      </c>
      <c r="E1026">
        <v>0</v>
      </c>
      <c r="F1026">
        <v>0</v>
      </c>
    </row>
    <row r="1027" spans="1:6" x14ac:dyDescent="0.25">
      <c r="A1027" t="s">
        <v>15</v>
      </c>
      <c r="B1027" t="s">
        <v>1577</v>
      </c>
      <c r="C1027">
        <v>33102</v>
      </c>
      <c r="D1027">
        <v>0</v>
      </c>
      <c r="E1027">
        <v>0</v>
      </c>
      <c r="F1027">
        <v>0</v>
      </c>
    </row>
    <row r="1028" spans="1:6" x14ac:dyDescent="0.25">
      <c r="A1028" t="s">
        <v>16</v>
      </c>
      <c r="B1028" t="s">
        <v>1578</v>
      </c>
      <c r="C1028">
        <v>33103</v>
      </c>
      <c r="D1028">
        <v>0</v>
      </c>
      <c r="E1028">
        <v>0</v>
      </c>
      <c r="F1028">
        <v>0</v>
      </c>
    </row>
    <row r="1029" spans="1:6" x14ac:dyDescent="0.25">
      <c r="A1029" t="s">
        <v>25</v>
      </c>
      <c r="B1029" t="s">
        <v>1579</v>
      </c>
      <c r="C1029">
        <v>33104</v>
      </c>
      <c r="D1029">
        <v>0</v>
      </c>
      <c r="E1029">
        <v>0</v>
      </c>
      <c r="F1029">
        <v>0</v>
      </c>
    </row>
    <row r="1030" spans="1:6" x14ac:dyDescent="0.25">
      <c r="A1030" t="s">
        <v>26</v>
      </c>
      <c r="B1030" t="s">
        <v>1580</v>
      </c>
      <c r="C1030">
        <v>33105</v>
      </c>
      <c r="D1030">
        <v>0</v>
      </c>
      <c r="E1030">
        <v>0</v>
      </c>
      <c r="F1030">
        <v>0</v>
      </c>
    </row>
    <row r="1031" spans="1:6" x14ac:dyDescent="0.25">
      <c r="A1031" t="s">
        <v>27</v>
      </c>
      <c r="B1031" t="s">
        <v>1581</v>
      </c>
      <c r="C1031">
        <v>33106</v>
      </c>
      <c r="D1031">
        <v>0</v>
      </c>
      <c r="E1031">
        <v>0</v>
      </c>
      <c r="F1031">
        <v>0</v>
      </c>
    </row>
    <row r="1032" spans="1:6" x14ac:dyDescent="0.25">
      <c r="A1032" t="s">
        <v>531</v>
      </c>
      <c r="B1032" t="s">
        <v>1582</v>
      </c>
      <c r="C1032">
        <v>33107</v>
      </c>
      <c r="D1032">
        <v>0</v>
      </c>
      <c r="E1032">
        <v>0</v>
      </c>
      <c r="F1032">
        <v>0</v>
      </c>
    </row>
    <row r="1033" spans="1:6" x14ac:dyDescent="0.25">
      <c r="A1033" t="s">
        <v>1583</v>
      </c>
      <c r="B1033" t="s">
        <v>1584</v>
      </c>
      <c r="C1033">
        <v>33108</v>
      </c>
      <c r="D1033">
        <v>0</v>
      </c>
      <c r="E1033">
        <v>0</v>
      </c>
      <c r="F1033">
        <v>0</v>
      </c>
    </row>
    <row r="1034" spans="1:6" x14ac:dyDescent="0.25">
      <c r="A1034" t="s">
        <v>1585</v>
      </c>
      <c r="B1034" t="s">
        <v>1586</v>
      </c>
      <c r="C1034">
        <v>33109</v>
      </c>
      <c r="D1034">
        <v>0</v>
      </c>
      <c r="E1034">
        <v>0</v>
      </c>
      <c r="F1034">
        <v>0</v>
      </c>
    </row>
    <row r="1035" spans="1:6" x14ac:dyDescent="0.25">
      <c r="A1035" t="s">
        <v>1587</v>
      </c>
      <c r="B1035" t="s">
        <v>1588</v>
      </c>
      <c r="C1035">
        <v>33110</v>
      </c>
      <c r="D1035">
        <v>0</v>
      </c>
      <c r="E1035">
        <v>0</v>
      </c>
      <c r="F1035">
        <v>0</v>
      </c>
    </row>
    <row r="1036" spans="1:6" x14ac:dyDescent="0.25">
      <c r="A1036" t="s">
        <v>1589</v>
      </c>
      <c r="B1036" t="s">
        <v>1590</v>
      </c>
      <c r="C1036">
        <v>33111</v>
      </c>
      <c r="D1036">
        <v>0</v>
      </c>
      <c r="E1036">
        <v>0</v>
      </c>
      <c r="F1036">
        <v>0</v>
      </c>
    </row>
    <row r="1037" spans="1:6" x14ac:dyDescent="0.25">
      <c r="A1037" t="s">
        <v>1591</v>
      </c>
      <c r="B1037" t="s">
        <v>1592</v>
      </c>
      <c r="C1037">
        <v>33112</v>
      </c>
      <c r="D1037">
        <v>179</v>
      </c>
      <c r="E1037">
        <v>0</v>
      </c>
      <c r="F1037">
        <v>179</v>
      </c>
    </row>
    <row r="1038" spans="1:6" x14ac:dyDescent="0.25">
      <c r="A1038" t="s">
        <v>1593</v>
      </c>
      <c r="B1038" t="s">
        <v>1594</v>
      </c>
      <c r="C1038">
        <v>33113</v>
      </c>
      <c r="D1038">
        <v>0</v>
      </c>
      <c r="E1038">
        <v>0</v>
      </c>
      <c r="F1038">
        <v>0</v>
      </c>
    </row>
    <row r="1039" spans="1:6" x14ac:dyDescent="0.25">
      <c r="A1039" t="s">
        <v>1595</v>
      </c>
      <c r="B1039" t="s">
        <v>1596</v>
      </c>
      <c r="C1039">
        <v>33114</v>
      </c>
      <c r="D1039">
        <v>0</v>
      </c>
      <c r="E1039">
        <v>0</v>
      </c>
      <c r="F1039">
        <v>0</v>
      </c>
    </row>
    <row r="1040" spans="1:6" x14ac:dyDescent="0.25">
      <c r="A1040" t="s">
        <v>1597</v>
      </c>
      <c r="B1040" t="s">
        <v>1598</v>
      </c>
      <c r="C1040">
        <v>33115</v>
      </c>
      <c r="D1040">
        <v>1658</v>
      </c>
      <c r="E1040">
        <v>0</v>
      </c>
      <c r="F1040">
        <v>1658</v>
      </c>
    </row>
    <row r="1041" spans="1:6" x14ac:dyDescent="0.25">
      <c r="A1041" t="s">
        <v>1599</v>
      </c>
      <c r="B1041" t="s">
        <v>1600</v>
      </c>
      <c r="C1041">
        <v>33116</v>
      </c>
      <c r="D1041">
        <v>0</v>
      </c>
      <c r="E1041">
        <v>0</v>
      </c>
      <c r="F1041">
        <v>0</v>
      </c>
    </row>
    <row r="1042" spans="1:6" x14ac:dyDescent="0.25">
      <c r="A1042" t="s">
        <v>1601</v>
      </c>
      <c r="B1042" t="s">
        <v>1602</v>
      </c>
      <c r="C1042">
        <v>33117</v>
      </c>
      <c r="D1042">
        <v>0</v>
      </c>
      <c r="E1042">
        <v>0</v>
      </c>
      <c r="F1042">
        <v>0</v>
      </c>
    </row>
    <row r="1043" spans="1:6" x14ac:dyDescent="0.25">
      <c r="A1043" t="s">
        <v>1603</v>
      </c>
      <c r="B1043" t="s">
        <v>1604</v>
      </c>
      <c r="C1043">
        <v>33118</v>
      </c>
      <c r="D1043">
        <v>0</v>
      </c>
      <c r="E1043">
        <v>0</v>
      </c>
      <c r="F1043">
        <v>0</v>
      </c>
    </row>
    <row r="1044" spans="1:6" x14ac:dyDescent="0.25">
      <c r="A1044" t="s">
        <v>1605</v>
      </c>
      <c r="B1044" t="s">
        <v>1606</v>
      </c>
      <c r="C1044">
        <v>33119</v>
      </c>
      <c r="D1044">
        <v>0</v>
      </c>
      <c r="E1044">
        <v>0</v>
      </c>
      <c r="F1044">
        <v>0</v>
      </c>
    </row>
    <row r="1045" spans="1:6" x14ac:dyDescent="0.25">
      <c r="A1045" t="s">
        <v>1607</v>
      </c>
      <c r="B1045" t="s">
        <v>1608</v>
      </c>
      <c r="C1045">
        <v>33120</v>
      </c>
      <c r="D1045">
        <v>0</v>
      </c>
      <c r="E1045">
        <v>0</v>
      </c>
      <c r="F1045">
        <v>0</v>
      </c>
    </row>
    <row r="1046" spans="1:6" x14ac:dyDescent="0.25">
      <c r="B1046" t="s">
        <v>1972</v>
      </c>
      <c r="D1046">
        <v>1837</v>
      </c>
      <c r="E1046">
        <v>0</v>
      </c>
      <c r="F1046">
        <v>1837</v>
      </c>
    </row>
    <row r="1047" spans="1:6" x14ac:dyDescent="0.25">
      <c r="B1047" t="s">
        <v>1656</v>
      </c>
    </row>
    <row r="1048" spans="1:6" x14ac:dyDescent="0.25">
      <c r="A1048" t="s">
        <v>2</v>
      </c>
      <c r="B1048" t="s">
        <v>1611</v>
      </c>
      <c r="C1048">
        <v>33201</v>
      </c>
      <c r="D1048">
        <v>0</v>
      </c>
      <c r="E1048">
        <v>0</v>
      </c>
      <c r="F1048">
        <v>0</v>
      </c>
    </row>
    <row r="1049" spans="1:6" x14ac:dyDescent="0.25">
      <c r="A1049" t="s">
        <v>15</v>
      </c>
      <c r="B1049" t="s">
        <v>1973</v>
      </c>
      <c r="C1049">
        <v>33202</v>
      </c>
      <c r="D1049">
        <v>0</v>
      </c>
      <c r="E1049">
        <v>0</v>
      </c>
      <c r="F1049">
        <v>0</v>
      </c>
    </row>
    <row r="1050" spans="1:6" x14ac:dyDescent="0.25">
      <c r="A1050" t="s">
        <v>16</v>
      </c>
      <c r="B1050" t="s">
        <v>1613</v>
      </c>
      <c r="C1050">
        <v>33203</v>
      </c>
      <c r="D1050">
        <v>0</v>
      </c>
      <c r="E1050">
        <v>0</v>
      </c>
      <c r="F1050">
        <v>0</v>
      </c>
    </row>
    <row r="1051" spans="1:6" x14ac:dyDescent="0.25">
      <c r="A1051" t="s">
        <v>25</v>
      </c>
      <c r="B1051" t="s">
        <v>1614</v>
      </c>
      <c r="C1051">
        <v>33204</v>
      </c>
      <c r="D1051">
        <v>0</v>
      </c>
      <c r="E1051">
        <v>0</v>
      </c>
      <c r="F1051">
        <v>0</v>
      </c>
    </row>
    <row r="1052" spans="1:6" x14ac:dyDescent="0.25">
      <c r="A1052" t="s">
        <v>26</v>
      </c>
      <c r="B1052" t="s">
        <v>1615</v>
      </c>
      <c r="C1052">
        <v>33205</v>
      </c>
      <c r="D1052">
        <v>0</v>
      </c>
      <c r="E1052">
        <v>0</v>
      </c>
      <c r="F1052">
        <v>0</v>
      </c>
    </row>
    <row r="1053" spans="1:6" x14ac:dyDescent="0.25">
      <c r="A1053" t="s">
        <v>27</v>
      </c>
      <c r="B1053" t="s">
        <v>1616</v>
      </c>
      <c r="C1053">
        <v>33206</v>
      </c>
      <c r="D1053">
        <v>0</v>
      </c>
      <c r="E1053">
        <v>0</v>
      </c>
      <c r="F1053">
        <v>0</v>
      </c>
    </row>
    <row r="1054" spans="1:6" x14ac:dyDescent="0.25">
      <c r="A1054" t="s">
        <v>531</v>
      </c>
      <c r="B1054" t="s">
        <v>1617</v>
      </c>
      <c r="C1054">
        <v>33207</v>
      </c>
      <c r="D1054">
        <v>0</v>
      </c>
      <c r="E1054">
        <v>0</v>
      </c>
      <c r="F1054">
        <v>0</v>
      </c>
    </row>
    <row r="1055" spans="1:6" x14ac:dyDescent="0.25">
      <c r="A1055" t="s">
        <v>1583</v>
      </c>
      <c r="B1055" t="s">
        <v>1618</v>
      </c>
      <c r="C1055">
        <v>33208</v>
      </c>
      <c r="D1055">
        <v>0</v>
      </c>
      <c r="E1055">
        <v>0</v>
      </c>
      <c r="F1055">
        <v>0</v>
      </c>
    </row>
    <row r="1056" spans="1:6" x14ac:dyDescent="0.25">
      <c r="A1056" t="s">
        <v>1585</v>
      </c>
      <c r="B1056" t="s">
        <v>1619</v>
      </c>
      <c r="C1056">
        <v>33209</v>
      </c>
      <c r="D1056">
        <v>0</v>
      </c>
      <c r="E1056">
        <v>0</v>
      </c>
      <c r="F1056">
        <v>0</v>
      </c>
    </row>
    <row r="1057" spans="1:6" x14ac:dyDescent="0.25">
      <c r="A1057" t="s">
        <v>1587</v>
      </c>
      <c r="B1057" t="s">
        <v>1620</v>
      </c>
      <c r="C1057">
        <v>33210</v>
      </c>
      <c r="D1057">
        <v>0</v>
      </c>
      <c r="E1057">
        <v>0</v>
      </c>
      <c r="F1057">
        <v>0</v>
      </c>
    </row>
    <row r="1058" spans="1:6" x14ac:dyDescent="0.25">
      <c r="A1058" t="s">
        <v>1589</v>
      </c>
      <c r="B1058" t="s">
        <v>1621</v>
      </c>
      <c r="C1058">
        <v>33211</v>
      </c>
      <c r="D1058">
        <v>140</v>
      </c>
      <c r="E1058">
        <v>0</v>
      </c>
      <c r="F1058">
        <v>140</v>
      </c>
    </row>
    <row r="1059" spans="1:6" x14ac:dyDescent="0.25">
      <c r="A1059" t="s">
        <v>1591</v>
      </c>
      <c r="B1059" t="s">
        <v>1622</v>
      </c>
      <c r="C1059">
        <v>33212</v>
      </c>
      <c r="D1059">
        <v>0</v>
      </c>
      <c r="E1059">
        <v>0</v>
      </c>
      <c r="F1059">
        <v>0</v>
      </c>
    </row>
    <row r="1060" spans="1:6" x14ac:dyDescent="0.25">
      <c r="A1060" t="s">
        <v>1593</v>
      </c>
      <c r="B1060" t="s">
        <v>1623</v>
      </c>
      <c r="C1060">
        <v>33213</v>
      </c>
      <c r="D1060">
        <v>0</v>
      </c>
      <c r="E1060">
        <v>0</v>
      </c>
      <c r="F1060">
        <v>0</v>
      </c>
    </row>
    <row r="1061" spans="1:6" x14ac:dyDescent="0.25">
      <c r="A1061" t="s">
        <v>1595</v>
      </c>
      <c r="B1061" t="s">
        <v>1624</v>
      </c>
      <c r="C1061">
        <v>33214</v>
      </c>
      <c r="D1061">
        <v>0</v>
      </c>
      <c r="E1061">
        <v>0</v>
      </c>
      <c r="F1061">
        <v>0</v>
      </c>
    </row>
    <row r="1062" spans="1:6" x14ac:dyDescent="0.25">
      <c r="A1062" t="s">
        <v>1597</v>
      </c>
      <c r="B1062" t="s">
        <v>1625</v>
      </c>
      <c r="C1062">
        <v>33215</v>
      </c>
      <c r="D1062">
        <v>13164</v>
      </c>
      <c r="E1062">
        <v>0</v>
      </c>
      <c r="F1062">
        <v>13164</v>
      </c>
    </row>
    <row r="1063" spans="1:6" x14ac:dyDescent="0.25">
      <c r="A1063" t="s">
        <v>1599</v>
      </c>
      <c r="B1063" t="s">
        <v>1626</v>
      </c>
      <c r="C1063">
        <v>33216</v>
      </c>
      <c r="D1063">
        <v>0</v>
      </c>
      <c r="E1063">
        <v>0</v>
      </c>
      <c r="F1063">
        <v>0</v>
      </c>
    </row>
    <row r="1064" spans="1:6" x14ac:dyDescent="0.25">
      <c r="A1064" t="s">
        <v>1601</v>
      </c>
      <c r="B1064" t="s">
        <v>1627</v>
      </c>
      <c r="C1064">
        <v>33217</v>
      </c>
      <c r="D1064">
        <v>0</v>
      </c>
      <c r="E1064">
        <v>0</v>
      </c>
      <c r="F1064">
        <v>0</v>
      </c>
    </row>
    <row r="1065" spans="1:6" x14ac:dyDescent="0.25">
      <c r="A1065" t="s">
        <v>1603</v>
      </c>
      <c r="B1065" t="s">
        <v>1596</v>
      </c>
      <c r="C1065">
        <v>33218</v>
      </c>
      <c r="D1065">
        <v>0</v>
      </c>
      <c r="E1065">
        <v>0</v>
      </c>
      <c r="F1065">
        <v>0</v>
      </c>
    </row>
    <row r="1066" spans="1:6" x14ac:dyDescent="0.25">
      <c r="A1066" t="s">
        <v>1605</v>
      </c>
      <c r="B1066" t="s">
        <v>1598</v>
      </c>
      <c r="C1066">
        <v>33219</v>
      </c>
      <c r="D1066">
        <v>0</v>
      </c>
      <c r="E1066">
        <v>0</v>
      </c>
      <c r="F1066">
        <v>0</v>
      </c>
    </row>
    <row r="1067" spans="1:6" x14ac:dyDescent="0.25">
      <c r="A1067" t="s">
        <v>1607</v>
      </c>
      <c r="B1067" t="s">
        <v>1602</v>
      </c>
      <c r="C1067">
        <v>33220</v>
      </c>
      <c r="D1067">
        <v>0</v>
      </c>
      <c r="E1067">
        <v>0</v>
      </c>
      <c r="F1067">
        <v>0</v>
      </c>
    </row>
    <row r="1068" spans="1:6" x14ac:dyDescent="0.25">
      <c r="B1068" t="s">
        <v>1974</v>
      </c>
      <c r="D1068">
        <v>13304</v>
      </c>
      <c r="E1068">
        <v>0</v>
      </c>
      <c r="F1068">
        <v>13304</v>
      </c>
    </row>
    <row r="1069" spans="1:6" x14ac:dyDescent="0.25">
      <c r="B1069" t="s">
        <v>1629</v>
      </c>
    </row>
    <row r="1070" spans="1:6" x14ac:dyDescent="0.25">
      <c r="A1070" t="s">
        <v>2</v>
      </c>
      <c r="B1070" t="s">
        <v>1627</v>
      </c>
      <c r="C1070">
        <v>33301</v>
      </c>
      <c r="D1070">
        <v>0</v>
      </c>
      <c r="E1070">
        <v>0</v>
      </c>
      <c r="F1070">
        <v>0</v>
      </c>
    </row>
    <row r="1071" spans="1:6" x14ac:dyDescent="0.25">
      <c r="A1071" t="s">
        <v>15</v>
      </c>
      <c r="B1071" t="s">
        <v>1625</v>
      </c>
      <c r="C1071">
        <v>33302</v>
      </c>
      <c r="D1071">
        <v>0</v>
      </c>
      <c r="E1071">
        <v>0</v>
      </c>
      <c r="F1071">
        <v>0</v>
      </c>
    </row>
    <row r="1072" spans="1:6" x14ac:dyDescent="0.25">
      <c r="A1072" t="s">
        <v>16</v>
      </c>
      <c r="B1072" t="s">
        <v>1626</v>
      </c>
      <c r="C1072">
        <v>33303</v>
      </c>
      <c r="D1072">
        <v>0</v>
      </c>
      <c r="E1072">
        <v>0</v>
      </c>
      <c r="F1072">
        <v>0</v>
      </c>
    </row>
    <row r="1073" spans="1:6" x14ac:dyDescent="0.25">
      <c r="B1073" t="s">
        <v>1975</v>
      </c>
      <c r="D1073">
        <v>0</v>
      </c>
      <c r="E1073">
        <v>0</v>
      </c>
      <c r="F1073">
        <v>0</v>
      </c>
    </row>
    <row r="1074" spans="1:6" x14ac:dyDescent="0.25">
      <c r="B1074" t="s">
        <v>1631</v>
      </c>
    </row>
    <row r="1075" spans="1:6" x14ac:dyDescent="0.25">
      <c r="A1075" t="s">
        <v>2</v>
      </c>
      <c r="B1075" t="s">
        <v>1627</v>
      </c>
      <c r="C1075">
        <v>33401</v>
      </c>
      <c r="D1075">
        <v>0</v>
      </c>
      <c r="E1075">
        <v>0</v>
      </c>
      <c r="F1075">
        <v>0</v>
      </c>
    </row>
    <row r="1076" spans="1:6" x14ac:dyDescent="0.25">
      <c r="A1076" t="s">
        <v>15</v>
      </c>
      <c r="B1076" t="s">
        <v>1625</v>
      </c>
      <c r="C1076">
        <v>33402</v>
      </c>
      <c r="D1076">
        <v>0</v>
      </c>
      <c r="E1076">
        <v>0</v>
      </c>
      <c r="F1076">
        <v>0</v>
      </c>
    </row>
    <row r="1077" spans="1:6" x14ac:dyDescent="0.25">
      <c r="A1077" t="s">
        <v>16</v>
      </c>
      <c r="B1077" t="s">
        <v>1626</v>
      </c>
      <c r="C1077">
        <v>33403</v>
      </c>
      <c r="D1077">
        <v>0</v>
      </c>
      <c r="E1077">
        <v>0</v>
      </c>
      <c r="F1077">
        <v>0</v>
      </c>
    </row>
    <row r="1078" spans="1:6" x14ac:dyDescent="0.25">
      <c r="B1078" t="s">
        <v>1976</v>
      </c>
      <c r="D1078">
        <v>0</v>
      </c>
      <c r="E1078">
        <v>0</v>
      </c>
      <c r="F1078">
        <v>0</v>
      </c>
    </row>
    <row r="1079" spans="1:6" x14ac:dyDescent="0.25">
      <c r="B1079" t="s">
        <v>1633</v>
      </c>
    </row>
    <row r="1080" spans="1:6" x14ac:dyDescent="0.25">
      <c r="A1080" t="s">
        <v>2</v>
      </c>
      <c r="B1080" t="s">
        <v>1634</v>
      </c>
      <c r="C1080">
        <v>33501</v>
      </c>
      <c r="D1080">
        <v>0</v>
      </c>
      <c r="E1080">
        <v>0</v>
      </c>
      <c r="F1080">
        <v>0</v>
      </c>
    </row>
    <row r="1081" spans="1:6" x14ac:dyDescent="0.25">
      <c r="A1081" t="s">
        <v>15</v>
      </c>
      <c r="B1081" t="s">
        <v>1635</v>
      </c>
      <c r="C1081">
        <v>33502</v>
      </c>
      <c r="D1081">
        <v>0</v>
      </c>
      <c r="E1081">
        <v>0</v>
      </c>
      <c r="F1081">
        <v>0</v>
      </c>
    </row>
    <row r="1082" spans="1:6" x14ac:dyDescent="0.25">
      <c r="A1082" t="s">
        <v>16</v>
      </c>
      <c r="B1082" t="s">
        <v>1636</v>
      </c>
      <c r="C1082">
        <v>33503</v>
      </c>
      <c r="D1082">
        <v>0</v>
      </c>
      <c r="E1082">
        <v>0</v>
      </c>
      <c r="F1082">
        <v>0</v>
      </c>
    </row>
    <row r="1083" spans="1:6" x14ac:dyDescent="0.25">
      <c r="A1083" t="s">
        <v>25</v>
      </c>
      <c r="B1083" t="s">
        <v>1637</v>
      </c>
      <c r="C1083">
        <v>33504</v>
      </c>
      <c r="D1083">
        <v>0</v>
      </c>
      <c r="E1083">
        <v>0</v>
      </c>
      <c r="F1083">
        <v>0</v>
      </c>
    </row>
    <row r="1084" spans="1:6" x14ac:dyDescent="0.25">
      <c r="A1084" t="s">
        <v>26</v>
      </c>
      <c r="B1084" t="s">
        <v>1638</v>
      </c>
      <c r="C1084">
        <v>33505</v>
      </c>
      <c r="D1084">
        <v>0</v>
      </c>
      <c r="E1084">
        <v>0</v>
      </c>
      <c r="F1084">
        <v>0</v>
      </c>
    </row>
    <row r="1085" spans="1:6" x14ac:dyDescent="0.25">
      <c r="A1085" t="s">
        <v>27</v>
      </c>
      <c r="B1085" t="s">
        <v>1639</v>
      </c>
      <c r="C1085">
        <v>33506</v>
      </c>
      <c r="D1085">
        <v>0</v>
      </c>
      <c r="E1085">
        <v>0</v>
      </c>
      <c r="F1085">
        <v>0</v>
      </c>
    </row>
    <row r="1086" spans="1:6" x14ac:dyDescent="0.25">
      <c r="A1086" t="s">
        <v>531</v>
      </c>
      <c r="B1086" t="s">
        <v>1640</v>
      </c>
      <c r="C1086">
        <v>33507</v>
      </c>
      <c r="D1086">
        <v>0</v>
      </c>
      <c r="E1086">
        <v>0</v>
      </c>
      <c r="F1086">
        <v>0</v>
      </c>
    </row>
    <row r="1087" spans="1:6" x14ac:dyDescent="0.25">
      <c r="A1087" t="s">
        <v>1583</v>
      </c>
      <c r="B1087" t="s">
        <v>1641</v>
      </c>
      <c r="C1087">
        <v>33508</v>
      </c>
      <c r="D1087">
        <v>0</v>
      </c>
      <c r="E1087">
        <v>0</v>
      </c>
      <c r="F1087">
        <v>0</v>
      </c>
    </row>
    <row r="1088" spans="1:6" x14ac:dyDescent="0.25">
      <c r="B1088" t="s">
        <v>1977</v>
      </c>
      <c r="D1088">
        <v>0</v>
      </c>
      <c r="E1088">
        <v>0</v>
      </c>
      <c r="F1088">
        <v>0</v>
      </c>
    </row>
    <row r="1089" spans="1:6" x14ac:dyDescent="0.25">
      <c r="B1089" t="s">
        <v>1643</v>
      </c>
    </row>
    <row r="1090" spans="1:6" x14ac:dyDescent="0.25">
      <c r="A1090" t="s">
        <v>2</v>
      </c>
      <c r="B1090" t="s">
        <v>1634</v>
      </c>
      <c r="C1090">
        <v>33601</v>
      </c>
      <c r="D1090">
        <v>0</v>
      </c>
      <c r="E1090">
        <v>0</v>
      </c>
      <c r="F1090">
        <v>0</v>
      </c>
    </row>
    <row r="1091" spans="1:6" x14ac:dyDescent="0.25">
      <c r="A1091" t="s">
        <v>15</v>
      </c>
      <c r="B1091" t="s">
        <v>1635</v>
      </c>
      <c r="C1091">
        <v>33602</v>
      </c>
      <c r="D1091">
        <v>0</v>
      </c>
      <c r="E1091">
        <v>0</v>
      </c>
      <c r="F1091">
        <v>0</v>
      </c>
    </row>
    <row r="1092" spans="1:6" x14ac:dyDescent="0.25">
      <c r="A1092" t="s">
        <v>16</v>
      </c>
      <c r="B1092" t="s">
        <v>1636</v>
      </c>
      <c r="C1092">
        <v>33603</v>
      </c>
      <c r="D1092">
        <v>0</v>
      </c>
      <c r="E1092">
        <v>0</v>
      </c>
      <c r="F1092">
        <v>0</v>
      </c>
    </row>
    <row r="1093" spans="1:6" x14ac:dyDescent="0.25">
      <c r="A1093" t="s">
        <v>25</v>
      </c>
      <c r="B1093" t="s">
        <v>1637</v>
      </c>
      <c r="C1093">
        <v>33604</v>
      </c>
      <c r="D1093">
        <v>0</v>
      </c>
      <c r="E1093">
        <v>0</v>
      </c>
      <c r="F1093">
        <v>0</v>
      </c>
    </row>
    <row r="1094" spans="1:6" x14ac:dyDescent="0.25">
      <c r="A1094" t="s">
        <v>26</v>
      </c>
      <c r="B1094" t="s">
        <v>1638</v>
      </c>
      <c r="C1094">
        <v>33605</v>
      </c>
      <c r="D1094">
        <v>6732</v>
      </c>
      <c r="E1094">
        <v>0</v>
      </c>
      <c r="F1094">
        <v>6732</v>
      </c>
    </row>
    <row r="1095" spans="1:6" x14ac:dyDescent="0.25">
      <c r="A1095" t="s">
        <v>27</v>
      </c>
      <c r="B1095" t="s">
        <v>1639</v>
      </c>
      <c r="C1095">
        <v>33606</v>
      </c>
      <c r="D1095">
        <v>0</v>
      </c>
      <c r="E1095">
        <v>0</v>
      </c>
      <c r="F1095">
        <v>0</v>
      </c>
    </row>
    <row r="1096" spans="1:6" x14ac:dyDescent="0.25">
      <c r="A1096" t="s">
        <v>531</v>
      </c>
      <c r="B1096" t="s">
        <v>1640</v>
      </c>
      <c r="C1096">
        <v>33607</v>
      </c>
      <c r="D1096">
        <v>0</v>
      </c>
      <c r="E1096">
        <v>0</v>
      </c>
      <c r="F1096">
        <v>0</v>
      </c>
    </row>
    <row r="1097" spans="1:6" x14ac:dyDescent="0.25">
      <c r="A1097" t="s">
        <v>1583</v>
      </c>
      <c r="B1097" t="s">
        <v>1641</v>
      </c>
      <c r="C1097">
        <v>33608</v>
      </c>
      <c r="D1097">
        <v>0</v>
      </c>
      <c r="E1097">
        <v>0</v>
      </c>
      <c r="F1097">
        <v>0</v>
      </c>
    </row>
    <row r="1098" spans="1:6" x14ac:dyDescent="0.25">
      <c r="B1098" t="s">
        <v>1978</v>
      </c>
      <c r="D1098">
        <v>6732</v>
      </c>
      <c r="E1098">
        <v>0</v>
      </c>
      <c r="F1098">
        <v>6732</v>
      </c>
    </row>
    <row r="1099" spans="1:6" x14ac:dyDescent="0.25">
      <c r="B1099" t="s">
        <v>1645</v>
      </c>
    </row>
    <row r="1100" spans="1:6" x14ac:dyDescent="0.25">
      <c r="A1100" t="s">
        <v>2</v>
      </c>
      <c r="B1100" t="s">
        <v>1634</v>
      </c>
      <c r="C1100">
        <v>33701</v>
      </c>
      <c r="D1100">
        <v>0</v>
      </c>
      <c r="E1100">
        <v>0</v>
      </c>
      <c r="F1100">
        <v>0</v>
      </c>
    </row>
    <row r="1101" spans="1:6" x14ac:dyDescent="0.25">
      <c r="A1101" t="s">
        <v>15</v>
      </c>
      <c r="B1101" t="s">
        <v>1635</v>
      </c>
      <c r="C1101">
        <v>33702</v>
      </c>
      <c r="D1101">
        <v>0</v>
      </c>
      <c r="E1101">
        <v>0</v>
      </c>
      <c r="F1101">
        <v>0</v>
      </c>
    </row>
    <row r="1102" spans="1:6" x14ac:dyDescent="0.25">
      <c r="A1102" t="s">
        <v>16</v>
      </c>
      <c r="B1102" t="s">
        <v>1636</v>
      </c>
      <c r="C1102">
        <v>33703</v>
      </c>
      <c r="D1102">
        <v>0</v>
      </c>
      <c r="E1102">
        <v>0</v>
      </c>
      <c r="F1102">
        <v>0</v>
      </c>
    </row>
    <row r="1103" spans="1:6" x14ac:dyDescent="0.25">
      <c r="A1103" t="s">
        <v>25</v>
      </c>
      <c r="B1103" t="s">
        <v>1637</v>
      </c>
      <c r="C1103">
        <v>33704</v>
      </c>
      <c r="D1103">
        <v>0</v>
      </c>
      <c r="E1103">
        <v>0</v>
      </c>
      <c r="F1103">
        <v>0</v>
      </c>
    </row>
    <row r="1104" spans="1:6" x14ac:dyDescent="0.25">
      <c r="A1104" t="s">
        <v>26</v>
      </c>
      <c r="B1104" t="s">
        <v>1638</v>
      </c>
      <c r="C1104">
        <v>33705</v>
      </c>
      <c r="D1104">
        <v>0</v>
      </c>
      <c r="E1104">
        <v>0</v>
      </c>
      <c r="F1104">
        <v>0</v>
      </c>
    </row>
    <row r="1105" spans="1:6" x14ac:dyDescent="0.25">
      <c r="A1105" t="s">
        <v>27</v>
      </c>
      <c r="B1105" t="s">
        <v>1639</v>
      </c>
      <c r="C1105">
        <v>33706</v>
      </c>
      <c r="D1105">
        <v>0</v>
      </c>
      <c r="E1105">
        <v>0</v>
      </c>
      <c r="F1105">
        <v>0</v>
      </c>
    </row>
    <row r="1106" spans="1:6" x14ac:dyDescent="0.25">
      <c r="A1106" t="s">
        <v>531</v>
      </c>
      <c r="B1106" t="s">
        <v>1640</v>
      </c>
      <c r="C1106">
        <v>33707</v>
      </c>
      <c r="D1106">
        <v>0</v>
      </c>
      <c r="E1106">
        <v>0</v>
      </c>
      <c r="F1106">
        <v>0</v>
      </c>
    </row>
    <row r="1107" spans="1:6" x14ac:dyDescent="0.25">
      <c r="A1107" t="s">
        <v>1583</v>
      </c>
      <c r="B1107" t="s">
        <v>1641</v>
      </c>
      <c r="C1107">
        <v>33708</v>
      </c>
      <c r="D1107">
        <v>0</v>
      </c>
      <c r="E1107">
        <v>0</v>
      </c>
      <c r="F1107">
        <v>0</v>
      </c>
    </row>
    <row r="1108" spans="1:6" x14ac:dyDescent="0.25">
      <c r="B1108" t="s">
        <v>1979</v>
      </c>
      <c r="D1108">
        <v>0</v>
      </c>
      <c r="E1108">
        <v>0</v>
      </c>
      <c r="F1108">
        <v>0</v>
      </c>
    </row>
    <row r="1109" spans="1:6" x14ac:dyDescent="0.25">
      <c r="B1109" t="s">
        <v>1647</v>
      </c>
    </row>
    <row r="1110" spans="1:6" x14ac:dyDescent="0.25">
      <c r="A1110" t="s">
        <v>2</v>
      </c>
      <c r="B1110" t="s">
        <v>1648</v>
      </c>
      <c r="C1110">
        <v>33801</v>
      </c>
      <c r="D1110">
        <v>0</v>
      </c>
      <c r="E1110">
        <v>0</v>
      </c>
      <c r="F1110">
        <v>0</v>
      </c>
    </row>
    <row r="1111" spans="1:6" x14ac:dyDescent="0.25">
      <c r="A1111" t="s">
        <v>15</v>
      </c>
      <c r="B1111" t="s">
        <v>1649</v>
      </c>
      <c r="C1111">
        <v>33802</v>
      </c>
      <c r="D1111">
        <v>0</v>
      </c>
      <c r="E1111">
        <v>0</v>
      </c>
      <c r="F1111">
        <v>0</v>
      </c>
    </row>
    <row r="1112" spans="1:6" x14ac:dyDescent="0.25">
      <c r="A1112" t="s">
        <v>16</v>
      </c>
      <c r="B1112" t="s">
        <v>1637</v>
      </c>
      <c r="C1112">
        <v>33803</v>
      </c>
      <c r="D1112">
        <v>0</v>
      </c>
      <c r="E1112">
        <v>0</v>
      </c>
      <c r="F1112">
        <v>0</v>
      </c>
    </row>
    <row r="1113" spans="1:6" x14ac:dyDescent="0.25">
      <c r="A1113" t="s">
        <v>25</v>
      </c>
      <c r="B1113" t="s">
        <v>1638</v>
      </c>
      <c r="C1113">
        <v>33804</v>
      </c>
      <c r="D1113">
        <v>0</v>
      </c>
      <c r="E1113">
        <v>0</v>
      </c>
      <c r="F1113">
        <v>0</v>
      </c>
    </row>
    <row r="1114" spans="1:6" x14ac:dyDescent="0.25">
      <c r="A1114" t="s">
        <v>26</v>
      </c>
      <c r="B1114" t="s">
        <v>1650</v>
      </c>
      <c r="C1114">
        <v>33805</v>
      </c>
      <c r="D1114">
        <v>0</v>
      </c>
      <c r="E1114">
        <v>0</v>
      </c>
      <c r="F1114">
        <v>0</v>
      </c>
    </row>
    <row r="1115" spans="1:6" x14ac:dyDescent="0.25">
      <c r="A1115" t="s">
        <v>27</v>
      </c>
      <c r="B1115" t="s">
        <v>1651</v>
      </c>
      <c r="C1115">
        <v>33806</v>
      </c>
      <c r="D1115">
        <v>0</v>
      </c>
      <c r="E1115">
        <v>0</v>
      </c>
      <c r="F1115">
        <v>0</v>
      </c>
    </row>
    <row r="1116" spans="1:6" x14ac:dyDescent="0.25">
      <c r="A1116" t="s">
        <v>531</v>
      </c>
      <c r="B1116" t="s">
        <v>1640</v>
      </c>
      <c r="C1116">
        <v>33807</v>
      </c>
      <c r="D1116">
        <v>0</v>
      </c>
      <c r="E1116">
        <v>0</v>
      </c>
      <c r="F1116">
        <v>0</v>
      </c>
    </row>
    <row r="1117" spans="1:6" x14ac:dyDescent="0.25">
      <c r="A1117" t="s">
        <v>1583</v>
      </c>
      <c r="B1117" t="s">
        <v>1641</v>
      </c>
      <c r="C1117">
        <v>33808</v>
      </c>
      <c r="D1117">
        <v>0</v>
      </c>
      <c r="E1117">
        <v>0</v>
      </c>
      <c r="F1117">
        <v>0</v>
      </c>
    </row>
    <row r="1118" spans="1:6" x14ac:dyDescent="0.25">
      <c r="B1118" t="s">
        <v>1980</v>
      </c>
      <c r="D1118">
        <v>0</v>
      </c>
      <c r="E1118">
        <v>0</v>
      </c>
      <c r="F1118">
        <v>0</v>
      </c>
    </row>
    <row r="1119" spans="1:6" x14ac:dyDescent="0.25">
      <c r="B1119" t="s">
        <v>1670</v>
      </c>
      <c r="D1119">
        <v>21873</v>
      </c>
      <c r="E1119">
        <v>0</v>
      </c>
      <c r="F1119">
        <v>21873</v>
      </c>
    </row>
    <row r="1120" spans="1:6" x14ac:dyDescent="0.25">
      <c r="B1120" t="s">
        <v>1981</v>
      </c>
    </row>
    <row r="1121" spans="1:6" x14ac:dyDescent="0.25">
      <c r="B1121" t="s">
        <v>1575</v>
      </c>
    </row>
    <row r="1122" spans="1:6" x14ac:dyDescent="0.25">
      <c r="A1122" t="s">
        <v>2</v>
      </c>
      <c r="B1122" t="s">
        <v>1576</v>
      </c>
      <c r="C1122">
        <v>34101</v>
      </c>
      <c r="D1122">
        <v>0</v>
      </c>
      <c r="E1122">
        <v>0</v>
      </c>
      <c r="F1122">
        <v>0</v>
      </c>
    </row>
    <row r="1123" spans="1:6" x14ac:dyDescent="0.25">
      <c r="A1123" t="s">
        <v>15</v>
      </c>
      <c r="B1123" t="s">
        <v>1577</v>
      </c>
      <c r="C1123">
        <v>34102</v>
      </c>
      <c r="D1123">
        <v>0</v>
      </c>
      <c r="E1123">
        <v>0</v>
      </c>
      <c r="F1123">
        <v>0</v>
      </c>
    </row>
    <row r="1124" spans="1:6" x14ac:dyDescent="0.25">
      <c r="A1124" t="s">
        <v>16</v>
      </c>
      <c r="B1124" t="s">
        <v>1578</v>
      </c>
      <c r="C1124">
        <v>34103</v>
      </c>
      <c r="D1124">
        <v>0</v>
      </c>
      <c r="E1124">
        <v>0</v>
      </c>
      <c r="F1124">
        <v>0</v>
      </c>
    </row>
    <row r="1125" spans="1:6" x14ac:dyDescent="0.25">
      <c r="A1125" t="s">
        <v>25</v>
      </c>
      <c r="B1125" t="s">
        <v>1579</v>
      </c>
      <c r="C1125">
        <v>34104</v>
      </c>
      <c r="D1125">
        <v>0</v>
      </c>
      <c r="E1125">
        <v>0</v>
      </c>
      <c r="F1125">
        <v>0</v>
      </c>
    </row>
    <row r="1126" spans="1:6" x14ac:dyDescent="0.25">
      <c r="A1126" t="s">
        <v>26</v>
      </c>
      <c r="B1126" t="s">
        <v>1580</v>
      </c>
      <c r="C1126">
        <v>34105</v>
      </c>
      <c r="D1126">
        <v>0</v>
      </c>
      <c r="E1126">
        <v>0</v>
      </c>
      <c r="F1126">
        <v>0</v>
      </c>
    </row>
    <row r="1127" spans="1:6" x14ac:dyDescent="0.25">
      <c r="A1127" t="s">
        <v>27</v>
      </c>
      <c r="B1127" t="s">
        <v>1581</v>
      </c>
      <c r="C1127">
        <v>34106</v>
      </c>
      <c r="D1127">
        <v>0</v>
      </c>
      <c r="E1127">
        <v>0</v>
      </c>
      <c r="F1127">
        <v>0</v>
      </c>
    </row>
    <row r="1128" spans="1:6" x14ac:dyDescent="0.25">
      <c r="A1128" t="s">
        <v>531</v>
      </c>
      <c r="B1128" t="s">
        <v>1582</v>
      </c>
      <c r="C1128">
        <v>34107</v>
      </c>
      <c r="D1128">
        <v>0</v>
      </c>
      <c r="E1128">
        <v>0</v>
      </c>
      <c r="F1128">
        <v>0</v>
      </c>
    </row>
    <row r="1129" spans="1:6" x14ac:dyDescent="0.25">
      <c r="A1129" t="s">
        <v>1583</v>
      </c>
      <c r="B1129" t="s">
        <v>1584</v>
      </c>
      <c r="C1129">
        <v>34108</v>
      </c>
      <c r="D1129">
        <v>0</v>
      </c>
      <c r="E1129">
        <v>0</v>
      </c>
      <c r="F1129">
        <v>0</v>
      </c>
    </row>
    <row r="1130" spans="1:6" x14ac:dyDescent="0.25">
      <c r="A1130" t="s">
        <v>1585</v>
      </c>
      <c r="B1130" t="s">
        <v>1586</v>
      </c>
      <c r="C1130">
        <v>34109</v>
      </c>
      <c r="D1130">
        <v>0</v>
      </c>
      <c r="E1130">
        <v>0</v>
      </c>
      <c r="F1130">
        <v>0</v>
      </c>
    </row>
    <row r="1131" spans="1:6" x14ac:dyDescent="0.25">
      <c r="A1131" t="s">
        <v>1587</v>
      </c>
      <c r="B1131" t="s">
        <v>1588</v>
      </c>
      <c r="C1131">
        <v>34110</v>
      </c>
      <c r="D1131">
        <v>0</v>
      </c>
      <c r="E1131">
        <v>0</v>
      </c>
      <c r="F1131">
        <v>0</v>
      </c>
    </row>
    <row r="1132" spans="1:6" x14ac:dyDescent="0.25">
      <c r="A1132" t="s">
        <v>1589</v>
      </c>
      <c r="B1132" t="s">
        <v>1590</v>
      </c>
      <c r="C1132">
        <v>34111</v>
      </c>
      <c r="D1132">
        <v>0</v>
      </c>
      <c r="E1132">
        <v>0</v>
      </c>
      <c r="F1132">
        <v>0</v>
      </c>
    </row>
    <row r="1133" spans="1:6" x14ac:dyDescent="0.25">
      <c r="A1133" t="s">
        <v>1591</v>
      </c>
      <c r="B1133" t="s">
        <v>1592</v>
      </c>
      <c r="C1133">
        <v>34112</v>
      </c>
      <c r="D1133">
        <v>0</v>
      </c>
      <c r="E1133">
        <v>0</v>
      </c>
      <c r="F1133">
        <v>0</v>
      </c>
    </row>
    <row r="1134" spans="1:6" x14ac:dyDescent="0.25">
      <c r="A1134" t="s">
        <v>1593</v>
      </c>
      <c r="B1134" t="s">
        <v>1594</v>
      </c>
      <c r="C1134">
        <v>34113</v>
      </c>
      <c r="D1134">
        <v>0</v>
      </c>
      <c r="E1134">
        <v>0</v>
      </c>
      <c r="F1134">
        <v>0</v>
      </c>
    </row>
    <row r="1135" spans="1:6" x14ac:dyDescent="0.25">
      <c r="A1135" t="s">
        <v>1595</v>
      </c>
      <c r="B1135" t="s">
        <v>1596</v>
      </c>
      <c r="C1135">
        <v>34114</v>
      </c>
      <c r="D1135">
        <v>0</v>
      </c>
      <c r="E1135">
        <v>0</v>
      </c>
      <c r="F1135">
        <v>0</v>
      </c>
    </row>
    <row r="1136" spans="1:6" x14ac:dyDescent="0.25">
      <c r="A1136" t="s">
        <v>1597</v>
      </c>
      <c r="B1136" t="s">
        <v>1598</v>
      </c>
      <c r="C1136">
        <v>34115</v>
      </c>
      <c r="D1136">
        <v>0</v>
      </c>
      <c r="E1136">
        <v>0</v>
      </c>
      <c r="F1136">
        <v>0</v>
      </c>
    </row>
    <row r="1137" spans="1:6" x14ac:dyDescent="0.25">
      <c r="A1137" t="s">
        <v>1599</v>
      </c>
      <c r="B1137" t="s">
        <v>1600</v>
      </c>
      <c r="C1137">
        <v>34116</v>
      </c>
      <c r="D1137">
        <v>0</v>
      </c>
      <c r="E1137">
        <v>0</v>
      </c>
      <c r="F1137">
        <v>0</v>
      </c>
    </row>
    <row r="1138" spans="1:6" x14ac:dyDescent="0.25">
      <c r="A1138" t="s">
        <v>1601</v>
      </c>
      <c r="B1138" t="s">
        <v>1602</v>
      </c>
      <c r="C1138">
        <v>34117</v>
      </c>
      <c r="D1138">
        <v>0</v>
      </c>
      <c r="E1138">
        <v>0</v>
      </c>
      <c r="F1138">
        <v>0</v>
      </c>
    </row>
    <row r="1139" spans="1:6" x14ac:dyDescent="0.25">
      <c r="A1139" t="s">
        <v>1603</v>
      </c>
      <c r="B1139" t="s">
        <v>1604</v>
      </c>
      <c r="C1139">
        <v>34118</v>
      </c>
      <c r="D1139">
        <v>10</v>
      </c>
      <c r="E1139">
        <v>0</v>
      </c>
      <c r="F1139">
        <v>10</v>
      </c>
    </row>
    <row r="1140" spans="1:6" x14ac:dyDescent="0.25">
      <c r="A1140" t="s">
        <v>1605</v>
      </c>
      <c r="B1140" t="s">
        <v>1606</v>
      </c>
      <c r="C1140">
        <v>34119</v>
      </c>
      <c r="D1140">
        <v>0</v>
      </c>
      <c r="E1140">
        <v>0</v>
      </c>
      <c r="F1140">
        <v>0</v>
      </c>
    </row>
    <row r="1141" spans="1:6" x14ac:dyDescent="0.25">
      <c r="A1141" t="s">
        <v>1607</v>
      </c>
      <c r="B1141" t="s">
        <v>1608</v>
      </c>
      <c r="C1141">
        <v>34120</v>
      </c>
      <c r="D1141">
        <v>0</v>
      </c>
      <c r="E1141">
        <v>0</v>
      </c>
      <c r="F1141">
        <v>0</v>
      </c>
    </row>
    <row r="1142" spans="1:6" x14ac:dyDescent="0.25">
      <c r="B1142" t="s">
        <v>1982</v>
      </c>
      <c r="D1142">
        <v>10</v>
      </c>
      <c r="E1142">
        <v>0</v>
      </c>
      <c r="F1142">
        <v>10</v>
      </c>
    </row>
    <row r="1143" spans="1:6" x14ac:dyDescent="0.25">
      <c r="B1143" t="s">
        <v>1656</v>
      </c>
    </row>
    <row r="1144" spans="1:6" x14ac:dyDescent="0.25">
      <c r="A1144" t="s">
        <v>2</v>
      </c>
      <c r="B1144" t="s">
        <v>1611</v>
      </c>
      <c r="C1144">
        <v>34201</v>
      </c>
      <c r="D1144">
        <v>0</v>
      </c>
      <c r="E1144">
        <v>0</v>
      </c>
      <c r="F1144">
        <v>0</v>
      </c>
    </row>
    <row r="1145" spans="1:6" x14ac:dyDescent="0.25">
      <c r="A1145" t="s">
        <v>15</v>
      </c>
      <c r="B1145" t="s">
        <v>1973</v>
      </c>
      <c r="C1145">
        <v>34202</v>
      </c>
      <c r="D1145">
        <v>0</v>
      </c>
      <c r="E1145">
        <v>0</v>
      </c>
      <c r="F1145">
        <v>0</v>
      </c>
    </row>
    <row r="1146" spans="1:6" x14ac:dyDescent="0.25">
      <c r="A1146" t="s">
        <v>16</v>
      </c>
      <c r="B1146" t="s">
        <v>1613</v>
      </c>
      <c r="C1146">
        <v>34203</v>
      </c>
      <c r="D1146">
        <v>0</v>
      </c>
      <c r="E1146">
        <v>0</v>
      </c>
      <c r="F1146">
        <v>0</v>
      </c>
    </row>
    <row r="1147" spans="1:6" x14ac:dyDescent="0.25">
      <c r="A1147" t="s">
        <v>25</v>
      </c>
      <c r="B1147" t="s">
        <v>1614</v>
      </c>
      <c r="C1147">
        <v>34204</v>
      </c>
      <c r="D1147">
        <v>66058</v>
      </c>
      <c r="E1147">
        <v>0</v>
      </c>
      <c r="F1147">
        <v>66058</v>
      </c>
    </row>
    <row r="1148" spans="1:6" x14ac:dyDescent="0.25">
      <c r="A1148" t="s">
        <v>26</v>
      </c>
      <c r="B1148" t="s">
        <v>1615</v>
      </c>
      <c r="C1148">
        <v>34205</v>
      </c>
      <c r="D1148">
        <v>0</v>
      </c>
      <c r="E1148">
        <v>0</v>
      </c>
      <c r="F1148">
        <v>0</v>
      </c>
    </row>
    <row r="1149" spans="1:6" x14ac:dyDescent="0.25">
      <c r="A1149" t="s">
        <v>27</v>
      </c>
      <c r="B1149" t="s">
        <v>1616</v>
      </c>
      <c r="C1149">
        <v>34206</v>
      </c>
      <c r="D1149">
        <v>0</v>
      </c>
      <c r="E1149">
        <v>0</v>
      </c>
      <c r="F1149">
        <v>0</v>
      </c>
    </row>
    <row r="1150" spans="1:6" x14ac:dyDescent="0.25">
      <c r="A1150" t="s">
        <v>531</v>
      </c>
      <c r="B1150" t="s">
        <v>1617</v>
      </c>
      <c r="C1150">
        <v>34207</v>
      </c>
      <c r="D1150">
        <v>0</v>
      </c>
      <c r="E1150">
        <v>0</v>
      </c>
      <c r="F1150">
        <v>0</v>
      </c>
    </row>
    <row r="1151" spans="1:6" x14ac:dyDescent="0.25">
      <c r="A1151" t="s">
        <v>1583</v>
      </c>
      <c r="B1151" t="s">
        <v>1618</v>
      </c>
      <c r="C1151">
        <v>34208</v>
      </c>
      <c r="D1151">
        <v>0</v>
      </c>
      <c r="E1151">
        <v>0</v>
      </c>
      <c r="F1151">
        <v>0</v>
      </c>
    </row>
    <row r="1152" spans="1:6" x14ac:dyDescent="0.25">
      <c r="A1152" t="s">
        <v>1585</v>
      </c>
      <c r="B1152" t="s">
        <v>1619</v>
      </c>
      <c r="C1152">
        <v>34209</v>
      </c>
      <c r="D1152">
        <v>0</v>
      </c>
      <c r="E1152">
        <v>0</v>
      </c>
      <c r="F1152">
        <v>0</v>
      </c>
    </row>
    <row r="1153" spans="1:6" x14ac:dyDescent="0.25">
      <c r="A1153" t="s">
        <v>1587</v>
      </c>
      <c r="B1153" t="s">
        <v>1620</v>
      </c>
      <c r="C1153">
        <v>34210</v>
      </c>
      <c r="D1153">
        <v>0</v>
      </c>
      <c r="E1153">
        <v>0</v>
      </c>
      <c r="F1153">
        <v>0</v>
      </c>
    </row>
    <row r="1154" spans="1:6" x14ac:dyDescent="0.25">
      <c r="A1154" t="s">
        <v>1589</v>
      </c>
      <c r="B1154" t="s">
        <v>1621</v>
      </c>
      <c r="C1154">
        <v>34211</v>
      </c>
      <c r="D1154">
        <v>0</v>
      </c>
      <c r="E1154">
        <v>0</v>
      </c>
      <c r="F1154">
        <v>0</v>
      </c>
    </row>
    <row r="1155" spans="1:6" x14ac:dyDescent="0.25">
      <c r="A1155" t="s">
        <v>1591</v>
      </c>
      <c r="B1155" t="s">
        <v>1622</v>
      </c>
      <c r="C1155">
        <v>34212</v>
      </c>
      <c r="D1155">
        <v>0</v>
      </c>
      <c r="E1155">
        <v>0</v>
      </c>
      <c r="F1155">
        <v>0</v>
      </c>
    </row>
    <row r="1156" spans="1:6" x14ac:dyDescent="0.25">
      <c r="A1156" t="s">
        <v>1593</v>
      </c>
      <c r="B1156" t="s">
        <v>1623</v>
      </c>
      <c r="C1156">
        <v>34213</v>
      </c>
      <c r="D1156">
        <v>0</v>
      </c>
      <c r="E1156">
        <v>0</v>
      </c>
      <c r="F1156">
        <v>0</v>
      </c>
    </row>
    <row r="1157" spans="1:6" x14ac:dyDescent="0.25">
      <c r="A1157" t="s">
        <v>1595</v>
      </c>
      <c r="B1157" t="s">
        <v>1624</v>
      </c>
      <c r="C1157">
        <v>34214</v>
      </c>
      <c r="D1157">
        <v>0</v>
      </c>
      <c r="E1157">
        <v>0</v>
      </c>
      <c r="F1157">
        <v>0</v>
      </c>
    </row>
    <row r="1158" spans="1:6" x14ac:dyDescent="0.25">
      <c r="A1158" t="s">
        <v>1597</v>
      </c>
      <c r="B1158" t="s">
        <v>1625</v>
      </c>
      <c r="C1158">
        <v>34215</v>
      </c>
      <c r="D1158">
        <v>0</v>
      </c>
      <c r="E1158">
        <v>0</v>
      </c>
      <c r="F1158">
        <v>0</v>
      </c>
    </row>
    <row r="1159" spans="1:6" x14ac:dyDescent="0.25">
      <c r="A1159" t="s">
        <v>1599</v>
      </c>
      <c r="B1159" t="s">
        <v>1626</v>
      </c>
      <c r="C1159">
        <v>34216</v>
      </c>
      <c r="D1159">
        <v>0</v>
      </c>
      <c r="E1159">
        <v>0</v>
      </c>
      <c r="F1159">
        <v>0</v>
      </c>
    </row>
    <row r="1160" spans="1:6" x14ac:dyDescent="0.25">
      <c r="A1160" t="s">
        <v>1601</v>
      </c>
      <c r="B1160" t="s">
        <v>1627</v>
      </c>
      <c r="C1160">
        <v>34217</v>
      </c>
      <c r="D1160">
        <v>0</v>
      </c>
      <c r="E1160">
        <v>0</v>
      </c>
      <c r="F1160">
        <v>0</v>
      </c>
    </row>
    <row r="1161" spans="1:6" x14ac:dyDescent="0.25">
      <c r="A1161" t="s">
        <v>1603</v>
      </c>
      <c r="B1161" t="s">
        <v>1596</v>
      </c>
      <c r="C1161">
        <v>34218</v>
      </c>
      <c r="D1161">
        <v>0</v>
      </c>
      <c r="E1161">
        <v>0</v>
      </c>
      <c r="F1161">
        <v>0</v>
      </c>
    </row>
    <row r="1162" spans="1:6" x14ac:dyDescent="0.25">
      <c r="A1162" t="s">
        <v>1605</v>
      </c>
      <c r="B1162" t="s">
        <v>1598</v>
      </c>
      <c r="C1162">
        <v>34219</v>
      </c>
      <c r="D1162">
        <v>0</v>
      </c>
      <c r="E1162">
        <v>0</v>
      </c>
      <c r="F1162">
        <v>0</v>
      </c>
    </row>
    <row r="1163" spans="1:6" x14ac:dyDescent="0.25">
      <c r="A1163" t="s">
        <v>1607</v>
      </c>
      <c r="B1163" t="s">
        <v>1602</v>
      </c>
      <c r="C1163">
        <v>34220</v>
      </c>
      <c r="D1163">
        <v>0</v>
      </c>
      <c r="E1163">
        <v>0</v>
      </c>
      <c r="F1163">
        <v>0</v>
      </c>
    </row>
    <row r="1164" spans="1:6" x14ac:dyDescent="0.25">
      <c r="B1164" t="s">
        <v>1983</v>
      </c>
      <c r="D1164">
        <v>66058</v>
      </c>
      <c r="E1164">
        <v>0</v>
      </c>
      <c r="F1164">
        <v>66058</v>
      </c>
    </row>
    <row r="1165" spans="1:6" x14ac:dyDescent="0.25">
      <c r="B1165" t="s">
        <v>1984</v>
      </c>
    </row>
    <row r="1166" spans="1:6" x14ac:dyDescent="0.25">
      <c r="A1166" t="s">
        <v>2</v>
      </c>
      <c r="B1166" t="s">
        <v>1634</v>
      </c>
      <c r="C1166">
        <v>34301</v>
      </c>
      <c r="D1166">
        <v>0</v>
      </c>
      <c r="E1166">
        <v>0</v>
      </c>
      <c r="F1166">
        <v>0</v>
      </c>
    </row>
    <row r="1167" spans="1:6" x14ac:dyDescent="0.25">
      <c r="A1167" t="s">
        <v>15</v>
      </c>
      <c r="B1167" t="s">
        <v>1635</v>
      </c>
      <c r="C1167">
        <v>34302</v>
      </c>
      <c r="D1167">
        <v>0</v>
      </c>
      <c r="E1167">
        <v>0</v>
      </c>
      <c r="F1167">
        <v>0</v>
      </c>
    </row>
    <row r="1168" spans="1:6" x14ac:dyDescent="0.25">
      <c r="A1168" t="s">
        <v>16</v>
      </c>
      <c r="B1168" t="s">
        <v>1636</v>
      </c>
      <c r="C1168">
        <v>34303</v>
      </c>
      <c r="D1168">
        <v>0</v>
      </c>
      <c r="E1168">
        <v>0</v>
      </c>
      <c r="F1168">
        <v>0</v>
      </c>
    </row>
    <row r="1169" spans="1:6" x14ac:dyDescent="0.25">
      <c r="A1169" t="s">
        <v>25</v>
      </c>
      <c r="B1169" t="s">
        <v>1637</v>
      </c>
      <c r="C1169">
        <v>34304</v>
      </c>
      <c r="D1169">
        <v>0</v>
      </c>
      <c r="E1169">
        <v>0</v>
      </c>
      <c r="F1169">
        <v>0</v>
      </c>
    </row>
    <row r="1170" spans="1:6" x14ac:dyDescent="0.25">
      <c r="A1170" t="s">
        <v>26</v>
      </c>
      <c r="B1170" t="s">
        <v>1638</v>
      </c>
      <c r="C1170">
        <v>34305</v>
      </c>
      <c r="D1170">
        <v>0</v>
      </c>
      <c r="E1170">
        <v>0</v>
      </c>
      <c r="F1170">
        <v>0</v>
      </c>
    </row>
    <row r="1171" spans="1:6" x14ac:dyDescent="0.25">
      <c r="A1171" t="s">
        <v>27</v>
      </c>
      <c r="B1171" t="s">
        <v>1639</v>
      </c>
      <c r="C1171">
        <v>34306</v>
      </c>
      <c r="D1171">
        <v>0</v>
      </c>
      <c r="E1171">
        <v>0</v>
      </c>
      <c r="F1171">
        <v>0</v>
      </c>
    </row>
    <row r="1172" spans="1:6" x14ac:dyDescent="0.25">
      <c r="A1172" t="s">
        <v>531</v>
      </c>
      <c r="B1172" t="s">
        <v>1640</v>
      </c>
      <c r="C1172">
        <v>34307</v>
      </c>
      <c r="D1172">
        <v>0</v>
      </c>
      <c r="E1172">
        <v>0</v>
      </c>
      <c r="F1172">
        <v>0</v>
      </c>
    </row>
    <row r="1173" spans="1:6" x14ac:dyDescent="0.25">
      <c r="A1173" t="s">
        <v>1583</v>
      </c>
      <c r="B1173" t="s">
        <v>1641</v>
      </c>
      <c r="C1173">
        <v>34308</v>
      </c>
      <c r="D1173">
        <v>0</v>
      </c>
      <c r="E1173">
        <v>0</v>
      </c>
      <c r="F1173">
        <v>0</v>
      </c>
    </row>
    <row r="1174" spans="1:6" x14ac:dyDescent="0.25">
      <c r="B1174" t="s">
        <v>1985</v>
      </c>
      <c r="D1174">
        <v>0</v>
      </c>
      <c r="E1174">
        <v>0</v>
      </c>
      <c r="F1174">
        <v>0</v>
      </c>
    </row>
    <row r="1175" spans="1:6" x14ac:dyDescent="0.25">
      <c r="B1175" t="s">
        <v>1986</v>
      </c>
    </row>
    <row r="1176" spans="1:6" x14ac:dyDescent="0.25">
      <c r="A1176" t="s">
        <v>2</v>
      </c>
      <c r="B1176" t="s">
        <v>1634</v>
      </c>
      <c r="C1176">
        <v>34401</v>
      </c>
      <c r="D1176">
        <v>6560</v>
      </c>
      <c r="E1176">
        <v>0</v>
      </c>
      <c r="F1176">
        <v>6560</v>
      </c>
    </row>
    <row r="1177" spans="1:6" x14ac:dyDescent="0.25">
      <c r="A1177" t="s">
        <v>15</v>
      </c>
      <c r="B1177" t="s">
        <v>1635</v>
      </c>
      <c r="C1177">
        <v>34402</v>
      </c>
      <c r="D1177">
        <v>0</v>
      </c>
      <c r="E1177">
        <v>0</v>
      </c>
      <c r="F1177">
        <v>0</v>
      </c>
    </row>
    <row r="1178" spans="1:6" x14ac:dyDescent="0.25">
      <c r="A1178" t="s">
        <v>16</v>
      </c>
      <c r="B1178" t="s">
        <v>1636</v>
      </c>
      <c r="C1178">
        <v>34403</v>
      </c>
      <c r="D1178">
        <v>0</v>
      </c>
      <c r="E1178">
        <v>0</v>
      </c>
      <c r="F1178">
        <v>0</v>
      </c>
    </row>
    <row r="1179" spans="1:6" x14ac:dyDescent="0.25">
      <c r="A1179" t="s">
        <v>25</v>
      </c>
      <c r="B1179" t="s">
        <v>1637</v>
      </c>
      <c r="C1179">
        <v>34404</v>
      </c>
      <c r="D1179">
        <v>10579</v>
      </c>
      <c r="E1179">
        <v>0</v>
      </c>
      <c r="F1179">
        <v>10579</v>
      </c>
    </row>
    <row r="1180" spans="1:6" x14ac:dyDescent="0.25">
      <c r="A1180" t="s">
        <v>26</v>
      </c>
      <c r="B1180" t="s">
        <v>1638</v>
      </c>
      <c r="C1180">
        <v>34405</v>
      </c>
      <c r="D1180">
        <v>14047</v>
      </c>
      <c r="E1180">
        <v>0</v>
      </c>
      <c r="F1180">
        <v>14047</v>
      </c>
    </row>
    <row r="1181" spans="1:6" x14ac:dyDescent="0.25">
      <c r="A1181" t="s">
        <v>27</v>
      </c>
      <c r="B1181" t="s">
        <v>1639</v>
      </c>
      <c r="C1181">
        <v>34406</v>
      </c>
      <c r="D1181">
        <v>0</v>
      </c>
      <c r="E1181">
        <v>0</v>
      </c>
      <c r="F1181">
        <v>0</v>
      </c>
    </row>
    <row r="1182" spans="1:6" x14ac:dyDescent="0.25">
      <c r="A1182" t="s">
        <v>531</v>
      </c>
      <c r="B1182" t="s">
        <v>1640</v>
      </c>
      <c r="C1182">
        <v>34407</v>
      </c>
      <c r="D1182">
        <v>0</v>
      </c>
      <c r="E1182">
        <v>0</v>
      </c>
      <c r="F1182">
        <v>0</v>
      </c>
    </row>
    <row r="1183" spans="1:6" x14ac:dyDescent="0.25">
      <c r="A1183" t="s">
        <v>1583</v>
      </c>
      <c r="B1183" t="s">
        <v>1641</v>
      </c>
      <c r="C1183">
        <v>34408</v>
      </c>
      <c r="D1183">
        <v>177210</v>
      </c>
      <c r="E1183">
        <v>0</v>
      </c>
      <c r="F1183">
        <v>177210</v>
      </c>
    </row>
    <row r="1184" spans="1:6" x14ac:dyDescent="0.25">
      <c r="B1184" t="s">
        <v>1987</v>
      </c>
      <c r="D1184">
        <v>208396</v>
      </c>
      <c r="E1184">
        <v>0</v>
      </c>
      <c r="F1184">
        <v>208396</v>
      </c>
    </row>
    <row r="1185" spans="1:6" x14ac:dyDescent="0.25">
      <c r="B1185" t="s">
        <v>1988</v>
      </c>
    </row>
    <row r="1186" spans="1:6" x14ac:dyDescent="0.25">
      <c r="A1186" t="s">
        <v>2</v>
      </c>
      <c r="B1186" t="s">
        <v>1634</v>
      </c>
      <c r="C1186">
        <v>34501</v>
      </c>
      <c r="D1186">
        <v>0</v>
      </c>
      <c r="E1186">
        <v>0</v>
      </c>
      <c r="F1186">
        <v>0</v>
      </c>
    </row>
    <row r="1187" spans="1:6" x14ac:dyDescent="0.25">
      <c r="A1187" t="s">
        <v>15</v>
      </c>
      <c r="B1187" t="s">
        <v>1635</v>
      </c>
      <c r="C1187">
        <v>34502</v>
      </c>
      <c r="D1187">
        <v>0</v>
      </c>
      <c r="E1187">
        <v>0</v>
      </c>
      <c r="F1187">
        <v>0</v>
      </c>
    </row>
    <row r="1188" spans="1:6" x14ac:dyDescent="0.25">
      <c r="A1188" t="s">
        <v>16</v>
      </c>
      <c r="B1188" t="s">
        <v>1636</v>
      </c>
      <c r="C1188">
        <v>34503</v>
      </c>
      <c r="D1188">
        <v>0</v>
      </c>
      <c r="E1188">
        <v>0</v>
      </c>
      <c r="F1188">
        <v>0</v>
      </c>
    </row>
    <row r="1189" spans="1:6" x14ac:dyDescent="0.25">
      <c r="A1189" t="s">
        <v>25</v>
      </c>
      <c r="B1189" t="s">
        <v>1637</v>
      </c>
      <c r="C1189">
        <v>34504</v>
      </c>
      <c r="D1189">
        <v>0</v>
      </c>
      <c r="E1189">
        <v>0</v>
      </c>
      <c r="F1189">
        <v>0</v>
      </c>
    </row>
    <row r="1190" spans="1:6" x14ac:dyDescent="0.25">
      <c r="A1190" t="s">
        <v>26</v>
      </c>
      <c r="B1190" t="s">
        <v>1638</v>
      </c>
      <c r="C1190">
        <v>34505</v>
      </c>
      <c r="D1190">
        <v>0</v>
      </c>
      <c r="E1190">
        <v>0</v>
      </c>
      <c r="F1190">
        <v>0</v>
      </c>
    </row>
    <row r="1191" spans="1:6" x14ac:dyDescent="0.25">
      <c r="A1191" t="s">
        <v>27</v>
      </c>
      <c r="B1191" t="s">
        <v>1639</v>
      </c>
      <c r="C1191">
        <v>34506</v>
      </c>
      <c r="D1191">
        <v>0</v>
      </c>
      <c r="E1191">
        <v>0</v>
      </c>
      <c r="F1191">
        <v>0</v>
      </c>
    </row>
    <row r="1192" spans="1:6" x14ac:dyDescent="0.25">
      <c r="A1192" t="s">
        <v>531</v>
      </c>
      <c r="B1192" t="s">
        <v>1640</v>
      </c>
      <c r="C1192">
        <v>34507</v>
      </c>
      <c r="D1192">
        <v>0</v>
      </c>
      <c r="E1192">
        <v>0</v>
      </c>
      <c r="F1192">
        <v>0</v>
      </c>
    </row>
    <row r="1193" spans="1:6" x14ac:dyDescent="0.25">
      <c r="A1193" t="s">
        <v>1583</v>
      </c>
      <c r="B1193" t="s">
        <v>1641</v>
      </c>
      <c r="C1193">
        <v>34508</v>
      </c>
      <c r="D1193">
        <v>0</v>
      </c>
      <c r="E1193">
        <v>0</v>
      </c>
      <c r="F1193">
        <v>0</v>
      </c>
    </row>
    <row r="1194" spans="1:6" x14ac:dyDescent="0.25">
      <c r="B1194" t="s">
        <v>1989</v>
      </c>
      <c r="D1194">
        <v>0</v>
      </c>
      <c r="E1194">
        <v>0</v>
      </c>
      <c r="F1194">
        <v>0</v>
      </c>
    </row>
    <row r="1195" spans="1:6" x14ac:dyDescent="0.25">
      <c r="B1195" t="s">
        <v>1990</v>
      </c>
    </row>
    <row r="1196" spans="1:6" x14ac:dyDescent="0.25">
      <c r="A1196" t="s">
        <v>2</v>
      </c>
      <c r="B1196" t="s">
        <v>1648</v>
      </c>
      <c r="C1196">
        <v>34601</v>
      </c>
      <c r="D1196">
        <v>0</v>
      </c>
      <c r="E1196">
        <v>0</v>
      </c>
      <c r="F1196">
        <v>0</v>
      </c>
    </row>
    <row r="1197" spans="1:6" x14ac:dyDescent="0.25">
      <c r="A1197" t="s">
        <v>15</v>
      </c>
      <c r="B1197" t="s">
        <v>1649</v>
      </c>
      <c r="C1197">
        <v>34602</v>
      </c>
      <c r="D1197">
        <v>0</v>
      </c>
      <c r="E1197">
        <v>0</v>
      </c>
      <c r="F1197">
        <v>0</v>
      </c>
    </row>
    <row r="1198" spans="1:6" x14ac:dyDescent="0.25">
      <c r="A1198" t="s">
        <v>16</v>
      </c>
      <c r="B1198" t="s">
        <v>1637</v>
      </c>
      <c r="C1198">
        <v>34603</v>
      </c>
      <c r="D1198">
        <v>0</v>
      </c>
      <c r="E1198">
        <v>0</v>
      </c>
      <c r="F1198">
        <v>0</v>
      </c>
    </row>
    <row r="1199" spans="1:6" x14ac:dyDescent="0.25">
      <c r="A1199" t="s">
        <v>25</v>
      </c>
      <c r="B1199" t="s">
        <v>1638</v>
      </c>
      <c r="C1199">
        <v>34604</v>
      </c>
      <c r="D1199">
        <v>0</v>
      </c>
      <c r="E1199">
        <v>0</v>
      </c>
      <c r="F1199">
        <v>0</v>
      </c>
    </row>
    <row r="1200" spans="1:6" x14ac:dyDescent="0.25">
      <c r="A1200" t="s">
        <v>26</v>
      </c>
      <c r="B1200" t="s">
        <v>1650</v>
      </c>
      <c r="C1200">
        <v>34605</v>
      </c>
      <c r="D1200">
        <v>0</v>
      </c>
      <c r="E1200">
        <v>0</v>
      </c>
      <c r="F1200">
        <v>0</v>
      </c>
    </row>
    <row r="1201" spans="1:6" x14ac:dyDescent="0.25">
      <c r="A1201" t="s">
        <v>27</v>
      </c>
      <c r="B1201" t="s">
        <v>1651</v>
      </c>
      <c r="C1201">
        <v>34606</v>
      </c>
      <c r="D1201">
        <v>0</v>
      </c>
      <c r="E1201">
        <v>0</v>
      </c>
      <c r="F1201">
        <v>0</v>
      </c>
    </row>
    <row r="1202" spans="1:6" x14ac:dyDescent="0.25">
      <c r="A1202" t="s">
        <v>531</v>
      </c>
      <c r="B1202" t="s">
        <v>1640</v>
      </c>
      <c r="C1202">
        <v>34607</v>
      </c>
      <c r="D1202">
        <v>0</v>
      </c>
      <c r="E1202">
        <v>0</v>
      </c>
      <c r="F1202">
        <v>0</v>
      </c>
    </row>
    <row r="1203" spans="1:6" x14ac:dyDescent="0.25">
      <c r="A1203" t="s">
        <v>1583</v>
      </c>
      <c r="B1203" t="s">
        <v>1641</v>
      </c>
      <c r="C1203">
        <v>34608</v>
      </c>
      <c r="D1203">
        <v>0</v>
      </c>
      <c r="E1203">
        <v>0</v>
      </c>
      <c r="F1203">
        <v>0</v>
      </c>
    </row>
    <row r="1204" spans="1:6" x14ac:dyDescent="0.25">
      <c r="B1204" t="s">
        <v>1991</v>
      </c>
      <c r="D1204">
        <v>0</v>
      </c>
      <c r="E1204">
        <v>0</v>
      </c>
      <c r="F1204">
        <v>0</v>
      </c>
    </row>
    <row r="1205" spans="1:6" x14ac:dyDescent="0.25">
      <c r="B1205" t="s">
        <v>1716</v>
      </c>
      <c r="D1205">
        <v>274464</v>
      </c>
      <c r="E1205">
        <v>0</v>
      </c>
      <c r="F1205">
        <v>274464</v>
      </c>
    </row>
    <row r="1206" spans="1:6" x14ac:dyDescent="0.25">
      <c r="B1206" t="s">
        <v>1992</v>
      </c>
    </row>
    <row r="1207" spans="1:6" x14ac:dyDescent="0.25">
      <c r="B1207" t="s">
        <v>1575</v>
      </c>
    </row>
    <row r="1208" spans="1:6" x14ac:dyDescent="0.25">
      <c r="A1208" t="s">
        <v>2</v>
      </c>
      <c r="B1208" t="s">
        <v>1576</v>
      </c>
      <c r="C1208">
        <v>35101</v>
      </c>
      <c r="D1208">
        <v>0</v>
      </c>
      <c r="E1208">
        <v>0</v>
      </c>
      <c r="F1208">
        <v>0</v>
      </c>
    </row>
    <row r="1209" spans="1:6" x14ac:dyDescent="0.25">
      <c r="A1209" t="s">
        <v>15</v>
      </c>
      <c r="B1209" t="s">
        <v>1577</v>
      </c>
      <c r="C1209">
        <v>35102</v>
      </c>
      <c r="D1209">
        <v>0</v>
      </c>
      <c r="E1209">
        <v>0</v>
      </c>
      <c r="F1209">
        <v>0</v>
      </c>
    </row>
    <row r="1210" spans="1:6" x14ac:dyDescent="0.25">
      <c r="A1210" t="s">
        <v>16</v>
      </c>
      <c r="B1210" t="s">
        <v>1578</v>
      </c>
      <c r="C1210">
        <v>35103</v>
      </c>
      <c r="D1210">
        <v>0</v>
      </c>
      <c r="E1210">
        <v>0</v>
      </c>
      <c r="F1210">
        <v>0</v>
      </c>
    </row>
    <row r="1211" spans="1:6" x14ac:dyDescent="0.25">
      <c r="A1211" t="s">
        <v>25</v>
      </c>
      <c r="B1211" t="s">
        <v>1579</v>
      </c>
      <c r="C1211">
        <v>35104</v>
      </c>
      <c r="D1211">
        <v>0</v>
      </c>
      <c r="E1211">
        <v>0</v>
      </c>
      <c r="F1211">
        <v>0</v>
      </c>
    </row>
    <row r="1212" spans="1:6" x14ac:dyDescent="0.25">
      <c r="A1212" t="s">
        <v>26</v>
      </c>
      <c r="B1212" t="s">
        <v>1580</v>
      </c>
      <c r="C1212">
        <v>35105</v>
      </c>
      <c r="D1212">
        <v>0</v>
      </c>
      <c r="E1212">
        <v>0</v>
      </c>
      <c r="F1212">
        <v>0</v>
      </c>
    </row>
    <row r="1213" spans="1:6" x14ac:dyDescent="0.25">
      <c r="A1213" t="s">
        <v>27</v>
      </c>
      <c r="B1213" t="s">
        <v>1581</v>
      </c>
      <c r="C1213">
        <v>35106</v>
      </c>
      <c r="D1213">
        <v>0</v>
      </c>
      <c r="E1213">
        <v>0</v>
      </c>
      <c r="F1213">
        <v>0</v>
      </c>
    </row>
    <row r="1214" spans="1:6" x14ac:dyDescent="0.25">
      <c r="A1214" t="s">
        <v>531</v>
      </c>
      <c r="B1214" t="s">
        <v>1582</v>
      </c>
      <c r="C1214">
        <v>35107</v>
      </c>
      <c r="D1214">
        <v>0</v>
      </c>
      <c r="E1214">
        <v>0</v>
      </c>
      <c r="F1214">
        <v>0</v>
      </c>
    </row>
    <row r="1215" spans="1:6" x14ac:dyDescent="0.25">
      <c r="A1215" t="s">
        <v>1583</v>
      </c>
      <c r="B1215" t="s">
        <v>1584</v>
      </c>
      <c r="C1215">
        <v>35108</v>
      </c>
      <c r="D1215">
        <v>0</v>
      </c>
      <c r="E1215">
        <v>0</v>
      </c>
      <c r="F1215">
        <v>0</v>
      </c>
    </row>
    <row r="1216" spans="1:6" x14ac:dyDescent="0.25">
      <c r="A1216" t="s">
        <v>1585</v>
      </c>
      <c r="B1216" t="s">
        <v>1586</v>
      </c>
      <c r="C1216">
        <v>35109</v>
      </c>
      <c r="D1216">
        <v>0</v>
      </c>
      <c r="E1216">
        <v>0</v>
      </c>
      <c r="F1216">
        <v>0</v>
      </c>
    </row>
    <row r="1217" spans="1:6" x14ac:dyDescent="0.25">
      <c r="A1217" t="s">
        <v>1587</v>
      </c>
      <c r="B1217" t="s">
        <v>1588</v>
      </c>
      <c r="C1217">
        <v>35110</v>
      </c>
      <c r="D1217">
        <v>0</v>
      </c>
      <c r="E1217">
        <v>0</v>
      </c>
      <c r="F1217">
        <v>0</v>
      </c>
    </row>
    <row r="1218" spans="1:6" x14ac:dyDescent="0.25">
      <c r="A1218" t="s">
        <v>1589</v>
      </c>
      <c r="B1218" t="s">
        <v>1590</v>
      </c>
      <c r="C1218">
        <v>35111</v>
      </c>
      <c r="D1218">
        <v>0</v>
      </c>
      <c r="E1218">
        <v>0</v>
      </c>
      <c r="F1218">
        <v>0</v>
      </c>
    </row>
    <row r="1219" spans="1:6" x14ac:dyDescent="0.25">
      <c r="A1219" t="s">
        <v>1591</v>
      </c>
      <c r="B1219" t="s">
        <v>1592</v>
      </c>
      <c r="C1219">
        <v>35112</v>
      </c>
      <c r="D1219">
        <v>0</v>
      </c>
      <c r="E1219">
        <v>0</v>
      </c>
      <c r="F1219">
        <v>0</v>
      </c>
    </row>
    <row r="1220" spans="1:6" x14ac:dyDescent="0.25">
      <c r="A1220" t="s">
        <v>1593</v>
      </c>
      <c r="B1220" t="s">
        <v>1594</v>
      </c>
      <c r="C1220">
        <v>35113</v>
      </c>
      <c r="D1220">
        <v>0</v>
      </c>
      <c r="E1220">
        <v>0</v>
      </c>
      <c r="F1220">
        <v>0</v>
      </c>
    </row>
    <row r="1221" spans="1:6" x14ac:dyDescent="0.25">
      <c r="A1221" t="s">
        <v>1595</v>
      </c>
      <c r="B1221" t="s">
        <v>1596</v>
      </c>
      <c r="C1221">
        <v>35114</v>
      </c>
      <c r="D1221">
        <v>0</v>
      </c>
      <c r="E1221">
        <v>0</v>
      </c>
      <c r="F1221">
        <v>0</v>
      </c>
    </row>
    <row r="1222" spans="1:6" x14ac:dyDescent="0.25">
      <c r="A1222" t="s">
        <v>1597</v>
      </c>
      <c r="B1222" t="s">
        <v>1598</v>
      </c>
      <c r="C1222">
        <v>35115</v>
      </c>
      <c r="D1222">
        <v>0</v>
      </c>
      <c r="E1222">
        <v>0</v>
      </c>
      <c r="F1222">
        <v>0</v>
      </c>
    </row>
    <row r="1223" spans="1:6" x14ac:dyDescent="0.25">
      <c r="A1223" t="s">
        <v>1599</v>
      </c>
      <c r="B1223" t="s">
        <v>1600</v>
      </c>
      <c r="C1223">
        <v>35116</v>
      </c>
      <c r="D1223">
        <v>0</v>
      </c>
      <c r="E1223">
        <v>0</v>
      </c>
      <c r="F1223">
        <v>0</v>
      </c>
    </row>
    <row r="1224" spans="1:6" x14ac:dyDescent="0.25">
      <c r="A1224" t="s">
        <v>1601</v>
      </c>
      <c r="B1224" t="s">
        <v>1602</v>
      </c>
      <c r="C1224">
        <v>35117</v>
      </c>
      <c r="D1224">
        <v>0</v>
      </c>
      <c r="E1224">
        <v>0</v>
      </c>
      <c r="F1224">
        <v>0</v>
      </c>
    </row>
    <row r="1225" spans="1:6" x14ac:dyDescent="0.25">
      <c r="A1225" t="s">
        <v>1603</v>
      </c>
      <c r="B1225" t="s">
        <v>1604</v>
      </c>
      <c r="C1225">
        <v>35118</v>
      </c>
      <c r="D1225">
        <v>0</v>
      </c>
      <c r="E1225">
        <v>0</v>
      </c>
      <c r="F1225">
        <v>0</v>
      </c>
    </row>
    <row r="1226" spans="1:6" x14ac:dyDescent="0.25">
      <c r="A1226" t="s">
        <v>1605</v>
      </c>
      <c r="B1226" t="s">
        <v>1606</v>
      </c>
      <c r="C1226">
        <v>35119</v>
      </c>
      <c r="D1226">
        <v>0</v>
      </c>
      <c r="E1226">
        <v>0</v>
      </c>
      <c r="F1226">
        <v>0</v>
      </c>
    </row>
    <row r="1227" spans="1:6" x14ac:dyDescent="0.25">
      <c r="A1227" t="s">
        <v>1607</v>
      </c>
      <c r="B1227" t="s">
        <v>1608</v>
      </c>
      <c r="C1227">
        <v>35120</v>
      </c>
      <c r="D1227">
        <v>0</v>
      </c>
      <c r="E1227">
        <v>0</v>
      </c>
      <c r="F1227">
        <v>0</v>
      </c>
    </row>
    <row r="1228" spans="1:6" x14ac:dyDescent="0.25">
      <c r="B1228" t="s">
        <v>1993</v>
      </c>
      <c r="D1228">
        <v>0</v>
      </c>
      <c r="E1228">
        <v>0</v>
      </c>
      <c r="F1228">
        <v>0</v>
      </c>
    </row>
    <row r="1229" spans="1:6" x14ac:dyDescent="0.25">
      <c r="B1229" t="s">
        <v>1656</v>
      </c>
    </row>
    <row r="1230" spans="1:6" x14ac:dyDescent="0.25">
      <c r="A1230" t="s">
        <v>2</v>
      </c>
      <c r="B1230" t="s">
        <v>1611</v>
      </c>
      <c r="C1230">
        <v>35201</v>
      </c>
      <c r="D1230">
        <v>0</v>
      </c>
      <c r="E1230">
        <v>0</v>
      </c>
      <c r="F1230">
        <v>0</v>
      </c>
    </row>
    <row r="1231" spans="1:6" x14ac:dyDescent="0.25">
      <c r="A1231" t="s">
        <v>15</v>
      </c>
      <c r="B1231" t="s">
        <v>1612</v>
      </c>
      <c r="C1231">
        <v>35202</v>
      </c>
      <c r="D1231">
        <v>0</v>
      </c>
      <c r="E1231">
        <v>0</v>
      </c>
      <c r="F1231">
        <v>0</v>
      </c>
    </row>
    <row r="1232" spans="1:6" x14ac:dyDescent="0.25">
      <c r="A1232" t="s">
        <v>16</v>
      </c>
      <c r="B1232" t="s">
        <v>1613</v>
      </c>
      <c r="C1232">
        <v>35203</v>
      </c>
      <c r="D1232">
        <v>0</v>
      </c>
      <c r="E1232">
        <v>0</v>
      </c>
      <c r="F1232">
        <v>0</v>
      </c>
    </row>
    <row r="1233" spans="1:6" x14ac:dyDescent="0.25">
      <c r="A1233" t="s">
        <v>25</v>
      </c>
      <c r="B1233" t="s">
        <v>1614</v>
      </c>
      <c r="C1233">
        <v>35204</v>
      </c>
      <c r="D1233">
        <v>0</v>
      </c>
      <c r="E1233">
        <v>0</v>
      </c>
      <c r="F1233">
        <v>0</v>
      </c>
    </row>
    <row r="1234" spans="1:6" x14ac:dyDescent="0.25">
      <c r="A1234" t="s">
        <v>26</v>
      </c>
      <c r="B1234" t="s">
        <v>1615</v>
      </c>
      <c r="C1234">
        <v>35205</v>
      </c>
      <c r="D1234">
        <v>0</v>
      </c>
      <c r="E1234">
        <v>0</v>
      </c>
      <c r="F1234">
        <v>0</v>
      </c>
    </row>
    <row r="1235" spans="1:6" x14ac:dyDescent="0.25">
      <c r="A1235" t="s">
        <v>27</v>
      </c>
      <c r="B1235" t="s">
        <v>1616</v>
      </c>
      <c r="C1235">
        <v>35206</v>
      </c>
      <c r="D1235">
        <v>0</v>
      </c>
      <c r="E1235">
        <v>0</v>
      </c>
      <c r="F1235">
        <v>0</v>
      </c>
    </row>
    <row r="1236" spans="1:6" x14ac:dyDescent="0.25">
      <c r="A1236" t="s">
        <v>531</v>
      </c>
      <c r="B1236" t="s">
        <v>1617</v>
      </c>
      <c r="C1236">
        <v>35207</v>
      </c>
      <c r="D1236">
        <v>0</v>
      </c>
      <c r="E1236">
        <v>0</v>
      </c>
      <c r="F1236">
        <v>0</v>
      </c>
    </row>
    <row r="1237" spans="1:6" x14ac:dyDescent="0.25">
      <c r="A1237" t="s">
        <v>1583</v>
      </c>
      <c r="B1237" t="s">
        <v>1618</v>
      </c>
      <c r="C1237">
        <v>35208</v>
      </c>
      <c r="D1237">
        <v>0</v>
      </c>
      <c r="E1237">
        <v>0</v>
      </c>
      <c r="F1237">
        <v>0</v>
      </c>
    </row>
    <row r="1238" spans="1:6" x14ac:dyDescent="0.25">
      <c r="A1238" t="s">
        <v>1585</v>
      </c>
      <c r="B1238" t="s">
        <v>1619</v>
      </c>
      <c r="C1238">
        <v>35209</v>
      </c>
      <c r="D1238">
        <v>0</v>
      </c>
      <c r="E1238">
        <v>0</v>
      </c>
      <c r="F1238">
        <v>0</v>
      </c>
    </row>
    <row r="1239" spans="1:6" x14ac:dyDescent="0.25">
      <c r="A1239" t="s">
        <v>1587</v>
      </c>
      <c r="B1239" t="s">
        <v>1620</v>
      </c>
      <c r="C1239">
        <v>35210</v>
      </c>
      <c r="D1239">
        <v>0</v>
      </c>
      <c r="E1239">
        <v>0</v>
      </c>
      <c r="F1239">
        <v>0</v>
      </c>
    </row>
    <row r="1240" spans="1:6" x14ac:dyDescent="0.25">
      <c r="A1240" t="s">
        <v>1589</v>
      </c>
      <c r="B1240" t="s">
        <v>1621</v>
      </c>
      <c r="C1240">
        <v>35211</v>
      </c>
      <c r="D1240">
        <v>0</v>
      </c>
      <c r="E1240">
        <v>0</v>
      </c>
      <c r="F1240">
        <v>0</v>
      </c>
    </row>
    <row r="1241" spans="1:6" x14ac:dyDescent="0.25">
      <c r="A1241" t="s">
        <v>1591</v>
      </c>
      <c r="B1241" t="s">
        <v>1622</v>
      </c>
      <c r="C1241">
        <v>35212</v>
      </c>
      <c r="D1241">
        <v>0</v>
      </c>
      <c r="E1241">
        <v>0</v>
      </c>
      <c r="F1241">
        <v>0</v>
      </c>
    </row>
    <row r="1242" spans="1:6" x14ac:dyDescent="0.25">
      <c r="A1242" t="s">
        <v>1593</v>
      </c>
      <c r="B1242" t="s">
        <v>1623</v>
      </c>
      <c r="C1242">
        <v>35213</v>
      </c>
      <c r="D1242">
        <v>0</v>
      </c>
      <c r="E1242">
        <v>0</v>
      </c>
      <c r="F1242">
        <v>0</v>
      </c>
    </row>
    <row r="1243" spans="1:6" x14ac:dyDescent="0.25">
      <c r="A1243" t="s">
        <v>1595</v>
      </c>
      <c r="B1243" t="s">
        <v>1624</v>
      </c>
      <c r="C1243">
        <v>35214</v>
      </c>
      <c r="D1243">
        <v>0</v>
      </c>
      <c r="E1243">
        <v>0</v>
      </c>
      <c r="F1243">
        <v>0</v>
      </c>
    </row>
    <row r="1244" spans="1:6" x14ac:dyDescent="0.25">
      <c r="A1244" t="s">
        <v>1597</v>
      </c>
      <c r="B1244" t="s">
        <v>1625</v>
      </c>
      <c r="C1244">
        <v>35215</v>
      </c>
      <c r="D1244">
        <v>0</v>
      </c>
      <c r="E1244">
        <v>0</v>
      </c>
      <c r="F1244">
        <v>0</v>
      </c>
    </row>
    <row r="1245" spans="1:6" x14ac:dyDescent="0.25">
      <c r="A1245" t="s">
        <v>1599</v>
      </c>
      <c r="B1245" t="s">
        <v>1626</v>
      </c>
      <c r="C1245">
        <v>35216</v>
      </c>
      <c r="D1245">
        <v>0</v>
      </c>
      <c r="E1245">
        <v>0</v>
      </c>
      <c r="F1245">
        <v>0</v>
      </c>
    </row>
    <row r="1246" spans="1:6" x14ac:dyDescent="0.25">
      <c r="A1246" t="s">
        <v>1601</v>
      </c>
      <c r="B1246" t="s">
        <v>1627</v>
      </c>
      <c r="C1246">
        <v>35217</v>
      </c>
      <c r="D1246">
        <v>0</v>
      </c>
      <c r="E1246">
        <v>0</v>
      </c>
      <c r="F1246">
        <v>0</v>
      </c>
    </row>
    <row r="1247" spans="1:6" x14ac:dyDescent="0.25">
      <c r="A1247" t="s">
        <v>1603</v>
      </c>
      <c r="B1247" t="s">
        <v>1596</v>
      </c>
      <c r="C1247">
        <v>35218</v>
      </c>
      <c r="D1247">
        <v>0</v>
      </c>
      <c r="E1247">
        <v>0</v>
      </c>
      <c r="F1247">
        <v>0</v>
      </c>
    </row>
    <row r="1248" spans="1:6" x14ac:dyDescent="0.25">
      <c r="A1248" t="s">
        <v>1605</v>
      </c>
      <c r="B1248" t="s">
        <v>1598</v>
      </c>
      <c r="C1248">
        <v>35219</v>
      </c>
      <c r="D1248">
        <v>0</v>
      </c>
      <c r="E1248">
        <v>0</v>
      </c>
      <c r="F1248">
        <v>0</v>
      </c>
    </row>
    <row r="1249" spans="1:6" x14ac:dyDescent="0.25">
      <c r="A1249" t="s">
        <v>1607</v>
      </c>
      <c r="B1249" t="s">
        <v>1602</v>
      </c>
      <c r="C1249">
        <v>35220</v>
      </c>
      <c r="D1249">
        <v>0</v>
      </c>
      <c r="E1249">
        <v>0</v>
      </c>
      <c r="F1249">
        <v>0</v>
      </c>
    </row>
    <row r="1250" spans="1:6" x14ac:dyDescent="0.25">
      <c r="B1250" t="s">
        <v>1994</v>
      </c>
      <c r="D1250">
        <v>0</v>
      </c>
      <c r="E1250">
        <v>0</v>
      </c>
      <c r="F1250">
        <v>0</v>
      </c>
    </row>
    <row r="1251" spans="1:6" x14ac:dyDescent="0.25">
      <c r="B1251" t="s">
        <v>1629</v>
      </c>
    </row>
    <row r="1252" spans="1:6" x14ac:dyDescent="0.25">
      <c r="A1252" t="s">
        <v>2</v>
      </c>
      <c r="B1252" t="s">
        <v>1627</v>
      </c>
      <c r="C1252">
        <v>35301</v>
      </c>
      <c r="D1252">
        <v>0</v>
      </c>
      <c r="E1252">
        <v>0</v>
      </c>
      <c r="F1252">
        <v>0</v>
      </c>
    </row>
    <row r="1253" spans="1:6" x14ac:dyDescent="0.25">
      <c r="A1253" t="s">
        <v>15</v>
      </c>
      <c r="B1253" t="s">
        <v>1625</v>
      </c>
      <c r="C1253">
        <v>35302</v>
      </c>
      <c r="D1253">
        <v>0</v>
      </c>
      <c r="E1253">
        <v>0</v>
      </c>
      <c r="F1253">
        <v>0</v>
      </c>
    </row>
    <row r="1254" spans="1:6" x14ac:dyDescent="0.25">
      <c r="A1254" t="s">
        <v>16</v>
      </c>
      <c r="B1254" t="s">
        <v>1626</v>
      </c>
      <c r="C1254">
        <v>35303</v>
      </c>
      <c r="D1254">
        <v>0</v>
      </c>
      <c r="E1254">
        <v>0</v>
      </c>
      <c r="F1254">
        <v>0</v>
      </c>
    </row>
    <row r="1255" spans="1:6" x14ac:dyDescent="0.25">
      <c r="B1255" t="s">
        <v>1995</v>
      </c>
      <c r="D1255">
        <v>0</v>
      </c>
      <c r="E1255">
        <v>0</v>
      </c>
      <c r="F1255">
        <v>0</v>
      </c>
    </row>
    <row r="1256" spans="1:6" x14ac:dyDescent="0.25">
      <c r="B1256" t="s">
        <v>1631</v>
      </c>
    </row>
    <row r="1257" spans="1:6" x14ac:dyDescent="0.25">
      <c r="A1257" t="s">
        <v>2</v>
      </c>
      <c r="B1257" t="s">
        <v>1627</v>
      </c>
      <c r="C1257">
        <v>35401</v>
      </c>
      <c r="D1257">
        <v>0</v>
      </c>
      <c r="E1257">
        <v>0</v>
      </c>
      <c r="F1257">
        <v>0</v>
      </c>
    </row>
    <row r="1258" spans="1:6" x14ac:dyDescent="0.25">
      <c r="A1258" t="s">
        <v>15</v>
      </c>
      <c r="B1258" t="s">
        <v>1625</v>
      </c>
      <c r="C1258">
        <v>35402</v>
      </c>
      <c r="D1258">
        <v>0</v>
      </c>
      <c r="E1258">
        <v>0</v>
      </c>
      <c r="F1258">
        <v>0</v>
      </c>
    </row>
    <row r="1259" spans="1:6" x14ac:dyDescent="0.25">
      <c r="A1259" t="s">
        <v>16</v>
      </c>
      <c r="B1259" t="s">
        <v>1626</v>
      </c>
      <c r="C1259">
        <v>35403</v>
      </c>
      <c r="D1259">
        <v>0</v>
      </c>
      <c r="E1259">
        <v>0</v>
      </c>
      <c r="F1259">
        <v>0</v>
      </c>
    </row>
    <row r="1260" spans="1:6" x14ac:dyDescent="0.25">
      <c r="B1260" t="s">
        <v>1996</v>
      </c>
      <c r="D1260">
        <v>0</v>
      </c>
      <c r="E1260">
        <v>0</v>
      </c>
      <c r="F1260">
        <v>0</v>
      </c>
    </row>
    <row r="1261" spans="1:6" x14ac:dyDescent="0.25">
      <c r="B1261" t="s">
        <v>1633</v>
      </c>
    </row>
    <row r="1262" spans="1:6" x14ac:dyDescent="0.25">
      <c r="A1262" t="s">
        <v>2</v>
      </c>
      <c r="B1262" t="s">
        <v>1634</v>
      </c>
      <c r="C1262">
        <v>35501</v>
      </c>
      <c r="D1262">
        <v>0</v>
      </c>
      <c r="E1262">
        <v>0</v>
      </c>
      <c r="F1262">
        <v>0</v>
      </c>
    </row>
    <row r="1263" spans="1:6" x14ac:dyDescent="0.25">
      <c r="A1263" t="s">
        <v>15</v>
      </c>
      <c r="B1263" t="s">
        <v>1635</v>
      </c>
      <c r="C1263">
        <v>35502</v>
      </c>
      <c r="D1263">
        <v>0</v>
      </c>
      <c r="E1263">
        <v>0</v>
      </c>
      <c r="F1263">
        <v>0</v>
      </c>
    </row>
    <row r="1264" spans="1:6" x14ac:dyDescent="0.25">
      <c r="A1264" t="s">
        <v>16</v>
      </c>
      <c r="B1264" t="s">
        <v>1636</v>
      </c>
      <c r="C1264">
        <v>35503</v>
      </c>
      <c r="D1264">
        <v>0</v>
      </c>
      <c r="E1264">
        <v>0</v>
      </c>
      <c r="F1264">
        <v>0</v>
      </c>
    </row>
    <row r="1265" spans="1:6" x14ac:dyDescent="0.25">
      <c r="A1265" t="s">
        <v>25</v>
      </c>
      <c r="B1265" t="s">
        <v>1637</v>
      </c>
      <c r="C1265">
        <v>35504</v>
      </c>
      <c r="D1265">
        <v>0</v>
      </c>
      <c r="E1265">
        <v>0</v>
      </c>
      <c r="F1265">
        <v>0</v>
      </c>
    </row>
    <row r="1266" spans="1:6" x14ac:dyDescent="0.25">
      <c r="A1266" t="s">
        <v>26</v>
      </c>
      <c r="B1266" t="s">
        <v>1638</v>
      </c>
      <c r="C1266">
        <v>35505</v>
      </c>
      <c r="D1266">
        <v>0</v>
      </c>
      <c r="E1266">
        <v>0</v>
      </c>
      <c r="F1266">
        <v>0</v>
      </c>
    </row>
    <row r="1267" spans="1:6" x14ac:dyDescent="0.25">
      <c r="A1267" t="s">
        <v>27</v>
      </c>
      <c r="B1267" t="s">
        <v>1639</v>
      </c>
      <c r="C1267">
        <v>35506</v>
      </c>
      <c r="D1267">
        <v>0</v>
      </c>
      <c r="E1267">
        <v>0</v>
      </c>
      <c r="F1267">
        <v>0</v>
      </c>
    </row>
    <row r="1268" spans="1:6" x14ac:dyDescent="0.25">
      <c r="A1268" t="s">
        <v>531</v>
      </c>
      <c r="B1268" t="s">
        <v>1640</v>
      </c>
      <c r="C1268">
        <v>35507</v>
      </c>
      <c r="D1268">
        <v>0</v>
      </c>
      <c r="E1268">
        <v>0</v>
      </c>
      <c r="F1268">
        <v>0</v>
      </c>
    </row>
    <row r="1269" spans="1:6" x14ac:dyDescent="0.25">
      <c r="A1269" t="s">
        <v>1583</v>
      </c>
      <c r="B1269" t="s">
        <v>1641</v>
      </c>
      <c r="C1269">
        <v>35508</v>
      </c>
      <c r="D1269">
        <v>0</v>
      </c>
      <c r="E1269">
        <v>0</v>
      </c>
      <c r="F1269">
        <v>0</v>
      </c>
    </row>
    <row r="1270" spans="1:6" x14ac:dyDescent="0.25">
      <c r="B1270" t="s">
        <v>1997</v>
      </c>
      <c r="D1270">
        <v>0</v>
      </c>
      <c r="E1270">
        <v>0</v>
      </c>
      <c r="F1270">
        <v>0</v>
      </c>
    </row>
    <row r="1271" spans="1:6" x14ac:dyDescent="0.25">
      <c r="B1271" t="s">
        <v>1643</v>
      </c>
    </row>
    <row r="1272" spans="1:6" x14ac:dyDescent="0.25">
      <c r="A1272" t="s">
        <v>2</v>
      </c>
      <c r="B1272" t="s">
        <v>1634</v>
      </c>
      <c r="C1272">
        <v>35601</v>
      </c>
      <c r="D1272">
        <v>0</v>
      </c>
      <c r="E1272">
        <v>0</v>
      </c>
      <c r="F1272">
        <v>0</v>
      </c>
    </row>
    <row r="1273" spans="1:6" x14ac:dyDescent="0.25">
      <c r="A1273" t="s">
        <v>15</v>
      </c>
      <c r="B1273" t="s">
        <v>1635</v>
      </c>
      <c r="C1273">
        <v>35602</v>
      </c>
      <c r="D1273">
        <v>0</v>
      </c>
      <c r="E1273">
        <v>0</v>
      </c>
      <c r="F1273">
        <v>0</v>
      </c>
    </row>
    <row r="1274" spans="1:6" x14ac:dyDescent="0.25">
      <c r="A1274" t="s">
        <v>16</v>
      </c>
      <c r="B1274" t="s">
        <v>1636</v>
      </c>
      <c r="C1274">
        <v>35603</v>
      </c>
      <c r="D1274">
        <v>0</v>
      </c>
      <c r="E1274">
        <v>0</v>
      </c>
      <c r="F1274">
        <v>0</v>
      </c>
    </row>
    <row r="1275" spans="1:6" x14ac:dyDescent="0.25">
      <c r="A1275" t="s">
        <v>25</v>
      </c>
      <c r="B1275" t="s">
        <v>1637</v>
      </c>
      <c r="C1275">
        <v>35604</v>
      </c>
      <c r="D1275">
        <v>0</v>
      </c>
      <c r="E1275">
        <v>0</v>
      </c>
      <c r="F1275">
        <v>0</v>
      </c>
    </row>
    <row r="1276" spans="1:6" x14ac:dyDescent="0.25">
      <c r="A1276" t="s">
        <v>26</v>
      </c>
      <c r="B1276" t="s">
        <v>1638</v>
      </c>
      <c r="C1276">
        <v>35605</v>
      </c>
      <c r="D1276">
        <v>0</v>
      </c>
      <c r="E1276">
        <v>0</v>
      </c>
      <c r="F1276">
        <v>0</v>
      </c>
    </row>
    <row r="1277" spans="1:6" x14ac:dyDescent="0.25">
      <c r="A1277" t="s">
        <v>27</v>
      </c>
      <c r="B1277" t="s">
        <v>1639</v>
      </c>
      <c r="C1277">
        <v>35606</v>
      </c>
      <c r="D1277">
        <v>0</v>
      </c>
      <c r="E1277">
        <v>0</v>
      </c>
      <c r="F1277">
        <v>0</v>
      </c>
    </row>
    <row r="1278" spans="1:6" x14ac:dyDescent="0.25">
      <c r="A1278" t="s">
        <v>531</v>
      </c>
      <c r="B1278" t="s">
        <v>1640</v>
      </c>
      <c r="C1278">
        <v>35607</v>
      </c>
      <c r="D1278">
        <v>0</v>
      </c>
      <c r="E1278">
        <v>0</v>
      </c>
      <c r="F1278">
        <v>0</v>
      </c>
    </row>
    <row r="1279" spans="1:6" x14ac:dyDescent="0.25">
      <c r="A1279" t="s">
        <v>1583</v>
      </c>
      <c r="B1279" t="s">
        <v>1641</v>
      </c>
      <c r="C1279">
        <v>35608</v>
      </c>
      <c r="D1279">
        <v>0</v>
      </c>
      <c r="E1279">
        <v>0</v>
      </c>
      <c r="F1279">
        <v>0</v>
      </c>
    </row>
    <row r="1280" spans="1:6" x14ac:dyDescent="0.25">
      <c r="B1280" t="s">
        <v>1998</v>
      </c>
      <c r="D1280">
        <v>0</v>
      </c>
      <c r="E1280">
        <v>0</v>
      </c>
      <c r="F1280">
        <v>0</v>
      </c>
    </row>
    <row r="1281" spans="1:6" x14ac:dyDescent="0.25">
      <c r="B1281" t="s">
        <v>1645</v>
      </c>
    </row>
    <row r="1282" spans="1:6" x14ac:dyDescent="0.25">
      <c r="A1282" t="s">
        <v>2</v>
      </c>
      <c r="B1282" t="s">
        <v>1634</v>
      </c>
      <c r="C1282">
        <v>35701</v>
      </c>
      <c r="D1282">
        <v>0</v>
      </c>
      <c r="E1282">
        <v>0</v>
      </c>
      <c r="F1282">
        <v>0</v>
      </c>
    </row>
    <row r="1283" spans="1:6" x14ac:dyDescent="0.25">
      <c r="A1283" t="s">
        <v>15</v>
      </c>
      <c r="B1283" t="s">
        <v>1635</v>
      </c>
      <c r="C1283">
        <v>35702</v>
      </c>
      <c r="D1283">
        <v>0</v>
      </c>
      <c r="E1283">
        <v>0</v>
      </c>
      <c r="F1283">
        <v>0</v>
      </c>
    </row>
    <row r="1284" spans="1:6" x14ac:dyDescent="0.25">
      <c r="A1284" t="s">
        <v>16</v>
      </c>
      <c r="B1284" t="s">
        <v>1636</v>
      </c>
      <c r="C1284">
        <v>35703</v>
      </c>
      <c r="D1284">
        <v>0</v>
      </c>
      <c r="E1284">
        <v>0</v>
      </c>
      <c r="F1284">
        <v>0</v>
      </c>
    </row>
    <row r="1285" spans="1:6" x14ac:dyDescent="0.25">
      <c r="A1285" t="s">
        <v>25</v>
      </c>
      <c r="B1285" t="s">
        <v>1637</v>
      </c>
      <c r="C1285">
        <v>35704</v>
      </c>
      <c r="D1285">
        <v>0</v>
      </c>
      <c r="E1285">
        <v>0</v>
      </c>
      <c r="F1285">
        <v>0</v>
      </c>
    </row>
    <row r="1286" spans="1:6" x14ac:dyDescent="0.25">
      <c r="A1286" t="s">
        <v>26</v>
      </c>
      <c r="B1286" t="s">
        <v>1638</v>
      </c>
      <c r="C1286">
        <v>35705</v>
      </c>
      <c r="D1286">
        <v>0</v>
      </c>
      <c r="E1286">
        <v>0</v>
      </c>
      <c r="F1286">
        <v>0</v>
      </c>
    </row>
    <row r="1287" spans="1:6" x14ac:dyDescent="0.25">
      <c r="A1287" t="s">
        <v>27</v>
      </c>
      <c r="B1287" t="s">
        <v>1639</v>
      </c>
      <c r="C1287">
        <v>35706</v>
      </c>
      <c r="D1287">
        <v>0</v>
      </c>
      <c r="E1287">
        <v>0</v>
      </c>
      <c r="F1287">
        <v>0</v>
      </c>
    </row>
    <row r="1288" spans="1:6" x14ac:dyDescent="0.25">
      <c r="A1288" t="s">
        <v>531</v>
      </c>
      <c r="B1288" t="s">
        <v>1640</v>
      </c>
      <c r="C1288">
        <v>35707</v>
      </c>
      <c r="D1288">
        <v>0</v>
      </c>
      <c r="E1288">
        <v>0</v>
      </c>
      <c r="F1288">
        <v>0</v>
      </c>
    </row>
    <row r="1289" spans="1:6" x14ac:dyDescent="0.25">
      <c r="A1289" t="s">
        <v>1583</v>
      </c>
      <c r="B1289" t="s">
        <v>1641</v>
      </c>
      <c r="C1289">
        <v>35708</v>
      </c>
      <c r="D1289">
        <v>0</v>
      </c>
      <c r="E1289">
        <v>0</v>
      </c>
      <c r="F1289">
        <v>0</v>
      </c>
    </row>
    <row r="1290" spans="1:6" x14ac:dyDescent="0.25">
      <c r="B1290" t="s">
        <v>1999</v>
      </c>
      <c r="D1290">
        <v>0</v>
      </c>
      <c r="E1290">
        <v>0</v>
      </c>
      <c r="F1290">
        <v>0</v>
      </c>
    </row>
    <row r="1291" spans="1:6" x14ac:dyDescent="0.25">
      <c r="B1291" t="s">
        <v>1647</v>
      </c>
    </row>
    <row r="1292" spans="1:6" x14ac:dyDescent="0.25">
      <c r="A1292" t="s">
        <v>2</v>
      </c>
      <c r="B1292" t="s">
        <v>1648</v>
      </c>
      <c r="C1292">
        <v>35801</v>
      </c>
      <c r="D1292">
        <v>0</v>
      </c>
      <c r="E1292">
        <v>0</v>
      </c>
      <c r="F1292">
        <v>0</v>
      </c>
    </row>
    <row r="1293" spans="1:6" x14ac:dyDescent="0.25">
      <c r="A1293" t="s">
        <v>15</v>
      </c>
      <c r="B1293" t="s">
        <v>1649</v>
      </c>
      <c r="C1293">
        <v>35802</v>
      </c>
      <c r="D1293">
        <v>0</v>
      </c>
      <c r="E1293">
        <v>0</v>
      </c>
      <c r="F1293">
        <v>0</v>
      </c>
    </row>
    <row r="1294" spans="1:6" x14ac:dyDescent="0.25">
      <c r="A1294" t="s">
        <v>16</v>
      </c>
      <c r="B1294" t="s">
        <v>1637</v>
      </c>
      <c r="C1294">
        <v>35803</v>
      </c>
      <c r="D1294">
        <v>0</v>
      </c>
      <c r="E1294">
        <v>0</v>
      </c>
      <c r="F1294">
        <v>0</v>
      </c>
    </row>
    <row r="1295" spans="1:6" x14ac:dyDescent="0.25">
      <c r="A1295" t="s">
        <v>25</v>
      </c>
      <c r="B1295" t="s">
        <v>1638</v>
      </c>
      <c r="C1295">
        <v>35804</v>
      </c>
      <c r="D1295">
        <v>0</v>
      </c>
      <c r="E1295">
        <v>0</v>
      </c>
      <c r="F1295">
        <v>0</v>
      </c>
    </row>
    <row r="1296" spans="1:6" x14ac:dyDescent="0.25">
      <c r="A1296" t="s">
        <v>26</v>
      </c>
      <c r="B1296" t="s">
        <v>1650</v>
      </c>
      <c r="C1296">
        <v>35805</v>
      </c>
      <c r="D1296">
        <v>0</v>
      </c>
      <c r="E1296">
        <v>0</v>
      </c>
      <c r="F1296">
        <v>0</v>
      </c>
    </row>
    <row r="1297" spans="1:6" x14ac:dyDescent="0.25">
      <c r="A1297" t="s">
        <v>27</v>
      </c>
      <c r="B1297" t="s">
        <v>1651</v>
      </c>
      <c r="C1297">
        <v>35806</v>
      </c>
      <c r="D1297">
        <v>0</v>
      </c>
      <c r="E1297">
        <v>0</v>
      </c>
      <c r="F1297">
        <v>0</v>
      </c>
    </row>
    <row r="1298" spans="1:6" x14ac:dyDescent="0.25">
      <c r="A1298" t="s">
        <v>531</v>
      </c>
      <c r="B1298" t="s">
        <v>1640</v>
      </c>
      <c r="C1298">
        <v>35807</v>
      </c>
      <c r="D1298">
        <v>0</v>
      </c>
      <c r="E1298">
        <v>0</v>
      </c>
      <c r="F1298">
        <v>0</v>
      </c>
    </row>
    <row r="1299" spans="1:6" x14ac:dyDescent="0.25">
      <c r="A1299" t="s">
        <v>1583</v>
      </c>
      <c r="B1299" t="s">
        <v>1641</v>
      </c>
      <c r="C1299">
        <v>35808</v>
      </c>
      <c r="D1299">
        <v>0</v>
      </c>
      <c r="E1299">
        <v>0</v>
      </c>
      <c r="F1299">
        <v>0</v>
      </c>
    </row>
    <row r="1300" spans="1:6" x14ac:dyDescent="0.25">
      <c r="B1300" t="s">
        <v>2000</v>
      </c>
      <c r="D1300">
        <v>0</v>
      </c>
      <c r="E1300">
        <v>0</v>
      </c>
      <c r="F1300">
        <v>0</v>
      </c>
    </row>
    <row r="1301" spans="1:6" x14ac:dyDescent="0.25">
      <c r="B1301" t="s">
        <v>1728</v>
      </c>
      <c r="D1301">
        <v>0</v>
      </c>
      <c r="E1301">
        <v>0</v>
      </c>
      <c r="F1301">
        <v>0</v>
      </c>
    </row>
    <row r="1302" spans="1:6" x14ac:dyDescent="0.25">
      <c r="B1302" t="s">
        <v>2001</v>
      </c>
    </row>
    <row r="1303" spans="1:6" x14ac:dyDescent="0.25">
      <c r="B1303" t="s">
        <v>1672</v>
      </c>
    </row>
    <row r="1304" spans="1:6" x14ac:dyDescent="0.25">
      <c r="A1304" t="s">
        <v>2</v>
      </c>
      <c r="B1304" t="s">
        <v>1673</v>
      </c>
      <c r="C1304">
        <v>36101</v>
      </c>
      <c r="D1304">
        <v>0</v>
      </c>
      <c r="E1304">
        <v>0</v>
      </c>
      <c r="F1304">
        <v>0</v>
      </c>
    </row>
    <row r="1305" spans="1:6" x14ac:dyDescent="0.25">
      <c r="A1305" t="s">
        <v>15</v>
      </c>
      <c r="B1305" t="s">
        <v>1674</v>
      </c>
      <c r="C1305">
        <v>36102</v>
      </c>
      <c r="D1305">
        <v>0</v>
      </c>
      <c r="E1305">
        <v>0</v>
      </c>
      <c r="F1305">
        <v>0</v>
      </c>
    </row>
    <row r="1306" spans="1:6" x14ac:dyDescent="0.25">
      <c r="A1306" t="s">
        <v>16</v>
      </c>
      <c r="B1306" t="s">
        <v>1675</v>
      </c>
      <c r="C1306">
        <v>36103</v>
      </c>
      <c r="D1306">
        <v>0</v>
      </c>
      <c r="E1306">
        <v>0</v>
      </c>
      <c r="F1306">
        <v>0</v>
      </c>
    </row>
    <row r="1307" spans="1:6" x14ac:dyDescent="0.25">
      <c r="A1307" t="s">
        <v>25</v>
      </c>
      <c r="B1307" t="s">
        <v>1676</v>
      </c>
      <c r="C1307">
        <v>36104</v>
      </c>
      <c r="D1307">
        <v>0</v>
      </c>
      <c r="E1307">
        <v>0</v>
      </c>
      <c r="F1307">
        <v>0</v>
      </c>
    </row>
    <row r="1308" spans="1:6" x14ac:dyDescent="0.25">
      <c r="A1308" t="s">
        <v>26</v>
      </c>
      <c r="B1308" t="s">
        <v>1677</v>
      </c>
      <c r="C1308">
        <v>36105</v>
      </c>
      <c r="D1308">
        <v>0</v>
      </c>
      <c r="E1308">
        <v>0</v>
      </c>
      <c r="F1308">
        <v>0</v>
      </c>
    </row>
    <row r="1309" spans="1:6" x14ac:dyDescent="0.25">
      <c r="B1309" t="s">
        <v>2002</v>
      </c>
      <c r="D1309">
        <v>0</v>
      </c>
      <c r="E1309">
        <v>0</v>
      </c>
      <c r="F1309">
        <v>0</v>
      </c>
    </row>
    <row r="1310" spans="1:6" x14ac:dyDescent="0.25">
      <c r="B1310" t="s">
        <v>1679</v>
      </c>
    </row>
    <row r="1311" spans="1:6" x14ac:dyDescent="0.25">
      <c r="A1311" t="s">
        <v>2</v>
      </c>
      <c r="B1311" t="s">
        <v>1680</v>
      </c>
      <c r="C1311">
        <v>36201</v>
      </c>
      <c r="D1311">
        <v>0</v>
      </c>
      <c r="E1311">
        <v>0</v>
      </c>
      <c r="F1311">
        <v>0</v>
      </c>
    </row>
    <row r="1312" spans="1:6" x14ac:dyDescent="0.25">
      <c r="A1312" t="s">
        <v>15</v>
      </c>
      <c r="B1312" t="s">
        <v>1681</v>
      </c>
      <c r="C1312">
        <v>36202</v>
      </c>
      <c r="D1312">
        <v>0</v>
      </c>
      <c r="E1312">
        <v>0</v>
      </c>
      <c r="F1312">
        <v>0</v>
      </c>
    </row>
    <row r="1313" spans="1:6" x14ac:dyDescent="0.25">
      <c r="A1313" t="s">
        <v>16</v>
      </c>
      <c r="B1313" t="s">
        <v>1682</v>
      </c>
      <c r="C1313">
        <v>36203</v>
      </c>
      <c r="D1313">
        <v>0</v>
      </c>
      <c r="E1313">
        <v>0</v>
      </c>
      <c r="F1313">
        <v>0</v>
      </c>
    </row>
    <row r="1314" spans="1:6" x14ac:dyDescent="0.25">
      <c r="A1314" t="s">
        <v>25</v>
      </c>
      <c r="B1314" t="s">
        <v>1683</v>
      </c>
      <c r="C1314">
        <v>36204</v>
      </c>
      <c r="D1314">
        <v>0</v>
      </c>
      <c r="E1314">
        <v>0</v>
      </c>
      <c r="F1314">
        <v>0</v>
      </c>
    </row>
    <row r="1315" spans="1:6" x14ac:dyDescent="0.25">
      <c r="A1315" t="s">
        <v>26</v>
      </c>
      <c r="B1315" t="s">
        <v>1684</v>
      </c>
      <c r="C1315">
        <v>36205</v>
      </c>
      <c r="D1315">
        <v>0</v>
      </c>
      <c r="E1315">
        <v>0</v>
      </c>
      <c r="F1315">
        <v>0</v>
      </c>
    </row>
    <row r="1316" spans="1:6" x14ac:dyDescent="0.25">
      <c r="A1316" t="s">
        <v>27</v>
      </c>
      <c r="B1316" t="s">
        <v>1685</v>
      </c>
      <c r="C1316">
        <v>36206</v>
      </c>
      <c r="D1316">
        <v>0</v>
      </c>
      <c r="E1316">
        <v>0</v>
      </c>
      <c r="F1316">
        <v>0</v>
      </c>
    </row>
    <row r="1317" spans="1:6" x14ac:dyDescent="0.25">
      <c r="A1317" t="s">
        <v>531</v>
      </c>
      <c r="B1317" t="s">
        <v>1686</v>
      </c>
      <c r="C1317">
        <v>36207</v>
      </c>
      <c r="D1317">
        <v>0</v>
      </c>
      <c r="E1317">
        <v>0</v>
      </c>
      <c r="F1317">
        <v>0</v>
      </c>
    </row>
    <row r="1318" spans="1:6" x14ac:dyDescent="0.25">
      <c r="A1318" t="s">
        <v>1583</v>
      </c>
      <c r="B1318" t="s">
        <v>1687</v>
      </c>
      <c r="C1318">
        <v>36208</v>
      </c>
      <c r="D1318">
        <v>0</v>
      </c>
      <c r="E1318">
        <v>0</v>
      </c>
      <c r="F1318">
        <v>0</v>
      </c>
    </row>
    <row r="1319" spans="1:6" x14ac:dyDescent="0.25">
      <c r="A1319" t="s">
        <v>1585</v>
      </c>
      <c r="B1319" t="s">
        <v>1688</v>
      </c>
      <c r="C1319">
        <v>36209</v>
      </c>
      <c r="D1319">
        <v>0</v>
      </c>
      <c r="E1319">
        <v>0</v>
      </c>
      <c r="F1319">
        <v>0</v>
      </c>
    </row>
    <row r="1320" spans="1:6" x14ac:dyDescent="0.25">
      <c r="A1320" t="s">
        <v>1587</v>
      </c>
      <c r="B1320" t="s">
        <v>1637</v>
      </c>
      <c r="C1320">
        <v>36210</v>
      </c>
      <c r="D1320">
        <v>0</v>
      </c>
      <c r="E1320">
        <v>0</v>
      </c>
      <c r="F1320">
        <v>0</v>
      </c>
    </row>
    <row r="1321" spans="1:6" x14ac:dyDescent="0.25">
      <c r="A1321" t="s">
        <v>1589</v>
      </c>
      <c r="B1321" t="s">
        <v>1640</v>
      </c>
      <c r="C1321">
        <v>36211</v>
      </c>
      <c r="D1321">
        <v>0</v>
      </c>
      <c r="E1321">
        <v>0</v>
      </c>
      <c r="F1321">
        <v>0</v>
      </c>
    </row>
    <row r="1322" spans="1:6" x14ac:dyDescent="0.25">
      <c r="A1322" t="s">
        <v>1591</v>
      </c>
      <c r="B1322" t="s">
        <v>1689</v>
      </c>
      <c r="C1322">
        <v>36212</v>
      </c>
      <c r="D1322">
        <v>0</v>
      </c>
      <c r="E1322">
        <v>0</v>
      </c>
      <c r="F1322">
        <v>0</v>
      </c>
    </row>
    <row r="1323" spans="1:6" x14ac:dyDescent="0.25">
      <c r="A1323" t="s">
        <v>1593</v>
      </c>
      <c r="B1323" t="s">
        <v>1690</v>
      </c>
      <c r="C1323">
        <v>36213</v>
      </c>
      <c r="D1323">
        <v>0</v>
      </c>
      <c r="E1323">
        <v>0</v>
      </c>
      <c r="F1323">
        <v>0</v>
      </c>
    </row>
    <row r="1324" spans="1:6" x14ac:dyDescent="0.25">
      <c r="B1324" t="s">
        <v>2003</v>
      </c>
      <c r="D1324">
        <v>0</v>
      </c>
      <c r="E1324">
        <v>0</v>
      </c>
      <c r="F1324">
        <v>0</v>
      </c>
    </row>
    <row r="1325" spans="1:6" x14ac:dyDescent="0.25">
      <c r="B1325" t="s">
        <v>1692</v>
      </c>
    </row>
    <row r="1326" spans="1:6" x14ac:dyDescent="0.25">
      <c r="A1326" t="s">
        <v>2</v>
      </c>
      <c r="B1326" t="s">
        <v>1693</v>
      </c>
      <c r="C1326">
        <v>36301</v>
      </c>
      <c r="D1326">
        <v>0</v>
      </c>
      <c r="E1326">
        <v>0</v>
      </c>
      <c r="F1326">
        <v>0</v>
      </c>
    </row>
    <row r="1327" spans="1:6" x14ac:dyDescent="0.25">
      <c r="A1327" t="s">
        <v>15</v>
      </c>
      <c r="B1327" t="s">
        <v>1694</v>
      </c>
      <c r="C1327">
        <v>36302</v>
      </c>
      <c r="D1327">
        <v>0</v>
      </c>
      <c r="E1327">
        <v>0</v>
      </c>
      <c r="F1327">
        <v>0</v>
      </c>
    </row>
    <row r="1328" spans="1:6" x14ac:dyDescent="0.25">
      <c r="A1328" t="s">
        <v>16</v>
      </c>
      <c r="B1328" t="s">
        <v>1695</v>
      </c>
      <c r="C1328">
        <v>36303</v>
      </c>
      <c r="D1328">
        <v>0</v>
      </c>
      <c r="E1328">
        <v>0</v>
      </c>
      <c r="F1328">
        <v>0</v>
      </c>
    </row>
    <row r="1329" spans="1:6" x14ac:dyDescent="0.25">
      <c r="A1329" t="s">
        <v>25</v>
      </c>
      <c r="B1329" t="s">
        <v>1696</v>
      </c>
      <c r="C1329">
        <v>36304</v>
      </c>
      <c r="D1329">
        <v>0</v>
      </c>
      <c r="E1329">
        <v>0</v>
      </c>
      <c r="F1329">
        <v>0</v>
      </c>
    </row>
    <row r="1330" spans="1:6" x14ac:dyDescent="0.25">
      <c r="A1330" t="s">
        <v>26</v>
      </c>
      <c r="B1330" t="s">
        <v>1680</v>
      </c>
      <c r="C1330">
        <v>36305</v>
      </c>
      <c r="D1330">
        <v>0</v>
      </c>
      <c r="E1330">
        <v>0</v>
      </c>
      <c r="F1330">
        <v>0</v>
      </c>
    </row>
    <row r="1331" spans="1:6" x14ac:dyDescent="0.25">
      <c r="A1331" t="s">
        <v>27</v>
      </c>
      <c r="B1331" t="s">
        <v>1681</v>
      </c>
      <c r="C1331">
        <v>36306</v>
      </c>
      <c r="D1331">
        <v>0</v>
      </c>
      <c r="E1331">
        <v>0</v>
      </c>
      <c r="F1331">
        <v>0</v>
      </c>
    </row>
    <row r="1332" spans="1:6" x14ac:dyDescent="0.25">
      <c r="A1332" t="s">
        <v>531</v>
      </c>
      <c r="B1332" t="s">
        <v>1682</v>
      </c>
      <c r="C1332">
        <v>36307</v>
      </c>
      <c r="D1332">
        <v>0</v>
      </c>
      <c r="E1332">
        <v>0</v>
      </c>
      <c r="F1332">
        <v>0</v>
      </c>
    </row>
    <row r="1333" spans="1:6" x14ac:dyDescent="0.25">
      <c r="A1333" t="s">
        <v>1583</v>
      </c>
      <c r="B1333" t="s">
        <v>1683</v>
      </c>
      <c r="C1333">
        <v>36308</v>
      </c>
      <c r="D1333">
        <v>0</v>
      </c>
      <c r="E1333">
        <v>0</v>
      </c>
      <c r="F1333">
        <v>0</v>
      </c>
    </row>
    <row r="1334" spans="1:6" x14ac:dyDescent="0.25">
      <c r="A1334" t="s">
        <v>1585</v>
      </c>
      <c r="B1334" t="s">
        <v>1684</v>
      </c>
      <c r="C1334">
        <v>36309</v>
      </c>
      <c r="D1334">
        <v>0</v>
      </c>
      <c r="E1334">
        <v>0</v>
      </c>
      <c r="F1334">
        <v>0</v>
      </c>
    </row>
    <row r="1335" spans="1:6" x14ac:dyDescent="0.25">
      <c r="A1335" t="s">
        <v>1587</v>
      </c>
      <c r="B1335" t="s">
        <v>1685</v>
      </c>
      <c r="C1335">
        <v>36310</v>
      </c>
      <c r="D1335">
        <v>0</v>
      </c>
      <c r="E1335">
        <v>0</v>
      </c>
      <c r="F1335">
        <v>0</v>
      </c>
    </row>
    <row r="1336" spans="1:6" x14ac:dyDescent="0.25">
      <c r="A1336" t="s">
        <v>1589</v>
      </c>
      <c r="B1336" t="s">
        <v>1686</v>
      </c>
      <c r="C1336">
        <v>36311</v>
      </c>
      <c r="D1336">
        <v>0</v>
      </c>
      <c r="E1336">
        <v>0</v>
      </c>
      <c r="F1336">
        <v>0</v>
      </c>
    </row>
    <row r="1337" spans="1:6" x14ac:dyDescent="0.25">
      <c r="A1337" t="s">
        <v>1591</v>
      </c>
      <c r="B1337" t="s">
        <v>1687</v>
      </c>
      <c r="C1337">
        <v>36312</v>
      </c>
      <c r="D1337">
        <v>0</v>
      </c>
      <c r="E1337">
        <v>0</v>
      </c>
      <c r="F1337">
        <v>0</v>
      </c>
    </row>
    <row r="1338" spans="1:6" x14ac:dyDescent="0.25">
      <c r="A1338" t="s">
        <v>1593</v>
      </c>
      <c r="B1338" t="s">
        <v>1688</v>
      </c>
      <c r="C1338">
        <v>36313</v>
      </c>
      <c r="D1338">
        <v>0</v>
      </c>
      <c r="E1338">
        <v>0</v>
      </c>
      <c r="F1338">
        <v>0</v>
      </c>
    </row>
    <row r="1339" spans="1:6" x14ac:dyDescent="0.25">
      <c r="A1339" t="s">
        <v>1595</v>
      </c>
      <c r="B1339" t="s">
        <v>1690</v>
      </c>
      <c r="C1339">
        <v>36314</v>
      </c>
      <c r="D1339">
        <v>0</v>
      </c>
      <c r="E1339">
        <v>0</v>
      </c>
      <c r="F1339">
        <v>0</v>
      </c>
    </row>
    <row r="1340" spans="1:6" x14ac:dyDescent="0.25">
      <c r="A1340" t="s">
        <v>1597</v>
      </c>
      <c r="B1340" t="s">
        <v>1637</v>
      </c>
      <c r="C1340">
        <v>36315</v>
      </c>
      <c r="D1340">
        <v>0</v>
      </c>
      <c r="E1340">
        <v>0</v>
      </c>
      <c r="F1340">
        <v>0</v>
      </c>
    </row>
    <row r="1341" spans="1:6" x14ac:dyDescent="0.25">
      <c r="A1341" t="s">
        <v>1599</v>
      </c>
      <c r="B1341" t="s">
        <v>1640</v>
      </c>
      <c r="C1341">
        <v>36316</v>
      </c>
      <c r="D1341">
        <v>0</v>
      </c>
      <c r="E1341">
        <v>0</v>
      </c>
      <c r="F1341">
        <v>0</v>
      </c>
    </row>
    <row r="1342" spans="1:6" x14ac:dyDescent="0.25">
      <c r="A1342" t="s">
        <v>1601</v>
      </c>
      <c r="B1342" t="s">
        <v>1636</v>
      </c>
      <c r="C1342">
        <v>36317</v>
      </c>
      <c r="D1342">
        <v>0</v>
      </c>
      <c r="E1342">
        <v>0</v>
      </c>
      <c r="F1342">
        <v>0</v>
      </c>
    </row>
    <row r="1343" spans="1:6" x14ac:dyDescent="0.25">
      <c r="A1343" t="s">
        <v>1603</v>
      </c>
      <c r="B1343" t="s">
        <v>1689</v>
      </c>
      <c r="C1343">
        <v>36318</v>
      </c>
      <c r="D1343">
        <v>0</v>
      </c>
      <c r="E1343">
        <v>0</v>
      </c>
      <c r="F1343">
        <v>0</v>
      </c>
    </row>
    <row r="1344" spans="1:6" x14ac:dyDescent="0.25">
      <c r="B1344" t="s">
        <v>2004</v>
      </c>
      <c r="D1344">
        <v>0</v>
      </c>
      <c r="E1344">
        <v>0</v>
      </c>
      <c r="F1344">
        <v>0</v>
      </c>
    </row>
    <row r="1345" spans="1:6" x14ac:dyDescent="0.25">
      <c r="B1345" t="s">
        <v>1698</v>
      </c>
    </row>
    <row r="1346" spans="1:6" x14ac:dyDescent="0.25">
      <c r="A1346" t="s">
        <v>2</v>
      </c>
      <c r="B1346" t="s">
        <v>1699</v>
      </c>
      <c r="C1346">
        <v>36401</v>
      </c>
      <c r="D1346">
        <v>0</v>
      </c>
      <c r="E1346">
        <v>0</v>
      </c>
      <c r="F1346">
        <v>0</v>
      </c>
    </row>
    <row r="1347" spans="1:6" x14ac:dyDescent="0.25">
      <c r="A1347" t="s">
        <v>15</v>
      </c>
      <c r="B1347" t="s">
        <v>1694</v>
      </c>
      <c r="C1347">
        <v>36402</v>
      </c>
      <c r="D1347">
        <v>0</v>
      </c>
      <c r="E1347">
        <v>0</v>
      </c>
      <c r="F1347">
        <v>0</v>
      </c>
    </row>
    <row r="1348" spans="1:6" x14ac:dyDescent="0.25">
      <c r="A1348" t="s">
        <v>16</v>
      </c>
      <c r="B1348" t="s">
        <v>1695</v>
      </c>
      <c r="C1348">
        <v>36403</v>
      </c>
      <c r="D1348">
        <v>0</v>
      </c>
      <c r="E1348">
        <v>0</v>
      </c>
      <c r="F1348">
        <v>0</v>
      </c>
    </row>
    <row r="1349" spans="1:6" x14ac:dyDescent="0.25">
      <c r="A1349" t="s">
        <v>25</v>
      </c>
      <c r="B1349" t="s">
        <v>1696</v>
      </c>
      <c r="C1349">
        <v>36404</v>
      </c>
      <c r="D1349">
        <v>0</v>
      </c>
      <c r="E1349">
        <v>0</v>
      </c>
      <c r="F1349">
        <v>0</v>
      </c>
    </row>
    <row r="1350" spans="1:6" x14ac:dyDescent="0.25">
      <c r="A1350" t="s">
        <v>26</v>
      </c>
      <c r="B1350" t="s">
        <v>1680</v>
      </c>
      <c r="C1350">
        <v>36405</v>
      </c>
      <c r="D1350">
        <v>0</v>
      </c>
      <c r="E1350">
        <v>0</v>
      </c>
      <c r="F1350">
        <v>0</v>
      </c>
    </row>
    <row r="1351" spans="1:6" x14ac:dyDescent="0.25">
      <c r="A1351" t="s">
        <v>27</v>
      </c>
      <c r="B1351" t="s">
        <v>1681</v>
      </c>
      <c r="C1351">
        <v>36406</v>
      </c>
      <c r="D1351">
        <v>0</v>
      </c>
      <c r="E1351">
        <v>0</v>
      </c>
      <c r="F1351">
        <v>0</v>
      </c>
    </row>
    <row r="1352" spans="1:6" x14ac:dyDescent="0.25">
      <c r="A1352" t="s">
        <v>531</v>
      </c>
      <c r="B1352" t="s">
        <v>1682</v>
      </c>
      <c r="C1352">
        <v>36407</v>
      </c>
      <c r="D1352">
        <v>0</v>
      </c>
      <c r="E1352">
        <v>0</v>
      </c>
      <c r="F1352">
        <v>0</v>
      </c>
    </row>
    <row r="1353" spans="1:6" x14ac:dyDescent="0.25">
      <c r="A1353" t="s">
        <v>1583</v>
      </c>
      <c r="B1353" t="s">
        <v>1683</v>
      </c>
      <c r="C1353">
        <v>36408</v>
      </c>
      <c r="D1353">
        <v>0</v>
      </c>
      <c r="E1353">
        <v>0</v>
      </c>
      <c r="F1353">
        <v>0</v>
      </c>
    </row>
    <row r="1354" spans="1:6" x14ac:dyDescent="0.25">
      <c r="A1354" t="s">
        <v>1585</v>
      </c>
      <c r="B1354" t="s">
        <v>1684</v>
      </c>
      <c r="C1354">
        <v>36409</v>
      </c>
      <c r="D1354">
        <v>0</v>
      </c>
      <c r="E1354">
        <v>0</v>
      </c>
      <c r="F1354">
        <v>0</v>
      </c>
    </row>
    <row r="1355" spans="1:6" x14ac:dyDescent="0.25">
      <c r="A1355" t="s">
        <v>1587</v>
      </c>
      <c r="B1355" t="s">
        <v>1685</v>
      </c>
      <c r="C1355">
        <v>36410</v>
      </c>
      <c r="D1355">
        <v>0</v>
      </c>
      <c r="E1355">
        <v>0</v>
      </c>
      <c r="F1355">
        <v>0</v>
      </c>
    </row>
    <row r="1356" spans="1:6" x14ac:dyDescent="0.25">
      <c r="A1356" t="s">
        <v>1589</v>
      </c>
      <c r="B1356" t="s">
        <v>1686</v>
      </c>
      <c r="C1356">
        <v>36411</v>
      </c>
      <c r="D1356">
        <v>0</v>
      </c>
      <c r="E1356">
        <v>0</v>
      </c>
      <c r="F1356">
        <v>0</v>
      </c>
    </row>
    <row r="1357" spans="1:6" x14ac:dyDescent="0.25">
      <c r="A1357" t="s">
        <v>1591</v>
      </c>
      <c r="B1357" t="s">
        <v>1687</v>
      </c>
      <c r="C1357">
        <v>36412</v>
      </c>
      <c r="D1357">
        <v>0</v>
      </c>
      <c r="E1357">
        <v>0</v>
      </c>
      <c r="F1357">
        <v>0</v>
      </c>
    </row>
    <row r="1358" spans="1:6" x14ac:dyDescent="0.25">
      <c r="A1358" t="s">
        <v>1593</v>
      </c>
      <c r="B1358" t="s">
        <v>1688</v>
      </c>
      <c r="C1358">
        <v>36413</v>
      </c>
      <c r="D1358">
        <v>0</v>
      </c>
      <c r="E1358">
        <v>0</v>
      </c>
      <c r="F1358">
        <v>0</v>
      </c>
    </row>
    <row r="1359" spans="1:6" x14ac:dyDescent="0.25">
      <c r="A1359" t="s">
        <v>1595</v>
      </c>
      <c r="B1359" t="s">
        <v>1690</v>
      </c>
      <c r="C1359">
        <v>36414</v>
      </c>
      <c r="D1359">
        <v>0</v>
      </c>
      <c r="E1359">
        <v>0</v>
      </c>
      <c r="F1359">
        <v>0</v>
      </c>
    </row>
    <row r="1360" spans="1:6" x14ac:dyDescent="0.25">
      <c r="A1360" t="s">
        <v>1597</v>
      </c>
      <c r="B1360" t="s">
        <v>1637</v>
      </c>
      <c r="C1360">
        <v>36415</v>
      </c>
      <c r="D1360">
        <v>0</v>
      </c>
      <c r="E1360">
        <v>0</v>
      </c>
      <c r="F1360">
        <v>0</v>
      </c>
    </row>
    <row r="1361" spans="1:6" x14ac:dyDescent="0.25">
      <c r="A1361" t="s">
        <v>1599</v>
      </c>
      <c r="B1361" t="s">
        <v>1640</v>
      </c>
      <c r="C1361">
        <v>36416</v>
      </c>
      <c r="D1361">
        <v>0</v>
      </c>
      <c r="E1361">
        <v>0</v>
      </c>
      <c r="F1361">
        <v>0</v>
      </c>
    </row>
    <row r="1362" spans="1:6" x14ac:dyDescent="0.25">
      <c r="A1362" t="s">
        <v>1601</v>
      </c>
      <c r="B1362" t="s">
        <v>1636</v>
      </c>
      <c r="C1362">
        <v>36417</v>
      </c>
      <c r="D1362">
        <v>0</v>
      </c>
      <c r="E1362">
        <v>0</v>
      </c>
      <c r="F1362">
        <v>0</v>
      </c>
    </row>
    <row r="1363" spans="1:6" x14ac:dyDescent="0.25">
      <c r="A1363" t="s">
        <v>1603</v>
      </c>
      <c r="B1363" t="s">
        <v>1689</v>
      </c>
      <c r="C1363">
        <v>36418</v>
      </c>
      <c r="D1363">
        <v>0</v>
      </c>
      <c r="E1363">
        <v>0</v>
      </c>
      <c r="F1363">
        <v>0</v>
      </c>
    </row>
    <row r="1364" spans="1:6" x14ac:dyDescent="0.25">
      <c r="B1364" t="s">
        <v>2005</v>
      </c>
      <c r="D1364">
        <v>0</v>
      </c>
      <c r="E1364">
        <v>0</v>
      </c>
      <c r="F1364">
        <v>0</v>
      </c>
    </row>
    <row r="1365" spans="1:6" x14ac:dyDescent="0.25">
      <c r="B1365" t="s">
        <v>1701</v>
      </c>
    </row>
    <row r="1366" spans="1:6" x14ac:dyDescent="0.25">
      <c r="A1366" t="s">
        <v>2</v>
      </c>
      <c r="B1366" t="s">
        <v>1702</v>
      </c>
      <c r="C1366">
        <v>36501</v>
      </c>
      <c r="D1366">
        <v>0</v>
      </c>
      <c r="E1366">
        <v>0</v>
      </c>
      <c r="F1366">
        <v>0</v>
      </c>
    </row>
    <row r="1367" spans="1:6" x14ac:dyDescent="0.25">
      <c r="A1367" t="s">
        <v>15</v>
      </c>
      <c r="B1367" t="s">
        <v>1703</v>
      </c>
      <c r="C1367">
        <v>36502</v>
      </c>
      <c r="D1367">
        <v>0</v>
      </c>
      <c r="E1367">
        <v>0</v>
      </c>
      <c r="F1367">
        <v>0</v>
      </c>
    </row>
    <row r="1368" spans="1:6" x14ac:dyDescent="0.25">
      <c r="B1368" t="s">
        <v>2006</v>
      </c>
      <c r="D1368">
        <v>0</v>
      </c>
      <c r="E1368">
        <v>0</v>
      </c>
      <c r="F1368">
        <v>0</v>
      </c>
    </row>
    <row r="1369" spans="1:6" x14ac:dyDescent="0.25">
      <c r="B1369" t="s">
        <v>1705</v>
      </c>
    </row>
    <row r="1370" spans="1:6" x14ac:dyDescent="0.25">
      <c r="A1370" t="s">
        <v>2</v>
      </c>
      <c r="B1370" t="s">
        <v>1702</v>
      </c>
      <c r="C1370">
        <v>36601</v>
      </c>
      <c r="D1370">
        <v>0</v>
      </c>
      <c r="E1370">
        <v>0</v>
      </c>
      <c r="F1370">
        <v>0</v>
      </c>
    </row>
    <row r="1371" spans="1:6" x14ac:dyDescent="0.25">
      <c r="A1371" t="s">
        <v>15</v>
      </c>
      <c r="B1371" t="s">
        <v>1703</v>
      </c>
      <c r="C1371">
        <v>36602</v>
      </c>
      <c r="D1371">
        <v>0</v>
      </c>
      <c r="E1371">
        <v>0</v>
      </c>
      <c r="F1371">
        <v>0</v>
      </c>
    </row>
    <row r="1372" spans="1:6" x14ac:dyDescent="0.25">
      <c r="B1372" t="s">
        <v>2007</v>
      </c>
      <c r="D1372">
        <v>0</v>
      </c>
      <c r="E1372">
        <v>0</v>
      </c>
      <c r="F1372">
        <v>0</v>
      </c>
    </row>
    <row r="1373" spans="1:6" x14ac:dyDescent="0.25">
      <c r="B1373" t="s">
        <v>1707</v>
      </c>
    </row>
    <row r="1374" spans="1:6" x14ac:dyDescent="0.25">
      <c r="A1374" t="s">
        <v>2</v>
      </c>
      <c r="B1374" t="s">
        <v>1702</v>
      </c>
      <c r="C1374">
        <v>36701</v>
      </c>
      <c r="D1374">
        <v>0</v>
      </c>
      <c r="E1374">
        <v>0</v>
      </c>
      <c r="F1374">
        <v>0</v>
      </c>
    </row>
    <row r="1375" spans="1:6" x14ac:dyDescent="0.25">
      <c r="A1375" t="s">
        <v>15</v>
      </c>
      <c r="B1375" t="s">
        <v>1703</v>
      </c>
      <c r="C1375">
        <v>36702</v>
      </c>
      <c r="D1375">
        <v>0</v>
      </c>
      <c r="E1375">
        <v>0</v>
      </c>
      <c r="F1375">
        <v>0</v>
      </c>
    </row>
    <row r="1376" spans="1:6" x14ac:dyDescent="0.25">
      <c r="B1376" t="s">
        <v>2008</v>
      </c>
      <c r="D1376">
        <v>0</v>
      </c>
      <c r="E1376">
        <v>0</v>
      </c>
      <c r="F1376">
        <v>0</v>
      </c>
    </row>
    <row r="1377" spans="1:6" x14ac:dyDescent="0.25">
      <c r="B1377" t="s">
        <v>1709</v>
      </c>
    </row>
    <row r="1378" spans="1:6" x14ac:dyDescent="0.25">
      <c r="A1378" t="s">
        <v>2</v>
      </c>
      <c r="B1378" t="s">
        <v>1710</v>
      </c>
      <c r="C1378">
        <v>36801</v>
      </c>
      <c r="D1378">
        <v>0</v>
      </c>
      <c r="E1378">
        <v>0</v>
      </c>
      <c r="F1378">
        <v>0</v>
      </c>
    </row>
    <row r="1379" spans="1:6" x14ac:dyDescent="0.25">
      <c r="A1379" t="s">
        <v>15</v>
      </c>
      <c r="B1379" t="s">
        <v>1711</v>
      </c>
      <c r="C1379">
        <v>36802</v>
      </c>
      <c r="D1379">
        <v>0</v>
      </c>
      <c r="E1379">
        <v>0</v>
      </c>
      <c r="F1379">
        <v>0</v>
      </c>
    </row>
    <row r="1380" spans="1:6" x14ac:dyDescent="0.25">
      <c r="A1380" t="s">
        <v>16</v>
      </c>
      <c r="B1380" t="s">
        <v>1712</v>
      </c>
      <c r="C1380">
        <v>36803</v>
      </c>
      <c r="D1380">
        <v>0</v>
      </c>
      <c r="E1380">
        <v>0</v>
      </c>
      <c r="F1380">
        <v>0</v>
      </c>
    </row>
    <row r="1381" spans="1:6" x14ac:dyDescent="0.25">
      <c r="A1381" t="s">
        <v>25</v>
      </c>
      <c r="B1381" t="s">
        <v>1713</v>
      </c>
      <c r="C1381">
        <v>36804</v>
      </c>
      <c r="D1381">
        <v>0</v>
      </c>
      <c r="E1381">
        <v>0</v>
      </c>
      <c r="F1381">
        <v>0</v>
      </c>
    </row>
    <row r="1382" spans="1:6" x14ac:dyDescent="0.25">
      <c r="A1382" t="s">
        <v>26</v>
      </c>
      <c r="B1382" t="s">
        <v>1714</v>
      </c>
      <c r="C1382">
        <v>36805</v>
      </c>
      <c r="D1382">
        <v>0</v>
      </c>
      <c r="E1382">
        <v>0</v>
      </c>
      <c r="F1382">
        <v>0</v>
      </c>
    </row>
    <row r="1383" spans="1:6" x14ac:dyDescent="0.25">
      <c r="B1383" t="s">
        <v>2009</v>
      </c>
      <c r="D1383">
        <v>0</v>
      </c>
      <c r="E1383">
        <v>0</v>
      </c>
      <c r="F1383">
        <v>0</v>
      </c>
    </row>
    <row r="1384" spans="1:6" x14ac:dyDescent="0.25">
      <c r="B1384" t="s">
        <v>1732</v>
      </c>
      <c r="D1384">
        <v>0</v>
      </c>
      <c r="E1384">
        <v>0</v>
      </c>
      <c r="F1384">
        <v>0</v>
      </c>
    </row>
    <row r="1385" spans="1:6" x14ac:dyDescent="0.25">
      <c r="B1385" t="s">
        <v>2010</v>
      </c>
    </row>
    <row r="1386" spans="1:6" x14ac:dyDescent="0.25">
      <c r="B1386" t="s">
        <v>1575</v>
      </c>
    </row>
    <row r="1387" spans="1:6" x14ac:dyDescent="0.25">
      <c r="A1387" t="s">
        <v>2</v>
      </c>
      <c r="B1387" t="s">
        <v>1576</v>
      </c>
      <c r="C1387">
        <v>37101</v>
      </c>
      <c r="D1387">
        <v>0</v>
      </c>
      <c r="F1387">
        <v>0</v>
      </c>
    </row>
    <row r="1388" spans="1:6" x14ac:dyDescent="0.25">
      <c r="A1388" t="s">
        <v>15</v>
      </c>
      <c r="B1388" t="s">
        <v>1577</v>
      </c>
      <c r="C1388">
        <v>37102</v>
      </c>
      <c r="D1388">
        <v>0</v>
      </c>
      <c r="F1388">
        <v>0</v>
      </c>
    </row>
    <row r="1389" spans="1:6" x14ac:dyDescent="0.25">
      <c r="A1389" t="s">
        <v>16</v>
      </c>
      <c r="B1389" t="s">
        <v>1578</v>
      </c>
      <c r="C1389">
        <v>37103</v>
      </c>
      <c r="D1389">
        <v>0</v>
      </c>
      <c r="F1389">
        <v>0</v>
      </c>
    </row>
    <row r="1390" spans="1:6" x14ac:dyDescent="0.25">
      <c r="A1390" t="s">
        <v>25</v>
      </c>
      <c r="B1390" t="s">
        <v>1579</v>
      </c>
      <c r="C1390">
        <v>37104</v>
      </c>
      <c r="D1390">
        <v>0</v>
      </c>
      <c r="F1390">
        <v>0</v>
      </c>
    </row>
    <row r="1391" spans="1:6" x14ac:dyDescent="0.25">
      <c r="A1391" t="s">
        <v>26</v>
      </c>
      <c r="B1391" t="s">
        <v>1580</v>
      </c>
      <c r="C1391">
        <v>37105</v>
      </c>
      <c r="D1391">
        <v>0</v>
      </c>
      <c r="F1391">
        <v>0</v>
      </c>
    </row>
    <row r="1392" spans="1:6" x14ac:dyDescent="0.25">
      <c r="A1392" t="s">
        <v>27</v>
      </c>
      <c r="B1392" t="s">
        <v>1581</v>
      </c>
      <c r="C1392">
        <v>37106</v>
      </c>
      <c r="D1392">
        <v>0</v>
      </c>
      <c r="F1392">
        <v>0</v>
      </c>
    </row>
    <row r="1393" spans="1:6" x14ac:dyDescent="0.25">
      <c r="A1393" t="s">
        <v>531</v>
      </c>
      <c r="B1393" t="s">
        <v>1582</v>
      </c>
      <c r="C1393">
        <v>37107</v>
      </c>
      <c r="D1393">
        <v>1920</v>
      </c>
      <c r="F1393">
        <v>1920</v>
      </c>
    </row>
    <row r="1394" spans="1:6" x14ac:dyDescent="0.25">
      <c r="A1394" t="s">
        <v>1583</v>
      </c>
      <c r="B1394" t="s">
        <v>1584</v>
      </c>
      <c r="C1394">
        <v>37108</v>
      </c>
      <c r="D1394">
        <v>0</v>
      </c>
      <c r="F1394">
        <v>0</v>
      </c>
    </row>
    <row r="1395" spans="1:6" x14ac:dyDescent="0.25">
      <c r="A1395" t="s">
        <v>1585</v>
      </c>
      <c r="B1395" t="s">
        <v>1586</v>
      </c>
      <c r="C1395">
        <v>37109</v>
      </c>
      <c r="D1395">
        <v>5608</v>
      </c>
      <c r="F1395">
        <v>5608</v>
      </c>
    </row>
    <row r="1396" spans="1:6" x14ac:dyDescent="0.25">
      <c r="A1396" t="s">
        <v>1587</v>
      </c>
      <c r="B1396" t="s">
        <v>1588</v>
      </c>
      <c r="C1396">
        <v>37110</v>
      </c>
      <c r="D1396">
        <v>104575</v>
      </c>
      <c r="F1396">
        <v>104575</v>
      </c>
    </row>
    <row r="1397" spans="1:6" x14ac:dyDescent="0.25">
      <c r="A1397" t="s">
        <v>1589</v>
      </c>
      <c r="B1397" t="s">
        <v>1590</v>
      </c>
      <c r="C1397">
        <v>37111</v>
      </c>
      <c r="D1397">
        <v>723066</v>
      </c>
      <c r="F1397">
        <v>723066</v>
      </c>
    </row>
    <row r="1398" spans="1:6" x14ac:dyDescent="0.25">
      <c r="A1398" t="s">
        <v>1591</v>
      </c>
      <c r="B1398" t="s">
        <v>1592</v>
      </c>
      <c r="C1398">
        <v>37112</v>
      </c>
      <c r="D1398">
        <v>19298334</v>
      </c>
      <c r="F1398">
        <v>19298334</v>
      </c>
    </row>
    <row r="1399" spans="1:6" x14ac:dyDescent="0.25">
      <c r="A1399" t="s">
        <v>1593</v>
      </c>
      <c r="B1399" t="s">
        <v>1594</v>
      </c>
      <c r="C1399">
        <v>37113</v>
      </c>
      <c r="D1399">
        <v>1576</v>
      </c>
      <c r="F1399">
        <v>1576</v>
      </c>
    </row>
    <row r="1400" spans="1:6" x14ac:dyDescent="0.25">
      <c r="A1400" t="s">
        <v>1595</v>
      </c>
      <c r="B1400" t="s">
        <v>1596</v>
      </c>
      <c r="C1400">
        <v>37114</v>
      </c>
      <c r="D1400">
        <v>460199</v>
      </c>
      <c r="F1400">
        <v>460199</v>
      </c>
    </row>
    <row r="1401" spans="1:6" x14ac:dyDescent="0.25">
      <c r="A1401" t="s">
        <v>1597</v>
      </c>
      <c r="B1401" t="s">
        <v>1598</v>
      </c>
      <c r="C1401">
        <v>37115</v>
      </c>
      <c r="D1401">
        <v>8023482</v>
      </c>
      <c r="F1401">
        <v>8023482</v>
      </c>
    </row>
    <row r="1402" spans="1:6" x14ac:dyDescent="0.25">
      <c r="A1402" t="s">
        <v>1599</v>
      </c>
      <c r="B1402" t="s">
        <v>1600</v>
      </c>
      <c r="C1402">
        <v>37116</v>
      </c>
      <c r="D1402">
        <v>0</v>
      </c>
      <c r="F1402">
        <v>0</v>
      </c>
    </row>
    <row r="1403" spans="1:6" x14ac:dyDescent="0.25">
      <c r="A1403" t="s">
        <v>1601</v>
      </c>
      <c r="B1403" t="s">
        <v>1602</v>
      </c>
      <c r="C1403">
        <v>37117</v>
      </c>
      <c r="D1403">
        <v>0</v>
      </c>
      <c r="F1403">
        <v>0</v>
      </c>
    </row>
    <row r="1404" spans="1:6" x14ac:dyDescent="0.25">
      <c r="A1404" t="s">
        <v>1603</v>
      </c>
      <c r="B1404" t="s">
        <v>1604</v>
      </c>
      <c r="C1404">
        <v>37118</v>
      </c>
      <c r="D1404">
        <v>613867</v>
      </c>
      <c r="F1404">
        <v>613867</v>
      </c>
    </row>
    <row r="1405" spans="1:6" x14ac:dyDescent="0.25">
      <c r="A1405" t="s">
        <v>1605</v>
      </c>
      <c r="B1405" t="s">
        <v>1606</v>
      </c>
      <c r="C1405">
        <v>37119</v>
      </c>
      <c r="D1405">
        <v>0</v>
      </c>
      <c r="F1405">
        <v>0</v>
      </c>
    </row>
    <row r="1406" spans="1:6" x14ac:dyDescent="0.25">
      <c r="A1406" t="s">
        <v>1607</v>
      </c>
      <c r="B1406" t="s">
        <v>1608</v>
      </c>
      <c r="C1406">
        <v>37120</v>
      </c>
      <c r="D1406">
        <v>0</v>
      </c>
      <c r="F1406">
        <v>0</v>
      </c>
    </row>
    <row r="1407" spans="1:6" x14ac:dyDescent="0.25">
      <c r="B1407" t="s">
        <v>2011</v>
      </c>
      <c r="D1407">
        <v>29232627</v>
      </c>
      <c r="F1407">
        <v>29232627</v>
      </c>
    </row>
    <row r="1408" spans="1:6" x14ac:dyDescent="0.25">
      <c r="B1408" t="s">
        <v>1656</v>
      </c>
    </row>
    <row r="1409" spans="1:6" x14ac:dyDescent="0.25">
      <c r="A1409" t="s">
        <v>2</v>
      </c>
      <c r="B1409" t="s">
        <v>1611</v>
      </c>
      <c r="C1409">
        <v>37201</v>
      </c>
      <c r="D1409">
        <v>0</v>
      </c>
      <c r="F1409">
        <v>0</v>
      </c>
    </row>
    <row r="1410" spans="1:6" x14ac:dyDescent="0.25">
      <c r="A1410" t="s">
        <v>15</v>
      </c>
      <c r="B1410" t="s">
        <v>1612</v>
      </c>
      <c r="C1410">
        <v>37202</v>
      </c>
      <c r="D1410">
        <v>0</v>
      </c>
      <c r="F1410">
        <v>0</v>
      </c>
    </row>
    <row r="1411" spans="1:6" x14ac:dyDescent="0.25">
      <c r="A1411" t="s">
        <v>16</v>
      </c>
      <c r="B1411" t="s">
        <v>1613</v>
      </c>
      <c r="C1411">
        <v>37203</v>
      </c>
      <c r="D1411">
        <v>0</v>
      </c>
      <c r="F1411">
        <v>0</v>
      </c>
    </row>
    <row r="1412" spans="1:6" x14ac:dyDescent="0.25">
      <c r="A1412" t="s">
        <v>25</v>
      </c>
      <c r="B1412" t="s">
        <v>1614</v>
      </c>
      <c r="C1412">
        <v>37204</v>
      </c>
      <c r="D1412">
        <v>0</v>
      </c>
      <c r="F1412">
        <v>0</v>
      </c>
    </row>
    <row r="1413" spans="1:6" x14ac:dyDescent="0.25">
      <c r="A1413" t="s">
        <v>26</v>
      </c>
      <c r="B1413" t="s">
        <v>1615</v>
      </c>
      <c r="C1413">
        <v>37205</v>
      </c>
      <c r="D1413">
        <v>0</v>
      </c>
      <c r="F1413">
        <v>0</v>
      </c>
    </row>
    <row r="1414" spans="1:6" x14ac:dyDescent="0.25">
      <c r="A1414" t="s">
        <v>27</v>
      </c>
      <c r="B1414" t="s">
        <v>1616</v>
      </c>
      <c r="C1414">
        <v>37206</v>
      </c>
      <c r="D1414">
        <v>0</v>
      </c>
      <c r="F1414">
        <v>0</v>
      </c>
    </row>
    <row r="1415" spans="1:6" x14ac:dyDescent="0.25">
      <c r="A1415" t="s">
        <v>531</v>
      </c>
      <c r="B1415" t="s">
        <v>1617</v>
      </c>
      <c r="C1415">
        <v>37207</v>
      </c>
      <c r="D1415">
        <v>0</v>
      </c>
      <c r="F1415">
        <v>0</v>
      </c>
    </row>
    <row r="1416" spans="1:6" x14ac:dyDescent="0.25">
      <c r="A1416" t="s">
        <v>1583</v>
      </c>
      <c r="B1416" t="s">
        <v>1618</v>
      </c>
      <c r="C1416">
        <v>37208</v>
      </c>
      <c r="D1416">
        <v>0</v>
      </c>
      <c r="F1416">
        <v>0</v>
      </c>
    </row>
    <row r="1417" spans="1:6" x14ac:dyDescent="0.25">
      <c r="A1417" t="s">
        <v>1585</v>
      </c>
      <c r="B1417" t="s">
        <v>1619</v>
      </c>
      <c r="C1417">
        <v>37209</v>
      </c>
      <c r="D1417">
        <v>0</v>
      </c>
      <c r="F1417">
        <v>0</v>
      </c>
    </row>
    <row r="1418" spans="1:6" x14ac:dyDescent="0.25">
      <c r="A1418" t="s">
        <v>1587</v>
      </c>
      <c r="B1418" t="s">
        <v>1620</v>
      </c>
      <c r="C1418">
        <v>37210</v>
      </c>
      <c r="D1418">
        <v>40394</v>
      </c>
      <c r="F1418">
        <v>40394</v>
      </c>
    </row>
    <row r="1419" spans="1:6" x14ac:dyDescent="0.25">
      <c r="A1419" t="s">
        <v>1589</v>
      </c>
      <c r="B1419" t="s">
        <v>1621</v>
      </c>
      <c r="C1419">
        <v>37211</v>
      </c>
      <c r="D1419">
        <v>65606</v>
      </c>
      <c r="F1419">
        <v>65606</v>
      </c>
    </row>
    <row r="1420" spans="1:6" x14ac:dyDescent="0.25">
      <c r="A1420" t="s">
        <v>1591</v>
      </c>
      <c r="B1420" t="s">
        <v>1622</v>
      </c>
      <c r="C1420">
        <v>37212</v>
      </c>
      <c r="D1420">
        <v>12497143</v>
      </c>
      <c r="F1420">
        <v>12497143</v>
      </c>
    </row>
    <row r="1421" spans="1:6" x14ac:dyDescent="0.25">
      <c r="A1421" t="s">
        <v>1593</v>
      </c>
      <c r="B1421" t="s">
        <v>1623</v>
      </c>
      <c r="C1421">
        <v>37213</v>
      </c>
      <c r="D1421">
        <v>4815</v>
      </c>
      <c r="F1421">
        <v>4815</v>
      </c>
    </row>
    <row r="1422" spans="1:6" x14ac:dyDescent="0.25">
      <c r="A1422" t="s">
        <v>1595</v>
      </c>
      <c r="B1422" t="s">
        <v>1624</v>
      </c>
      <c r="C1422">
        <v>37214</v>
      </c>
      <c r="D1422">
        <v>504866</v>
      </c>
      <c r="F1422">
        <v>504866</v>
      </c>
    </row>
    <row r="1423" spans="1:6" x14ac:dyDescent="0.25">
      <c r="A1423" t="s">
        <v>1597</v>
      </c>
      <c r="B1423" t="s">
        <v>1625</v>
      </c>
      <c r="C1423">
        <v>37215</v>
      </c>
      <c r="D1423">
        <v>1582</v>
      </c>
      <c r="F1423">
        <v>1582</v>
      </c>
    </row>
    <row r="1424" spans="1:6" x14ac:dyDescent="0.25">
      <c r="A1424" t="s">
        <v>1599</v>
      </c>
      <c r="B1424" t="s">
        <v>1626</v>
      </c>
      <c r="C1424">
        <v>37216</v>
      </c>
      <c r="D1424">
        <v>0</v>
      </c>
      <c r="F1424">
        <v>0</v>
      </c>
    </row>
    <row r="1425" spans="1:6" x14ac:dyDescent="0.25">
      <c r="A1425" t="s">
        <v>1601</v>
      </c>
      <c r="B1425" t="s">
        <v>1627</v>
      </c>
      <c r="C1425">
        <v>37217</v>
      </c>
      <c r="D1425">
        <v>0</v>
      </c>
      <c r="F1425">
        <v>0</v>
      </c>
    </row>
    <row r="1426" spans="1:6" x14ac:dyDescent="0.25">
      <c r="A1426" t="s">
        <v>1603</v>
      </c>
      <c r="B1426" t="s">
        <v>1596</v>
      </c>
      <c r="C1426">
        <v>37218</v>
      </c>
      <c r="D1426">
        <v>708</v>
      </c>
      <c r="F1426">
        <v>708</v>
      </c>
    </row>
    <row r="1427" spans="1:6" x14ac:dyDescent="0.25">
      <c r="A1427" t="s">
        <v>1605</v>
      </c>
      <c r="B1427" t="s">
        <v>1598</v>
      </c>
      <c r="C1427">
        <v>37219</v>
      </c>
      <c r="D1427">
        <v>0</v>
      </c>
      <c r="F1427">
        <v>0</v>
      </c>
    </row>
    <row r="1428" spans="1:6" x14ac:dyDescent="0.25">
      <c r="A1428" t="s">
        <v>1607</v>
      </c>
      <c r="B1428" t="s">
        <v>1602</v>
      </c>
      <c r="C1428">
        <v>37220</v>
      </c>
      <c r="D1428">
        <v>0</v>
      </c>
      <c r="F1428">
        <v>0</v>
      </c>
    </row>
    <row r="1429" spans="1:6" x14ac:dyDescent="0.25">
      <c r="B1429" t="s">
        <v>2012</v>
      </c>
      <c r="D1429">
        <v>13115114</v>
      </c>
      <c r="F1429">
        <v>13115114</v>
      </c>
    </row>
    <row r="1430" spans="1:6" x14ac:dyDescent="0.25">
      <c r="B1430" t="s">
        <v>1629</v>
      </c>
    </row>
    <row r="1431" spans="1:6" x14ac:dyDescent="0.25">
      <c r="A1431" t="s">
        <v>2</v>
      </c>
      <c r="B1431" t="s">
        <v>1627</v>
      </c>
      <c r="C1431">
        <v>37301</v>
      </c>
      <c r="D1431">
        <v>0</v>
      </c>
      <c r="F1431">
        <v>0</v>
      </c>
    </row>
    <row r="1432" spans="1:6" x14ac:dyDescent="0.25">
      <c r="A1432" t="s">
        <v>15</v>
      </c>
      <c r="B1432" t="s">
        <v>1625</v>
      </c>
      <c r="C1432">
        <v>37302</v>
      </c>
      <c r="D1432">
        <v>33952</v>
      </c>
      <c r="F1432">
        <v>33952</v>
      </c>
    </row>
    <row r="1433" spans="1:6" x14ac:dyDescent="0.25">
      <c r="A1433" t="s">
        <v>16</v>
      </c>
      <c r="B1433" t="s">
        <v>1626</v>
      </c>
      <c r="C1433">
        <v>37303</v>
      </c>
      <c r="D1433">
        <v>0</v>
      </c>
      <c r="F1433">
        <v>0</v>
      </c>
    </row>
    <row r="1434" spans="1:6" x14ac:dyDescent="0.25">
      <c r="B1434" t="s">
        <v>2013</v>
      </c>
      <c r="D1434">
        <v>33952</v>
      </c>
      <c r="F1434">
        <v>33952</v>
      </c>
    </row>
    <row r="1435" spans="1:6" x14ac:dyDescent="0.25">
      <c r="B1435" t="s">
        <v>1631</v>
      </c>
    </row>
    <row r="1436" spans="1:6" x14ac:dyDescent="0.25">
      <c r="A1436" t="s">
        <v>2</v>
      </c>
      <c r="B1436" t="s">
        <v>1627</v>
      </c>
      <c r="C1436">
        <v>37401</v>
      </c>
      <c r="D1436">
        <v>0</v>
      </c>
      <c r="F1436">
        <v>0</v>
      </c>
    </row>
    <row r="1437" spans="1:6" x14ac:dyDescent="0.25">
      <c r="A1437" t="s">
        <v>15</v>
      </c>
      <c r="B1437" t="s">
        <v>1625</v>
      </c>
      <c r="C1437">
        <v>37402</v>
      </c>
      <c r="D1437">
        <v>0</v>
      </c>
      <c r="F1437">
        <v>0</v>
      </c>
    </row>
    <row r="1438" spans="1:6" x14ac:dyDescent="0.25">
      <c r="A1438" t="s">
        <v>16</v>
      </c>
      <c r="B1438" t="s">
        <v>1626</v>
      </c>
      <c r="C1438">
        <v>37403</v>
      </c>
      <c r="D1438">
        <v>0</v>
      </c>
      <c r="F1438">
        <v>0</v>
      </c>
    </row>
    <row r="1439" spans="1:6" x14ac:dyDescent="0.25">
      <c r="B1439" t="s">
        <v>2014</v>
      </c>
      <c r="D1439">
        <v>0</v>
      </c>
      <c r="F1439">
        <v>0</v>
      </c>
    </row>
    <row r="1440" spans="1:6" x14ac:dyDescent="0.25">
      <c r="B1440" t="s">
        <v>1722</v>
      </c>
    </row>
    <row r="1441" spans="1:6" x14ac:dyDescent="0.25">
      <c r="A1441" t="s">
        <v>2</v>
      </c>
      <c r="B1441" t="s">
        <v>1634</v>
      </c>
      <c r="C1441">
        <v>37501</v>
      </c>
      <c r="D1441">
        <v>0</v>
      </c>
      <c r="F1441">
        <v>0</v>
      </c>
    </row>
    <row r="1442" spans="1:6" x14ac:dyDescent="0.25">
      <c r="A1442" t="s">
        <v>15</v>
      </c>
      <c r="B1442" t="s">
        <v>1635</v>
      </c>
      <c r="C1442">
        <v>37502</v>
      </c>
      <c r="D1442">
        <v>0</v>
      </c>
      <c r="F1442">
        <v>0</v>
      </c>
    </row>
    <row r="1443" spans="1:6" x14ac:dyDescent="0.25">
      <c r="A1443" t="s">
        <v>16</v>
      </c>
      <c r="B1443" t="s">
        <v>1636</v>
      </c>
      <c r="C1443">
        <v>37503</v>
      </c>
      <c r="D1443">
        <v>0</v>
      </c>
      <c r="F1443">
        <v>0</v>
      </c>
    </row>
    <row r="1444" spans="1:6" x14ac:dyDescent="0.25">
      <c r="A1444" t="s">
        <v>25</v>
      </c>
      <c r="B1444" t="s">
        <v>1637</v>
      </c>
      <c r="C1444">
        <v>37504</v>
      </c>
      <c r="D1444">
        <v>1552498</v>
      </c>
      <c r="F1444">
        <v>1552498</v>
      </c>
    </row>
    <row r="1445" spans="1:6" x14ac:dyDescent="0.25">
      <c r="A1445" t="s">
        <v>26</v>
      </c>
      <c r="B1445" t="s">
        <v>1638</v>
      </c>
      <c r="C1445">
        <v>37505</v>
      </c>
      <c r="D1445">
        <v>8964</v>
      </c>
      <c r="F1445">
        <v>8964</v>
      </c>
    </row>
    <row r="1446" spans="1:6" x14ac:dyDescent="0.25">
      <c r="A1446" t="s">
        <v>27</v>
      </c>
      <c r="B1446" t="s">
        <v>1639</v>
      </c>
      <c r="C1446">
        <v>37506</v>
      </c>
      <c r="D1446">
        <v>0</v>
      </c>
      <c r="F1446">
        <v>0</v>
      </c>
    </row>
    <row r="1447" spans="1:6" x14ac:dyDescent="0.25">
      <c r="A1447" t="s">
        <v>531</v>
      </c>
      <c r="B1447" t="s">
        <v>1640</v>
      </c>
      <c r="C1447">
        <v>37507</v>
      </c>
      <c r="D1447">
        <v>0</v>
      </c>
      <c r="F1447">
        <v>0</v>
      </c>
    </row>
    <row r="1448" spans="1:6" x14ac:dyDescent="0.25">
      <c r="A1448" t="s">
        <v>1583</v>
      </c>
      <c r="B1448" t="s">
        <v>1641</v>
      </c>
      <c r="C1448">
        <v>37508</v>
      </c>
      <c r="D1448">
        <v>0</v>
      </c>
      <c r="F1448">
        <v>0</v>
      </c>
    </row>
    <row r="1449" spans="1:6" x14ac:dyDescent="0.25">
      <c r="B1449" t="s">
        <v>2015</v>
      </c>
      <c r="D1449">
        <v>1561462</v>
      </c>
      <c r="F1449">
        <v>1561462</v>
      </c>
    </row>
    <row r="1450" spans="1:6" x14ac:dyDescent="0.25">
      <c r="B1450" t="s">
        <v>1724</v>
      </c>
    </row>
    <row r="1451" spans="1:6" x14ac:dyDescent="0.25">
      <c r="A1451" t="s">
        <v>2</v>
      </c>
      <c r="B1451" t="s">
        <v>1634</v>
      </c>
      <c r="C1451">
        <v>37601</v>
      </c>
      <c r="D1451">
        <v>0</v>
      </c>
      <c r="F1451">
        <v>0</v>
      </c>
    </row>
    <row r="1452" spans="1:6" x14ac:dyDescent="0.25">
      <c r="A1452" t="s">
        <v>15</v>
      </c>
      <c r="B1452" t="s">
        <v>1635</v>
      </c>
      <c r="C1452">
        <v>37602</v>
      </c>
      <c r="D1452">
        <v>0</v>
      </c>
      <c r="F1452">
        <v>0</v>
      </c>
    </row>
    <row r="1453" spans="1:6" x14ac:dyDescent="0.25">
      <c r="A1453" t="s">
        <v>16</v>
      </c>
      <c r="B1453" t="s">
        <v>1636</v>
      </c>
      <c r="C1453">
        <v>37603</v>
      </c>
      <c r="D1453">
        <v>0</v>
      </c>
      <c r="F1453">
        <v>0</v>
      </c>
    </row>
    <row r="1454" spans="1:6" x14ac:dyDescent="0.25">
      <c r="A1454" t="s">
        <v>25</v>
      </c>
      <c r="B1454" t="s">
        <v>1637</v>
      </c>
      <c r="C1454">
        <v>37604</v>
      </c>
      <c r="D1454">
        <v>0</v>
      </c>
      <c r="F1454">
        <v>0</v>
      </c>
    </row>
    <row r="1455" spans="1:6" x14ac:dyDescent="0.25">
      <c r="A1455" t="s">
        <v>26</v>
      </c>
      <c r="B1455" t="s">
        <v>1638</v>
      </c>
      <c r="C1455">
        <v>37605</v>
      </c>
      <c r="D1455">
        <v>359</v>
      </c>
      <c r="F1455">
        <v>359</v>
      </c>
    </row>
    <row r="1456" spans="1:6" x14ac:dyDescent="0.25">
      <c r="A1456" t="s">
        <v>27</v>
      </c>
      <c r="B1456" t="s">
        <v>1639</v>
      </c>
      <c r="C1456">
        <v>37606</v>
      </c>
      <c r="D1456">
        <v>0</v>
      </c>
      <c r="F1456">
        <v>0</v>
      </c>
    </row>
    <row r="1457" spans="1:6" x14ac:dyDescent="0.25">
      <c r="A1457" t="s">
        <v>531</v>
      </c>
      <c r="B1457" t="s">
        <v>1640</v>
      </c>
      <c r="C1457">
        <v>37607</v>
      </c>
      <c r="D1457">
        <v>0</v>
      </c>
      <c r="F1457">
        <v>0</v>
      </c>
    </row>
    <row r="1458" spans="1:6" x14ac:dyDescent="0.25">
      <c r="A1458" t="s">
        <v>1583</v>
      </c>
      <c r="B1458" t="s">
        <v>1641</v>
      </c>
      <c r="C1458">
        <v>37608</v>
      </c>
      <c r="D1458">
        <v>93155</v>
      </c>
      <c r="F1458">
        <v>93155</v>
      </c>
    </row>
    <row r="1459" spans="1:6" x14ac:dyDescent="0.25">
      <c r="B1459" t="s">
        <v>2016</v>
      </c>
      <c r="D1459">
        <v>93514</v>
      </c>
      <c r="F1459">
        <v>93514</v>
      </c>
    </row>
    <row r="1460" spans="1:6" x14ac:dyDescent="0.25">
      <c r="B1460" t="s">
        <v>1726</v>
      </c>
    </row>
    <row r="1461" spans="1:6" x14ac:dyDescent="0.25">
      <c r="A1461" t="s">
        <v>2</v>
      </c>
      <c r="B1461" t="s">
        <v>1648</v>
      </c>
      <c r="C1461">
        <v>37701</v>
      </c>
      <c r="D1461">
        <v>0</v>
      </c>
      <c r="F1461">
        <v>0</v>
      </c>
    </row>
    <row r="1462" spans="1:6" x14ac:dyDescent="0.25">
      <c r="A1462" t="s">
        <v>15</v>
      </c>
      <c r="B1462" t="s">
        <v>1649</v>
      </c>
      <c r="C1462">
        <v>37702</v>
      </c>
      <c r="D1462">
        <v>0</v>
      </c>
      <c r="F1462">
        <v>0</v>
      </c>
    </row>
    <row r="1463" spans="1:6" x14ac:dyDescent="0.25">
      <c r="A1463" t="s">
        <v>16</v>
      </c>
      <c r="B1463" t="s">
        <v>1637</v>
      </c>
      <c r="C1463">
        <v>37703</v>
      </c>
      <c r="D1463">
        <v>0</v>
      </c>
      <c r="F1463">
        <v>0</v>
      </c>
    </row>
    <row r="1464" spans="1:6" x14ac:dyDescent="0.25">
      <c r="A1464" t="s">
        <v>25</v>
      </c>
      <c r="B1464" t="s">
        <v>1638</v>
      </c>
      <c r="C1464">
        <v>37704</v>
      </c>
      <c r="D1464">
        <v>1134933</v>
      </c>
      <c r="F1464">
        <v>1134933</v>
      </c>
    </row>
    <row r="1465" spans="1:6" x14ac:dyDescent="0.25">
      <c r="A1465" t="s">
        <v>26</v>
      </c>
      <c r="B1465" t="s">
        <v>1650</v>
      </c>
      <c r="C1465">
        <v>37705</v>
      </c>
      <c r="D1465">
        <v>0</v>
      </c>
      <c r="F1465">
        <v>0</v>
      </c>
    </row>
    <row r="1466" spans="1:6" x14ac:dyDescent="0.25">
      <c r="A1466" t="s">
        <v>27</v>
      </c>
      <c r="B1466" t="s">
        <v>1651</v>
      </c>
      <c r="C1466">
        <v>37706</v>
      </c>
      <c r="D1466">
        <v>0</v>
      </c>
      <c r="F1466">
        <v>0</v>
      </c>
    </row>
    <row r="1467" spans="1:6" x14ac:dyDescent="0.25">
      <c r="A1467" t="s">
        <v>531</v>
      </c>
      <c r="B1467" t="s">
        <v>1640</v>
      </c>
      <c r="C1467">
        <v>37707</v>
      </c>
      <c r="D1467">
        <v>0</v>
      </c>
      <c r="F1467">
        <v>0</v>
      </c>
    </row>
    <row r="1468" spans="1:6" x14ac:dyDescent="0.25">
      <c r="A1468" t="s">
        <v>1583</v>
      </c>
      <c r="B1468" t="s">
        <v>1641</v>
      </c>
      <c r="C1468">
        <v>37708</v>
      </c>
      <c r="D1468">
        <v>0</v>
      </c>
      <c r="F1468">
        <v>0</v>
      </c>
    </row>
    <row r="1469" spans="1:6" x14ac:dyDescent="0.25">
      <c r="B1469" t="s">
        <v>2017</v>
      </c>
      <c r="D1469">
        <v>1134933</v>
      </c>
      <c r="F1469">
        <v>1134933</v>
      </c>
    </row>
    <row r="1470" spans="1:6" x14ac:dyDescent="0.25">
      <c r="B1470" t="s">
        <v>1866</v>
      </c>
      <c r="D1470">
        <v>45171602</v>
      </c>
      <c r="F1470">
        <v>45171602</v>
      </c>
    </row>
    <row r="1471" spans="1:6" x14ac:dyDescent="0.25">
      <c r="B1471" t="s">
        <v>2018</v>
      </c>
      <c r="D1471">
        <v>68174550</v>
      </c>
      <c r="E1471">
        <v>5697566</v>
      </c>
      <c r="F1471">
        <v>73872116</v>
      </c>
    </row>
    <row r="1472" spans="1:6" x14ac:dyDescent="0.25">
      <c r="B1472" t="s">
        <v>2019</v>
      </c>
    </row>
    <row r="1473" spans="1:6" x14ac:dyDescent="0.25">
      <c r="B1473" t="s">
        <v>2020</v>
      </c>
    </row>
    <row r="1474" spans="1:6" x14ac:dyDescent="0.25">
      <c r="B1474" t="s">
        <v>1575</v>
      </c>
    </row>
    <row r="1475" spans="1:6" x14ac:dyDescent="0.25">
      <c r="A1475" t="s">
        <v>2</v>
      </c>
      <c r="B1475" t="s">
        <v>1576</v>
      </c>
      <c r="C1475">
        <v>41101</v>
      </c>
      <c r="D1475">
        <v>0</v>
      </c>
      <c r="E1475">
        <v>0</v>
      </c>
      <c r="F1475">
        <v>0</v>
      </c>
    </row>
    <row r="1476" spans="1:6" x14ac:dyDescent="0.25">
      <c r="A1476" t="s">
        <v>15</v>
      </c>
      <c r="B1476" t="s">
        <v>1577</v>
      </c>
      <c r="C1476">
        <v>41102</v>
      </c>
      <c r="D1476">
        <v>0</v>
      </c>
      <c r="E1476">
        <v>0</v>
      </c>
      <c r="F1476">
        <v>0</v>
      </c>
    </row>
    <row r="1477" spans="1:6" x14ac:dyDescent="0.25">
      <c r="A1477" t="s">
        <v>16</v>
      </c>
      <c r="B1477" t="s">
        <v>1578</v>
      </c>
      <c r="C1477">
        <v>41103</v>
      </c>
      <c r="D1477">
        <v>0</v>
      </c>
      <c r="E1477">
        <v>0</v>
      </c>
      <c r="F1477">
        <v>0</v>
      </c>
    </row>
    <row r="1478" spans="1:6" x14ac:dyDescent="0.25">
      <c r="A1478" t="s">
        <v>25</v>
      </c>
      <c r="B1478" t="s">
        <v>1579</v>
      </c>
      <c r="C1478">
        <v>41104</v>
      </c>
      <c r="D1478">
        <v>0</v>
      </c>
      <c r="E1478">
        <v>0</v>
      </c>
      <c r="F1478">
        <v>0</v>
      </c>
    </row>
    <row r="1479" spans="1:6" x14ac:dyDescent="0.25">
      <c r="A1479" t="s">
        <v>26</v>
      </c>
      <c r="B1479" t="s">
        <v>1580</v>
      </c>
      <c r="C1479">
        <v>41105</v>
      </c>
      <c r="D1479">
        <v>0</v>
      </c>
      <c r="E1479">
        <v>0</v>
      </c>
      <c r="F1479">
        <v>0</v>
      </c>
    </row>
    <row r="1480" spans="1:6" x14ac:dyDescent="0.25">
      <c r="A1480" t="s">
        <v>27</v>
      </c>
      <c r="B1480" t="s">
        <v>1581</v>
      </c>
      <c r="C1480">
        <v>41106</v>
      </c>
      <c r="D1480">
        <v>0</v>
      </c>
      <c r="E1480">
        <v>0</v>
      </c>
      <c r="F1480">
        <v>0</v>
      </c>
    </row>
    <row r="1481" spans="1:6" x14ac:dyDescent="0.25">
      <c r="A1481" t="s">
        <v>531</v>
      </c>
      <c r="B1481" t="s">
        <v>1582</v>
      </c>
      <c r="C1481">
        <v>41107</v>
      </c>
      <c r="D1481">
        <v>0</v>
      </c>
      <c r="E1481">
        <v>0</v>
      </c>
      <c r="F1481">
        <v>0</v>
      </c>
    </row>
    <row r="1482" spans="1:6" x14ac:dyDescent="0.25">
      <c r="A1482" t="s">
        <v>1583</v>
      </c>
      <c r="B1482" t="s">
        <v>1584</v>
      </c>
      <c r="C1482">
        <v>41108</v>
      </c>
      <c r="D1482">
        <v>0</v>
      </c>
      <c r="E1482">
        <v>0</v>
      </c>
      <c r="F1482">
        <v>0</v>
      </c>
    </row>
    <row r="1483" spans="1:6" x14ac:dyDescent="0.25">
      <c r="A1483" t="s">
        <v>1585</v>
      </c>
      <c r="B1483" t="s">
        <v>1586</v>
      </c>
      <c r="C1483">
        <v>41109</v>
      </c>
      <c r="D1483">
        <v>0</v>
      </c>
      <c r="E1483">
        <v>0</v>
      </c>
      <c r="F1483">
        <v>0</v>
      </c>
    </row>
    <row r="1484" spans="1:6" x14ac:dyDescent="0.25">
      <c r="A1484" t="s">
        <v>1587</v>
      </c>
      <c r="B1484" t="s">
        <v>1588</v>
      </c>
      <c r="C1484">
        <v>41110</v>
      </c>
      <c r="D1484">
        <v>0</v>
      </c>
      <c r="E1484">
        <v>0</v>
      </c>
      <c r="F1484">
        <v>0</v>
      </c>
    </row>
    <row r="1485" spans="1:6" x14ac:dyDescent="0.25">
      <c r="A1485" t="s">
        <v>1589</v>
      </c>
      <c r="B1485" t="s">
        <v>1590</v>
      </c>
      <c r="C1485">
        <v>41111</v>
      </c>
      <c r="D1485">
        <v>0</v>
      </c>
      <c r="E1485">
        <v>0</v>
      </c>
      <c r="F1485">
        <v>0</v>
      </c>
    </row>
    <row r="1486" spans="1:6" x14ac:dyDescent="0.25">
      <c r="A1486" t="s">
        <v>1591</v>
      </c>
      <c r="B1486" t="s">
        <v>1592</v>
      </c>
      <c r="C1486">
        <v>41112</v>
      </c>
      <c r="D1486">
        <v>3966804</v>
      </c>
      <c r="E1486">
        <v>0</v>
      </c>
      <c r="F1486">
        <v>3966804</v>
      </c>
    </row>
    <row r="1487" spans="1:6" x14ac:dyDescent="0.25">
      <c r="A1487" t="s">
        <v>1593</v>
      </c>
      <c r="B1487" t="s">
        <v>1594</v>
      </c>
      <c r="C1487">
        <v>41113</v>
      </c>
      <c r="D1487">
        <v>0</v>
      </c>
      <c r="E1487">
        <v>0</v>
      </c>
      <c r="F1487">
        <v>0</v>
      </c>
    </row>
    <row r="1488" spans="1:6" x14ac:dyDescent="0.25">
      <c r="A1488" t="s">
        <v>1595</v>
      </c>
      <c r="B1488" t="s">
        <v>1596</v>
      </c>
      <c r="C1488">
        <v>41114</v>
      </c>
      <c r="D1488">
        <v>0</v>
      </c>
      <c r="E1488">
        <v>0</v>
      </c>
      <c r="F1488">
        <v>0</v>
      </c>
    </row>
    <row r="1489" spans="1:6" x14ac:dyDescent="0.25">
      <c r="A1489" t="s">
        <v>1597</v>
      </c>
      <c r="B1489" t="s">
        <v>1598</v>
      </c>
      <c r="C1489">
        <v>41115</v>
      </c>
      <c r="D1489">
        <v>62376</v>
      </c>
      <c r="E1489">
        <v>83</v>
      </c>
      <c r="F1489">
        <v>62459</v>
      </c>
    </row>
    <row r="1490" spans="1:6" x14ac:dyDescent="0.25">
      <c r="A1490" t="s">
        <v>1599</v>
      </c>
      <c r="B1490" t="s">
        <v>1600</v>
      </c>
      <c r="C1490">
        <v>41116</v>
      </c>
      <c r="D1490">
        <v>0</v>
      </c>
      <c r="E1490">
        <v>0</v>
      </c>
      <c r="F1490">
        <v>0</v>
      </c>
    </row>
    <row r="1491" spans="1:6" x14ac:dyDescent="0.25">
      <c r="A1491" t="s">
        <v>1601</v>
      </c>
      <c r="B1491" t="s">
        <v>1602</v>
      </c>
      <c r="C1491">
        <v>41117</v>
      </c>
      <c r="D1491">
        <v>0</v>
      </c>
      <c r="E1491">
        <v>0</v>
      </c>
      <c r="F1491">
        <v>0</v>
      </c>
    </row>
    <row r="1492" spans="1:6" x14ac:dyDescent="0.25">
      <c r="A1492" t="s">
        <v>1603</v>
      </c>
      <c r="B1492" t="s">
        <v>1604</v>
      </c>
      <c r="C1492">
        <v>41118</v>
      </c>
      <c r="D1492">
        <v>0</v>
      </c>
      <c r="E1492">
        <v>0</v>
      </c>
      <c r="F1492">
        <v>0</v>
      </c>
    </row>
    <row r="1493" spans="1:6" x14ac:dyDescent="0.25">
      <c r="A1493" t="s">
        <v>1605</v>
      </c>
      <c r="B1493" t="s">
        <v>1606</v>
      </c>
      <c r="C1493">
        <v>41119</v>
      </c>
      <c r="D1493">
        <v>0</v>
      </c>
      <c r="E1493">
        <v>0</v>
      </c>
      <c r="F1493">
        <v>0</v>
      </c>
    </row>
    <row r="1494" spans="1:6" x14ac:dyDescent="0.25">
      <c r="A1494" t="s">
        <v>1607</v>
      </c>
      <c r="B1494" t="s">
        <v>1608</v>
      </c>
      <c r="C1494">
        <v>41120</v>
      </c>
      <c r="D1494">
        <v>0</v>
      </c>
      <c r="E1494">
        <v>0</v>
      </c>
      <c r="F1494">
        <v>0</v>
      </c>
    </row>
    <row r="1495" spans="1:6" x14ac:dyDescent="0.25">
      <c r="B1495" t="s">
        <v>2021</v>
      </c>
      <c r="D1495">
        <v>4029180</v>
      </c>
      <c r="E1495">
        <v>83</v>
      </c>
      <c r="F1495">
        <v>4029263</v>
      </c>
    </row>
    <row r="1496" spans="1:6" x14ac:dyDescent="0.25">
      <c r="B1496" t="s">
        <v>1656</v>
      </c>
    </row>
    <row r="1497" spans="1:6" x14ac:dyDescent="0.25">
      <c r="A1497" t="s">
        <v>2</v>
      </c>
      <c r="B1497" t="s">
        <v>1611</v>
      </c>
      <c r="C1497">
        <v>41201</v>
      </c>
      <c r="D1497">
        <v>0</v>
      </c>
      <c r="E1497">
        <v>0</v>
      </c>
      <c r="F1497">
        <v>0</v>
      </c>
    </row>
    <row r="1498" spans="1:6" x14ac:dyDescent="0.25">
      <c r="A1498" t="s">
        <v>15</v>
      </c>
      <c r="B1498" t="s">
        <v>1612</v>
      </c>
      <c r="C1498">
        <v>41202</v>
      </c>
      <c r="D1498">
        <v>0</v>
      </c>
      <c r="E1498">
        <v>0</v>
      </c>
      <c r="F1498">
        <v>0</v>
      </c>
    </row>
    <row r="1499" spans="1:6" x14ac:dyDescent="0.25">
      <c r="A1499" t="s">
        <v>16</v>
      </c>
      <c r="B1499" t="s">
        <v>1613</v>
      </c>
      <c r="C1499">
        <v>41203</v>
      </c>
      <c r="D1499">
        <v>0</v>
      </c>
      <c r="E1499">
        <v>0</v>
      </c>
      <c r="F1499">
        <v>0</v>
      </c>
    </row>
    <row r="1500" spans="1:6" x14ac:dyDescent="0.25">
      <c r="A1500" t="s">
        <v>25</v>
      </c>
      <c r="B1500" t="s">
        <v>1614</v>
      </c>
      <c r="C1500">
        <v>41204</v>
      </c>
      <c r="D1500">
        <v>0</v>
      </c>
      <c r="E1500">
        <v>0</v>
      </c>
      <c r="F1500">
        <v>0</v>
      </c>
    </row>
    <row r="1501" spans="1:6" x14ac:dyDescent="0.25">
      <c r="A1501" t="s">
        <v>26</v>
      </c>
      <c r="B1501" t="s">
        <v>1615</v>
      </c>
      <c r="C1501">
        <v>41205</v>
      </c>
      <c r="D1501">
        <v>0</v>
      </c>
      <c r="E1501">
        <v>0</v>
      </c>
      <c r="F1501">
        <v>0</v>
      </c>
    </row>
    <row r="1502" spans="1:6" x14ac:dyDescent="0.25">
      <c r="A1502" t="s">
        <v>27</v>
      </c>
      <c r="B1502" t="s">
        <v>1616</v>
      </c>
      <c r="C1502">
        <v>41206</v>
      </c>
      <c r="D1502">
        <v>0</v>
      </c>
      <c r="E1502">
        <v>0</v>
      </c>
      <c r="F1502">
        <v>0</v>
      </c>
    </row>
    <row r="1503" spans="1:6" x14ac:dyDescent="0.25">
      <c r="A1503" t="s">
        <v>531</v>
      </c>
      <c r="B1503" t="s">
        <v>1617</v>
      </c>
      <c r="C1503">
        <v>41207</v>
      </c>
      <c r="D1503">
        <v>0</v>
      </c>
      <c r="E1503">
        <v>0</v>
      </c>
      <c r="F1503">
        <v>0</v>
      </c>
    </row>
    <row r="1504" spans="1:6" x14ac:dyDescent="0.25">
      <c r="A1504" t="s">
        <v>1583</v>
      </c>
      <c r="B1504" t="s">
        <v>1618</v>
      </c>
      <c r="C1504">
        <v>41208</v>
      </c>
      <c r="D1504">
        <v>0</v>
      </c>
      <c r="E1504">
        <v>0</v>
      </c>
      <c r="F1504">
        <v>0</v>
      </c>
    </row>
    <row r="1505" spans="1:6" x14ac:dyDescent="0.25">
      <c r="A1505" t="s">
        <v>1585</v>
      </c>
      <c r="B1505" t="s">
        <v>1619</v>
      </c>
      <c r="C1505">
        <v>41209</v>
      </c>
      <c r="D1505">
        <v>0</v>
      </c>
      <c r="E1505">
        <v>0</v>
      </c>
      <c r="F1505">
        <v>0</v>
      </c>
    </row>
    <row r="1506" spans="1:6" x14ac:dyDescent="0.25">
      <c r="A1506" t="s">
        <v>1587</v>
      </c>
      <c r="B1506" t="s">
        <v>1620</v>
      </c>
      <c r="C1506">
        <v>41210</v>
      </c>
      <c r="D1506">
        <v>0</v>
      </c>
      <c r="E1506">
        <v>0</v>
      </c>
      <c r="F1506">
        <v>0</v>
      </c>
    </row>
    <row r="1507" spans="1:6" x14ac:dyDescent="0.25">
      <c r="A1507" t="s">
        <v>1589</v>
      </c>
      <c r="B1507" t="s">
        <v>1621</v>
      </c>
      <c r="C1507">
        <v>41211</v>
      </c>
      <c r="D1507">
        <v>0</v>
      </c>
      <c r="E1507">
        <v>0</v>
      </c>
      <c r="F1507">
        <v>0</v>
      </c>
    </row>
    <row r="1508" spans="1:6" x14ac:dyDescent="0.25">
      <c r="A1508" t="s">
        <v>1591</v>
      </c>
      <c r="B1508" t="s">
        <v>1622</v>
      </c>
      <c r="C1508">
        <v>41212</v>
      </c>
      <c r="D1508">
        <v>0</v>
      </c>
      <c r="E1508">
        <v>0</v>
      </c>
      <c r="F1508">
        <v>0</v>
      </c>
    </row>
    <row r="1509" spans="1:6" x14ac:dyDescent="0.25">
      <c r="A1509" t="s">
        <v>1593</v>
      </c>
      <c r="B1509" t="s">
        <v>1623</v>
      </c>
      <c r="C1509">
        <v>41213</v>
      </c>
      <c r="D1509">
        <v>0</v>
      </c>
      <c r="E1509">
        <v>0</v>
      </c>
      <c r="F1509">
        <v>0</v>
      </c>
    </row>
    <row r="1510" spans="1:6" x14ac:dyDescent="0.25">
      <c r="A1510" t="s">
        <v>1595</v>
      </c>
      <c r="B1510" t="s">
        <v>1624</v>
      </c>
      <c r="C1510">
        <v>41214</v>
      </c>
      <c r="D1510">
        <v>0</v>
      </c>
      <c r="E1510">
        <v>0</v>
      </c>
      <c r="F1510">
        <v>0</v>
      </c>
    </row>
    <row r="1511" spans="1:6" x14ac:dyDescent="0.25">
      <c r="A1511" t="s">
        <v>1597</v>
      </c>
      <c r="B1511" t="s">
        <v>1625</v>
      </c>
      <c r="C1511">
        <v>41215</v>
      </c>
      <c r="D1511">
        <v>0</v>
      </c>
      <c r="E1511">
        <v>0</v>
      </c>
      <c r="F1511">
        <v>0</v>
      </c>
    </row>
    <row r="1512" spans="1:6" x14ac:dyDescent="0.25">
      <c r="A1512" t="s">
        <v>1599</v>
      </c>
      <c r="B1512" t="s">
        <v>1626</v>
      </c>
      <c r="C1512">
        <v>41216</v>
      </c>
      <c r="D1512">
        <v>0</v>
      </c>
      <c r="E1512">
        <v>0</v>
      </c>
      <c r="F1512">
        <v>0</v>
      </c>
    </row>
    <row r="1513" spans="1:6" x14ac:dyDescent="0.25">
      <c r="A1513" t="s">
        <v>1601</v>
      </c>
      <c r="B1513" t="s">
        <v>1627</v>
      </c>
      <c r="C1513">
        <v>41217</v>
      </c>
      <c r="D1513">
        <v>0</v>
      </c>
      <c r="E1513">
        <v>0</v>
      </c>
      <c r="F1513">
        <v>0</v>
      </c>
    </row>
    <row r="1514" spans="1:6" x14ac:dyDescent="0.25">
      <c r="A1514" t="s">
        <v>1603</v>
      </c>
      <c r="B1514" t="s">
        <v>1596</v>
      </c>
      <c r="C1514">
        <v>41218</v>
      </c>
      <c r="D1514">
        <v>0</v>
      </c>
      <c r="E1514">
        <v>0</v>
      </c>
      <c r="F1514">
        <v>0</v>
      </c>
    </row>
    <row r="1515" spans="1:6" x14ac:dyDescent="0.25">
      <c r="A1515" t="s">
        <v>1605</v>
      </c>
      <c r="B1515" t="s">
        <v>1598</v>
      </c>
      <c r="C1515">
        <v>41219</v>
      </c>
      <c r="D1515">
        <v>0</v>
      </c>
      <c r="E1515">
        <v>0</v>
      </c>
      <c r="F1515">
        <v>0</v>
      </c>
    </row>
    <row r="1516" spans="1:6" x14ac:dyDescent="0.25">
      <c r="A1516" t="s">
        <v>1607</v>
      </c>
      <c r="B1516" t="s">
        <v>1602</v>
      </c>
      <c r="C1516">
        <v>41220</v>
      </c>
      <c r="D1516">
        <v>0</v>
      </c>
      <c r="E1516">
        <v>0</v>
      </c>
      <c r="F1516">
        <v>0</v>
      </c>
    </row>
    <row r="1517" spans="1:6" x14ac:dyDescent="0.25">
      <c r="B1517" t="s">
        <v>2022</v>
      </c>
      <c r="D1517">
        <v>0</v>
      </c>
      <c r="E1517">
        <v>0</v>
      </c>
      <c r="F1517">
        <v>0</v>
      </c>
    </row>
    <row r="1518" spans="1:6" x14ac:dyDescent="0.25">
      <c r="B1518" t="s">
        <v>1658</v>
      </c>
    </row>
    <row r="1519" spans="1:6" x14ac:dyDescent="0.25">
      <c r="A1519" t="s">
        <v>2</v>
      </c>
      <c r="B1519" t="s">
        <v>1627</v>
      </c>
      <c r="C1519">
        <v>41301</v>
      </c>
      <c r="D1519">
        <v>0</v>
      </c>
      <c r="E1519">
        <v>0</v>
      </c>
      <c r="F1519">
        <v>0</v>
      </c>
    </row>
    <row r="1520" spans="1:6" x14ac:dyDescent="0.25">
      <c r="A1520" t="s">
        <v>15</v>
      </c>
      <c r="B1520" t="s">
        <v>1625</v>
      </c>
      <c r="C1520">
        <v>41302</v>
      </c>
      <c r="D1520">
        <v>0</v>
      </c>
      <c r="E1520">
        <v>0</v>
      </c>
      <c r="F1520">
        <v>0</v>
      </c>
    </row>
    <row r="1521" spans="1:6" x14ac:dyDescent="0.25">
      <c r="A1521" t="s">
        <v>16</v>
      </c>
      <c r="B1521" t="s">
        <v>1626</v>
      </c>
      <c r="C1521">
        <v>41303</v>
      </c>
      <c r="D1521">
        <v>0</v>
      </c>
      <c r="E1521">
        <v>0</v>
      </c>
      <c r="F1521">
        <v>0</v>
      </c>
    </row>
    <row r="1522" spans="1:6" x14ac:dyDescent="0.25">
      <c r="B1522" t="s">
        <v>2023</v>
      </c>
      <c r="D1522">
        <v>0</v>
      </c>
      <c r="E1522">
        <v>0</v>
      </c>
      <c r="F1522">
        <v>0</v>
      </c>
    </row>
    <row r="1523" spans="1:6" x14ac:dyDescent="0.25">
      <c r="B1523" t="s">
        <v>1653</v>
      </c>
      <c r="D1523">
        <v>4029180</v>
      </c>
      <c r="E1523">
        <v>83</v>
      </c>
      <c r="F1523">
        <v>4029263</v>
      </c>
    </row>
    <row r="1524" spans="1:6" x14ac:dyDescent="0.25">
      <c r="B1524" t="s">
        <v>2024</v>
      </c>
    </row>
    <row r="1525" spans="1:6" x14ac:dyDescent="0.25">
      <c r="B1525" t="s">
        <v>2025</v>
      </c>
    </row>
    <row r="1526" spans="1:6" x14ac:dyDescent="0.25">
      <c r="A1526" t="s">
        <v>2</v>
      </c>
      <c r="B1526" t="s">
        <v>1634</v>
      </c>
      <c r="C1526">
        <v>42101</v>
      </c>
      <c r="D1526">
        <v>0</v>
      </c>
      <c r="F1526">
        <v>0</v>
      </c>
    </row>
    <row r="1527" spans="1:6" x14ac:dyDescent="0.25">
      <c r="A1527" t="s">
        <v>15</v>
      </c>
      <c r="B1527" t="s">
        <v>1635</v>
      </c>
      <c r="C1527">
        <v>42102</v>
      </c>
      <c r="D1527">
        <v>0</v>
      </c>
      <c r="F1527">
        <v>0</v>
      </c>
    </row>
    <row r="1528" spans="1:6" x14ac:dyDescent="0.25">
      <c r="A1528" t="s">
        <v>16</v>
      </c>
      <c r="B1528" t="s">
        <v>1636</v>
      </c>
      <c r="C1528">
        <v>42103</v>
      </c>
      <c r="D1528">
        <v>0</v>
      </c>
      <c r="F1528">
        <v>0</v>
      </c>
    </row>
    <row r="1529" spans="1:6" x14ac:dyDescent="0.25">
      <c r="A1529" t="s">
        <v>25</v>
      </c>
      <c r="B1529" t="s">
        <v>1637</v>
      </c>
      <c r="C1529">
        <v>42104</v>
      </c>
      <c r="D1529">
        <v>0</v>
      </c>
      <c r="F1529">
        <v>0</v>
      </c>
    </row>
    <row r="1530" spans="1:6" x14ac:dyDescent="0.25">
      <c r="A1530" t="s">
        <v>26</v>
      </c>
      <c r="B1530" t="s">
        <v>1638</v>
      </c>
      <c r="C1530">
        <v>42105</v>
      </c>
      <c r="D1530">
        <v>0</v>
      </c>
      <c r="F1530">
        <v>0</v>
      </c>
    </row>
    <row r="1531" spans="1:6" x14ac:dyDescent="0.25">
      <c r="A1531" t="s">
        <v>27</v>
      </c>
      <c r="B1531" t="s">
        <v>1639</v>
      </c>
      <c r="C1531">
        <v>42106</v>
      </c>
      <c r="D1531">
        <v>0</v>
      </c>
      <c r="F1531">
        <v>0</v>
      </c>
    </row>
    <row r="1532" spans="1:6" x14ac:dyDescent="0.25">
      <c r="A1532" t="s">
        <v>531</v>
      </c>
      <c r="B1532" t="s">
        <v>1640</v>
      </c>
      <c r="C1532">
        <v>42107</v>
      </c>
      <c r="D1532">
        <v>0</v>
      </c>
      <c r="F1532">
        <v>0</v>
      </c>
    </row>
    <row r="1533" spans="1:6" x14ac:dyDescent="0.25">
      <c r="A1533" t="s">
        <v>1583</v>
      </c>
      <c r="B1533" t="s">
        <v>1641</v>
      </c>
      <c r="C1533">
        <v>42108</v>
      </c>
      <c r="D1533">
        <v>0</v>
      </c>
      <c r="F1533">
        <v>0</v>
      </c>
    </row>
    <row r="1534" spans="1:6" x14ac:dyDescent="0.25">
      <c r="B1534" t="s">
        <v>2026</v>
      </c>
      <c r="D1534">
        <v>0</v>
      </c>
      <c r="F1534">
        <v>0</v>
      </c>
    </row>
    <row r="1535" spans="1:6" x14ac:dyDescent="0.25">
      <c r="B1535" t="s">
        <v>2027</v>
      </c>
    </row>
    <row r="1536" spans="1:6" x14ac:dyDescent="0.25">
      <c r="A1536" t="s">
        <v>2</v>
      </c>
      <c r="B1536" t="s">
        <v>1634</v>
      </c>
      <c r="C1536">
        <v>42201</v>
      </c>
      <c r="D1536">
        <v>0</v>
      </c>
      <c r="F1536">
        <v>0</v>
      </c>
    </row>
    <row r="1537" spans="1:6" x14ac:dyDescent="0.25">
      <c r="A1537" t="s">
        <v>15</v>
      </c>
      <c r="B1537" t="s">
        <v>1635</v>
      </c>
      <c r="C1537">
        <v>42202</v>
      </c>
      <c r="D1537">
        <v>0</v>
      </c>
      <c r="F1537">
        <v>0</v>
      </c>
    </row>
    <row r="1538" spans="1:6" x14ac:dyDescent="0.25">
      <c r="A1538" t="s">
        <v>16</v>
      </c>
      <c r="B1538" t="s">
        <v>1636</v>
      </c>
      <c r="C1538">
        <v>42203</v>
      </c>
      <c r="D1538">
        <v>0</v>
      </c>
      <c r="F1538">
        <v>0</v>
      </c>
    </row>
    <row r="1539" spans="1:6" x14ac:dyDescent="0.25">
      <c r="A1539" t="s">
        <v>25</v>
      </c>
      <c r="B1539" t="s">
        <v>1637</v>
      </c>
      <c r="C1539">
        <v>42204</v>
      </c>
      <c r="D1539">
        <v>0</v>
      </c>
      <c r="F1539">
        <v>0</v>
      </c>
    </row>
    <row r="1540" spans="1:6" x14ac:dyDescent="0.25">
      <c r="A1540" t="s">
        <v>26</v>
      </c>
      <c r="B1540" t="s">
        <v>1638</v>
      </c>
      <c r="C1540">
        <v>42205</v>
      </c>
      <c r="D1540">
        <v>0</v>
      </c>
      <c r="F1540">
        <v>0</v>
      </c>
    </row>
    <row r="1541" spans="1:6" x14ac:dyDescent="0.25">
      <c r="A1541" t="s">
        <v>27</v>
      </c>
      <c r="B1541" t="s">
        <v>1639</v>
      </c>
      <c r="C1541">
        <v>42206</v>
      </c>
      <c r="D1541">
        <v>0</v>
      </c>
      <c r="F1541">
        <v>0</v>
      </c>
    </row>
    <row r="1542" spans="1:6" x14ac:dyDescent="0.25">
      <c r="A1542" t="s">
        <v>531</v>
      </c>
      <c r="B1542" t="s">
        <v>1640</v>
      </c>
      <c r="C1542">
        <v>42207</v>
      </c>
      <c r="D1542">
        <v>0</v>
      </c>
      <c r="F1542">
        <v>0</v>
      </c>
    </row>
    <row r="1543" spans="1:6" x14ac:dyDescent="0.25">
      <c r="A1543" t="s">
        <v>1583</v>
      </c>
      <c r="B1543" t="s">
        <v>1641</v>
      </c>
      <c r="C1543">
        <v>42208</v>
      </c>
      <c r="D1543">
        <v>0</v>
      </c>
      <c r="F1543">
        <v>0</v>
      </c>
    </row>
    <row r="1544" spans="1:6" x14ac:dyDescent="0.25">
      <c r="B1544" t="s">
        <v>2028</v>
      </c>
      <c r="D1544">
        <v>0</v>
      </c>
      <c r="F1544">
        <v>0</v>
      </c>
    </row>
    <row r="1545" spans="1:6" x14ac:dyDescent="0.25">
      <c r="B1545" t="s">
        <v>2029</v>
      </c>
    </row>
    <row r="1546" spans="1:6" x14ac:dyDescent="0.25">
      <c r="A1546" t="s">
        <v>2</v>
      </c>
      <c r="B1546" t="s">
        <v>1634</v>
      </c>
      <c r="C1546">
        <v>42301</v>
      </c>
      <c r="D1546">
        <v>60053</v>
      </c>
      <c r="F1546">
        <v>60053</v>
      </c>
    </row>
    <row r="1547" spans="1:6" x14ac:dyDescent="0.25">
      <c r="A1547" t="s">
        <v>15</v>
      </c>
      <c r="B1547" t="s">
        <v>1635</v>
      </c>
      <c r="C1547">
        <v>42302</v>
      </c>
      <c r="D1547">
        <v>19001</v>
      </c>
      <c r="F1547">
        <v>19001</v>
      </c>
    </row>
    <row r="1548" spans="1:6" x14ac:dyDescent="0.25">
      <c r="A1548" t="s">
        <v>16</v>
      </c>
      <c r="B1548" t="s">
        <v>1636</v>
      </c>
      <c r="C1548">
        <v>42303</v>
      </c>
      <c r="D1548">
        <v>0</v>
      </c>
      <c r="F1548">
        <v>0</v>
      </c>
    </row>
    <row r="1549" spans="1:6" x14ac:dyDescent="0.25">
      <c r="A1549" t="s">
        <v>25</v>
      </c>
      <c r="B1549" t="s">
        <v>1637</v>
      </c>
      <c r="C1549">
        <v>42304</v>
      </c>
      <c r="D1549">
        <v>33318</v>
      </c>
      <c r="F1549">
        <v>33318</v>
      </c>
    </row>
    <row r="1550" spans="1:6" x14ac:dyDescent="0.25">
      <c r="A1550" t="s">
        <v>26</v>
      </c>
      <c r="B1550" t="s">
        <v>1638</v>
      </c>
      <c r="C1550">
        <v>42305</v>
      </c>
      <c r="D1550">
        <v>96416</v>
      </c>
      <c r="F1550">
        <v>96416</v>
      </c>
    </row>
    <row r="1551" spans="1:6" x14ac:dyDescent="0.25">
      <c r="A1551" t="s">
        <v>27</v>
      </c>
      <c r="B1551" t="s">
        <v>1639</v>
      </c>
      <c r="C1551">
        <v>42306</v>
      </c>
      <c r="D1551">
        <v>0</v>
      </c>
      <c r="F1551">
        <v>0</v>
      </c>
    </row>
    <row r="1552" spans="1:6" x14ac:dyDescent="0.25">
      <c r="A1552" t="s">
        <v>531</v>
      </c>
      <c r="B1552" t="s">
        <v>1640</v>
      </c>
      <c r="C1552">
        <v>42307</v>
      </c>
      <c r="D1552">
        <v>0</v>
      </c>
      <c r="F1552">
        <v>0</v>
      </c>
    </row>
    <row r="1553" spans="1:6" x14ac:dyDescent="0.25">
      <c r="A1553" t="s">
        <v>1583</v>
      </c>
      <c r="B1553" t="s">
        <v>1641</v>
      </c>
      <c r="C1553">
        <v>42308</v>
      </c>
      <c r="D1553">
        <v>23594</v>
      </c>
      <c r="F1553">
        <v>23594</v>
      </c>
    </row>
    <row r="1554" spans="1:6" x14ac:dyDescent="0.25">
      <c r="B1554" t="s">
        <v>2030</v>
      </c>
      <c r="D1554">
        <v>232382</v>
      </c>
      <c r="F1554">
        <v>232382</v>
      </c>
    </row>
    <row r="1555" spans="1:6" x14ac:dyDescent="0.25">
      <c r="B1555" t="s">
        <v>2031</v>
      </c>
    </row>
    <row r="1556" spans="1:6" x14ac:dyDescent="0.25">
      <c r="A1556" t="s">
        <v>2</v>
      </c>
      <c r="B1556" t="s">
        <v>1634</v>
      </c>
      <c r="C1556">
        <v>42401</v>
      </c>
      <c r="D1556">
        <v>0</v>
      </c>
      <c r="F1556">
        <v>0</v>
      </c>
    </row>
    <row r="1557" spans="1:6" x14ac:dyDescent="0.25">
      <c r="A1557" t="s">
        <v>15</v>
      </c>
      <c r="B1557" t="s">
        <v>1635</v>
      </c>
      <c r="C1557">
        <v>42402</v>
      </c>
      <c r="D1557">
        <v>0</v>
      </c>
      <c r="F1557">
        <v>0</v>
      </c>
    </row>
    <row r="1558" spans="1:6" x14ac:dyDescent="0.25">
      <c r="A1558" t="s">
        <v>16</v>
      </c>
      <c r="B1558" t="s">
        <v>1636</v>
      </c>
      <c r="C1558">
        <v>42403</v>
      </c>
      <c r="D1558">
        <v>0</v>
      </c>
      <c r="F1558">
        <v>0</v>
      </c>
    </row>
    <row r="1559" spans="1:6" x14ac:dyDescent="0.25">
      <c r="A1559" t="s">
        <v>25</v>
      </c>
      <c r="B1559" t="s">
        <v>1637</v>
      </c>
      <c r="C1559">
        <v>42404</v>
      </c>
      <c r="D1559">
        <v>0</v>
      </c>
      <c r="F1559">
        <v>0</v>
      </c>
    </row>
    <row r="1560" spans="1:6" x14ac:dyDescent="0.25">
      <c r="A1560" t="s">
        <v>26</v>
      </c>
      <c r="B1560" t="s">
        <v>1638</v>
      </c>
      <c r="C1560">
        <v>42405</v>
      </c>
      <c r="D1560">
        <v>556</v>
      </c>
      <c r="F1560">
        <v>556</v>
      </c>
    </row>
    <row r="1561" spans="1:6" x14ac:dyDescent="0.25">
      <c r="A1561" t="s">
        <v>27</v>
      </c>
      <c r="B1561" t="s">
        <v>1639</v>
      </c>
      <c r="C1561">
        <v>42406</v>
      </c>
      <c r="D1561">
        <v>0</v>
      </c>
      <c r="F1561">
        <v>0</v>
      </c>
    </row>
    <row r="1562" spans="1:6" x14ac:dyDescent="0.25">
      <c r="A1562" t="s">
        <v>531</v>
      </c>
      <c r="B1562" t="s">
        <v>1640</v>
      </c>
      <c r="C1562">
        <v>42407</v>
      </c>
      <c r="D1562">
        <v>2728</v>
      </c>
      <c r="F1562">
        <v>2728</v>
      </c>
    </row>
    <row r="1563" spans="1:6" x14ac:dyDescent="0.25">
      <c r="A1563" t="s">
        <v>1583</v>
      </c>
      <c r="B1563" t="s">
        <v>1641</v>
      </c>
      <c r="C1563">
        <v>42408</v>
      </c>
      <c r="D1563">
        <v>6120</v>
      </c>
      <c r="F1563">
        <v>6120</v>
      </c>
    </row>
    <row r="1564" spans="1:6" x14ac:dyDescent="0.25">
      <c r="B1564" t="s">
        <v>2032</v>
      </c>
      <c r="D1564">
        <v>9404</v>
      </c>
      <c r="F1564">
        <v>9404</v>
      </c>
    </row>
    <row r="1565" spans="1:6" x14ac:dyDescent="0.25">
      <c r="B1565" t="s">
        <v>2033</v>
      </c>
    </row>
    <row r="1566" spans="1:6" x14ac:dyDescent="0.25">
      <c r="A1566" t="s">
        <v>2</v>
      </c>
      <c r="B1566" t="s">
        <v>1648</v>
      </c>
      <c r="C1566">
        <v>42501</v>
      </c>
      <c r="D1566">
        <v>0</v>
      </c>
      <c r="F1566">
        <v>0</v>
      </c>
    </row>
    <row r="1567" spans="1:6" x14ac:dyDescent="0.25">
      <c r="A1567" t="s">
        <v>15</v>
      </c>
      <c r="B1567" t="s">
        <v>1649</v>
      </c>
      <c r="C1567">
        <v>42502</v>
      </c>
      <c r="D1567">
        <v>0</v>
      </c>
      <c r="F1567">
        <v>0</v>
      </c>
    </row>
    <row r="1568" spans="1:6" x14ac:dyDescent="0.25">
      <c r="A1568" t="s">
        <v>16</v>
      </c>
      <c r="B1568" t="s">
        <v>1637</v>
      </c>
      <c r="C1568">
        <v>42503</v>
      </c>
      <c r="D1568">
        <v>0</v>
      </c>
      <c r="F1568">
        <v>0</v>
      </c>
    </row>
    <row r="1569" spans="1:6" x14ac:dyDescent="0.25">
      <c r="A1569" t="s">
        <v>25</v>
      </c>
      <c r="B1569" t="s">
        <v>1638</v>
      </c>
      <c r="C1569">
        <v>42504</v>
      </c>
      <c r="D1569">
        <v>0</v>
      </c>
      <c r="F1569">
        <v>0</v>
      </c>
    </row>
    <row r="1570" spans="1:6" x14ac:dyDescent="0.25">
      <c r="A1570" t="s">
        <v>26</v>
      </c>
      <c r="B1570" t="s">
        <v>1650</v>
      </c>
      <c r="C1570">
        <v>42505</v>
      </c>
      <c r="D1570">
        <v>0</v>
      </c>
      <c r="F1570">
        <v>0</v>
      </c>
    </row>
    <row r="1571" spans="1:6" x14ac:dyDescent="0.25">
      <c r="A1571" t="s">
        <v>27</v>
      </c>
      <c r="B1571" t="s">
        <v>1651</v>
      </c>
      <c r="C1571">
        <v>42506</v>
      </c>
      <c r="D1571">
        <v>0</v>
      </c>
      <c r="F1571">
        <v>0</v>
      </c>
    </row>
    <row r="1572" spans="1:6" x14ac:dyDescent="0.25">
      <c r="A1572" t="s">
        <v>531</v>
      </c>
      <c r="B1572" t="s">
        <v>1640</v>
      </c>
      <c r="C1572">
        <v>42507</v>
      </c>
      <c r="D1572">
        <v>0</v>
      </c>
      <c r="F1572">
        <v>0</v>
      </c>
    </row>
    <row r="1573" spans="1:6" x14ac:dyDescent="0.25">
      <c r="A1573" t="s">
        <v>1583</v>
      </c>
      <c r="B1573" t="s">
        <v>1641</v>
      </c>
      <c r="C1573">
        <v>42508</v>
      </c>
      <c r="D1573">
        <v>0</v>
      </c>
      <c r="F1573">
        <v>0</v>
      </c>
    </row>
    <row r="1574" spans="1:6" x14ac:dyDescent="0.25">
      <c r="B1574" t="s">
        <v>2034</v>
      </c>
      <c r="D1574">
        <v>0</v>
      </c>
      <c r="F1574">
        <v>0</v>
      </c>
    </row>
    <row r="1575" spans="1:6" x14ac:dyDescent="0.25">
      <c r="B1575" t="s">
        <v>1660</v>
      </c>
      <c r="D1575">
        <v>241786</v>
      </c>
      <c r="F1575">
        <v>241786</v>
      </c>
    </row>
    <row r="1576" spans="1:6" x14ac:dyDescent="0.25">
      <c r="B1576" t="s">
        <v>2035</v>
      </c>
    </row>
    <row r="1577" spans="1:6" x14ac:dyDescent="0.25">
      <c r="B1577" t="s">
        <v>2036</v>
      </c>
    </row>
    <row r="1578" spans="1:6" x14ac:dyDescent="0.25">
      <c r="A1578" t="s">
        <v>2</v>
      </c>
      <c r="B1578" t="s">
        <v>1637</v>
      </c>
      <c r="C1578">
        <v>43101</v>
      </c>
      <c r="D1578">
        <v>20050</v>
      </c>
      <c r="F1578">
        <v>20050</v>
      </c>
    </row>
    <row r="1579" spans="1:6" x14ac:dyDescent="0.25">
      <c r="A1579" t="s">
        <v>15</v>
      </c>
      <c r="B1579" t="s">
        <v>1638</v>
      </c>
      <c r="C1579">
        <v>43102</v>
      </c>
      <c r="D1579">
        <v>36750</v>
      </c>
      <c r="F1579">
        <v>36750</v>
      </c>
    </row>
    <row r="1580" spans="1:6" x14ac:dyDescent="0.25">
      <c r="A1580" t="s">
        <v>16</v>
      </c>
      <c r="B1580" t="s">
        <v>1640</v>
      </c>
      <c r="C1580">
        <v>43103</v>
      </c>
      <c r="D1580">
        <v>0</v>
      </c>
      <c r="F1580">
        <v>0</v>
      </c>
    </row>
    <row r="1581" spans="1:6" x14ac:dyDescent="0.25">
      <c r="A1581" t="s">
        <v>25</v>
      </c>
      <c r="B1581" t="s">
        <v>1641</v>
      </c>
      <c r="C1581">
        <v>43104</v>
      </c>
      <c r="D1581">
        <v>0</v>
      </c>
      <c r="F1581">
        <v>0</v>
      </c>
    </row>
    <row r="1582" spans="1:6" x14ac:dyDescent="0.25">
      <c r="B1582" t="s">
        <v>2037</v>
      </c>
      <c r="D1582">
        <v>56800</v>
      </c>
      <c r="F1582">
        <v>56800</v>
      </c>
    </row>
    <row r="1583" spans="1:6" x14ac:dyDescent="0.25">
      <c r="B1583" t="s">
        <v>2038</v>
      </c>
    </row>
    <row r="1584" spans="1:6" x14ac:dyDescent="0.25">
      <c r="A1584" t="s">
        <v>2</v>
      </c>
      <c r="B1584" t="s">
        <v>1637</v>
      </c>
      <c r="C1584">
        <v>43201</v>
      </c>
      <c r="D1584">
        <v>211224</v>
      </c>
      <c r="F1584">
        <v>211224</v>
      </c>
    </row>
    <row r="1585" spans="1:6" x14ac:dyDescent="0.25">
      <c r="A1585" t="s">
        <v>15</v>
      </c>
      <c r="B1585" t="s">
        <v>1638</v>
      </c>
      <c r="C1585">
        <v>43202</v>
      </c>
      <c r="D1585">
        <v>940937</v>
      </c>
      <c r="F1585">
        <v>940937</v>
      </c>
    </row>
    <row r="1586" spans="1:6" x14ac:dyDescent="0.25">
      <c r="A1586" t="s">
        <v>16</v>
      </c>
      <c r="B1586" t="s">
        <v>1640</v>
      </c>
      <c r="C1586">
        <v>43203</v>
      </c>
      <c r="D1586">
        <v>98732</v>
      </c>
      <c r="F1586">
        <v>98732</v>
      </c>
    </row>
    <row r="1587" spans="1:6" x14ac:dyDescent="0.25">
      <c r="A1587" t="s">
        <v>25</v>
      </c>
      <c r="B1587" t="s">
        <v>1641</v>
      </c>
      <c r="C1587">
        <v>43204</v>
      </c>
      <c r="D1587">
        <v>0</v>
      </c>
      <c r="F1587">
        <v>0</v>
      </c>
    </row>
    <row r="1588" spans="1:6" x14ac:dyDescent="0.25">
      <c r="B1588" t="s">
        <v>2039</v>
      </c>
      <c r="D1588">
        <v>1250893</v>
      </c>
      <c r="F1588">
        <v>1250893</v>
      </c>
    </row>
    <row r="1589" spans="1:6" x14ac:dyDescent="0.25">
      <c r="B1589" t="s">
        <v>2040</v>
      </c>
    </row>
    <row r="1590" spans="1:6" x14ac:dyDescent="0.25">
      <c r="A1590" t="s">
        <v>2</v>
      </c>
      <c r="B1590" t="s">
        <v>1637</v>
      </c>
      <c r="C1590">
        <v>43301</v>
      </c>
      <c r="D1590">
        <v>0</v>
      </c>
      <c r="F1590">
        <v>0</v>
      </c>
    </row>
    <row r="1591" spans="1:6" x14ac:dyDescent="0.25">
      <c r="A1591" t="s">
        <v>15</v>
      </c>
      <c r="B1591" t="s">
        <v>1638</v>
      </c>
      <c r="C1591">
        <v>43302</v>
      </c>
      <c r="D1591">
        <v>959570</v>
      </c>
      <c r="F1591">
        <v>959570</v>
      </c>
    </row>
    <row r="1592" spans="1:6" x14ac:dyDescent="0.25">
      <c r="A1592" t="s">
        <v>16</v>
      </c>
      <c r="B1592" t="s">
        <v>1640</v>
      </c>
      <c r="C1592">
        <v>43303</v>
      </c>
      <c r="D1592">
        <v>0</v>
      </c>
      <c r="F1592">
        <v>0</v>
      </c>
    </row>
    <row r="1593" spans="1:6" x14ac:dyDescent="0.25">
      <c r="A1593" t="s">
        <v>25</v>
      </c>
      <c r="B1593" t="s">
        <v>1641</v>
      </c>
      <c r="C1593">
        <v>43304</v>
      </c>
      <c r="D1593">
        <v>0</v>
      </c>
      <c r="F1593">
        <v>0</v>
      </c>
    </row>
    <row r="1594" spans="1:6" x14ac:dyDescent="0.25">
      <c r="B1594" t="s">
        <v>2041</v>
      </c>
      <c r="D1594">
        <v>959570</v>
      </c>
      <c r="F1594">
        <v>959570</v>
      </c>
    </row>
    <row r="1595" spans="1:6" x14ac:dyDescent="0.25">
      <c r="B1595" t="s">
        <v>2042</v>
      </c>
    </row>
    <row r="1596" spans="1:6" x14ac:dyDescent="0.25">
      <c r="A1596" t="s">
        <v>2</v>
      </c>
      <c r="B1596" t="s">
        <v>1637</v>
      </c>
      <c r="C1596">
        <v>43401</v>
      </c>
      <c r="D1596">
        <v>3600</v>
      </c>
      <c r="F1596">
        <v>3600</v>
      </c>
    </row>
    <row r="1597" spans="1:6" x14ac:dyDescent="0.25">
      <c r="A1597" t="s">
        <v>15</v>
      </c>
      <c r="B1597" t="s">
        <v>1638</v>
      </c>
      <c r="C1597">
        <v>43402</v>
      </c>
      <c r="D1597">
        <v>1995</v>
      </c>
      <c r="F1597">
        <v>1995</v>
      </c>
    </row>
    <row r="1598" spans="1:6" x14ac:dyDescent="0.25">
      <c r="A1598" t="s">
        <v>16</v>
      </c>
      <c r="B1598" t="s">
        <v>1640</v>
      </c>
      <c r="C1598">
        <v>43403</v>
      </c>
      <c r="D1598">
        <v>0</v>
      </c>
      <c r="F1598">
        <v>0</v>
      </c>
    </row>
    <row r="1599" spans="1:6" x14ac:dyDescent="0.25">
      <c r="A1599" t="s">
        <v>25</v>
      </c>
      <c r="B1599" t="s">
        <v>1641</v>
      </c>
      <c r="C1599">
        <v>43404</v>
      </c>
      <c r="D1599">
        <v>109683</v>
      </c>
      <c r="F1599">
        <v>109683</v>
      </c>
    </row>
    <row r="1600" spans="1:6" x14ac:dyDescent="0.25">
      <c r="B1600" t="s">
        <v>2043</v>
      </c>
      <c r="D1600">
        <v>115278</v>
      </c>
      <c r="F1600">
        <v>115278</v>
      </c>
    </row>
    <row r="1601" spans="1:6" x14ac:dyDescent="0.25">
      <c r="B1601" t="s">
        <v>2044</v>
      </c>
    </row>
    <row r="1602" spans="1:6" x14ac:dyDescent="0.25">
      <c r="A1602" t="s">
        <v>2</v>
      </c>
      <c r="B1602" t="s">
        <v>1637</v>
      </c>
      <c r="C1602">
        <v>43501</v>
      </c>
      <c r="D1602">
        <v>0</v>
      </c>
      <c r="F1602">
        <v>0</v>
      </c>
    </row>
    <row r="1603" spans="1:6" x14ac:dyDescent="0.25">
      <c r="A1603" t="s">
        <v>15</v>
      </c>
      <c r="B1603" t="s">
        <v>1638</v>
      </c>
      <c r="C1603">
        <v>43502</v>
      </c>
      <c r="D1603">
        <v>0</v>
      </c>
      <c r="F1603">
        <v>0</v>
      </c>
    </row>
    <row r="1604" spans="1:6" x14ac:dyDescent="0.25">
      <c r="A1604" t="s">
        <v>16</v>
      </c>
      <c r="B1604" t="s">
        <v>1640</v>
      </c>
      <c r="C1604">
        <v>43503</v>
      </c>
      <c r="D1604">
        <v>0</v>
      </c>
      <c r="F1604">
        <v>0</v>
      </c>
    </row>
    <row r="1605" spans="1:6" x14ac:dyDescent="0.25">
      <c r="A1605" t="s">
        <v>25</v>
      </c>
      <c r="B1605" t="s">
        <v>1641</v>
      </c>
      <c r="C1605">
        <v>43504</v>
      </c>
      <c r="D1605">
        <v>0</v>
      </c>
      <c r="F1605">
        <v>0</v>
      </c>
    </row>
    <row r="1606" spans="1:6" x14ac:dyDescent="0.25">
      <c r="B1606" t="s">
        <v>2045</v>
      </c>
      <c r="D1606">
        <v>0</v>
      </c>
      <c r="F1606">
        <v>0</v>
      </c>
    </row>
    <row r="1607" spans="1:6" x14ac:dyDescent="0.25">
      <c r="B1607" t="s">
        <v>1670</v>
      </c>
      <c r="D1607">
        <v>2382541</v>
      </c>
      <c r="F1607">
        <v>2382541</v>
      </c>
    </row>
    <row r="1608" spans="1:6" x14ac:dyDescent="0.25">
      <c r="B1608" t="s">
        <v>2046</v>
      </c>
    </row>
    <row r="1609" spans="1:6" x14ac:dyDescent="0.25">
      <c r="B1609" t="s">
        <v>1672</v>
      </c>
    </row>
    <row r="1610" spans="1:6" x14ac:dyDescent="0.25">
      <c r="A1610" t="s">
        <v>2</v>
      </c>
      <c r="B1610" t="s">
        <v>1673</v>
      </c>
      <c r="C1610">
        <v>44101</v>
      </c>
      <c r="D1610">
        <v>0</v>
      </c>
      <c r="E1610">
        <v>0</v>
      </c>
      <c r="F1610">
        <v>0</v>
      </c>
    </row>
    <row r="1611" spans="1:6" x14ac:dyDescent="0.25">
      <c r="A1611" t="s">
        <v>15</v>
      </c>
      <c r="B1611" t="s">
        <v>1674</v>
      </c>
      <c r="C1611">
        <v>44102</v>
      </c>
      <c r="D1611">
        <v>0</v>
      </c>
      <c r="E1611">
        <v>0</v>
      </c>
      <c r="F1611">
        <v>0</v>
      </c>
    </row>
    <row r="1612" spans="1:6" x14ac:dyDescent="0.25">
      <c r="A1612" t="s">
        <v>16</v>
      </c>
      <c r="B1612" t="s">
        <v>1675</v>
      </c>
      <c r="C1612">
        <v>44103</v>
      </c>
      <c r="D1612">
        <v>0</v>
      </c>
      <c r="E1612">
        <v>130</v>
      </c>
      <c r="F1612">
        <v>130</v>
      </c>
    </row>
    <row r="1613" spans="1:6" x14ac:dyDescent="0.25">
      <c r="A1613" t="s">
        <v>25</v>
      </c>
      <c r="B1613" t="s">
        <v>1676</v>
      </c>
      <c r="C1613">
        <v>44104</v>
      </c>
      <c r="D1613">
        <v>0</v>
      </c>
      <c r="E1613">
        <v>0</v>
      </c>
      <c r="F1613">
        <v>0</v>
      </c>
    </row>
    <row r="1614" spans="1:6" x14ac:dyDescent="0.25">
      <c r="A1614" t="s">
        <v>26</v>
      </c>
      <c r="B1614" t="s">
        <v>1677</v>
      </c>
      <c r="C1614">
        <v>44105</v>
      </c>
      <c r="D1614">
        <v>0</v>
      </c>
      <c r="E1614">
        <v>0</v>
      </c>
      <c r="F1614">
        <v>0</v>
      </c>
    </row>
    <row r="1615" spans="1:6" x14ac:dyDescent="0.25">
      <c r="B1615" t="s">
        <v>2047</v>
      </c>
      <c r="D1615">
        <v>0</v>
      </c>
      <c r="E1615">
        <v>130</v>
      </c>
      <c r="F1615">
        <v>130</v>
      </c>
    </row>
    <row r="1616" spans="1:6" x14ac:dyDescent="0.25">
      <c r="B1616" t="s">
        <v>1781</v>
      </c>
    </row>
    <row r="1617" spans="1:6" x14ac:dyDescent="0.25">
      <c r="A1617" t="s">
        <v>2</v>
      </c>
      <c r="B1617" t="s">
        <v>1693</v>
      </c>
      <c r="C1617">
        <v>44201</v>
      </c>
      <c r="D1617">
        <v>0</v>
      </c>
      <c r="E1617">
        <v>0</v>
      </c>
      <c r="F1617">
        <v>0</v>
      </c>
    </row>
    <row r="1618" spans="1:6" x14ac:dyDescent="0.25">
      <c r="A1618" t="s">
        <v>15</v>
      </c>
      <c r="B1618" t="s">
        <v>1694</v>
      </c>
      <c r="C1618">
        <v>44202</v>
      </c>
      <c r="D1618">
        <v>0</v>
      </c>
      <c r="E1618">
        <v>0</v>
      </c>
      <c r="F1618">
        <v>0</v>
      </c>
    </row>
    <row r="1619" spans="1:6" x14ac:dyDescent="0.25">
      <c r="A1619" t="s">
        <v>16</v>
      </c>
      <c r="B1619" t="s">
        <v>1695</v>
      </c>
      <c r="C1619">
        <v>44203</v>
      </c>
      <c r="D1619">
        <v>0</v>
      </c>
      <c r="E1619">
        <v>0</v>
      </c>
      <c r="F1619">
        <v>0</v>
      </c>
    </row>
    <row r="1620" spans="1:6" x14ac:dyDescent="0.25">
      <c r="A1620" t="s">
        <v>25</v>
      </c>
      <c r="B1620" t="s">
        <v>1696</v>
      </c>
      <c r="C1620">
        <v>44204</v>
      </c>
      <c r="D1620">
        <v>0</v>
      </c>
      <c r="E1620">
        <v>0</v>
      </c>
      <c r="F1620">
        <v>0</v>
      </c>
    </row>
    <row r="1621" spans="1:6" x14ac:dyDescent="0.25">
      <c r="A1621" t="s">
        <v>26</v>
      </c>
      <c r="B1621" t="s">
        <v>1680</v>
      </c>
      <c r="C1621">
        <v>44205</v>
      </c>
      <c r="D1621">
        <v>0</v>
      </c>
      <c r="E1621">
        <v>0</v>
      </c>
      <c r="F1621">
        <v>0</v>
      </c>
    </row>
    <row r="1622" spans="1:6" x14ac:dyDescent="0.25">
      <c r="A1622" t="s">
        <v>27</v>
      </c>
      <c r="B1622" t="s">
        <v>1681</v>
      </c>
      <c r="C1622">
        <v>44206</v>
      </c>
      <c r="D1622">
        <v>0</v>
      </c>
      <c r="E1622">
        <v>0</v>
      </c>
      <c r="F1622">
        <v>0</v>
      </c>
    </row>
    <row r="1623" spans="1:6" x14ac:dyDescent="0.25">
      <c r="A1623" t="s">
        <v>531</v>
      </c>
      <c r="B1623" t="s">
        <v>1682</v>
      </c>
      <c r="C1623">
        <v>44207</v>
      </c>
      <c r="D1623">
        <v>0</v>
      </c>
      <c r="E1623">
        <v>0</v>
      </c>
      <c r="F1623">
        <v>0</v>
      </c>
    </row>
    <row r="1624" spans="1:6" x14ac:dyDescent="0.25">
      <c r="A1624" t="s">
        <v>1583</v>
      </c>
      <c r="B1624" t="s">
        <v>1683</v>
      </c>
      <c r="C1624">
        <v>44208</v>
      </c>
      <c r="D1624">
        <v>0</v>
      </c>
      <c r="E1624">
        <v>0</v>
      </c>
      <c r="F1624">
        <v>0</v>
      </c>
    </row>
    <row r="1625" spans="1:6" x14ac:dyDescent="0.25">
      <c r="A1625" t="s">
        <v>1585</v>
      </c>
      <c r="B1625" t="s">
        <v>1684</v>
      </c>
      <c r="C1625">
        <v>44209</v>
      </c>
      <c r="D1625">
        <v>0</v>
      </c>
      <c r="E1625">
        <v>0</v>
      </c>
      <c r="F1625">
        <v>0</v>
      </c>
    </row>
    <row r="1626" spans="1:6" x14ac:dyDescent="0.25">
      <c r="A1626" t="s">
        <v>1587</v>
      </c>
      <c r="B1626" t="s">
        <v>1685</v>
      </c>
      <c r="C1626">
        <v>44210</v>
      </c>
      <c r="D1626">
        <v>0</v>
      </c>
      <c r="E1626">
        <v>0</v>
      </c>
      <c r="F1626">
        <v>0</v>
      </c>
    </row>
    <row r="1627" spans="1:6" x14ac:dyDescent="0.25">
      <c r="A1627" t="s">
        <v>1589</v>
      </c>
      <c r="B1627" t="s">
        <v>1686</v>
      </c>
      <c r="C1627">
        <v>44211</v>
      </c>
      <c r="D1627">
        <v>0</v>
      </c>
      <c r="E1627">
        <v>0</v>
      </c>
      <c r="F1627">
        <v>0</v>
      </c>
    </row>
    <row r="1628" spans="1:6" x14ac:dyDescent="0.25">
      <c r="A1628" t="s">
        <v>1591</v>
      </c>
      <c r="B1628" t="s">
        <v>1687</v>
      </c>
      <c r="C1628">
        <v>44212</v>
      </c>
      <c r="D1628">
        <v>0</v>
      </c>
      <c r="E1628">
        <v>0</v>
      </c>
      <c r="F1628">
        <v>0</v>
      </c>
    </row>
    <row r="1629" spans="1:6" x14ac:dyDescent="0.25">
      <c r="A1629" t="s">
        <v>1593</v>
      </c>
      <c r="B1629" t="s">
        <v>1688</v>
      </c>
      <c r="C1629">
        <v>44213</v>
      </c>
      <c r="D1629">
        <v>0</v>
      </c>
      <c r="E1629">
        <v>0</v>
      </c>
      <c r="F1629">
        <v>0</v>
      </c>
    </row>
    <row r="1630" spans="1:6" x14ac:dyDescent="0.25">
      <c r="A1630" t="s">
        <v>1595</v>
      </c>
      <c r="B1630" t="s">
        <v>1690</v>
      </c>
      <c r="C1630">
        <v>44214</v>
      </c>
      <c r="D1630">
        <v>0</v>
      </c>
      <c r="E1630">
        <v>0</v>
      </c>
      <c r="F1630">
        <v>0</v>
      </c>
    </row>
    <row r="1631" spans="1:6" x14ac:dyDescent="0.25">
      <c r="A1631" t="s">
        <v>1597</v>
      </c>
      <c r="B1631" t="s">
        <v>1637</v>
      </c>
      <c r="C1631">
        <v>44215</v>
      </c>
      <c r="D1631">
        <v>0</v>
      </c>
      <c r="E1631">
        <v>0</v>
      </c>
      <c r="F1631">
        <v>0</v>
      </c>
    </row>
    <row r="1632" spans="1:6" x14ac:dyDescent="0.25">
      <c r="A1632" t="s">
        <v>1599</v>
      </c>
      <c r="B1632" t="s">
        <v>1640</v>
      </c>
      <c r="C1632">
        <v>44216</v>
      </c>
      <c r="D1632">
        <v>0</v>
      </c>
      <c r="E1632">
        <v>0</v>
      </c>
      <c r="F1632">
        <v>0</v>
      </c>
    </row>
    <row r="1633" spans="1:6" x14ac:dyDescent="0.25">
      <c r="A1633" t="s">
        <v>1601</v>
      </c>
      <c r="B1633" t="s">
        <v>1636</v>
      </c>
      <c r="C1633">
        <v>44217</v>
      </c>
      <c r="D1633">
        <v>0</v>
      </c>
      <c r="E1633">
        <v>0</v>
      </c>
      <c r="F1633">
        <v>0</v>
      </c>
    </row>
    <row r="1634" spans="1:6" x14ac:dyDescent="0.25">
      <c r="A1634" t="s">
        <v>1603</v>
      </c>
      <c r="B1634" t="s">
        <v>1689</v>
      </c>
      <c r="C1634">
        <v>44218</v>
      </c>
      <c r="D1634">
        <v>0</v>
      </c>
      <c r="E1634">
        <v>0</v>
      </c>
      <c r="F1634">
        <v>0</v>
      </c>
    </row>
    <row r="1635" spans="1:6" x14ac:dyDescent="0.25">
      <c r="B1635" t="s">
        <v>2048</v>
      </c>
      <c r="D1635">
        <v>0</v>
      </c>
      <c r="E1635">
        <v>0</v>
      </c>
      <c r="F1635">
        <v>0</v>
      </c>
    </row>
    <row r="1636" spans="1:6" x14ac:dyDescent="0.25">
      <c r="B1636" t="s">
        <v>1783</v>
      </c>
    </row>
    <row r="1637" spans="1:6" x14ac:dyDescent="0.25">
      <c r="A1637" t="s">
        <v>2</v>
      </c>
      <c r="B1637" t="s">
        <v>1699</v>
      </c>
      <c r="C1637">
        <v>44301</v>
      </c>
      <c r="D1637">
        <v>0</v>
      </c>
      <c r="E1637">
        <v>0</v>
      </c>
      <c r="F1637">
        <v>0</v>
      </c>
    </row>
    <row r="1638" spans="1:6" x14ac:dyDescent="0.25">
      <c r="A1638" t="s">
        <v>15</v>
      </c>
      <c r="B1638" t="s">
        <v>1694</v>
      </c>
      <c r="C1638">
        <v>44302</v>
      </c>
      <c r="D1638">
        <v>0</v>
      </c>
      <c r="E1638">
        <v>0</v>
      </c>
      <c r="F1638">
        <v>0</v>
      </c>
    </row>
    <row r="1639" spans="1:6" x14ac:dyDescent="0.25">
      <c r="A1639" t="s">
        <v>16</v>
      </c>
      <c r="B1639" t="s">
        <v>1695</v>
      </c>
      <c r="C1639">
        <v>44303</v>
      </c>
      <c r="D1639">
        <v>0</v>
      </c>
      <c r="E1639">
        <v>0</v>
      </c>
      <c r="F1639">
        <v>0</v>
      </c>
    </row>
    <row r="1640" spans="1:6" x14ac:dyDescent="0.25">
      <c r="A1640" t="s">
        <v>25</v>
      </c>
      <c r="B1640" t="s">
        <v>1696</v>
      </c>
      <c r="C1640">
        <v>44304</v>
      </c>
      <c r="D1640">
        <v>0</v>
      </c>
      <c r="E1640">
        <v>0</v>
      </c>
      <c r="F1640">
        <v>0</v>
      </c>
    </row>
    <row r="1641" spans="1:6" x14ac:dyDescent="0.25">
      <c r="A1641" t="s">
        <v>26</v>
      </c>
      <c r="B1641" t="s">
        <v>1680</v>
      </c>
      <c r="C1641">
        <v>44305</v>
      </c>
      <c r="D1641">
        <v>0</v>
      </c>
      <c r="E1641">
        <v>0</v>
      </c>
      <c r="F1641">
        <v>0</v>
      </c>
    </row>
    <row r="1642" spans="1:6" x14ac:dyDescent="0.25">
      <c r="A1642" t="s">
        <v>27</v>
      </c>
      <c r="B1642" t="s">
        <v>1681</v>
      </c>
      <c r="C1642">
        <v>44306</v>
      </c>
      <c r="D1642">
        <v>0</v>
      </c>
      <c r="E1642">
        <v>0</v>
      </c>
      <c r="F1642">
        <v>0</v>
      </c>
    </row>
    <row r="1643" spans="1:6" x14ac:dyDescent="0.25">
      <c r="A1643" t="s">
        <v>531</v>
      </c>
      <c r="B1643" t="s">
        <v>1682</v>
      </c>
      <c r="C1643">
        <v>44307</v>
      </c>
      <c r="D1643">
        <v>0</v>
      </c>
      <c r="E1643">
        <v>0</v>
      </c>
      <c r="F1643">
        <v>0</v>
      </c>
    </row>
    <row r="1644" spans="1:6" x14ac:dyDescent="0.25">
      <c r="A1644" t="s">
        <v>1583</v>
      </c>
      <c r="B1644" t="s">
        <v>1683</v>
      </c>
      <c r="C1644">
        <v>44308</v>
      </c>
      <c r="D1644">
        <v>0</v>
      </c>
      <c r="E1644">
        <v>0</v>
      </c>
      <c r="F1644">
        <v>0</v>
      </c>
    </row>
    <row r="1645" spans="1:6" x14ac:dyDescent="0.25">
      <c r="A1645" t="s">
        <v>1585</v>
      </c>
      <c r="B1645" t="s">
        <v>1684</v>
      </c>
      <c r="C1645">
        <v>44309</v>
      </c>
      <c r="D1645">
        <v>0</v>
      </c>
      <c r="E1645">
        <v>0</v>
      </c>
      <c r="F1645">
        <v>0</v>
      </c>
    </row>
    <row r="1646" spans="1:6" x14ac:dyDescent="0.25">
      <c r="A1646" t="s">
        <v>1587</v>
      </c>
      <c r="B1646" t="s">
        <v>1685</v>
      </c>
      <c r="C1646">
        <v>44310</v>
      </c>
      <c r="D1646">
        <v>0</v>
      </c>
      <c r="E1646">
        <v>0</v>
      </c>
      <c r="F1646">
        <v>0</v>
      </c>
    </row>
    <row r="1647" spans="1:6" x14ac:dyDescent="0.25">
      <c r="A1647" t="s">
        <v>1589</v>
      </c>
      <c r="B1647" t="s">
        <v>1686</v>
      </c>
      <c r="C1647">
        <v>44311</v>
      </c>
      <c r="D1647">
        <v>0</v>
      </c>
      <c r="E1647">
        <v>0</v>
      </c>
      <c r="F1647">
        <v>0</v>
      </c>
    </row>
    <row r="1648" spans="1:6" x14ac:dyDescent="0.25">
      <c r="A1648" t="s">
        <v>1591</v>
      </c>
      <c r="B1648" t="s">
        <v>1687</v>
      </c>
      <c r="C1648">
        <v>44312</v>
      </c>
      <c r="D1648">
        <v>0</v>
      </c>
      <c r="E1648">
        <v>0</v>
      </c>
      <c r="F1648">
        <v>0</v>
      </c>
    </row>
    <row r="1649" spans="1:6" x14ac:dyDescent="0.25">
      <c r="A1649" t="s">
        <v>1593</v>
      </c>
      <c r="B1649" t="s">
        <v>1688</v>
      </c>
      <c r="C1649">
        <v>44313</v>
      </c>
      <c r="D1649">
        <v>0</v>
      </c>
      <c r="E1649">
        <v>0</v>
      </c>
      <c r="F1649">
        <v>0</v>
      </c>
    </row>
    <row r="1650" spans="1:6" x14ac:dyDescent="0.25">
      <c r="A1650" t="s">
        <v>1595</v>
      </c>
      <c r="B1650" t="s">
        <v>1690</v>
      </c>
      <c r="C1650">
        <v>44314</v>
      </c>
      <c r="D1650">
        <v>0</v>
      </c>
      <c r="E1650">
        <v>0</v>
      </c>
      <c r="F1650">
        <v>0</v>
      </c>
    </row>
    <row r="1651" spans="1:6" x14ac:dyDescent="0.25">
      <c r="A1651" t="s">
        <v>1597</v>
      </c>
      <c r="B1651" t="s">
        <v>1637</v>
      </c>
      <c r="C1651">
        <v>44315</v>
      </c>
      <c r="D1651">
        <v>0</v>
      </c>
      <c r="E1651">
        <v>0</v>
      </c>
      <c r="F1651">
        <v>0</v>
      </c>
    </row>
    <row r="1652" spans="1:6" x14ac:dyDescent="0.25">
      <c r="A1652" t="s">
        <v>1599</v>
      </c>
      <c r="B1652" t="s">
        <v>1640</v>
      </c>
      <c r="C1652">
        <v>44316</v>
      </c>
      <c r="D1652">
        <v>0</v>
      </c>
      <c r="E1652">
        <v>0</v>
      </c>
      <c r="F1652">
        <v>0</v>
      </c>
    </row>
    <row r="1653" spans="1:6" x14ac:dyDescent="0.25">
      <c r="A1653" t="s">
        <v>1601</v>
      </c>
      <c r="B1653" t="s">
        <v>1636</v>
      </c>
      <c r="C1653">
        <v>44317</v>
      </c>
      <c r="D1653">
        <v>0</v>
      </c>
      <c r="E1653">
        <v>0</v>
      </c>
      <c r="F1653">
        <v>0</v>
      </c>
    </row>
    <row r="1654" spans="1:6" x14ac:dyDescent="0.25">
      <c r="A1654" t="s">
        <v>1603</v>
      </c>
      <c r="B1654" t="s">
        <v>1689</v>
      </c>
      <c r="C1654">
        <v>44318</v>
      </c>
      <c r="D1654">
        <v>0</v>
      </c>
      <c r="E1654">
        <v>0</v>
      </c>
      <c r="F1654">
        <v>0</v>
      </c>
    </row>
    <row r="1655" spans="1:6" x14ac:dyDescent="0.25">
      <c r="B1655" t="s">
        <v>2049</v>
      </c>
      <c r="D1655">
        <v>0</v>
      </c>
      <c r="E1655">
        <v>0</v>
      </c>
      <c r="F1655">
        <v>0</v>
      </c>
    </row>
    <row r="1656" spans="1:6" x14ac:dyDescent="0.25">
      <c r="B1656" t="s">
        <v>1785</v>
      </c>
    </row>
    <row r="1657" spans="1:6" x14ac:dyDescent="0.25">
      <c r="A1657" t="s">
        <v>2</v>
      </c>
      <c r="B1657" t="s">
        <v>1702</v>
      </c>
      <c r="C1657">
        <v>44401</v>
      </c>
      <c r="D1657">
        <v>0</v>
      </c>
      <c r="E1657">
        <v>0</v>
      </c>
      <c r="F1657">
        <v>0</v>
      </c>
    </row>
    <row r="1658" spans="1:6" x14ac:dyDescent="0.25">
      <c r="A1658" t="s">
        <v>15</v>
      </c>
      <c r="B1658" t="s">
        <v>1703</v>
      </c>
      <c r="C1658">
        <v>44402</v>
      </c>
      <c r="D1658">
        <v>0</v>
      </c>
      <c r="E1658">
        <v>0</v>
      </c>
      <c r="F1658">
        <v>0</v>
      </c>
    </row>
    <row r="1659" spans="1:6" x14ac:dyDescent="0.25">
      <c r="B1659" t="s">
        <v>2050</v>
      </c>
      <c r="D1659">
        <v>0</v>
      </c>
      <c r="E1659">
        <v>0</v>
      </c>
      <c r="F1659">
        <v>0</v>
      </c>
    </row>
    <row r="1660" spans="1:6" x14ac:dyDescent="0.25">
      <c r="B1660" t="s">
        <v>1787</v>
      </c>
    </row>
    <row r="1661" spans="1:6" x14ac:dyDescent="0.25">
      <c r="A1661" t="s">
        <v>2</v>
      </c>
      <c r="B1661" t="s">
        <v>1702</v>
      </c>
      <c r="C1661">
        <v>44501</v>
      </c>
      <c r="D1661">
        <v>0</v>
      </c>
      <c r="E1661">
        <v>0</v>
      </c>
      <c r="F1661">
        <v>0</v>
      </c>
    </row>
    <row r="1662" spans="1:6" x14ac:dyDescent="0.25">
      <c r="A1662" t="s">
        <v>15</v>
      </c>
      <c r="B1662" t="s">
        <v>1703</v>
      </c>
      <c r="C1662">
        <v>44502</v>
      </c>
      <c r="D1662">
        <v>0</v>
      </c>
      <c r="E1662">
        <v>0</v>
      </c>
      <c r="F1662">
        <v>0</v>
      </c>
    </row>
    <row r="1663" spans="1:6" x14ac:dyDescent="0.25">
      <c r="B1663" t="s">
        <v>2051</v>
      </c>
      <c r="D1663">
        <v>0</v>
      </c>
      <c r="E1663">
        <v>0</v>
      </c>
      <c r="F1663">
        <v>0</v>
      </c>
    </row>
    <row r="1664" spans="1:6" x14ac:dyDescent="0.25">
      <c r="B1664" t="s">
        <v>1789</v>
      </c>
    </row>
    <row r="1665" spans="1:6" x14ac:dyDescent="0.25">
      <c r="A1665" t="s">
        <v>2</v>
      </c>
      <c r="B1665" t="s">
        <v>1710</v>
      </c>
      <c r="C1665">
        <v>44601</v>
      </c>
      <c r="D1665">
        <v>10786</v>
      </c>
      <c r="E1665">
        <v>18803</v>
      </c>
      <c r="F1665">
        <v>29589</v>
      </c>
    </row>
    <row r="1666" spans="1:6" x14ac:dyDescent="0.25">
      <c r="A1666" t="s">
        <v>15</v>
      </c>
      <c r="B1666" t="s">
        <v>1711</v>
      </c>
      <c r="C1666">
        <v>44602</v>
      </c>
      <c r="D1666">
        <v>0</v>
      </c>
      <c r="E1666">
        <v>0</v>
      </c>
      <c r="F1666">
        <v>0</v>
      </c>
    </row>
    <row r="1667" spans="1:6" x14ac:dyDescent="0.25">
      <c r="A1667" t="s">
        <v>16</v>
      </c>
      <c r="B1667" t="s">
        <v>1712</v>
      </c>
      <c r="C1667">
        <v>44603</v>
      </c>
      <c r="D1667">
        <v>0</v>
      </c>
      <c r="E1667">
        <v>0</v>
      </c>
      <c r="F1667">
        <v>0</v>
      </c>
    </row>
    <row r="1668" spans="1:6" x14ac:dyDescent="0.25">
      <c r="A1668" t="s">
        <v>25</v>
      </c>
      <c r="B1668" t="s">
        <v>1713</v>
      </c>
      <c r="C1668">
        <v>44604</v>
      </c>
      <c r="D1668">
        <v>0</v>
      </c>
      <c r="E1668">
        <v>0</v>
      </c>
      <c r="F1668">
        <v>0</v>
      </c>
    </row>
    <row r="1669" spans="1:6" x14ac:dyDescent="0.25">
      <c r="A1669" t="s">
        <v>26</v>
      </c>
      <c r="B1669" t="s">
        <v>1714</v>
      </c>
      <c r="C1669">
        <v>44605</v>
      </c>
      <c r="D1669">
        <v>0</v>
      </c>
      <c r="E1669">
        <v>0</v>
      </c>
      <c r="F1669">
        <v>0</v>
      </c>
    </row>
    <row r="1670" spans="1:6" x14ac:dyDescent="0.25">
      <c r="B1670" t="s">
        <v>2052</v>
      </c>
      <c r="D1670">
        <v>10786</v>
      </c>
      <c r="E1670">
        <v>18803</v>
      </c>
      <c r="F1670">
        <v>29589</v>
      </c>
    </row>
    <row r="1671" spans="1:6" x14ac:dyDescent="0.25">
      <c r="B1671" t="s">
        <v>1716</v>
      </c>
      <c r="D1671">
        <v>10786</v>
      </c>
      <c r="E1671">
        <v>18933</v>
      </c>
      <c r="F1671">
        <v>29719</v>
      </c>
    </row>
    <row r="1672" spans="1:6" x14ac:dyDescent="0.25">
      <c r="B1672" t="s">
        <v>2053</v>
      </c>
    </row>
    <row r="1673" spans="1:6" x14ac:dyDescent="0.25">
      <c r="B1673" t="s">
        <v>2054</v>
      </c>
    </row>
    <row r="1674" spans="1:6" x14ac:dyDescent="0.25">
      <c r="A1674" t="s">
        <v>2</v>
      </c>
      <c r="B1674" t="s">
        <v>1793</v>
      </c>
      <c r="C1674">
        <v>45101</v>
      </c>
      <c r="D1674">
        <v>1885488</v>
      </c>
      <c r="F1674">
        <v>1885488</v>
      </c>
    </row>
    <row r="1675" spans="1:6" x14ac:dyDescent="0.25">
      <c r="A1675" t="s">
        <v>15</v>
      </c>
      <c r="B1675" t="s">
        <v>1794</v>
      </c>
      <c r="C1675">
        <v>45102</v>
      </c>
      <c r="D1675">
        <v>15007175</v>
      </c>
      <c r="F1675">
        <v>15007175</v>
      </c>
    </row>
    <row r="1676" spans="1:6" x14ac:dyDescent="0.25">
      <c r="A1676" t="s">
        <v>16</v>
      </c>
      <c r="B1676" t="s">
        <v>1795</v>
      </c>
      <c r="C1676">
        <v>45103</v>
      </c>
      <c r="D1676">
        <v>0</v>
      </c>
      <c r="F1676">
        <v>0</v>
      </c>
    </row>
    <row r="1677" spans="1:6" x14ac:dyDescent="0.25">
      <c r="A1677" t="s">
        <v>25</v>
      </c>
      <c r="B1677" t="s">
        <v>1796</v>
      </c>
      <c r="C1677">
        <v>45104</v>
      </c>
      <c r="D1677">
        <v>3910049</v>
      </c>
      <c r="F1677">
        <v>3910049</v>
      </c>
    </row>
    <row r="1678" spans="1:6" x14ac:dyDescent="0.25">
      <c r="A1678" t="s">
        <v>26</v>
      </c>
      <c r="B1678" t="s">
        <v>1797</v>
      </c>
      <c r="C1678">
        <v>45105</v>
      </c>
      <c r="D1678">
        <v>0</v>
      </c>
      <c r="F1678">
        <v>0</v>
      </c>
    </row>
    <row r="1679" spans="1:6" x14ac:dyDescent="0.25">
      <c r="B1679" t="s">
        <v>2055</v>
      </c>
      <c r="D1679">
        <v>20802712</v>
      </c>
      <c r="F1679">
        <v>20802712</v>
      </c>
    </row>
    <row r="1680" spans="1:6" x14ac:dyDescent="0.25">
      <c r="B1680" t="s">
        <v>2056</v>
      </c>
    </row>
    <row r="1681" spans="1:6" x14ac:dyDescent="0.25">
      <c r="A1681" t="s">
        <v>2</v>
      </c>
      <c r="B1681" t="s">
        <v>1793</v>
      </c>
      <c r="C1681">
        <v>45201</v>
      </c>
      <c r="D1681">
        <v>0</v>
      </c>
      <c r="F1681">
        <v>0</v>
      </c>
    </row>
    <row r="1682" spans="1:6" x14ac:dyDescent="0.25">
      <c r="A1682" t="s">
        <v>15</v>
      </c>
      <c r="B1682" t="s">
        <v>1794</v>
      </c>
      <c r="C1682">
        <v>45202</v>
      </c>
      <c r="D1682">
        <v>0</v>
      </c>
      <c r="F1682">
        <v>0</v>
      </c>
    </row>
    <row r="1683" spans="1:6" x14ac:dyDescent="0.25">
      <c r="A1683" t="s">
        <v>16</v>
      </c>
      <c r="B1683" t="s">
        <v>1795</v>
      </c>
      <c r="C1683">
        <v>45203</v>
      </c>
      <c r="D1683">
        <v>0</v>
      </c>
      <c r="F1683">
        <v>0</v>
      </c>
    </row>
    <row r="1684" spans="1:6" x14ac:dyDescent="0.25">
      <c r="A1684" t="s">
        <v>25</v>
      </c>
      <c r="B1684" t="s">
        <v>1796</v>
      </c>
      <c r="C1684">
        <v>45204</v>
      </c>
      <c r="D1684">
        <v>0</v>
      </c>
      <c r="F1684">
        <v>0</v>
      </c>
    </row>
    <row r="1685" spans="1:6" x14ac:dyDescent="0.25">
      <c r="A1685" t="s">
        <v>26</v>
      </c>
      <c r="B1685" t="s">
        <v>1797</v>
      </c>
      <c r="C1685">
        <v>45205</v>
      </c>
      <c r="D1685">
        <v>0</v>
      </c>
      <c r="F1685">
        <v>0</v>
      </c>
    </row>
    <row r="1686" spans="1:6" x14ac:dyDescent="0.25">
      <c r="B1686" t="s">
        <v>2057</v>
      </c>
      <c r="D1686">
        <v>0</v>
      </c>
      <c r="F1686">
        <v>0</v>
      </c>
    </row>
    <row r="1687" spans="1:6" x14ac:dyDescent="0.25">
      <c r="B1687" t="s">
        <v>2058</v>
      </c>
    </row>
    <row r="1688" spans="1:6" x14ac:dyDescent="0.25">
      <c r="A1688" t="s">
        <v>2</v>
      </c>
      <c r="B1688" t="s">
        <v>1793</v>
      </c>
      <c r="C1688">
        <v>45301</v>
      </c>
      <c r="D1688">
        <v>1</v>
      </c>
      <c r="F1688">
        <v>1</v>
      </c>
    </row>
    <row r="1689" spans="1:6" x14ac:dyDescent="0.25">
      <c r="A1689" t="s">
        <v>15</v>
      </c>
      <c r="B1689" t="s">
        <v>1794</v>
      </c>
      <c r="C1689">
        <v>45302</v>
      </c>
      <c r="D1689">
        <v>0</v>
      </c>
      <c r="F1689">
        <v>0</v>
      </c>
    </row>
    <row r="1690" spans="1:6" x14ac:dyDescent="0.25">
      <c r="A1690" t="s">
        <v>16</v>
      </c>
      <c r="B1690" t="s">
        <v>1795</v>
      </c>
      <c r="C1690">
        <v>45303</v>
      </c>
      <c r="D1690">
        <v>0</v>
      </c>
      <c r="F1690">
        <v>0</v>
      </c>
    </row>
    <row r="1691" spans="1:6" x14ac:dyDescent="0.25">
      <c r="A1691" t="s">
        <v>25</v>
      </c>
      <c r="B1691" t="s">
        <v>1796</v>
      </c>
      <c r="C1691">
        <v>45304</v>
      </c>
      <c r="D1691">
        <v>0</v>
      </c>
      <c r="F1691">
        <v>0</v>
      </c>
    </row>
    <row r="1692" spans="1:6" x14ac:dyDescent="0.25">
      <c r="A1692" t="s">
        <v>26</v>
      </c>
      <c r="B1692" t="s">
        <v>1797</v>
      </c>
      <c r="C1692">
        <v>45305</v>
      </c>
      <c r="D1692">
        <v>0</v>
      </c>
      <c r="F1692">
        <v>0</v>
      </c>
    </row>
    <row r="1693" spans="1:6" x14ac:dyDescent="0.25">
      <c r="B1693" t="s">
        <v>2059</v>
      </c>
      <c r="D1693">
        <v>1</v>
      </c>
      <c r="F1693">
        <v>1</v>
      </c>
    </row>
    <row r="1694" spans="1:6" x14ac:dyDescent="0.25">
      <c r="B1694" t="s">
        <v>2060</v>
      </c>
    </row>
    <row r="1695" spans="1:6" x14ac:dyDescent="0.25">
      <c r="A1695" t="s">
        <v>2</v>
      </c>
      <c r="B1695" t="s">
        <v>1793</v>
      </c>
      <c r="C1695">
        <v>45401</v>
      </c>
      <c r="D1695">
        <v>65</v>
      </c>
      <c r="F1695">
        <v>65</v>
      </c>
    </row>
    <row r="1696" spans="1:6" x14ac:dyDescent="0.25">
      <c r="A1696" t="s">
        <v>15</v>
      </c>
      <c r="B1696" t="s">
        <v>1794</v>
      </c>
      <c r="C1696">
        <v>45402</v>
      </c>
      <c r="D1696">
        <v>0</v>
      </c>
      <c r="F1696">
        <v>0</v>
      </c>
    </row>
    <row r="1697" spans="1:6" x14ac:dyDescent="0.25">
      <c r="A1697" t="s">
        <v>16</v>
      </c>
      <c r="B1697" t="s">
        <v>1795</v>
      </c>
      <c r="C1697">
        <v>45403</v>
      </c>
      <c r="D1697">
        <v>0</v>
      </c>
      <c r="F1697">
        <v>0</v>
      </c>
    </row>
    <row r="1698" spans="1:6" x14ac:dyDescent="0.25">
      <c r="A1698" t="s">
        <v>25</v>
      </c>
      <c r="B1698" t="s">
        <v>1796</v>
      </c>
      <c r="C1698">
        <v>45404</v>
      </c>
      <c r="D1698">
        <v>0</v>
      </c>
      <c r="F1698">
        <v>0</v>
      </c>
    </row>
    <row r="1699" spans="1:6" x14ac:dyDescent="0.25">
      <c r="A1699" t="s">
        <v>26</v>
      </c>
      <c r="B1699" t="s">
        <v>1797</v>
      </c>
      <c r="C1699">
        <v>45405</v>
      </c>
      <c r="D1699">
        <v>0</v>
      </c>
      <c r="F1699">
        <v>0</v>
      </c>
    </row>
    <row r="1700" spans="1:6" x14ac:dyDescent="0.25">
      <c r="B1700" t="s">
        <v>2061</v>
      </c>
      <c r="D1700">
        <v>65</v>
      </c>
      <c r="F1700">
        <v>65</v>
      </c>
    </row>
    <row r="1701" spans="1:6" x14ac:dyDescent="0.25">
      <c r="B1701" t="s">
        <v>2062</v>
      </c>
    </row>
    <row r="1702" spans="1:6" x14ac:dyDescent="0.25">
      <c r="A1702" t="s">
        <v>2</v>
      </c>
      <c r="B1702" t="s">
        <v>1793</v>
      </c>
      <c r="C1702">
        <v>45501</v>
      </c>
      <c r="D1702">
        <v>1</v>
      </c>
      <c r="F1702">
        <v>1</v>
      </c>
    </row>
    <row r="1703" spans="1:6" x14ac:dyDescent="0.25">
      <c r="A1703" t="s">
        <v>15</v>
      </c>
      <c r="B1703" t="s">
        <v>1794</v>
      </c>
      <c r="C1703">
        <v>45502</v>
      </c>
      <c r="D1703">
        <v>0</v>
      </c>
      <c r="F1703">
        <v>0</v>
      </c>
    </row>
    <row r="1704" spans="1:6" x14ac:dyDescent="0.25">
      <c r="A1704" t="s">
        <v>16</v>
      </c>
      <c r="B1704" t="s">
        <v>1795</v>
      </c>
      <c r="C1704">
        <v>45503</v>
      </c>
      <c r="D1704">
        <v>0</v>
      </c>
      <c r="F1704">
        <v>0</v>
      </c>
    </row>
    <row r="1705" spans="1:6" x14ac:dyDescent="0.25">
      <c r="A1705" t="s">
        <v>25</v>
      </c>
      <c r="B1705" t="s">
        <v>1796</v>
      </c>
      <c r="C1705">
        <v>45504</v>
      </c>
      <c r="D1705">
        <v>0</v>
      </c>
      <c r="F1705">
        <v>0</v>
      </c>
    </row>
    <row r="1706" spans="1:6" x14ac:dyDescent="0.25">
      <c r="A1706" t="s">
        <v>26</v>
      </c>
      <c r="B1706" t="s">
        <v>1797</v>
      </c>
      <c r="C1706">
        <v>45505</v>
      </c>
      <c r="D1706">
        <v>0</v>
      </c>
      <c r="F1706">
        <v>0</v>
      </c>
    </row>
    <row r="1707" spans="1:6" x14ac:dyDescent="0.25">
      <c r="B1707" t="s">
        <v>2063</v>
      </c>
      <c r="D1707">
        <v>1</v>
      </c>
      <c r="F1707">
        <v>1</v>
      </c>
    </row>
    <row r="1708" spans="1:6" x14ac:dyDescent="0.25">
      <c r="B1708" t="s">
        <v>2064</v>
      </c>
    </row>
    <row r="1709" spans="1:6" x14ac:dyDescent="0.25">
      <c r="A1709" t="s">
        <v>2</v>
      </c>
      <c r="B1709" t="s">
        <v>2065</v>
      </c>
      <c r="C1709">
        <v>45601</v>
      </c>
      <c r="D1709">
        <v>7648</v>
      </c>
      <c r="F1709">
        <v>7648</v>
      </c>
    </row>
    <row r="1710" spans="1:6" x14ac:dyDescent="0.25">
      <c r="B1710" t="s">
        <v>1728</v>
      </c>
      <c r="D1710">
        <v>20810427</v>
      </c>
      <c r="F1710">
        <v>20810427</v>
      </c>
    </row>
    <row r="1711" spans="1:6" x14ac:dyDescent="0.25">
      <c r="B1711" t="s">
        <v>2066</v>
      </c>
    </row>
    <row r="1712" spans="1:6" x14ac:dyDescent="0.25">
      <c r="B1712" t="s">
        <v>2067</v>
      </c>
    </row>
    <row r="1713" spans="1:6" x14ac:dyDescent="0.25">
      <c r="A1713" t="s">
        <v>2</v>
      </c>
      <c r="B1713" t="s">
        <v>1811</v>
      </c>
      <c r="C1713">
        <v>46101</v>
      </c>
      <c r="D1713">
        <v>27893</v>
      </c>
      <c r="F1713">
        <v>27893</v>
      </c>
    </row>
    <row r="1714" spans="1:6" x14ac:dyDescent="0.25">
      <c r="A1714" t="s">
        <v>15</v>
      </c>
      <c r="B1714" t="s">
        <v>1008</v>
      </c>
      <c r="C1714">
        <v>46102</v>
      </c>
      <c r="D1714">
        <v>10763</v>
      </c>
      <c r="F1714">
        <v>10763</v>
      </c>
    </row>
    <row r="1715" spans="1:6" x14ac:dyDescent="0.25">
      <c r="A1715" t="s">
        <v>16</v>
      </c>
      <c r="B1715" t="s">
        <v>1812</v>
      </c>
      <c r="C1715">
        <v>46103</v>
      </c>
      <c r="D1715">
        <v>6</v>
      </c>
      <c r="F1715">
        <v>6</v>
      </c>
    </row>
    <row r="1716" spans="1:6" x14ac:dyDescent="0.25">
      <c r="A1716" t="s">
        <v>25</v>
      </c>
      <c r="B1716" t="s">
        <v>1813</v>
      </c>
      <c r="C1716">
        <v>46104</v>
      </c>
      <c r="D1716">
        <v>280</v>
      </c>
      <c r="F1716">
        <v>280</v>
      </c>
    </row>
    <row r="1717" spans="1:6" x14ac:dyDescent="0.25">
      <c r="A1717" t="s">
        <v>26</v>
      </c>
      <c r="B1717" t="s">
        <v>1814</v>
      </c>
      <c r="C1717">
        <v>46105</v>
      </c>
      <c r="D1717">
        <v>0</v>
      </c>
      <c r="F1717">
        <v>0</v>
      </c>
    </row>
    <row r="1718" spans="1:6" x14ac:dyDescent="0.25">
      <c r="A1718" t="s">
        <v>27</v>
      </c>
      <c r="B1718" t="s">
        <v>1815</v>
      </c>
      <c r="C1718">
        <v>46106</v>
      </c>
      <c r="D1718">
        <v>21</v>
      </c>
      <c r="F1718">
        <v>21</v>
      </c>
    </row>
    <row r="1719" spans="1:6" x14ac:dyDescent="0.25">
      <c r="B1719" t="s">
        <v>2068</v>
      </c>
      <c r="D1719">
        <v>38963</v>
      </c>
      <c r="F1719">
        <v>38963</v>
      </c>
    </row>
    <row r="1720" spans="1:6" x14ac:dyDescent="0.25">
      <c r="B1720" t="s">
        <v>2069</v>
      </c>
    </row>
    <row r="1721" spans="1:6" x14ac:dyDescent="0.25">
      <c r="A1721" t="s">
        <v>2</v>
      </c>
      <c r="B1721" t="s">
        <v>1811</v>
      </c>
      <c r="C1721">
        <v>46201</v>
      </c>
      <c r="D1721">
        <v>2398201</v>
      </c>
      <c r="F1721">
        <v>2398201</v>
      </c>
    </row>
    <row r="1722" spans="1:6" x14ac:dyDescent="0.25">
      <c r="A1722" t="s">
        <v>15</v>
      </c>
      <c r="B1722" t="s">
        <v>1008</v>
      </c>
      <c r="C1722">
        <v>46202</v>
      </c>
      <c r="D1722">
        <v>1583129</v>
      </c>
      <c r="F1722">
        <v>1583129</v>
      </c>
    </row>
    <row r="1723" spans="1:6" x14ac:dyDescent="0.25">
      <c r="A1723" t="s">
        <v>16</v>
      </c>
      <c r="B1723" t="s">
        <v>1812</v>
      </c>
      <c r="C1723">
        <v>46203</v>
      </c>
      <c r="D1723">
        <v>992</v>
      </c>
      <c r="F1723">
        <v>992</v>
      </c>
    </row>
    <row r="1724" spans="1:6" x14ac:dyDescent="0.25">
      <c r="A1724" t="s">
        <v>25</v>
      </c>
      <c r="B1724" t="s">
        <v>1813</v>
      </c>
      <c r="C1724">
        <v>46204</v>
      </c>
      <c r="D1724">
        <v>827</v>
      </c>
      <c r="F1724">
        <v>827</v>
      </c>
    </row>
    <row r="1725" spans="1:6" x14ac:dyDescent="0.25">
      <c r="A1725" t="s">
        <v>26</v>
      </c>
      <c r="B1725" t="s">
        <v>1814</v>
      </c>
      <c r="C1725">
        <v>46205</v>
      </c>
      <c r="D1725">
        <v>1</v>
      </c>
      <c r="F1725">
        <v>1</v>
      </c>
    </row>
    <row r="1726" spans="1:6" x14ac:dyDescent="0.25">
      <c r="A1726" t="s">
        <v>27</v>
      </c>
      <c r="B1726" t="s">
        <v>1815</v>
      </c>
      <c r="C1726">
        <v>46206</v>
      </c>
      <c r="D1726">
        <v>1135</v>
      </c>
      <c r="F1726">
        <v>1135</v>
      </c>
    </row>
    <row r="1727" spans="1:6" x14ac:dyDescent="0.25">
      <c r="B1727" t="s">
        <v>2070</v>
      </c>
      <c r="D1727">
        <v>3984285</v>
      </c>
      <c r="F1727">
        <v>3984285</v>
      </c>
    </row>
    <row r="1728" spans="1:6" x14ac:dyDescent="0.25">
      <c r="B1728" t="s">
        <v>2071</v>
      </c>
    </row>
    <row r="1729" spans="1:6" x14ac:dyDescent="0.25">
      <c r="A1729" t="s">
        <v>2</v>
      </c>
      <c r="B1729" t="s">
        <v>1820</v>
      </c>
      <c r="C1729">
        <v>46301</v>
      </c>
      <c r="D1729">
        <v>195858004</v>
      </c>
      <c r="F1729">
        <v>195858004</v>
      </c>
    </row>
    <row r="1730" spans="1:6" x14ac:dyDescent="0.25">
      <c r="A1730" t="s">
        <v>15</v>
      </c>
      <c r="B1730" t="s">
        <v>1821</v>
      </c>
      <c r="C1730">
        <v>46302</v>
      </c>
      <c r="D1730">
        <v>27213087</v>
      </c>
      <c r="F1730">
        <v>27213087</v>
      </c>
    </row>
    <row r="1731" spans="1:6" x14ac:dyDescent="0.25">
      <c r="A1731" t="s">
        <v>16</v>
      </c>
      <c r="B1731" t="s">
        <v>1822</v>
      </c>
      <c r="C1731">
        <v>46303</v>
      </c>
      <c r="D1731">
        <v>842889</v>
      </c>
      <c r="F1731">
        <v>842889</v>
      </c>
    </row>
    <row r="1732" spans="1:6" x14ac:dyDescent="0.25">
      <c r="A1732" t="s">
        <v>25</v>
      </c>
      <c r="B1732" t="s">
        <v>1823</v>
      </c>
      <c r="C1732">
        <v>46304</v>
      </c>
      <c r="D1732">
        <v>562310</v>
      </c>
      <c r="F1732">
        <v>562310</v>
      </c>
    </row>
    <row r="1733" spans="1:6" x14ac:dyDescent="0.25">
      <c r="A1733" t="s">
        <v>26</v>
      </c>
      <c r="B1733" t="s">
        <v>1824</v>
      </c>
      <c r="C1733">
        <v>46305</v>
      </c>
      <c r="D1733">
        <v>28974</v>
      </c>
      <c r="F1733">
        <v>28974</v>
      </c>
    </row>
    <row r="1734" spans="1:6" x14ac:dyDescent="0.25">
      <c r="A1734" t="s">
        <v>27</v>
      </c>
      <c r="B1734" t="s">
        <v>1825</v>
      </c>
      <c r="C1734">
        <v>46306</v>
      </c>
      <c r="D1734">
        <v>1304254</v>
      </c>
      <c r="F1734">
        <v>1304254</v>
      </c>
    </row>
    <row r="1735" spans="1:6" x14ac:dyDescent="0.25">
      <c r="B1735" t="s">
        <v>2072</v>
      </c>
      <c r="D1735">
        <v>225809518</v>
      </c>
      <c r="F1735">
        <v>225809518</v>
      </c>
    </row>
    <row r="1736" spans="1:6" x14ac:dyDescent="0.25">
      <c r="B1736" t="s">
        <v>2073</v>
      </c>
    </row>
    <row r="1737" spans="1:6" x14ac:dyDescent="0.25">
      <c r="A1737" t="s">
        <v>2</v>
      </c>
      <c r="B1737" t="s">
        <v>1828</v>
      </c>
      <c r="C1737">
        <v>46401</v>
      </c>
      <c r="D1737">
        <v>9794</v>
      </c>
      <c r="F1737">
        <v>9794</v>
      </c>
    </row>
    <row r="1738" spans="1:6" x14ac:dyDescent="0.25">
      <c r="A1738" t="s">
        <v>15</v>
      </c>
      <c r="B1738" t="s">
        <v>1829</v>
      </c>
      <c r="C1738">
        <v>46402</v>
      </c>
      <c r="D1738">
        <v>0</v>
      </c>
      <c r="F1738">
        <v>0</v>
      </c>
    </row>
    <row r="1739" spans="1:6" x14ac:dyDescent="0.25">
      <c r="A1739" t="s">
        <v>16</v>
      </c>
      <c r="B1739" t="s">
        <v>1830</v>
      </c>
      <c r="C1739">
        <v>46403</v>
      </c>
      <c r="D1739">
        <v>519</v>
      </c>
      <c r="F1739">
        <v>519</v>
      </c>
    </row>
    <row r="1740" spans="1:6" x14ac:dyDescent="0.25">
      <c r="A1740" t="s">
        <v>25</v>
      </c>
      <c r="B1740" t="s">
        <v>1831</v>
      </c>
      <c r="C1740">
        <v>46404</v>
      </c>
      <c r="D1740">
        <v>0</v>
      </c>
      <c r="F1740">
        <v>0</v>
      </c>
    </row>
    <row r="1741" spans="1:6" x14ac:dyDescent="0.25">
      <c r="A1741" t="s">
        <v>26</v>
      </c>
      <c r="B1741" t="s">
        <v>1832</v>
      </c>
      <c r="C1741">
        <v>46405</v>
      </c>
      <c r="D1741">
        <v>0</v>
      </c>
      <c r="F1741">
        <v>0</v>
      </c>
    </row>
    <row r="1742" spans="1:6" x14ac:dyDescent="0.25">
      <c r="B1742" t="s">
        <v>2074</v>
      </c>
      <c r="D1742">
        <v>10313</v>
      </c>
      <c r="F1742">
        <v>10313</v>
      </c>
    </row>
    <row r="1743" spans="1:6" x14ac:dyDescent="0.25">
      <c r="B1743" t="s">
        <v>2075</v>
      </c>
    </row>
    <row r="1744" spans="1:6" x14ac:dyDescent="0.25">
      <c r="A1744" t="s">
        <v>2</v>
      </c>
      <c r="B1744" t="s">
        <v>1828</v>
      </c>
      <c r="C1744">
        <v>46501</v>
      </c>
      <c r="D1744">
        <v>6683581</v>
      </c>
      <c r="F1744">
        <v>6683581</v>
      </c>
    </row>
    <row r="1745" spans="1:6" x14ac:dyDescent="0.25">
      <c r="A1745" t="s">
        <v>15</v>
      </c>
      <c r="B1745" t="s">
        <v>1829</v>
      </c>
      <c r="C1745">
        <v>46502</v>
      </c>
      <c r="D1745">
        <v>209591</v>
      </c>
      <c r="F1745">
        <v>209591</v>
      </c>
    </row>
    <row r="1746" spans="1:6" x14ac:dyDescent="0.25">
      <c r="A1746" t="s">
        <v>16</v>
      </c>
      <c r="B1746" t="s">
        <v>1830</v>
      </c>
      <c r="C1746">
        <v>46503</v>
      </c>
      <c r="D1746">
        <v>2703238</v>
      </c>
      <c r="F1746">
        <v>2703238</v>
      </c>
    </row>
    <row r="1747" spans="1:6" x14ac:dyDescent="0.25">
      <c r="A1747" t="s">
        <v>25</v>
      </c>
      <c r="B1747" t="s">
        <v>1831</v>
      </c>
      <c r="C1747">
        <v>46504</v>
      </c>
      <c r="D1747">
        <v>261974</v>
      </c>
      <c r="F1747">
        <v>261974</v>
      </c>
    </row>
    <row r="1748" spans="1:6" x14ac:dyDescent="0.25">
      <c r="A1748" t="s">
        <v>26</v>
      </c>
      <c r="B1748" t="s">
        <v>1832</v>
      </c>
      <c r="C1748">
        <v>46505</v>
      </c>
      <c r="D1748">
        <v>0</v>
      </c>
      <c r="F1748">
        <v>0</v>
      </c>
    </row>
    <row r="1749" spans="1:6" x14ac:dyDescent="0.25">
      <c r="B1749" t="s">
        <v>2076</v>
      </c>
      <c r="D1749">
        <v>9858384</v>
      </c>
      <c r="F1749">
        <v>9858384</v>
      </c>
    </row>
    <row r="1750" spans="1:6" x14ac:dyDescent="0.25">
      <c r="B1750" t="s">
        <v>1732</v>
      </c>
      <c r="D1750">
        <v>239701463</v>
      </c>
      <c r="F1750">
        <v>239701463</v>
      </c>
    </row>
    <row r="1751" spans="1:6" x14ac:dyDescent="0.25">
      <c r="B1751" t="s">
        <v>2077</v>
      </c>
    </row>
    <row r="1752" spans="1:6" x14ac:dyDescent="0.25">
      <c r="B1752" t="s">
        <v>2078</v>
      </c>
    </row>
    <row r="1753" spans="1:6" x14ac:dyDescent="0.25">
      <c r="A1753" t="s">
        <v>2</v>
      </c>
      <c r="B1753" t="s">
        <v>2079</v>
      </c>
      <c r="C1753">
        <v>47101</v>
      </c>
      <c r="D1753">
        <v>0</v>
      </c>
      <c r="E1753">
        <v>31840</v>
      </c>
      <c r="F1753">
        <v>31840</v>
      </c>
    </row>
    <row r="1754" spans="1:6" x14ac:dyDescent="0.25">
      <c r="A1754" t="s">
        <v>15</v>
      </c>
      <c r="B1754" t="s">
        <v>2080</v>
      </c>
      <c r="C1754">
        <v>47102</v>
      </c>
      <c r="D1754">
        <v>0</v>
      </c>
      <c r="E1754">
        <v>0</v>
      </c>
      <c r="F1754">
        <v>0</v>
      </c>
    </row>
    <row r="1755" spans="1:6" x14ac:dyDescent="0.25">
      <c r="A1755" t="s">
        <v>16</v>
      </c>
      <c r="B1755" t="s">
        <v>2081</v>
      </c>
      <c r="C1755">
        <v>47103</v>
      </c>
      <c r="D1755">
        <v>618914</v>
      </c>
      <c r="E1755">
        <v>192380</v>
      </c>
      <c r="F1755">
        <v>811294</v>
      </c>
    </row>
    <row r="1756" spans="1:6" x14ac:dyDescent="0.25">
      <c r="A1756" t="s">
        <v>25</v>
      </c>
      <c r="B1756" t="s">
        <v>2082</v>
      </c>
      <c r="C1756">
        <v>47104</v>
      </c>
      <c r="D1756">
        <v>56202</v>
      </c>
      <c r="E1756">
        <v>0</v>
      </c>
      <c r="F1756">
        <v>56202</v>
      </c>
    </row>
    <row r="1757" spans="1:6" x14ac:dyDescent="0.25">
      <c r="A1757" t="s">
        <v>26</v>
      </c>
      <c r="B1757" t="s">
        <v>2083</v>
      </c>
      <c r="C1757">
        <v>47105</v>
      </c>
      <c r="D1757">
        <v>0</v>
      </c>
      <c r="E1757">
        <v>2329</v>
      </c>
      <c r="F1757">
        <v>2329</v>
      </c>
    </row>
    <row r="1758" spans="1:6" x14ac:dyDescent="0.25">
      <c r="A1758" t="s">
        <v>27</v>
      </c>
      <c r="B1758" t="s">
        <v>2084</v>
      </c>
      <c r="C1758">
        <v>47106</v>
      </c>
      <c r="D1758">
        <v>79360</v>
      </c>
      <c r="E1758">
        <v>0</v>
      </c>
      <c r="F1758">
        <v>79360</v>
      </c>
    </row>
    <row r="1759" spans="1:6" x14ac:dyDescent="0.25">
      <c r="A1759" t="s">
        <v>531</v>
      </c>
      <c r="B1759" t="s">
        <v>2085</v>
      </c>
      <c r="C1759">
        <v>47107</v>
      </c>
      <c r="D1759">
        <v>0</v>
      </c>
      <c r="E1759">
        <v>0</v>
      </c>
      <c r="F1759">
        <v>0</v>
      </c>
    </row>
    <row r="1760" spans="1:6" x14ac:dyDescent="0.25">
      <c r="A1760" t="s">
        <v>1583</v>
      </c>
      <c r="B1760" t="s">
        <v>2086</v>
      </c>
      <c r="C1760">
        <v>47108</v>
      </c>
      <c r="D1760">
        <v>2349331</v>
      </c>
      <c r="E1760">
        <v>0</v>
      </c>
      <c r="F1760">
        <v>2349331</v>
      </c>
    </row>
    <row r="1761" spans="1:6" x14ac:dyDescent="0.25">
      <c r="A1761" t="s">
        <v>1585</v>
      </c>
      <c r="B1761" t="s">
        <v>2087</v>
      </c>
      <c r="C1761">
        <v>47109</v>
      </c>
      <c r="D1761">
        <v>5537</v>
      </c>
      <c r="E1761">
        <v>0</v>
      </c>
      <c r="F1761">
        <v>5537</v>
      </c>
    </row>
    <row r="1762" spans="1:6" x14ac:dyDescent="0.25">
      <c r="B1762" t="s">
        <v>2088</v>
      </c>
      <c r="D1762">
        <v>3109344</v>
      </c>
      <c r="E1762">
        <v>226549</v>
      </c>
      <c r="F1762">
        <v>3335893</v>
      </c>
    </row>
    <row r="1763" spans="1:6" x14ac:dyDescent="0.25">
      <c r="B1763" t="s">
        <v>2089</v>
      </c>
    </row>
    <row r="1764" spans="1:6" x14ac:dyDescent="0.25">
      <c r="A1764" t="s">
        <v>2</v>
      </c>
      <c r="B1764" t="s">
        <v>2090</v>
      </c>
      <c r="C1764">
        <v>47201</v>
      </c>
      <c r="D1764">
        <v>1265398</v>
      </c>
      <c r="F1764">
        <v>1265398</v>
      </c>
    </row>
    <row r="1765" spans="1:6" x14ac:dyDescent="0.25">
      <c r="A1765" t="s">
        <v>15</v>
      </c>
      <c r="B1765" t="s">
        <v>2091</v>
      </c>
      <c r="C1765">
        <v>47202</v>
      </c>
      <c r="D1765">
        <v>0</v>
      </c>
      <c r="F1765">
        <v>0</v>
      </c>
    </row>
    <row r="1766" spans="1:6" x14ac:dyDescent="0.25">
      <c r="A1766" t="s">
        <v>16</v>
      </c>
      <c r="B1766" t="s">
        <v>2092</v>
      </c>
      <c r="C1766">
        <v>47203</v>
      </c>
      <c r="D1766">
        <v>0</v>
      </c>
      <c r="F1766">
        <v>0</v>
      </c>
    </row>
    <row r="1767" spans="1:6" x14ac:dyDescent="0.25">
      <c r="A1767" t="s">
        <v>25</v>
      </c>
      <c r="B1767" t="s">
        <v>2093</v>
      </c>
      <c r="C1767">
        <v>47204</v>
      </c>
      <c r="D1767">
        <v>0</v>
      </c>
      <c r="F1767">
        <v>0</v>
      </c>
    </row>
    <row r="1768" spans="1:6" x14ac:dyDescent="0.25">
      <c r="B1768" t="s">
        <v>2094</v>
      </c>
      <c r="D1768">
        <v>1265398</v>
      </c>
      <c r="F1768">
        <v>1265398</v>
      </c>
    </row>
    <row r="1769" spans="1:6" x14ac:dyDescent="0.25">
      <c r="B1769" t="s">
        <v>2095</v>
      </c>
    </row>
    <row r="1770" spans="1:6" x14ac:dyDescent="0.25">
      <c r="A1770" t="s">
        <v>2</v>
      </c>
      <c r="B1770" t="s">
        <v>2096</v>
      </c>
      <c r="C1770">
        <v>47301</v>
      </c>
      <c r="D1770">
        <v>30454</v>
      </c>
      <c r="F1770">
        <v>30454</v>
      </c>
    </row>
    <row r="1771" spans="1:6" x14ac:dyDescent="0.25">
      <c r="A1771" t="s">
        <v>15</v>
      </c>
      <c r="B1771" t="s">
        <v>2097</v>
      </c>
      <c r="C1771">
        <v>47302</v>
      </c>
      <c r="D1771">
        <v>14557501</v>
      </c>
      <c r="F1771">
        <v>14557501</v>
      </c>
    </row>
    <row r="1772" spans="1:6" x14ac:dyDescent="0.25">
      <c r="A1772" t="s">
        <v>16</v>
      </c>
      <c r="B1772" t="s">
        <v>2098</v>
      </c>
      <c r="C1772">
        <v>47303</v>
      </c>
      <c r="D1772">
        <v>0</v>
      </c>
      <c r="F1772">
        <v>0</v>
      </c>
    </row>
    <row r="1773" spans="1:6" x14ac:dyDescent="0.25">
      <c r="A1773" t="s">
        <v>25</v>
      </c>
      <c r="B1773" t="s">
        <v>2099</v>
      </c>
      <c r="C1773">
        <v>47304</v>
      </c>
      <c r="D1773">
        <v>1362768</v>
      </c>
      <c r="F1773">
        <v>1362768</v>
      </c>
    </row>
    <row r="1774" spans="1:6" x14ac:dyDescent="0.25">
      <c r="B1774" t="s">
        <v>2100</v>
      </c>
      <c r="D1774">
        <v>15950723</v>
      </c>
      <c r="F1774">
        <v>15950723</v>
      </c>
    </row>
    <row r="1775" spans="1:6" x14ac:dyDescent="0.25">
      <c r="B1775" t="s">
        <v>1885</v>
      </c>
    </row>
    <row r="1776" spans="1:6" x14ac:dyDescent="0.25">
      <c r="A1776" t="s">
        <v>2</v>
      </c>
      <c r="B1776" t="s">
        <v>1886</v>
      </c>
      <c r="C1776">
        <v>47401</v>
      </c>
      <c r="D1776">
        <v>6376</v>
      </c>
      <c r="E1776">
        <v>0</v>
      </c>
      <c r="F1776">
        <v>6376</v>
      </c>
    </row>
    <row r="1777" spans="1:6" x14ac:dyDescent="0.25">
      <c r="A1777" t="s">
        <v>15</v>
      </c>
      <c r="B1777" t="s">
        <v>1887</v>
      </c>
      <c r="C1777">
        <v>47402</v>
      </c>
      <c r="D1777">
        <v>12</v>
      </c>
      <c r="E1777">
        <v>0</v>
      </c>
      <c r="F1777">
        <v>12</v>
      </c>
    </row>
    <row r="1778" spans="1:6" x14ac:dyDescent="0.25">
      <c r="B1778" t="s">
        <v>2101</v>
      </c>
      <c r="D1778">
        <v>6388</v>
      </c>
      <c r="E1778">
        <v>0</v>
      </c>
      <c r="F1778">
        <v>6388</v>
      </c>
    </row>
    <row r="1779" spans="1:6" x14ac:dyDescent="0.25">
      <c r="B1779" t="s">
        <v>2102</v>
      </c>
    </row>
    <row r="1780" spans="1:6" x14ac:dyDescent="0.25">
      <c r="A1780" t="s">
        <v>2</v>
      </c>
      <c r="B1780" t="s">
        <v>2103</v>
      </c>
      <c r="C1780">
        <v>47501</v>
      </c>
      <c r="D1780">
        <v>0</v>
      </c>
      <c r="F1780">
        <v>0</v>
      </c>
    </row>
    <row r="1781" spans="1:6" x14ac:dyDescent="0.25">
      <c r="A1781" t="s">
        <v>15</v>
      </c>
      <c r="B1781" t="s">
        <v>2104</v>
      </c>
      <c r="C1781">
        <v>47502</v>
      </c>
      <c r="D1781">
        <v>0</v>
      </c>
      <c r="F1781">
        <v>0</v>
      </c>
    </row>
    <row r="1782" spans="1:6" x14ac:dyDescent="0.25">
      <c r="A1782" t="s">
        <v>16</v>
      </c>
      <c r="B1782" t="s">
        <v>2105</v>
      </c>
      <c r="C1782">
        <v>47503</v>
      </c>
      <c r="D1782">
        <v>1331</v>
      </c>
      <c r="F1782">
        <v>1331</v>
      </c>
    </row>
    <row r="1783" spans="1:6" x14ac:dyDescent="0.25">
      <c r="A1783" t="s">
        <v>25</v>
      </c>
      <c r="B1783" t="s">
        <v>2106</v>
      </c>
      <c r="C1783">
        <v>47504</v>
      </c>
      <c r="D1783">
        <v>0</v>
      </c>
      <c r="E1783">
        <v>0</v>
      </c>
      <c r="F1783">
        <v>0</v>
      </c>
    </row>
    <row r="1784" spans="1:6" x14ac:dyDescent="0.25">
      <c r="A1784" t="s">
        <v>26</v>
      </c>
      <c r="B1784" t="s">
        <v>2107</v>
      </c>
      <c r="C1784">
        <v>47505</v>
      </c>
      <c r="D1784">
        <v>0</v>
      </c>
      <c r="E1784">
        <v>0</v>
      </c>
      <c r="F1784">
        <v>0</v>
      </c>
    </row>
    <row r="1785" spans="1:6" x14ac:dyDescent="0.25">
      <c r="A1785" t="s">
        <v>27</v>
      </c>
      <c r="B1785" t="s">
        <v>2108</v>
      </c>
      <c r="C1785">
        <v>47506</v>
      </c>
      <c r="D1785">
        <v>0</v>
      </c>
      <c r="F1785">
        <v>0</v>
      </c>
    </row>
    <row r="1786" spans="1:6" x14ac:dyDescent="0.25">
      <c r="B1786" t="s">
        <v>2109</v>
      </c>
      <c r="D1786">
        <v>1331</v>
      </c>
      <c r="E1786">
        <v>0</v>
      </c>
      <c r="F1786">
        <v>1331</v>
      </c>
    </row>
    <row r="1787" spans="1:6" x14ac:dyDescent="0.25">
      <c r="B1787" t="s">
        <v>2110</v>
      </c>
    </row>
    <row r="1788" spans="1:6" x14ac:dyDescent="0.25">
      <c r="A1788" t="s">
        <v>2</v>
      </c>
      <c r="B1788" t="s">
        <v>2111</v>
      </c>
      <c r="C1788">
        <v>47601</v>
      </c>
      <c r="D1788">
        <v>66111</v>
      </c>
      <c r="F1788">
        <v>66111</v>
      </c>
    </row>
    <row r="1789" spans="1:6" x14ac:dyDescent="0.25">
      <c r="A1789" t="s">
        <v>15</v>
      </c>
      <c r="B1789" t="s">
        <v>2112</v>
      </c>
      <c r="C1789">
        <v>47602</v>
      </c>
      <c r="D1789">
        <v>152790</v>
      </c>
      <c r="F1789">
        <v>152790</v>
      </c>
    </row>
    <row r="1790" spans="1:6" x14ac:dyDescent="0.25">
      <c r="B1790" t="s">
        <v>2113</v>
      </c>
      <c r="D1790">
        <v>218901</v>
      </c>
      <c r="F1790">
        <v>218901</v>
      </c>
    </row>
    <row r="1791" spans="1:6" x14ac:dyDescent="0.25">
      <c r="B1791" t="s">
        <v>2114</v>
      </c>
    </row>
    <row r="1792" spans="1:6" x14ac:dyDescent="0.25">
      <c r="A1792" t="s">
        <v>2</v>
      </c>
      <c r="B1792" t="s">
        <v>2115</v>
      </c>
      <c r="C1792">
        <v>47701</v>
      </c>
      <c r="D1792">
        <v>1927</v>
      </c>
      <c r="F1792">
        <v>1927</v>
      </c>
    </row>
    <row r="1793" spans="1:6" x14ac:dyDescent="0.25">
      <c r="A1793" t="s">
        <v>15</v>
      </c>
      <c r="B1793" t="s">
        <v>2116</v>
      </c>
      <c r="C1793">
        <v>47702</v>
      </c>
      <c r="D1793">
        <v>0</v>
      </c>
      <c r="F1793">
        <v>0</v>
      </c>
    </row>
    <row r="1794" spans="1:6" x14ac:dyDescent="0.25">
      <c r="A1794" t="s">
        <v>16</v>
      </c>
      <c r="B1794" t="s">
        <v>2117</v>
      </c>
      <c r="C1794">
        <v>47703</v>
      </c>
      <c r="D1794">
        <v>8722</v>
      </c>
      <c r="F1794">
        <v>8722</v>
      </c>
    </row>
    <row r="1795" spans="1:6" x14ac:dyDescent="0.25">
      <c r="A1795" t="s">
        <v>25</v>
      </c>
      <c r="B1795" t="s">
        <v>2118</v>
      </c>
      <c r="C1795">
        <v>47704</v>
      </c>
      <c r="D1795">
        <v>86</v>
      </c>
      <c r="F1795">
        <v>86</v>
      </c>
    </row>
    <row r="1796" spans="1:6" x14ac:dyDescent="0.25">
      <c r="B1796" t="s">
        <v>2119</v>
      </c>
      <c r="D1796">
        <v>10735</v>
      </c>
      <c r="F1796">
        <v>10735</v>
      </c>
    </row>
    <row r="1797" spans="1:6" x14ac:dyDescent="0.25">
      <c r="B1797" t="s">
        <v>2120</v>
      </c>
    </row>
    <row r="1798" spans="1:6" x14ac:dyDescent="0.25">
      <c r="A1798" t="s">
        <v>2</v>
      </c>
      <c r="B1798" t="s">
        <v>2121</v>
      </c>
      <c r="C1798">
        <v>47801</v>
      </c>
      <c r="D1798">
        <v>0</v>
      </c>
      <c r="E1798">
        <v>0</v>
      </c>
      <c r="F1798">
        <v>0</v>
      </c>
    </row>
    <row r="1799" spans="1:6" x14ac:dyDescent="0.25">
      <c r="A1799" t="s">
        <v>15</v>
      </c>
      <c r="B1799" t="s">
        <v>2122</v>
      </c>
      <c r="C1799">
        <v>47802</v>
      </c>
      <c r="D1799">
        <v>469103</v>
      </c>
      <c r="E1799">
        <v>92375</v>
      </c>
      <c r="F1799">
        <v>561478</v>
      </c>
    </row>
    <row r="1800" spans="1:6" x14ac:dyDescent="0.25">
      <c r="A1800" t="s">
        <v>16</v>
      </c>
      <c r="B1800" t="s">
        <v>2123</v>
      </c>
      <c r="C1800">
        <v>47803</v>
      </c>
      <c r="D1800">
        <v>9088</v>
      </c>
      <c r="E1800">
        <v>1</v>
      </c>
      <c r="F1800">
        <v>9089</v>
      </c>
    </row>
    <row r="1801" spans="1:6" x14ac:dyDescent="0.25">
      <c r="B1801" t="s">
        <v>2124</v>
      </c>
      <c r="D1801">
        <v>478191</v>
      </c>
      <c r="E1801">
        <v>92376</v>
      </c>
      <c r="F1801">
        <v>570567</v>
      </c>
    </row>
    <row r="1802" spans="1:6" x14ac:dyDescent="0.25">
      <c r="B1802" t="s">
        <v>1866</v>
      </c>
      <c r="D1802">
        <v>21041011</v>
      </c>
      <c r="E1802">
        <v>318925</v>
      </c>
      <c r="F1802">
        <v>21359936</v>
      </c>
    </row>
    <row r="1803" spans="1:6" x14ac:dyDescent="0.25">
      <c r="B1803" t="s">
        <v>2125</v>
      </c>
    </row>
    <row r="1804" spans="1:6" x14ac:dyDescent="0.25">
      <c r="B1804" t="s">
        <v>1394</v>
      </c>
    </row>
    <row r="1805" spans="1:6" x14ac:dyDescent="0.25">
      <c r="A1805" t="s">
        <v>2</v>
      </c>
      <c r="B1805" t="s">
        <v>2126</v>
      </c>
      <c r="C1805">
        <v>48101</v>
      </c>
      <c r="D1805">
        <v>3252585</v>
      </c>
      <c r="E1805">
        <v>0</v>
      </c>
      <c r="F1805">
        <v>3252585</v>
      </c>
    </row>
    <row r="1806" spans="1:6" x14ac:dyDescent="0.25">
      <c r="A1806" t="s">
        <v>15</v>
      </c>
      <c r="B1806" t="s">
        <v>2127</v>
      </c>
      <c r="C1806">
        <v>48102</v>
      </c>
      <c r="D1806">
        <v>9992</v>
      </c>
      <c r="E1806">
        <v>0</v>
      </c>
      <c r="F1806">
        <v>9992</v>
      </c>
    </row>
    <row r="1807" spans="1:6" x14ac:dyDescent="0.25">
      <c r="A1807" t="s">
        <v>16</v>
      </c>
      <c r="B1807" t="s">
        <v>2128</v>
      </c>
      <c r="C1807">
        <v>48103</v>
      </c>
      <c r="D1807">
        <v>813615</v>
      </c>
      <c r="E1807">
        <v>0</v>
      </c>
      <c r="F1807">
        <v>813615</v>
      </c>
    </row>
    <row r="1808" spans="1:6" x14ac:dyDescent="0.25">
      <c r="A1808" t="s">
        <v>25</v>
      </c>
      <c r="B1808" t="s">
        <v>2129</v>
      </c>
      <c r="C1808">
        <v>48104</v>
      </c>
      <c r="D1808">
        <v>0</v>
      </c>
      <c r="E1808">
        <v>0</v>
      </c>
      <c r="F1808">
        <v>0</v>
      </c>
    </row>
    <row r="1809" spans="1:6" x14ac:dyDescent="0.25">
      <c r="A1809" t="s">
        <v>26</v>
      </c>
      <c r="B1809" t="s">
        <v>2130</v>
      </c>
      <c r="C1809">
        <v>48105</v>
      </c>
      <c r="D1809">
        <v>0</v>
      </c>
      <c r="E1809">
        <v>0</v>
      </c>
      <c r="F1809">
        <v>0</v>
      </c>
    </row>
    <row r="1810" spans="1:6" x14ac:dyDescent="0.25">
      <c r="A1810" t="s">
        <v>27</v>
      </c>
      <c r="B1810" t="s">
        <v>2131</v>
      </c>
      <c r="C1810">
        <v>48106</v>
      </c>
      <c r="D1810">
        <v>0</v>
      </c>
      <c r="E1810">
        <v>0</v>
      </c>
      <c r="F1810">
        <v>0</v>
      </c>
    </row>
    <row r="1811" spans="1:6" x14ac:dyDescent="0.25">
      <c r="A1811" t="s">
        <v>531</v>
      </c>
      <c r="B1811" t="s">
        <v>2132</v>
      </c>
      <c r="C1811">
        <v>48107</v>
      </c>
      <c r="D1811">
        <v>0</v>
      </c>
      <c r="E1811">
        <v>0</v>
      </c>
      <c r="F1811">
        <v>0</v>
      </c>
    </row>
    <row r="1812" spans="1:6" x14ac:dyDescent="0.25">
      <c r="A1812" t="s">
        <v>1583</v>
      </c>
      <c r="B1812" t="s">
        <v>2133</v>
      </c>
      <c r="C1812">
        <v>48108</v>
      </c>
      <c r="D1812">
        <v>559</v>
      </c>
      <c r="E1812">
        <v>0</v>
      </c>
      <c r="F1812">
        <v>559</v>
      </c>
    </row>
    <row r="1813" spans="1:6" x14ac:dyDescent="0.25">
      <c r="A1813" t="s">
        <v>1585</v>
      </c>
      <c r="B1813" t="s">
        <v>2134</v>
      </c>
      <c r="C1813">
        <v>48109</v>
      </c>
      <c r="D1813">
        <v>744</v>
      </c>
      <c r="E1813">
        <v>0</v>
      </c>
      <c r="F1813">
        <v>744</v>
      </c>
    </row>
    <row r="1814" spans="1:6" x14ac:dyDescent="0.25">
      <c r="A1814" t="s">
        <v>1587</v>
      </c>
      <c r="B1814" t="s">
        <v>2135</v>
      </c>
      <c r="C1814">
        <v>48110</v>
      </c>
      <c r="D1814">
        <v>0</v>
      </c>
      <c r="E1814">
        <v>0</v>
      </c>
      <c r="F1814">
        <v>0</v>
      </c>
    </row>
    <row r="1815" spans="1:6" x14ac:dyDescent="0.25">
      <c r="A1815" t="s">
        <v>1589</v>
      </c>
      <c r="B1815" t="s">
        <v>2136</v>
      </c>
      <c r="C1815">
        <v>48111</v>
      </c>
      <c r="D1815">
        <v>0</v>
      </c>
      <c r="E1815">
        <v>0</v>
      </c>
      <c r="F1815">
        <v>0</v>
      </c>
    </row>
    <row r="1816" spans="1:6" x14ac:dyDescent="0.25">
      <c r="A1816" t="s">
        <v>1591</v>
      </c>
      <c r="B1816" t="s">
        <v>2137</v>
      </c>
      <c r="C1816">
        <v>48112</v>
      </c>
      <c r="D1816">
        <v>613</v>
      </c>
      <c r="E1816">
        <v>0</v>
      </c>
      <c r="F1816">
        <v>613</v>
      </c>
    </row>
    <row r="1817" spans="1:6" x14ac:dyDescent="0.25">
      <c r="A1817" t="s">
        <v>1593</v>
      </c>
      <c r="B1817" t="s">
        <v>2138</v>
      </c>
      <c r="C1817">
        <v>48113</v>
      </c>
      <c r="D1817">
        <v>543</v>
      </c>
      <c r="E1817">
        <v>0</v>
      </c>
      <c r="F1817">
        <v>543</v>
      </c>
    </row>
    <row r="1818" spans="1:6" x14ac:dyDescent="0.25">
      <c r="B1818" t="s">
        <v>2139</v>
      </c>
      <c r="D1818">
        <v>4078651</v>
      </c>
      <c r="E1818">
        <v>0</v>
      </c>
      <c r="F1818">
        <v>4078651</v>
      </c>
    </row>
    <row r="1819" spans="1:6" x14ac:dyDescent="0.25">
      <c r="B1819" t="s">
        <v>2140</v>
      </c>
    </row>
    <row r="1820" spans="1:6" x14ac:dyDescent="0.25">
      <c r="A1820" t="s">
        <v>2</v>
      </c>
      <c r="B1820" t="s">
        <v>2141</v>
      </c>
      <c r="C1820">
        <v>48201</v>
      </c>
      <c r="D1820">
        <v>20918</v>
      </c>
      <c r="F1820">
        <v>20918</v>
      </c>
    </row>
    <row r="1821" spans="1:6" x14ac:dyDescent="0.25">
      <c r="A1821" t="s">
        <v>15</v>
      </c>
      <c r="B1821" t="s">
        <v>2142</v>
      </c>
      <c r="C1821">
        <v>48202</v>
      </c>
      <c r="D1821">
        <v>97</v>
      </c>
      <c r="F1821">
        <v>97</v>
      </c>
    </row>
    <row r="1822" spans="1:6" x14ac:dyDescent="0.25">
      <c r="A1822" t="s">
        <v>16</v>
      </c>
      <c r="B1822" t="s">
        <v>2143</v>
      </c>
      <c r="C1822">
        <v>48203</v>
      </c>
      <c r="D1822">
        <v>5</v>
      </c>
      <c r="F1822">
        <v>5</v>
      </c>
    </row>
    <row r="1823" spans="1:6" x14ac:dyDescent="0.25">
      <c r="A1823" t="s">
        <v>25</v>
      </c>
      <c r="B1823" t="s">
        <v>2144</v>
      </c>
      <c r="C1823">
        <v>48204</v>
      </c>
      <c r="D1823">
        <v>0</v>
      </c>
      <c r="F1823">
        <v>0</v>
      </c>
    </row>
    <row r="1824" spans="1:6" x14ac:dyDescent="0.25">
      <c r="A1824" t="s">
        <v>26</v>
      </c>
      <c r="B1824" t="s">
        <v>2145</v>
      </c>
      <c r="C1824">
        <v>48205</v>
      </c>
      <c r="D1824">
        <v>0</v>
      </c>
      <c r="F1824">
        <v>0</v>
      </c>
    </row>
    <row r="1825" spans="1:6" x14ac:dyDescent="0.25">
      <c r="A1825" t="s">
        <v>27</v>
      </c>
      <c r="B1825" t="s">
        <v>2146</v>
      </c>
      <c r="C1825">
        <v>48206</v>
      </c>
      <c r="D1825">
        <v>0</v>
      </c>
      <c r="F1825">
        <v>0</v>
      </c>
    </row>
    <row r="1826" spans="1:6" x14ac:dyDescent="0.25">
      <c r="A1826" t="s">
        <v>531</v>
      </c>
      <c r="B1826" t="s">
        <v>2147</v>
      </c>
      <c r="C1826">
        <v>48207</v>
      </c>
      <c r="D1826">
        <v>0</v>
      </c>
      <c r="F1826">
        <v>0</v>
      </c>
    </row>
    <row r="1827" spans="1:6" x14ac:dyDescent="0.25">
      <c r="A1827" t="s">
        <v>1583</v>
      </c>
      <c r="B1827" t="s">
        <v>2148</v>
      </c>
      <c r="C1827">
        <v>48208</v>
      </c>
      <c r="D1827">
        <v>70001</v>
      </c>
      <c r="E1827">
        <v>0</v>
      </c>
      <c r="F1827">
        <v>70001</v>
      </c>
    </row>
    <row r="1828" spans="1:6" x14ac:dyDescent="0.25">
      <c r="A1828" t="s">
        <v>1585</v>
      </c>
      <c r="B1828" t="s">
        <v>2149</v>
      </c>
      <c r="C1828">
        <v>48209</v>
      </c>
      <c r="D1828">
        <v>310894</v>
      </c>
      <c r="E1828">
        <v>0</v>
      </c>
      <c r="F1828">
        <v>310894</v>
      </c>
    </row>
    <row r="1829" spans="1:6" x14ac:dyDescent="0.25">
      <c r="B1829" t="s">
        <v>2150</v>
      </c>
      <c r="D1829">
        <v>401915</v>
      </c>
      <c r="E1829">
        <v>0</v>
      </c>
      <c r="F1829">
        <v>401915</v>
      </c>
    </row>
    <row r="1830" spans="1:6" x14ac:dyDescent="0.25">
      <c r="B1830" t="s">
        <v>2151</v>
      </c>
    </row>
    <row r="1831" spans="1:6" x14ac:dyDescent="0.25">
      <c r="A1831" t="s">
        <v>2</v>
      </c>
      <c r="B1831" t="s">
        <v>2152</v>
      </c>
      <c r="C1831">
        <v>48301</v>
      </c>
      <c r="D1831">
        <v>400204</v>
      </c>
      <c r="F1831">
        <v>400204</v>
      </c>
    </row>
    <row r="1832" spans="1:6" x14ac:dyDescent="0.25">
      <c r="A1832" t="s">
        <v>15</v>
      </c>
      <c r="B1832" t="s">
        <v>2153</v>
      </c>
      <c r="C1832">
        <v>48302</v>
      </c>
      <c r="D1832">
        <v>0</v>
      </c>
      <c r="F1832">
        <v>0</v>
      </c>
    </row>
    <row r="1833" spans="1:6" x14ac:dyDescent="0.25">
      <c r="A1833" t="s">
        <v>16</v>
      </c>
      <c r="B1833" t="s">
        <v>2154</v>
      </c>
      <c r="C1833">
        <v>48303</v>
      </c>
      <c r="D1833">
        <v>95619</v>
      </c>
      <c r="F1833">
        <v>95619</v>
      </c>
    </row>
    <row r="1834" spans="1:6" x14ac:dyDescent="0.25">
      <c r="A1834" t="s">
        <v>25</v>
      </c>
      <c r="B1834" t="s">
        <v>2155</v>
      </c>
      <c r="C1834">
        <v>48300</v>
      </c>
      <c r="D1834">
        <v>495823</v>
      </c>
      <c r="F1834">
        <v>495823</v>
      </c>
    </row>
    <row r="1835" spans="1:6" x14ac:dyDescent="0.25">
      <c r="B1835" t="s">
        <v>1397</v>
      </c>
    </row>
    <row r="1836" spans="1:6" x14ac:dyDescent="0.25">
      <c r="A1836" t="s">
        <v>2</v>
      </c>
      <c r="B1836" t="s">
        <v>2156</v>
      </c>
      <c r="C1836">
        <v>48401</v>
      </c>
      <c r="D1836">
        <v>382981</v>
      </c>
      <c r="E1836">
        <v>0</v>
      </c>
      <c r="F1836">
        <v>382981</v>
      </c>
    </row>
    <row r="1837" spans="1:6" x14ac:dyDescent="0.25">
      <c r="A1837" t="s">
        <v>15</v>
      </c>
      <c r="B1837" t="s">
        <v>2157</v>
      </c>
      <c r="C1837">
        <v>48402</v>
      </c>
      <c r="D1837">
        <v>0</v>
      </c>
      <c r="E1837">
        <v>0</v>
      </c>
      <c r="F1837">
        <v>0</v>
      </c>
    </row>
    <row r="1838" spans="1:6" x14ac:dyDescent="0.25">
      <c r="A1838" t="s">
        <v>16</v>
      </c>
      <c r="B1838" t="s">
        <v>1468</v>
      </c>
      <c r="C1838">
        <v>48403</v>
      </c>
      <c r="D1838">
        <v>157348</v>
      </c>
      <c r="E1838">
        <v>0</v>
      </c>
      <c r="F1838">
        <v>157348</v>
      </c>
    </row>
    <row r="1839" spans="1:6" x14ac:dyDescent="0.25">
      <c r="A1839" t="s">
        <v>25</v>
      </c>
      <c r="B1839" t="s">
        <v>2158</v>
      </c>
      <c r="C1839">
        <v>48404</v>
      </c>
      <c r="D1839">
        <v>172875</v>
      </c>
      <c r="E1839">
        <v>0</v>
      </c>
      <c r="F1839">
        <v>172875</v>
      </c>
    </row>
    <row r="1840" spans="1:6" x14ac:dyDescent="0.25">
      <c r="A1840" t="s">
        <v>26</v>
      </c>
      <c r="B1840" t="s">
        <v>2159</v>
      </c>
      <c r="C1840">
        <v>48405</v>
      </c>
      <c r="D1840">
        <v>61366</v>
      </c>
      <c r="E1840">
        <v>0</v>
      </c>
      <c r="F1840">
        <v>61366</v>
      </c>
    </row>
    <row r="1841" spans="1:6" x14ac:dyDescent="0.25">
      <c r="A1841" t="s">
        <v>27</v>
      </c>
      <c r="B1841" t="s">
        <v>2160</v>
      </c>
      <c r="C1841">
        <v>48406</v>
      </c>
      <c r="D1841">
        <v>114508</v>
      </c>
      <c r="E1841">
        <v>0</v>
      </c>
      <c r="F1841">
        <v>114508</v>
      </c>
    </row>
    <row r="1842" spans="1:6" x14ac:dyDescent="0.25">
      <c r="A1842" t="s">
        <v>531</v>
      </c>
      <c r="B1842" t="s">
        <v>1479</v>
      </c>
      <c r="C1842">
        <v>48407</v>
      </c>
      <c r="D1842">
        <v>127018</v>
      </c>
      <c r="E1842">
        <v>0</v>
      </c>
      <c r="F1842">
        <v>127018</v>
      </c>
    </row>
    <row r="1843" spans="1:6" x14ac:dyDescent="0.25">
      <c r="A1843" t="s">
        <v>1583</v>
      </c>
      <c r="B1843" t="s">
        <v>2161</v>
      </c>
      <c r="C1843">
        <v>48408</v>
      </c>
      <c r="D1843">
        <v>14219</v>
      </c>
      <c r="E1843">
        <v>0</v>
      </c>
      <c r="F1843">
        <v>14219</v>
      </c>
    </row>
    <row r="1844" spans="1:6" x14ac:dyDescent="0.25">
      <c r="A1844" t="s">
        <v>1585</v>
      </c>
      <c r="B1844" t="s">
        <v>1480</v>
      </c>
      <c r="C1844">
        <v>48409</v>
      </c>
      <c r="D1844">
        <v>135119</v>
      </c>
      <c r="E1844">
        <v>10246</v>
      </c>
      <c r="F1844">
        <v>145365</v>
      </c>
    </row>
    <row r="1845" spans="1:6" x14ac:dyDescent="0.25">
      <c r="A1845" t="s">
        <v>1587</v>
      </c>
      <c r="B1845" t="s">
        <v>2162</v>
      </c>
      <c r="C1845">
        <v>48410</v>
      </c>
      <c r="D1845">
        <v>21007</v>
      </c>
      <c r="E1845">
        <v>0</v>
      </c>
      <c r="F1845">
        <v>21007</v>
      </c>
    </row>
    <row r="1846" spans="1:6" x14ac:dyDescent="0.25">
      <c r="A1846" t="s">
        <v>1589</v>
      </c>
      <c r="B1846" t="s">
        <v>2163</v>
      </c>
      <c r="C1846">
        <v>48411</v>
      </c>
      <c r="D1846">
        <v>9</v>
      </c>
      <c r="E1846">
        <v>0</v>
      </c>
      <c r="F1846">
        <v>9</v>
      </c>
    </row>
    <row r="1847" spans="1:6" x14ac:dyDescent="0.25">
      <c r="A1847" t="s">
        <v>1591</v>
      </c>
      <c r="B1847" t="s">
        <v>1481</v>
      </c>
      <c r="C1847">
        <v>48412</v>
      </c>
      <c r="D1847">
        <v>448019</v>
      </c>
      <c r="E1847">
        <v>0</v>
      </c>
      <c r="F1847">
        <v>448019</v>
      </c>
    </row>
    <row r="1848" spans="1:6" x14ac:dyDescent="0.25">
      <c r="A1848" t="s">
        <v>1593</v>
      </c>
      <c r="B1848" t="s">
        <v>2164</v>
      </c>
      <c r="C1848">
        <v>48413</v>
      </c>
      <c r="D1848">
        <v>292046</v>
      </c>
      <c r="E1848">
        <v>0</v>
      </c>
      <c r="F1848">
        <v>292046</v>
      </c>
    </row>
    <row r="1849" spans="1:6" x14ac:dyDescent="0.25">
      <c r="A1849" t="s">
        <v>1595</v>
      </c>
      <c r="B1849" t="s">
        <v>1482</v>
      </c>
      <c r="C1849">
        <v>48414</v>
      </c>
      <c r="D1849">
        <v>469630</v>
      </c>
      <c r="E1849">
        <v>154959</v>
      </c>
      <c r="F1849">
        <v>624589</v>
      </c>
    </row>
    <row r="1850" spans="1:6" x14ac:dyDescent="0.25">
      <c r="B1850" t="s">
        <v>2165</v>
      </c>
      <c r="D1850">
        <v>2396145</v>
      </c>
      <c r="E1850">
        <v>165205</v>
      </c>
      <c r="F1850">
        <v>2561350</v>
      </c>
    </row>
    <row r="1851" spans="1:6" x14ac:dyDescent="0.25">
      <c r="B1851" t="s">
        <v>2166</v>
      </c>
    </row>
    <row r="1852" spans="1:6" x14ac:dyDescent="0.25">
      <c r="A1852" t="s">
        <v>2</v>
      </c>
      <c r="B1852" t="s">
        <v>1932</v>
      </c>
      <c r="C1852">
        <v>48501</v>
      </c>
      <c r="D1852">
        <v>0</v>
      </c>
      <c r="F1852">
        <v>0</v>
      </c>
    </row>
    <row r="1853" spans="1:6" x14ac:dyDescent="0.25">
      <c r="A1853" t="s">
        <v>15</v>
      </c>
      <c r="B1853" t="s">
        <v>1933</v>
      </c>
      <c r="C1853">
        <v>48502</v>
      </c>
      <c r="D1853">
        <v>14572</v>
      </c>
      <c r="F1853">
        <v>14572</v>
      </c>
    </row>
    <row r="1854" spans="1:6" x14ac:dyDescent="0.25">
      <c r="A1854" t="s">
        <v>16</v>
      </c>
      <c r="B1854" t="s">
        <v>1934</v>
      </c>
      <c r="C1854">
        <v>48503</v>
      </c>
      <c r="D1854">
        <v>0</v>
      </c>
      <c r="F1854">
        <v>0</v>
      </c>
    </row>
    <row r="1855" spans="1:6" x14ac:dyDescent="0.25">
      <c r="A1855" t="s">
        <v>25</v>
      </c>
      <c r="B1855" t="s">
        <v>1935</v>
      </c>
      <c r="C1855">
        <v>48504</v>
      </c>
      <c r="D1855">
        <v>845</v>
      </c>
      <c r="F1855">
        <v>845</v>
      </c>
    </row>
    <row r="1856" spans="1:6" x14ac:dyDescent="0.25">
      <c r="A1856" t="s">
        <v>26</v>
      </c>
      <c r="B1856" t="s">
        <v>2167</v>
      </c>
      <c r="C1856">
        <v>48505</v>
      </c>
      <c r="D1856">
        <v>0</v>
      </c>
      <c r="F1856">
        <v>0</v>
      </c>
    </row>
    <row r="1857" spans="1:6" x14ac:dyDescent="0.25">
      <c r="B1857" t="s">
        <v>2168</v>
      </c>
      <c r="D1857">
        <v>15417</v>
      </c>
      <c r="F1857">
        <v>15417</v>
      </c>
    </row>
    <row r="1858" spans="1:6" x14ac:dyDescent="0.25">
      <c r="B1858" t="s">
        <v>2169</v>
      </c>
    </row>
    <row r="1859" spans="1:6" x14ac:dyDescent="0.25">
      <c r="A1859" t="s">
        <v>2</v>
      </c>
      <c r="B1859" t="s">
        <v>1938</v>
      </c>
      <c r="C1859">
        <v>48601</v>
      </c>
      <c r="D1859">
        <v>3409</v>
      </c>
      <c r="E1859">
        <v>0</v>
      </c>
      <c r="F1859">
        <v>3409</v>
      </c>
    </row>
    <row r="1860" spans="1:6" x14ac:dyDescent="0.25">
      <c r="A1860" t="s">
        <v>15</v>
      </c>
      <c r="B1860" t="s">
        <v>2170</v>
      </c>
      <c r="C1860">
        <v>48602</v>
      </c>
      <c r="D1860">
        <v>13522</v>
      </c>
      <c r="E1860">
        <v>0</v>
      </c>
      <c r="F1860">
        <v>13522</v>
      </c>
    </row>
    <row r="1861" spans="1:6" x14ac:dyDescent="0.25">
      <c r="A1861" t="s">
        <v>16</v>
      </c>
      <c r="B1861" t="s">
        <v>2171</v>
      </c>
      <c r="C1861">
        <v>48603</v>
      </c>
      <c r="D1861">
        <v>1630</v>
      </c>
      <c r="E1861">
        <v>0</v>
      </c>
      <c r="F1861">
        <v>1630</v>
      </c>
    </row>
    <row r="1862" spans="1:6" x14ac:dyDescent="0.25">
      <c r="A1862" t="s">
        <v>25</v>
      </c>
      <c r="B1862" t="s">
        <v>2172</v>
      </c>
      <c r="C1862">
        <v>48604</v>
      </c>
      <c r="D1862">
        <v>0</v>
      </c>
      <c r="E1862">
        <v>0</v>
      </c>
      <c r="F1862">
        <v>0</v>
      </c>
    </row>
    <row r="1863" spans="1:6" x14ac:dyDescent="0.25">
      <c r="A1863" t="s">
        <v>26</v>
      </c>
      <c r="B1863" t="s">
        <v>2173</v>
      </c>
      <c r="C1863">
        <v>48605</v>
      </c>
      <c r="D1863">
        <v>0</v>
      </c>
      <c r="E1863">
        <v>0</v>
      </c>
      <c r="F1863">
        <v>0</v>
      </c>
    </row>
    <row r="1864" spans="1:6" x14ac:dyDescent="0.25">
      <c r="A1864" t="s">
        <v>27</v>
      </c>
      <c r="B1864" t="s">
        <v>2174</v>
      </c>
      <c r="C1864">
        <v>48606</v>
      </c>
      <c r="D1864">
        <v>19</v>
      </c>
      <c r="E1864">
        <v>0</v>
      </c>
      <c r="F1864">
        <v>19</v>
      </c>
    </row>
    <row r="1865" spans="1:6" x14ac:dyDescent="0.25">
      <c r="A1865" t="s">
        <v>531</v>
      </c>
      <c r="B1865" t="s">
        <v>2175</v>
      </c>
      <c r="C1865">
        <v>48607</v>
      </c>
      <c r="D1865">
        <v>26922</v>
      </c>
      <c r="E1865">
        <v>0</v>
      </c>
      <c r="F1865">
        <v>26922</v>
      </c>
    </row>
    <row r="1866" spans="1:6" x14ac:dyDescent="0.25">
      <c r="A1866" t="s">
        <v>1583</v>
      </c>
      <c r="B1866" t="s">
        <v>2176</v>
      </c>
      <c r="C1866">
        <v>48608</v>
      </c>
      <c r="D1866">
        <v>81460</v>
      </c>
      <c r="E1866">
        <v>0</v>
      </c>
      <c r="F1866">
        <v>81460</v>
      </c>
    </row>
    <row r="1867" spans="1:6" x14ac:dyDescent="0.25">
      <c r="A1867" t="s">
        <v>1585</v>
      </c>
      <c r="B1867" t="s">
        <v>2177</v>
      </c>
      <c r="C1867">
        <v>48609</v>
      </c>
      <c r="D1867">
        <v>0</v>
      </c>
      <c r="E1867">
        <v>0</v>
      </c>
      <c r="F1867">
        <v>0</v>
      </c>
    </row>
    <row r="1868" spans="1:6" x14ac:dyDescent="0.25">
      <c r="A1868" t="s">
        <v>1587</v>
      </c>
      <c r="B1868" t="s">
        <v>2178</v>
      </c>
      <c r="C1868">
        <v>48610</v>
      </c>
      <c r="D1868">
        <v>0</v>
      </c>
      <c r="E1868">
        <v>0</v>
      </c>
      <c r="F1868">
        <v>0</v>
      </c>
    </row>
    <row r="1869" spans="1:6" x14ac:dyDescent="0.25">
      <c r="A1869" t="s">
        <v>1589</v>
      </c>
      <c r="B1869" t="s">
        <v>2179</v>
      </c>
      <c r="C1869">
        <v>48611</v>
      </c>
      <c r="D1869">
        <v>4802</v>
      </c>
      <c r="E1869">
        <v>0</v>
      </c>
      <c r="F1869">
        <v>4802</v>
      </c>
    </row>
    <row r="1870" spans="1:6" x14ac:dyDescent="0.25">
      <c r="B1870" t="s">
        <v>2180</v>
      </c>
      <c r="D1870">
        <v>131764</v>
      </c>
      <c r="E1870">
        <v>0</v>
      </c>
      <c r="F1870">
        <v>131764</v>
      </c>
    </row>
    <row r="1871" spans="1:6" x14ac:dyDescent="0.25">
      <c r="B1871" t="s">
        <v>1910</v>
      </c>
      <c r="D1871">
        <v>7519715</v>
      </c>
      <c r="E1871">
        <v>165205</v>
      </c>
      <c r="F1871">
        <v>7684920</v>
      </c>
    </row>
    <row r="1872" spans="1:6" x14ac:dyDescent="0.25">
      <c r="B1872" t="s">
        <v>2181</v>
      </c>
      <c r="D1872">
        <v>295736909</v>
      </c>
      <c r="E1872">
        <v>503146</v>
      </c>
      <c r="F1872">
        <v>296240055</v>
      </c>
    </row>
    <row r="1873" spans="1:6" x14ac:dyDescent="0.25">
      <c r="B1873" t="s">
        <v>2182</v>
      </c>
      <c r="D1873">
        <v>363911459</v>
      </c>
      <c r="E1873">
        <v>6200712</v>
      </c>
      <c r="F1873">
        <v>370112171</v>
      </c>
    </row>
    <row r="1874" spans="1:6" x14ac:dyDescent="0.25">
      <c r="B1874" t="s">
        <v>2183</v>
      </c>
      <c r="C1874">
        <v>1000</v>
      </c>
      <c r="F1874">
        <v>551694</v>
      </c>
    </row>
    <row r="1875" spans="1:6" x14ac:dyDescent="0.25">
      <c r="B1875" t="s">
        <v>2184</v>
      </c>
      <c r="C1875">
        <v>2000</v>
      </c>
      <c r="F1875">
        <v>0</v>
      </c>
    </row>
    <row r="1876" spans="1:6" x14ac:dyDescent="0.25">
      <c r="B1876" t="s">
        <v>2185</v>
      </c>
    </row>
    <row r="1877" spans="1:6" x14ac:dyDescent="0.25">
      <c r="B1877" t="s">
        <v>2186</v>
      </c>
    </row>
    <row r="1878" spans="1:6" x14ac:dyDescent="0.25">
      <c r="B1878" t="s">
        <v>2187</v>
      </c>
    </row>
    <row r="1879" spans="1:6" x14ac:dyDescent="0.25">
      <c r="A1879" t="s">
        <v>2</v>
      </c>
      <c r="B1879" t="s">
        <v>2188</v>
      </c>
      <c r="C1879">
        <v>51101</v>
      </c>
      <c r="D1879">
        <v>372023</v>
      </c>
      <c r="F1879">
        <v>372023</v>
      </c>
    </row>
    <row r="1880" spans="1:6" x14ac:dyDescent="0.25">
      <c r="B1880" t="s">
        <v>2189</v>
      </c>
    </row>
    <row r="1881" spans="1:6" x14ac:dyDescent="0.25">
      <c r="A1881" t="s">
        <v>2</v>
      </c>
      <c r="B1881" t="s">
        <v>2190</v>
      </c>
      <c r="C1881">
        <v>51201</v>
      </c>
      <c r="D1881">
        <v>0</v>
      </c>
      <c r="F1881">
        <v>0</v>
      </c>
    </row>
    <row r="1882" spans="1:6" x14ac:dyDescent="0.25">
      <c r="A1882" t="s">
        <v>15</v>
      </c>
      <c r="B1882" t="s">
        <v>2191</v>
      </c>
      <c r="C1882">
        <v>51202</v>
      </c>
      <c r="D1882">
        <v>466030</v>
      </c>
      <c r="F1882">
        <v>466030</v>
      </c>
    </row>
    <row r="1883" spans="1:6" x14ac:dyDescent="0.25">
      <c r="A1883" t="s">
        <v>16</v>
      </c>
      <c r="B1883" t="s">
        <v>2192</v>
      </c>
      <c r="C1883">
        <v>3000</v>
      </c>
      <c r="D1883">
        <v>0</v>
      </c>
      <c r="F1883">
        <v>0</v>
      </c>
    </row>
    <row r="1884" spans="1:6" x14ac:dyDescent="0.25">
      <c r="A1884" t="s">
        <v>25</v>
      </c>
      <c r="B1884" t="s">
        <v>2193</v>
      </c>
      <c r="C1884">
        <v>4000</v>
      </c>
      <c r="D1884">
        <v>94007</v>
      </c>
      <c r="F1884">
        <v>94007</v>
      </c>
    </row>
    <row r="1885" spans="1:6" x14ac:dyDescent="0.25">
      <c r="B1885" t="s">
        <v>2194</v>
      </c>
    </row>
    <row r="1886" spans="1:6" x14ac:dyDescent="0.25">
      <c r="B1886" t="s">
        <v>2195</v>
      </c>
    </row>
    <row r="1887" spans="1:6" x14ac:dyDescent="0.25">
      <c r="B1887" t="s">
        <v>2196</v>
      </c>
    </row>
    <row r="1888" spans="1:6" x14ac:dyDescent="0.25">
      <c r="A1888" t="s">
        <v>2</v>
      </c>
      <c r="B1888" t="s">
        <v>2197</v>
      </c>
      <c r="C1888">
        <v>61101</v>
      </c>
      <c r="F1888">
        <v>645701</v>
      </c>
    </row>
    <row r="1889" spans="1:6" x14ac:dyDescent="0.25">
      <c r="A1889" t="s">
        <v>15</v>
      </c>
      <c r="B1889" t="s">
        <v>2198</v>
      </c>
      <c r="C1889">
        <v>61102</v>
      </c>
      <c r="F1889">
        <v>0</v>
      </c>
    </row>
    <row r="1890" spans="1:6" x14ac:dyDescent="0.25">
      <c r="B1890" t="s">
        <v>2199</v>
      </c>
    </row>
    <row r="1891" spans="1:6" x14ac:dyDescent="0.25">
      <c r="B1891" t="s">
        <v>2200</v>
      </c>
    </row>
    <row r="1892" spans="1:6" x14ac:dyDescent="0.25">
      <c r="B1892" t="s">
        <v>2201</v>
      </c>
    </row>
    <row r="1893" spans="1:6" x14ac:dyDescent="0.25">
      <c r="A1893" t="s">
        <v>2</v>
      </c>
      <c r="B1893" t="s">
        <v>1637</v>
      </c>
      <c r="C1893">
        <v>71101</v>
      </c>
      <c r="D1893">
        <v>0</v>
      </c>
      <c r="F1893">
        <v>0</v>
      </c>
    </row>
    <row r="1894" spans="1:6" x14ac:dyDescent="0.25">
      <c r="A1894" t="s">
        <v>15</v>
      </c>
      <c r="B1894" t="s">
        <v>1638</v>
      </c>
      <c r="C1894">
        <v>71102</v>
      </c>
      <c r="D1894">
        <v>43900998</v>
      </c>
      <c r="F1894">
        <v>43900998</v>
      </c>
    </row>
    <row r="1895" spans="1:6" x14ac:dyDescent="0.25">
      <c r="A1895" t="s">
        <v>16</v>
      </c>
      <c r="B1895" t="s">
        <v>1640</v>
      </c>
      <c r="C1895">
        <v>71103</v>
      </c>
      <c r="D1895">
        <v>4256672</v>
      </c>
      <c r="F1895">
        <v>4256672</v>
      </c>
    </row>
    <row r="1896" spans="1:6" x14ac:dyDescent="0.25">
      <c r="A1896" t="s">
        <v>25</v>
      </c>
      <c r="B1896" t="s">
        <v>1641</v>
      </c>
      <c r="C1896">
        <v>71104</v>
      </c>
      <c r="D1896">
        <v>0</v>
      </c>
      <c r="F1896">
        <v>0</v>
      </c>
    </row>
    <row r="1897" spans="1:6" x14ac:dyDescent="0.25">
      <c r="B1897" t="s">
        <v>2202</v>
      </c>
      <c r="D1897">
        <v>48157670</v>
      </c>
      <c r="F1897">
        <v>48157670</v>
      </c>
    </row>
    <row r="1898" spans="1:6" x14ac:dyDescent="0.25">
      <c r="B1898" t="s">
        <v>2203</v>
      </c>
    </row>
    <row r="1899" spans="1:6" x14ac:dyDescent="0.25">
      <c r="A1899" t="s">
        <v>2</v>
      </c>
      <c r="B1899" t="s">
        <v>1637</v>
      </c>
      <c r="C1899">
        <v>71201</v>
      </c>
      <c r="D1899">
        <v>0</v>
      </c>
      <c r="F1899">
        <v>0</v>
      </c>
    </row>
    <row r="1900" spans="1:6" x14ac:dyDescent="0.25">
      <c r="A1900" t="s">
        <v>15</v>
      </c>
      <c r="B1900" t="s">
        <v>1638</v>
      </c>
      <c r="C1900">
        <v>71202</v>
      </c>
      <c r="D1900">
        <v>524899</v>
      </c>
      <c r="F1900">
        <v>524899</v>
      </c>
    </row>
    <row r="1901" spans="1:6" x14ac:dyDescent="0.25">
      <c r="A1901" t="s">
        <v>16</v>
      </c>
      <c r="B1901" t="s">
        <v>1640</v>
      </c>
      <c r="C1901">
        <v>71203</v>
      </c>
      <c r="D1901">
        <v>0</v>
      </c>
      <c r="F1901">
        <v>0</v>
      </c>
    </row>
    <row r="1902" spans="1:6" x14ac:dyDescent="0.25">
      <c r="A1902" t="s">
        <v>25</v>
      </c>
      <c r="B1902" t="s">
        <v>1641</v>
      </c>
      <c r="C1902">
        <v>71204</v>
      </c>
      <c r="D1902">
        <v>0</v>
      </c>
      <c r="F1902">
        <v>0</v>
      </c>
    </row>
    <row r="1903" spans="1:6" x14ac:dyDescent="0.25">
      <c r="B1903" t="s">
        <v>2204</v>
      </c>
      <c r="D1903">
        <v>524899</v>
      </c>
      <c r="F1903">
        <v>524899</v>
      </c>
    </row>
    <row r="1904" spans="1:6" x14ac:dyDescent="0.25">
      <c r="B1904" t="s">
        <v>2205</v>
      </c>
    </row>
    <row r="1905" spans="1:6" x14ac:dyDescent="0.25">
      <c r="A1905" t="s">
        <v>2</v>
      </c>
      <c r="B1905" t="s">
        <v>1634</v>
      </c>
      <c r="C1905">
        <v>71301</v>
      </c>
      <c r="D1905">
        <v>3112200</v>
      </c>
      <c r="F1905">
        <v>3112200</v>
      </c>
    </row>
    <row r="1906" spans="1:6" x14ac:dyDescent="0.25">
      <c r="A1906" t="s">
        <v>15</v>
      </c>
      <c r="B1906" t="s">
        <v>1635</v>
      </c>
      <c r="C1906">
        <v>71302</v>
      </c>
      <c r="D1906">
        <v>128922</v>
      </c>
      <c r="F1906">
        <v>128922</v>
      </c>
    </row>
    <row r="1907" spans="1:6" x14ac:dyDescent="0.25">
      <c r="A1907" t="s">
        <v>16</v>
      </c>
      <c r="B1907" t="s">
        <v>1636</v>
      </c>
      <c r="C1907">
        <v>71303</v>
      </c>
      <c r="D1907">
        <v>0</v>
      </c>
      <c r="F1907">
        <v>0</v>
      </c>
    </row>
    <row r="1908" spans="1:6" x14ac:dyDescent="0.25">
      <c r="A1908" t="s">
        <v>25</v>
      </c>
      <c r="B1908" t="s">
        <v>1637</v>
      </c>
      <c r="C1908">
        <v>71304</v>
      </c>
      <c r="D1908">
        <v>762176</v>
      </c>
      <c r="F1908">
        <v>762176</v>
      </c>
    </row>
    <row r="1909" spans="1:6" x14ac:dyDescent="0.25">
      <c r="A1909" t="s">
        <v>26</v>
      </c>
      <c r="B1909" t="s">
        <v>1638</v>
      </c>
      <c r="C1909">
        <v>71305</v>
      </c>
      <c r="D1909">
        <v>2811155</v>
      </c>
      <c r="F1909">
        <v>2811155</v>
      </c>
    </row>
    <row r="1910" spans="1:6" x14ac:dyDescent="0.25">
      <c r="A1910" t="s">
        <v>27</v>
      </c>
      <c r="B1910" t="s">
        <v>1639</v>
      </c>
      <c r="C1910">
        <v>71306</v>
      </c>
      <c r="D1910">
        <v>0</v>
      </c>
      <c r="F1910">
        <v>0</v>
      </c>
    </row>
    <row r="1911" spans="1:6" x14ac:dyDescent="0.25">
      <c r="A1911" t="s">
        <v>531</v>
      </c>
      <c r="B1911" t="s">
        <v>1640</v>
      </c>
      <c r="C1911">
        <v>71307</v>
      </c>
      <c r="D1911">
        <v>0</v>
      </c>
      <c r="F1911">
        <v>0</v>
      </c>
    </row>
    <row r="1912" spans="1:6" x14ac:dyDescent="0.25">
      <c r="A1912" t="s">
        <v>1583</v>
      </c>
      <c r="B1912" t="s">
        <v>1641</v>
      </c>
      <c r="C1912">
        <v>71308</v>
      </c>
      <c r="D1912">
        <v>5154855</v>
      </c>
      <c r="F1912">
        <v>5154855</v>
      </c>
    </row>
    <row r="1913" spans="1:6" x14ac:dyDescent="0.25">
      <c r="B1913" t="s">
        <v>2206</v>
      </c>
      <c r="D1913">
        <v>11969308</v>
      </c>
      <c r="F1913">
        <v>11969308</v>
      </c>
    </row>
    <row r="1914" spans="1:6" x14ac:dyDescent="0.25">
      <c r="B1914" t="s">
        <v>2207</v>
      </c>
    </row>
    <row r="1915" spans="1:6" x14ac:dyDescent="0.25">
      <c r="A1915" t="s">
        <v>2</v>
      </c>
      <c r="B1915" t="s">
        <v>1634</v>
      </c>
      <c r="C1915">
        <v>71401</v>
      </c>
      <c r="D1915">
        <v>51902</v>
      </c>
      <c r="F1915">
        <v>51902</v>
      </c>
    </row>
    <row r="1916" spans="1:6" x14ac:dyDescent="0.25">
      <c r="A1916" t="s">
        <v>15</v>
      </c>
      <c r="B1916" t="s">
        <v>1635</v>
      </c>
      <c r="C1916">
        <v>71402</v>
      </c>
      <c r="D1916">
        <v>18756</v>
      </c>
      <c r="F1916">
        <v>18756</v>
      </c>
    </row>
    <row r="1917" spans="1:6" x14ac:dyDescent="0.25">
      <c r="A1917" t="s">
        <v>16</v>
      </c>
      <c r="B1917" t="s">
        <v>1636</v>
      </c>
      <c r="C1917">
        <v>71403</v>
      </c>
      <c r="D1917">
        <v>0</v>
      </c>
      <c r="F1917">
        <v>0</v>
      </c>
    </row>
    <row r="1918" spans="1:6" x14ac:dyDescent="0.25">
      <c r="A1918" t="s">
        <v>25</v>
      </c>
      <c r="B1918" t="s">
        <v>1637</v>
      </c>
      <c r="C1918">
        <v>71404</v>
      </c>
      <c r="D1918">
        <v>496684</v>
      </c>
      <c r="F1918">
        <v>496684</v>
      </c>
    </row>
    <row r="1919" spans="1:6" x14ac:dyDescent="0.25">
      <c r="A1919" t="s">
        <v>26</v>
      </c>
      <c r="B1919" t="s">
        <v>1638</v>
      </c>
      <c r="C1919">
        <v>71405</v>
      </c>
      <c r="D1919">
        <v>71991</v>
      </c>
      <c r="F1919">
        <v>71991</v>
      </c>
    </row>
    <row r="1920" spans="1:6" x14ac:dyDescent="0.25">
      <c r="A1920" t="s">
        <v>27</v>
      </c>
      <c r="B1920" t="s">
        <v>1639</v>
      </c>
      <c r="C1920">
        <v>71406</v>
      </c>
      <c r="D1920">
        <v>0</v>
      </c>
      <c r="F1920">
        <v>0</v>
      </c>
    </row>
    <row r="1921" spans="1:6" x14ac:dyDescent="0.25">
      <c r="A1921" t="s">
        <v>531</v>
      </c>
      <c r="B1921" t="s">
        <v>1640</v>
      </c>
      <c r="C1921">
        <v>71407</v>
      </c>
      <c r="D1921">
        <v>0</v>
      </c>
      <c r="F1921">
        <v>0</v>
      </c>
    </row>
    <row r="1922" spans="1:6" x14ac:dyDescent="0.25">
      <c r="A1922" t="s">
        <v>1583</v>
      </c>
      <c r="B1922" t="s">
        <v>1641</v>
      </c>
      <c r="C1922">
        <v>71408</v>
      </c>
      <c r="D1922">
        <v>25674</v>
      </c>
      <c r="F1922">
        <v>25674</v>
      </c>
    </row>
    <row r="1923" spans="1:6" x14ac:dyDescent="0.25">
      <c r="B1923" t="s">
        <v>2208</v>
      </c>
      <c r="D1923">
        <v>665007</v>
      </c>
      <c r="F1923">
        <v>665007</v>
      </c>
    </row>
    <row r="1924" spans="1:6" x14ac:dyDescent="0.25">
      <c r="B1924" t="s">
        <v>2209</v>
      </c>
    </row>
    <row r="1925" spans="1:6" x14ac:dyDescent="0.25">
      <c r="A1925" t="s">
        <v>2</v>
      </c>
      <c r="B1925" t="s">
        <v>2210</v>
      </c>
      <c r="C1925">
        <v>71501</v>
      </c>
      <c r="D1925">
        <v>0</v>
      </c>
      <c r="F1925">
        <v>0</v>
      </c>
    </row>
    <row r="1926" spans="1:6" x14ac:dyDescent="0.25">
      <c r="A1926" t="s">
        <v>15</v>
      </c>
      <c r="B1926" t="s">
        <v>2211</v>
      </c>
      <c r="C1926">
        <v>71502</v>
      </c>
      <c r="D1926">
        <v>0</v>
      </c>
      <c r="F1926">
        <v>0</v>
      </c>
    </row>
    <row r="1927" spans="1:6" x14ac:dyDescent="0.25">
      <c r="B1927" t="s">
        <v>2212</v>
      </c>
      <c r="D1927">
        <v>0</v>
      </c>
      <c r="F1927">
        <v>0</v>
      </c>
    </row>
    <row r="1928" spans="1:6" x14ac:dyDescent="0.25">
      <c r="B1928" t="s">
        <v>2213</v>
      </c>
    </row>
    <row r="1929" spans="1:6" x14ac:dyDescent="0.25">
      <c r="A1929" t="s">
        <v>2</v>
      </c>
      <c r="B1929" t="s">
        <v>2214</v>
      </c>
      <c r="C1929">
        <v>71601</v>
      </c>
      <c r="D1929">
        <v>0</v>
      </c>
      <c r="F1929">
        <v>0</v>
      </c>
    </row>
    <row r="1930" spans="1:6" x14ac:dyDescent="0.25">
      <c r="A1930" t="s">
        <v>15</v>
      </c>
      <c r="B1930" t="s">
        <v>2215</v>
      </c>
      <c r="C1930">
        <v>71602</v>
      </c>
      <c r="D1930">
        <v>0</v>
      </c>
      <c r="F1930">
        <v>0</v>
      </c>
    </row>
    <row r="1931" spans="1:6" x14ac:dyDescent="0.25">
      <c r="A1931" t="s">
        <v>16</v>
      </c>
      <c r="B1931" t="s">
        <v>2216</v>
      </c>
      <c r="C1931">
        <v>71603</v>
      </c>
      <c r="D1931">
        <v>0</v>
      </c>
      <c r="F1931">
        <v>0</v>
      </c>
    </row>
    <row r="1932" spans="1:6" x14ac:dyDescent="0.25">
      <c r="A1932" t="s">
        <v>25</v>
      </c>
      <c r="B1932" t="s">
        <v>2217</v>
      </c>
      <c r="C1932">
        <v>71604</v>
      </c>
      <c r="D1932">
        <v>0</v>
      </c>
      <c r="F1932">
        <v>0</v>
      </c>
    </row>
    <row r="1933" spans="1:6" x14ac:dyDescent="0.25">
      <c r="B1933" t="s">
        <v>2218</v>
      </c>
      <c r="D1933">
        <v>0</v>
      </c>
      <c r="F1933">
        <v>0</v>
      </c>
    </row>
    <row r="1934" spans="1:6" x14ac:dyDescent="0.25">
      <c r="B1934" t="s">
        <v>2219</v>
      </c>
    </row>
    <row r="1935" spans="1:6" x14ac:dyDescent="0.25">
      <c r="A1935" t="s">
        <v>2</v>
      </c>
      <c r="B1935" t="s">
        <v>2220</v>
      </c>
      <c r="C1935">
        <v>71701</v>
      </c>
      <c r="D1935">
        <v>0</v>
      </c>
      <c r="F1935">
        <v>0</v>
      </c>
    </row>
    <row r="1936" spans="1:6" x14ac:dyDescent="0.25">
      <c r="A1936" t="s">
        <v>15</v>
      </c>
      <c r="B1936" t="s">
        <v>2221</v>
      </c>
      <c r="C1936">
        <v>71702</v>
      </c>
      <c r="D1936">
        <v>0</v>
      </c>
      <c r="F1936">
        <v>0</v>
      </c>
    </row>
    <row r="1937" spans="1:6" x14ac:dyDescent="0.25">
      <c r="B1937" t="s">
        <v>2222</v>
      </c>
      <c r="D1937">
        <v>0</v>
      </c>
      <c r="F1937">
        <v>0</v>
      </c>
    </row>
    <row r="1938" spans="1:6" x14ac:dyDescent="0.25">
      <c r="B1938" t="s">
        <v>2223</v>
      </c>
    </row>
    <row r="1939" spans="1:6" x14ac:dyDescent="0.25">
      <c r="A1939" t="s">
        <v>2</v>
      </c>
      <c r="B1939" t="s">
        <v>2224</v>
      </c>
      <c r="C1939">
        <v>71801</v>
      </c>
      <c r="D1939">
        <v>0</v>
      </c>
      <c r="F1939">
        <v>0</v>
      </c>
    </row>
    <row r="1940" spans="1:6" x14ac:dyDescent="0.25">
      <c r="A1940" t="s">
        <v>15</v>
      </c>
      <c r="B1940" t="s">
        <v>2225</v>
      </c>
      <c r="C1940">
        <v>71802</v>
      </c>
      <c r="D1940">
        <v>0</v>
      </c>
      <c r="F1940">
        <v>0</v>
      </c>
    </row>
    <row r="1941" spans="1:6" x14ac:dyDescent="0.25">
      <c r="B1941" t="s">
        <v>2226</v>
      </c>
      <c r="D1941">
        <v>0</v>
      </c>
      <c r="F1941">
        <v>0</v>
      </c>
    </row>
    <row r="1942" spans="1:6" x14ac:dyDescent="0.25">
      <c r="B1942" t="s">
        <v>2227</v>
      </c>
    </row>
    <row r="1943" spans="1:6" x14ac:dyDescent="0.25">
      <c r="A1943" t="s">
        <v>2</v>
      </c>
      <c r="B1943" t="s">
        <v>2228</v>
      </c>
      <c r="C1943">
        <v>71901</v>
      </c>
      <c r="D1943">
        <v>41699</v>
      </c>
      <c r="F1943">
        <v>41699</v>
      </c>
    </row>
    <row r="1944" spans="1:6" x14ac:dyDescent="0.25">
      <c r="A1944" t="s">
        <v>15</v>
      </c>
      <c r="B1944" t="s">
        <v>2229</v>
      </c>
      <c r="C1944">
        <v>71902</v>
      </c>
      <c r="D1944">
        <v>0</v>
      </c>
      <c r="F1944">
        <v>0</v>
      </c>
    </row>
    <row r="1945" spans="1:6" x14ac:dyDescent="0.25">
      <c r="A1945" t="s">
        <v>16</v>
      </c>
      <c r="B1945" t="s">
        <v>2230</v>
      </c>
      <c r="C1945">
        <v>71903</v>
      </c>
      <c r="D1945">
        <v>0</v>
      </c>
      <c r="F1945">
        <v>0</v>
      </c>
    </row>
    <row r="1946" spans="1:6" x14ac:dyDescent="0.25">
      <c r="A1946" t="s">
        <v>25</v>
      </c>
      <c r="B1946" t="s">
        <v>2231</v>
      </c>
      <c r="C1946">
        <v>71904</v>
      </c>
      <c r="D1946">
        <v>0</v>
      </c>
      <c r="F1946">
        <v>0</v>
      </c>
    </row>
    <row r="1947" spans="1:6" x14ac:dyDescent="0.25">
      <c r="A1947" t="s">
        <v>26</v>
      </c>
      <c r="B1947" t="s">
        <v>2232</v>
      </c>
      <c r="C1947">
        <v>71905</v>
      </c>
      <c r="D1947">
        <v>0</v>
      </c>
      <c r="F1947">
        <v>0</v>
      </c>
    </row>
    <row r="1948" spans="1:6" x14ac:dyDescent="0.25">
      <c r="A1948" t="s">
        <v>27</v>
      </c>
      <c r="B1948" t="s">
        <v>2233</v>
      </c>
      <c r="C1948">
        <v>71906</v>
      </c>
      <c r="D1948">
        <v>0</v>
      </c>
      <c r="F1948">
        <v>0</v>
      </c>
    </row>
    <row r="1949" spans="1:6" x14ac:dyDescent="0.25">
      <c r="B1949" t="s">
        <v>2234</v>
      </c>
      <c r="D1949">
        <v>41699</v>
      </c>
      <c r="F1949">
        <v>41699</v>
      </c>
    </row>
    <row r="1950" spans="1:6" x14ac:dyDescent="0.25">
      <c r="B1950" t="s">
        <v>1653</v>
      </c>
      <c r="D1950">
        <v>61358583</v>
      </c>
      <c r="F1950">
        <v>61358583</v>
      </c>
    </row>
    <row r="1951" spans="1:6" x14ac:dyDescent="0.25">
      <c r="B1951" t="s">
        <v>2235</v>
      </c>
    </row>
    <row r="1952" spans="1:6" x14ac:dyDescent="0.25">
      <c r="B1952" t="s">
        <v>2236</v>
      </c>
    </row>
    <row r="1953" spans="1:6" x14ac:dyDescent="0.25">
      <c r="A1953" t="s">
        <v>2</v>
      </c>
      <c r="B1953" t="s">
        <v>1637</v>
      </c>
      <c r="C1953">
        <v>72101</v>
      </c>
      <c r="D1953">
        <v>0</v>
      </c>
      <c r="F1953">
        <v>0</v>
      </c>
    </row>
    <row r="1954" spans="1:6" x14ac:dyDescent="0.25">
      <c r="A1954" t="s">
        <v>15</v>
      </c>
      <c r="B1954" t="s">
        <v>1638</v>
      </c>
      <c r="C1954">
        <v>72102</v>
      </c>
      <c r="D1954">
        <v>34277108</v>
      </c>
      <c r="F1954">
        <v>34277108</v>
      </c>
    </row>
    <row r="1955" spans="1:6" x14ac:dyDescent="0.25">
      <c r="A1955" t="s">
        <v>16</v>
      </c>
      <c r="B1955" t="s">
        <v>1640</v>
      </c>
      <c r="C1955">
        <v>72103</v>
      </c>
      <c r="D1955">
        <v>3395009</v>
      </c>
      <c r="F1955">
        <v>3395009</v>
      </c>
    </row>
    <row r="1956" spans="1:6" x14ac:dyDescent="0.25">
      <c r="A1956" t="s">
        <v>25</v>
      </c>
      <c r="B1956" t="s">
        <v>1641</v>
      </c>
      <c r="C1956">
        <v>72104</v>
      </c>
      <c r="D1956">
        <v>0</v>
      </c>
      <c r="F1956">
        <v>0</v>
      </c>
    </row>
    <row r="1957" spans="1:6" x14ac:dyDescent="0.25">
      <c r="B1957" t="s">
        <v>2237</v>
      </c>
      <c r="D1957">
        <v>37672117</v>
      </c>
      <c r="F1957">
        <v>37672117</v>
      </c>
    </row>
    <row r="1958" spans="1:6" x14ac:dyDescent="0.25">
      <c r="B1958" t="s">
        <v>2238</v>
      </c>
    </row>
    <row r="1959" spans="1:6" x14ac:dyDescent="0.25">
      <c r="A1959" t="s">
        <v>2</v>
      </c>
      <c r="B1959" t="s">
        <v>1637</v>
      </c>
      <c r="C1959">
        <v>72201</v>
      </c>
      <c r="D1959">
        <v>0</v>
      </c>
      <c r="F1959">
        <v>0</v>
      </c>
    </row>
    <row r="1960" spans="1:6" x14ac:dyDescent="0.25">
      <c r="A1960" t="s">
        <v>15</v>
      </c>
      <c r="B1960" t="s">
        <v>1638</v>
      </c>
      <c r="C1960">
        <v>72202</v>
      </c>
      <c r="D1960">
        <v>3070469</v>
      </c>
      <c r="F1960">
        <v>3070469</v>
      </c>
    </row>
    <row r="1961" spans="1:6" x14ac:dyDescent="0.25">
      <c r="A1961" t="s">
        <v>16</v>
      </c>
      <c r="B1961" t="s">
        <v>1640</v>
      </c>
      <c r="C1961">
        <v>72203</v>
      </c>
      <c r="D1961">
        <v>357866</v>
      </c>
      <c r="F1961">
        <v>357866</v>
      </c>
    </row>
    <row r="1962" spans="1:6" x14ac:dyDescent="0.25">
      <c r="A1962" t="s">
        <v>25</v>
      </c>
      <c r="B1962" t="s">
        <v>1641</v>
      </c>
      <c r="C1962">
        <v>72204</v>
      </c>
      <c r="D1962">
        <v>0</v>
      </c>
      <c r="F1962">
        <v>0</v>
      </c>
    </row>
    <row r="1963" spans="1:6" x14ac:dyDescent="0.25">
      <c r="A1963" t="s">
        <v>26</v>
      </c>
      <c r="B1963" t="s">
        <v>2239</v>
      </c>
      <c r="C1963">
        <v>72200</v>
      </c>
      <c r="D1963">
        <v>3428335</v>
      </c>
      <c r="F1963">
        <v>3428335</v>
      </c>
    </row>
    <row r="1964" spans="1:6" x14ac:dyDescent="0.25">
      <c r="B1964" t="s">
        <v>2240</v>
      </c>
    </row>
    <row r="1965" spans="1:6" x14ac:dyDescent="0.25">
      <c r="A1965" t="s">
        <v>2</v>
      </c>
      <c r="B1965" t="s">
        <v>1634</v>
      </c>
      <c r="C1965">
        <v>72301</v>
      </c>
      <c r="D1965">
        <v>2939502</v>
      </c>
      <c r="F1965">
        <v>2939502</v>
      </c>
    </row>
    <row r="1966" spans="1:6" x14ac:dyDescent="0.25">
      <c r="A1966" t="s">
        <v>15</v>
      </c>
      <c r="B1966" t="s">
        <v>1635</v>
      </c>
      <c r="C1966">
        <v>72302</v>
      </c>
      <c r="D1966">
        <v>125671</v>
      </c>
      <c r="F1966">
        <v>125671</v>
      </c>
    </row>
    <row r="1967" spans="1:6" x14ac:dyDescent="0.25">
      <c r="A1967" t="s">
        <v>16</v>
      </c>
      <c r="B1967" t="s">
        <v>1636</v>
      </c>
      <c r="C1967">
        <v>72303</v>
      </c>
      <c r="D1967">
        <v>0</v>
      </c>
      <c r="F1967">
        <v>0</v>
      </c>
    </row>
    <row r="1968" spans="1:6" x14ac:dyDescent="0.25">
      <c r="A1968" t="s">
        <v>25</v>
      </c>
      <c r="B1968" t="s">
        <v>1637</v>
      </c>
      <c r="C1968">
        <v>72304</v>
      </c>
      <c r="D1968">
        <v>858602</v>
      </c>
      <c r="F1968">
        <v>858602</v>
      </c>
    </row>
    <row r="1969" spans="1:6" x14ac:dyDescent="0.25">
      <c r="A1969" t="s">
        <v>26</v>
      </c>
      <c r="B1969" t="s">
        <v>1638</v>
      </c>
      <c r="C1969">
        <v>72305</v>
      </c>
      <c r="D1969">
        <v>2528222</v>
      </c>
      <c r="F1969">
        <v>2528222</v>
      </c>
    </row>
    <row r="1970" spans="1:6" x14ac:dyDescent="0.25">
      <c r="A1970" t="s">
        <v>27</v>
      </c>
      <c r="B1970" t="s">
        <v>1639</v>
      </c>
      <c r="C1970">
        <v>72306</v>
      </c>
      <c r="D1970">
        <v>0</v>
      </c>
      <c r="F1970">
        <v>0</v>
      </c>
    </row>
    <row r="1971" spans="1:6" x14ac:dyDescent="0.25">
      <c r="A1971" t="s">
        <v>531</v>
      </c>
      <c r="B1971" t="s">
        <v>1640</v>
      </c>
      <c r="C1971">
        <v>72307</v>
      </c>
      <c r="D1971">
        <v>0</v>
      </c>
      <c r="F1971">
        <v>0</v>
      </c>
    </row>
    <row r="1972" spans="1:6" x14ac:dyDescent="0.25">
      <c r="A1972" t="s">
        <v>1583</v>
      </c>
      <c r="B1972" t="s">
        <v>1641</v>
      </c>
      <c r="C1972">
        <v>72308</v>
      </c>
      <c r="D1972">
        <v>4446515</v>
      </c>
      <c r="F1972">
        <v>4446515</v>
      </c>
    </row>
    <row r="1973" spans="1:6" x14ac:dyDescent="0.25">
      <c r="B1973" t="s">
        <v>2241</v>
      </c>
      <c r="D1973">
        <v>10898512</v>
      </c>
      <c r="F1973">
        <v>10898512</v>
      </c>
    </row>
    <row r="1974" spans="1:6" x14ac:dyDescent="0.25">
      <c r="B1974" t="s">
        <v>2242</v>
      </c>
    </row>
    <row r="1975" spans="1:6" x14ac:dyDescent="0.25">
      <c r="A1975" t="s">
        <v>2</v>
      </c>
      <c r="B1975" t="s">
        <v>1634</v>
      </c>
      <c r="C1975">
        <v>72401</v>
      </c>
      <c r="D1975">
        <v>208556</v>
      </c>
      <c r="F1975">
        <v>208556</v>
      </c>
    </row>
    <row r="1976" spans="1:6" x14ac:dyDescent="0.25">
      <c r="A1976" t="s">
        <v>15</v>
      </c>
      <c r="B1976" t="s">
        <v>1635</v>
      </c>
      <c r="C1976">
        <v>72402</v>
      </c>
      <c r="D1976">
        <v>890</v>
      </c>
      <c r="F1976">
        <v>890</v>
      </c>
    </row>
    <row r="1977" spans="1:6" x14ac:dyDescent="0.25">
      <c r="A1977" t="s">
        <v>16</v>
      </c>
      <c r="B1977" t="s">
        <v>1636</v>
      </c>
      <c r="C1977">
        <v>72403</v>
      </c>
      <c r="D1977">
        <v>0</v>
      </c>
      <c r="F1977">
        <v>0</v>
      </c>
    </row>
    <row r="1978" spans="1:6" x14ac:dyDescent="0.25">
      <c r="A1978" t="s">
        <v>25</v>
      </c>
      <c r="B1978" t="s">
        <v>1637</v>
      </c>
      <c r="C1978">
        <v>72404</v>
      </c>
      <c r="D1978">
        <v>16991</v>
      </c>
      <c r="F1978">
        <v>16991</v>
      </c>
    </row>
    <row r="1979" spans="1:6" x14ac:dyDescent="0.25">
      <c r="A1979" t="s">
        <v>26</v>
      </c>
      <c r="B1979" t="s">
        <v>1638</v>
      </c>
      <c r="C1979">
        <v>72405</v>
      </c>
      <c r="D1979">
        <v>211257</v>
      </c>
      <c r="F1979">
        <v>211257</v>
      </c>
    </row>
    <row r="1980" spans="1:6" x14ac:dyDescent="0.25">
      <c r="A1980" t="s">
        <v>27</v>
      </c>
      <c r="B1980" t="s">
        <v>1639</v>
      </c>
      <c r="C1980">
        <v>72406</v>
      </c>
      <c r="D1980">
        <v>0</v>
      </c>
      <c r="F1980">
        <v>0</v>
      </c>
    </row>
    <row r="1981" spans="1:6" x14ac:dyDescent="0.25">
      <c r="A1981" t="s">
        <v>531</v>
      </c>
      <c r="B1981" t="s">
        <v>1640</v>
      </c>
      <c r="C1981">
        <v>72407</v>
      </c>
      <c r="D1981">
        <v>0</v>
      </c>
      <c r="F1981">
        <v>0</v>
      </c>
    </row>
    <row r="1982" spans="1:6" x14ac:dyDescent="0.25">
      <c r="A1982" t="s">
        <v>1583</v>
      </c>
      <c r="B1982" t="s">
        <v>1641</v>
      </c>
      <c r="C1982">
        <v>72408</v>
      </c>
      <c r="D1982">
        <v>10940</v>
      </c>
      <c r="F1982">
        <v>10940</v>
      </c>
    </row>
    <row r="1983" spans="1:6" x14ac:dyDescent="0.25">
      <c r="B1983" t="s">
        <v>2243</v>
      </c>
      <c r="D1983">
        <v>448634</v>
      </c>
      <c r="F1983">
        <v>448634</v>
      </c>
    </row>
    <row r="1984" spans="1:6" x14ac:dyDescent="0.25">
      <c r="B1984" t="s">
        <v>2244</v>
      </c>
    </row>
    <row r="1985" spans="1:6" x14ac:dyDescent="0.25">
      <c r="A1985" t="s">
        <v>2</v>
      </c>
      <c r="B1985" t="s">
        <v>2245</v>
      </c>
      <c r="C1985">
        <v>72501</v>
      </c>
      <c r="D1985">
        <v>62</v>
      </c>
      <c r="F1985">
        <v>62</v>
      </c>
    </row>
    <row r="1986" spans="1:6" x14ac:dyDescent="0.25">
      <c r="A1986" t="s">
        <v>15</v>
      </c>
      <c r="B1986" t="s">
        <v>2246</v>
      </c>
      <c r="C1986">
        <v>72502</v>
      </c>
      <c r="D1986">
        <v>0</v>
      </c>
      <c r="F1986">
        <v>0</v>
      </c>
    </row>
    <row r="1987" spans="1:6" x14ac:dyDescent="0.25">
      <c r="A1987" t="s">
        <v>16</v>
      </c>
      <c r="B1987" t="s">
        <v>2247</v>
      </c>
      <c r="C1987">
        <v>72500</v>
      </c>
      <c r="D1987">
        <v>62</v>
      </c>
      <c r="F1987">
        <v>62</v>
      </c>
    </row>
    <row r="1988" spans="1:6" x14ac:dyDescent="0.25">
      <c r="B1988" t="s">
        <v>2248</v>
      </c>
    </row>
    <row r="1989" spans="1:6" x14ac:dyDescent="0.25">
      <c r="A1989" t="s">
        <v>2</v>
      </c>
      <c r="B1989" t="s">
        <v>2249</v>
      </c>
      <c r="C1989">
        <v>72601</v>
      </c>
      <c r="D1989">
        <v>0</v>
      </c>
      <c r="F1989">
        <v>0</v>
      </c>
    </row>
    <row r="1990" spans="1:6" x14ac:dyDescent="0.25">
      <c r="A1990" t="s">
        <v>15</v>
      </c>
      <c r="B1990" t="s">
        <v>2250</v>
      </c>
      <c r="C1990">
        <v>72602</v>
      </c>
      <c r="D1990">
        <v>0</v>
      </c>
      <c r="F1990">
        <v>0</v>
      </c>
    </row>
    <row r="1991" spans="1:6" x14ac:dyDescent="0.25">
      <c r="A1991" t="s">
        <v>16</v>
      </c>
      <c r="B1991" t="s">
        <v>2251</v>
      </c>
      <c r="C1991">
        <v>72603</v>
      </c>
      <c r="D1991">
        <v>0</v>
      </c>
      <c r="F1991">
        <v>0</v>
      </c>
    </row>
    <row r="1992" spans="1:6" x14ac:dyDescent="0.25">
      <c r="A1992" t="s">
        <v>25</v>
      </c>
      <c r="B1992" t="s">
        <v>2252</v>
      </c>
      <c r="C1992">
        <v>72604</v>
      </c>
      <c r="D1992">
        <v>0</v>
      </c>
      <c r="F1992">
        <v>0</v>
      </c>
    </row>
    <row r="1993" spans="1:6" x14ac:dyDescent="0.25">
      <c r="B1993" t="s">
        <v>2253</v>
      </c>
      <c r="D1993">
        <v>0</v>
      </c>
      <c r="F1993">
        <v>0</v>
      </c>
    </row>
    <row r="1994" spans="1:6" x14ac:dyDescent="0.25">
      <c r="B1994" t="s">
        <v>2254</v>
      </c>
    </row>
    <row r="1995" spans="1:6" x14ac:dyDescent="0.25">
      <c r="A1995" t="s">
        <v>2</v>
      </c>
      <c r="B1995" t="s">
        <v>2220</v>
      </c>
      <c r="C1995">
        <v>72701</v>
      </c>
      <c r="D1995">
        <v>0</v>
      </c>
      <c r="F1995">
        <v>0</v>
      </c>
    </row>
    <row r="1996" spans="1:6" x14ac:dyDescent="0.25">
      <c r="A1996" t="s">
        <v>15</v>
      </c>
      <c r="B1996" t="s">
        <v>2221</v>
      </c>
      <c r="C1996">
        <v>72702</v>
      </c>
      <c r="D1996">
        <v>0</v>
      </c>
      <c r="F1996">
        <v>0</v>
      </c>
    </row>
    <row r="1997" spans="1:6" x14ac:dyDescent="0.25">
      <c r="B1997" t="s">
        <v>2255</v>
      </c>
      <c r="D1997">
        <v>0</v>
      </c>
      <c r="F1997">
        <v>0</v>
      </c>
    </row>
    <row r="1998" spans="1:6" x14ac:dyDescent="0.25">
      <c r="B1998" t="s">
        <v>2256</v>
      </c>
    </row>
    <row r="1999" spans="1:6" x14ac:dyDescent="0.25">
      <c r="A1999" t="s">
        <v>2</v>
      </c>
      <c r="B1999" t="s">
        <v>2224</v>
      </c>
      <c r="C1999">
        <v>72801</v>
      </c>
      <c r="D1999">
        <v>0</v>
      </c>
      <c r="F1999">
        <v>0</v>
      </c>
    </row>
    <row r="2000" spans="1:6" x14ac:dyDescent="0.25">
      <c r="A2000" t="s">
        <v>15</v>
      </c>
      <c r="B2000" t="s">
        <v>2225</v>
      </c>
      <c r="C2000">
        <v>72802</v>
      </c>
      <c r="D2000">
        <v>0</v>
      </c>
      <c r="F2000">
        <v>0</v>
      </c>
    </row>
    <row r="2001" spans="1:6" x14ac:dyDescent="0.25">
      <c r="B2001" t="s">
        <v>2257</v>
      </c>
      <c r="D2001">
        <v>0</v>
      </c>
      <c r="F2001">
        <v>0</v>
      </c>
    </row>
    <row r="2002" spans="1:6" x14ac:dyDescent="0.25">
      <c r="B2002" t="s">
        <v>2258</v>
      </c>
    </row>
    <row r="2003" spans="1:6" x14ac:dyDescent="0.25">
      <c r="A2003" t="s">
        <v>2</v>
      </c>
      <c r="B2003" t="s">
        <v>2228</v>
      </c>
      <c r="C2003">
        <v>72901</v>
      </c>
      <c r="D2003">
        <v>726255</v>
      </c>
      <c r="F2003">
        <v>726255</v>
      </c>
    </row>
    <row r="2004" spans="1:6" x14ac:dyDescent="0.25">
      <c r="A2004" t="s">
        <v>15</v>
      </c>
      <c r="B2004" t="s">
        <v>2229</v>
      </c>
      <c r="C2004">
        <v>72902</v>
      </c>
      <c r="D2004">
        <v>319360</v>
      </c>
      <c r="F2004">
        <v>319360</v>
      </c>
    </row>
    <row r="2005" spans="1:6" x14ac:dyDescent="0.25">
      <c r="A2005" t="s">
        <v>16</v>
      </c>
      <c r="B2005" t="s">
        <v>2230</v>
      </c>
      <c r="C2005">
        <v>72903</v>
      </c>
      <c r="D2005">
        <v>0</v>
      </c>
      <c r="F2005">
        <v>0</v>
      </c>
    </row>
    <row r="2006" spans="1:6" x14ac:dyDescent="0.25">
      <c r="A2006" t="s">
        <v>25</v>
      </c>
      <c r="B2006" t="s">
        <v>2231</v>
      </c>
      <c r="C2006">
        <v>72904</v>
      </c>
      <c r="D2006">
        <v>0</v>
      </c>
      <c r="F2006">
        <v>0</v>
      </c>
    </row>
    <row r="2007" spans="1:6" x14ac:dyDescent="0.25">
      <c r="A2007" t="s">
        <v>26</v>
      </c>
      <c r="B2007" t="s">
        <v>2232</v>
      </c>
      <c r="C2007">
        <v>72905</v>
      </c>
      <c r="D2007">
        <v>0</v>
      </c>
      <c r="F2007">
        <v>0</v>
      </c>
    </row>
    <row r="2008" spans="1:6" x14ac:dyDescent="0.25">
      <c r="A2008" t="s">
        <v>27</v>
      </c>
      <c r="B2008" t="s">
        <v>2233</v>
      </c>
      <c r="C2008">
        <v>72906</v>
      </c>
      <c r="D2008">
        <v>0</v>
      </c>
      <c r="F2008">
        <v>0</v>
      </c>
    </row>
    <row r="2009" spans="1:6" x14ac:dyDescent="0.25">
      <c r="B2009" t="s">
        <v>2259</v>
      </c>
      <c r="D2009">
        <v>1045615</v>
      </c>
      <c r="F2009">
        <v>1045615</v>
      </c>
    </row>
    <row r="2010" spans="1:6" x14ac:dyDescent="0.25">
      <c r="B2010" t="s">
        <v>1660</v>
      </c>
      <c r="D2010">
        <v>53493275</v>
      </c>
      <c r="F2010">
        <v>53493275</v>
      </c>
    </row>
    <row r="2011" spans="1:6" x14ac:dyDescent="0.25">
      <c r="B2011" t="s">
        <v>2260</v>
      </c>
    </row>
    <row r="2012" spans="1:6" x14ac:dyDescent="0.25">
      <c r="B2012" t="s">
        <v>2261</v>
      </c>
    </row>
    <row r="2013" spans="1:6" x14ac:dyDescent="0.25">
      <c r="B2013" t="s">
        <v>2262</v>
      </c>
    </row>
    <row r="2014" spans="1:6" x14ac:dyDescent="0.25">
      <c r="A2014" t="s">
        <v>2</v>
      </c>
      <c r="B2014" t="s">
        <v>2263</v>
      </c>
      <c r="C2014">
        <v>81101</v>
      </c>
      <c r="F2014">
        <v>7865308</v>
      </c>
    </row>
    <row r="2015" spans="1:6" x14ac:dyDescent="0.25">
      <c r="A2015" t="s">
        <v>15</v>
      </c>
      <c r="B2015" t="s">
        <v>2264</v>
      </c>
      <c r="C2015">
        <v>81102</v>
      </c>
      <c r="F2015">
        <v>0</v>
      </c>
    </row>
    <row r="2016" spans="1:6" x14ac:dyDescent="0.25">
      <c r="B2016" t="s">
        <v>2265</v>
      </c>
    </row>
    <row r="2017" spans="1:6" x14ac:dyDescent="0.25">
      <c r="A2017" t="s">
        <v>2</v>
      </c>
      <c r="B2017" t="s">
        <v>2266</v>
      </c>
      <c r="C2017">
        <v>81201</v>
      </c>
      <c r="F2017">
        <v>8511009</v>
      </c>
    </row>
    <row r="2018" spans="1:6" x14ac:dyDescent="0.25">
      <c r="A2018" t="s">
        <v>15</v>
      </c>
      <c r="B2018" t="s">
        <v>2267</v>
      </c>
      <c r="C2018">
        <v>81202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17"/>
  <sheetViews>
    <sheetView zoomScaleNormal="100" workbookViewId="0">
      <pane xSplit="4" ySplit="7" topLeftCell="E51" activePane="bottomRight" state="frozen"/>
      <selection pane="topRight" activeCell="D1" sqref="D1"/>
      <selection pane="bottomLeft" activeCell="A8" sqref="A8"/>
      <selection pane="bottomRight" activeCell="M5" sqref="M5"/>
    </sheetView>
  </sheetViews>
  <sheetFormatPr defaultColWidth="9.140625" defaultRowHeight="15" outlineLevelRow="1" x14ac:dyDescent="0.2"/>
  <cols>
    <col min="1" max="2" width="3.42578125" style="22" customWidth="1"/>
    <col min="3" max="3" width="3" style="22" customWidth="1"/>
    <col min="4" max="4" width="70" style="293" customWidth="1"/>
    <col min="5" max="5" width="10" style="22" customWidth="1"/>
    <col min="6" max="6" width="12.5703125" style="22" customWidth="1"/>
    <col min="7" max="8" width="11.7109375" style="22" customWidth="1"/>
    <col min="9" max="9" width="12.7109375" style="22" customWidth="1"/>
    <col min="10" max="10" width="12.42578125" style="22" customWidth="1"/>
    <col min="11" max="11" width="12.7109375" style="22" customWidth="1"/>
    <col min="12" max="16384" width="9.140625" style="22"/>
  </cols>
  <sheetData>
    <row r="1" spans="1:13" x14ac:dyDescent="0.2">
      <c r="A1" s="21"/>
      <c r="B1" s="21"/>
      <c r="C1" s="21"/>
      <c r="D1" s="291"/>
      <c r="E1" s="21"/>
      <c r="F1" s="21"/>
      <c r="G1" s="21"/>
      <c r="H1" s="21"/>
      <c r="I1" s="21"/>
      <c r="J1" s="21"/>
      <c r="K1" s="21"/>
      <c r="L1" s="21"/>
      <c r="M1" s="21"/>
    </row>
    <row r="2" spans="1:13" x14ac:dyDescent="0.2">
      <c r="A2" s="21"/>
      <c r="B2" s="21"/>
      <c r="C2" s="21"/>
      <c r="D2" s="291" t="s">
        <v>333</v>
      </c>
      <c r="E2" s="21" t="s">
        <v>85</v>
      </c>
      <c r="F2" s="21"/>
      <c r="G2" s="21"/>
      <c r="H2" s="21"/>
      <c r="I2" s="21"/>
      <c r="J2" s="21"/>
      <c r="K2" s="21"/>
      <c r="L2" s="21"/>
      <c r="M2" s="21"/>
    </row>
    <row r="3" spans="1:13" ht="15.75" x14ac:dyDescent="0.25">
      <c r="A3" s="21"/>
      <c r="B3" s="21"/>
      <c r="C3" s="21"/>
      <c r="D3" s="291" t="s">
        <v>419</v>
      </c>
      <c r="E3" s="338" t="s">
        <v>328</v>
      </c>
      <c r="F3" s="21"/>
      <c r="G3" s="21"/>
      <c r="H3" s="21"/>
      <c r="I3" s="21"/>
      <c r="J3" s="21"/>
      <c r="K3" s="21"/>
      <c r="L3" s="21"/>
      <c r="M3" s="21"/>
    </row>
    <row r="4" spans="1:13" x14ac:dyDescent="0.2">
      <c r="A4" s="21"/>
      <c r="B4" s="21"/>
      <c r="C4" s="21"/>
      <c r="D4" s="291" t="s">
        <v>334</v>
      </c>
      <c r="E4" s="21" t="s">
        <v>335</v>
      </c>
      <c r="F4" s="21"/>
      <c r="G4" s="21"/>
      <c r="H4" s="21"/>
      <c r="I4" s="21"/>
      <c r="J4" s="21"/>
      <c r="K4" s="21"/>
      <c r="L4" s="21"/>
      <c r="M4" s="21"/>
    </row>
    <row r="5" spans="1:13" x14ac:dyDescent="0.2">
      <c r="A5" s="21"/>
      <c r="B5" s="21"/>
      <c r="C5" s="21"/>
      <c r="D5" s="291"/>
      <c r="E5" s="21"/>
      <c r="F5" s="21"/>
      <c r="G5" s="21"/>
      <c r="H5" s="21"/>
      <c r="I5" s="21"/>
      <c r="J5" s="21"/>
      <c r="K5" s="21"/>
      <c r="L5" s="21"/>
      <c r="M5" s="21"/>
    </row>
    <row r="6" spans="1:13" ht="15.75" x14ac:dyDescent="0.25">
      <c r="A6" s="21"/>
      <c r="B6" s="21"/>
      <c r="C6" s="21"/>
      <c r="D6" s="316" t="s">
        <v>332</v>
      </c>
      <c r="E6" s="21" t="s">
        <v>348</v>
      </c>
      <c r="F6" s="21"/>
      <c r="G6" s="21"/>
      <c r="H6" s="21"/>
      <c r="I6" s="21"/>
      <c r="J6" s="21"/>
      <c r="K6" s="21"/>
      <c r="L6" s="21"/>
      <c r="M6" s="21"/>
    </row>
    <row r="7" spans="1:13" x14ac:dyDescent="0.2">
      <c r="A7" s="21"/>
      <c r="B7" s="21"/>
      <c r="C7" s="21"/>
      <c r="D7" s="306" t="s">
        <v>286</v>
      </c>
      <c r="E7" s="301">
        <v>2009</v>
      </c>
      <c r="F7" s="301">
        <v>2010</v>
      </c>
      <c r="G7" s="301">
        <v>2011</v>
      </c>
      <c r="H7" s="301">
        <v>2012</v>
      </c>
      <c r="I7" s="301">
        <v>2013</v>
      </c>
      <c r="J7" s="301">
        <v>2014</v>
      </c>
      <c r="K7" s="301">
        <v>2015</v>
      </c>
      <c r="L7" s="295"/>
      <c r="M7" s="296"/>
    </row>
    <row r="8" spans="1:13" ht="24.75" customHeight="1" x14ac:dyDescent="0.25">
      <c r="A8" s="21"/>
      <c r="B8" s="21"/>
      <c r="C8" s="21"/>
      <c r="D8" s="303" t="s">
        <v>145</v>
      </c>
      <c r="E8" s="294"/>
      <c r="F8" s="294"/>
      <c r="G8" s="294"/>
      <c r="H8" s="294"/>
      <c r="I8" s="294"/>
      <c r="J8" s="294"/>
      <c r="K8" s="294"/>
      <c r="L8" s="21"/>
      <c r="M8" s="21"/>
    </row>
    <row r="9" spans="1:13" x14ac:dyDescent="0.2">
      <c r="A9" s="21"/>
      <c r="B9" s="21"/>
      <c r="C9" s="21"/>
      <c r="D9" s="291" t="s">
        <v>327</v>
      </c>
      <c r="E9" s="373">
        <v>75.164000000000001</v>
      </c>
      <c r="F9" s="373">
        <v>71.53</v>
      </c>
      <c r="G9" s="373">
        <v>62.850999999999999</v>
      </c>
      <c r="H9" s="373">
        <v>70.22</v>
      </c>
      <c r="I9" s="373">
        <v>89.766999999999996</v>
      </c>
      <c r="J9" s="373">
        <v>79.3</v>
      </c>
      <c r="K9" s="373">
        <v>77.599999999999994</v>
      </c>
      <c r="L9" s="21"/>
      <c r="M9" s="21"/>
    </row>
    <row r="10" spans="1:13" x14ac:dyDescent="0.2">
      <c r="A10" s="21"/>
      <c r="B10" s="21"/>
      <c r="C10" s="21"/>
      <c r="D10" s="291" t="s">
        <v>330</v>
      </c>
      <c r="E10" s="373">
        <v>4.7480000000000002</v>
      </c>
      <c r="F10" s="373">
        <v>5.5880000000000001</v>
      </c>
      <c r="G10" s="373">
        <v>9.7530000000000001</v>
      </c>
      <c r="H10" s="373">
        <v>7.0060000000000002</v>
      </c>
      <c r="I10" s="373">
        <v>6.6689999999999996</v>
      </c>
      <c r="J10" s="373">
        <v>7.9</v>
      </c>
      <c r="K10" s="373">
        <v>5.2</v>
      </c>
      <c r="L10" s="21"/>
      <c r="M10" s="21"/>
    </row>
    <row r="11" spans="1:13" x14ac:dyDescent="0.2">
      <c r="A11" s="21"/>
      <c r="B11" s="21"/>
      <c r="C11" s="21"/>
      <c r="D11" s="291" t="s">
        <v>336</v>
      </c>
      <c r="E11" s="373">
        <v>90.441000000000003</v>
      </c>
      <c r="F11" s="373">
        <v>86.608999999999995</v>
      </c>
      <c r="G11" s="373">
        <v>33.433999999999997</v>
      </c>
      <c r="H11" s="373">
        <v>32.850999999999999</v>
      </c>
      <c r="I11" s="373">
        <v>58.606000000000002</v>
      </c>
      <c r="J11" s="373">
        <v>25.6</v>
      </c>
      <c r="K11" s="373">
        <v>14.1</v>
      </c>
      <c r="L11" s="21"/>
      <c r="M11" s="21"/>
    </row>
    <row r="12" spans="1:13" x14ac:dyDescent="0.2">
      <c r="A12" s="21"/>
      <c r="B12" s="21"/>
      <c r="C12" s="21"/>
      <c r="D12" s="291" t="s">
        <v>337</v>
      </c>
      <c r="E12" s="373">
        <v>4.9359999999999999</v>
      </c>
      <c r="F12" s="373">
        <v>38.174999999999997</v>
      </c>
      <c r="G12" s="373">
        <v>185.24700000000001</v>
      </c>
      <c r="H12" s="373">
        <v>263.09800000000001</v>
      </c>
      <c r="I12" s="373">
        <v>273.14499999999998</v>
      </c>
      <c r="J12" s="373">
        <v>281.5</v>
      </c>
      <c r="K12" s="373">
        <v>126.7</v>
      </c>
      <c r="L12" s="21"/>
      <c r="M12" s="21"/>
    </row>
    <row r="13" spans="1:13" x14ac:dyDescent="0.2">
      <c r="A13" s="21"/>
      <c r="B13" s="21"/>
      <c r="C13" s="21"/>
      <c r="D13" s="291" t="s">
        <v>331</v>
      </c>
      <c r="E13" s="373">
        <v>50.703000000000003</v>
      </c>
      <c r="F13" s="373">
        <v>79.484999999999999</v>
      </c>
      <c r="G13" s="373">
        <v>158.82499999999999</v>
      </c>
      <c r="H13" s="373">
        <v>167.50299999999999</v>
      </c>
      <c r="I13" s="373">
        <v>162.86000000000001</v>
      </c>
      <c r="J13" s="373">
        <v>508.9</v>
      </c>
      <c r="K13" s="373">
        <v>177.2</v>
      </c>
      <c r="L13" s="21"/>
      <c r="M13" s="21"/>
    </row>
    <row r="14" spans="1:13" x14ac:dyDescent="0.2">
      <c r="A14" s="21"/>
      <c r="B14" s="21"/>
      <c r="C14" s="21"/>
      <c r="D14" s="291" t="s">
        <v>338</v>
      </c>
      <c r="E14" s="373">
        <v>558.16499999999996</v>
      </c>
      <c r="F14" s="373">
        <v>505.72</v>
      </c>
      <c r="G14" s="373">
        <v>533.73500000000001</v>
      </c>
      <c r="H14" s="373">
        <v>649.99400000000003</v>
      </c>
      <c r="I14" s="373">
        <v>909.06100000000004</v>
      </c>
      <c r="J14" s="373">
        <v>1096.3</v>
      </c>
      <c r="K14" s="373">
        <v>954.4</v>
      </c>
      <c r="L14" s="21"/>
      <c r="M14" s="21"/>
    </row>
    <row r="15" spans="1:13" x14ac:dyDescent="0.2">
      <c r="A15" s="21"/>
      <c r="B15" s="21"/>
      <c r="C15" s="21"/>
      <c r="D15" s="291" t="s">
        <v>339</v>
      </c>
      <c r="E15" s="373">
        <v>15.032</v>
      </c>
      <c r="F15" s="373">
        <v>14.723000000000001</v>
      </c>
      <c r="G15" s="373">
        <v>18.257999999999999</v>
      </c>
      <c r="H15" s="373">
        <v>25.792000000000002</v>
      </c>
      <c r="I15" s="373">
        <v>28.827999999999999</v>
      </c>
      <c r="J15" s="373">
        <v>10.8</v>
      </c>
      <c r="K15" s="373">
        <v>25.8</v>
      </c>
      <c r="L15" s="21"/>
      <c r="M15" s="21"/>
    </row>
    <row r="16" spans="1:13" x14ac:dyDescent="0.2">
      <c r="A16" s="21"/>
      <c r="B16" s="21"/>
      <c r="C16" s="21"/>
      <c r="D16" s="291" t="s">
        <v>340</v>
      </c>
      <c r="E16" s="373">
        <v>0.26500000000000001</v>
      </c>
      <c r="F16" s="373">
        <v>0.41799999999999998</v>
      </c>
      <c r="G16" s="373">
        <v>0.32400000000000001</v>
      </c>
      <c r="H16" s="373">
        <v>0.13200000000000001</v>
      </c>
      <c r="I16" s="373">
        <v>4.0000000000000001E-3</v>
      </c>
      <c r="J16" s="373">
        <v>0</v>
      </c>
      <c r="K16" s="373">
        <v>16</v>
      </c>
      <c r="L16" s="21"/>
      <c r="M16" s="21"/>
    </row>
    <row r="17" spans="1:13" x14ac:dyDescent="0.2">
      <c r="A17" s="21"/>
      <c r="B17" s="21"/>
      <c r="C17" s="21"/>
      <c r="D17" s="291" t="s">
        <v>341</v>
      </c>
      <c r="E17" s="373">
        <v>3.82</v>
      </c>
      <c r="F17" s="373">
        <v>3.2469999999999999</v>
      </c>
      <c r="G17" s="373">
        <v>3.121</v>
      </c>
      <c r="H17" s="373">
        <v>0.75600000000000001</v>
      </c>
      <c r="I17" s="373">
        <v>1.008</v>
      </c>
      <c r="J17" s="373">
        <v>1.8</v>
      </c>
      <c r="K17" s="373">
        <v>2.4</v>
      </c>
      <c r="L17" s="21"/>
      <c r="M17" s="21"/>
    </row>
    <row r="18" spans="1:13" x14ac:dyDescent="0.2">
      <c r="A18" s="21"/>
      <c r="B18" s="21"/>
      <c r="C18" s="21"/>
      <c r="D18" s="291" t="s">
        <v>342</v>
      </c>
      <c r="E18" s="373">
        <v>17.283999999999999</v>
      </c>
      <c r="F18" s="373">
        <v>15.965</v>
      </c>
      <c r="G18" s="373">
        <v>20.457000000000001</v>
      </c>
      <c r="H18" s="373">
        <v>33.881</v>
      </c>
      <c r="I18" s="373">
        <v>40.747</v>
      </c>
      <c r="J18" s="373">
        <v>66.400000000000006</v>
      </c>
      <c r="K18" s="373">
        <v>52.3</v>
      </c>
      <c r="L18" s="21"/>
      <c r="M18" s="21"/>
    </row>
    <row r="19" spans="1:13" x14ac:dyDescent="0.2">
      <c r="A19" s="21"/>
      <c r="B19" s="21"/>
      <c r="C19" s="21"/>
      <c r="D19" s="291" t="s">
        <v>343</v>
      </c>
      <c r="E19" s="373">
        <v>0</v>
      </c>
      <c r="F19" s="373">
        <v>3.6379999999999999</v>
      </c>
      <c r="G19" s="373">
        <v>3.7850000000000001</v>
      </c>
      <c r="H19" s="373">
        <v>5.0759999999999996</v>
      </c>
      <c r="I19" s="373">
        <v>14.034000000000001</v>
      </c>
      <c r="J19" s="373">
        <v>19.100000000000001</v>
      </c>
      <c r="K19" s="373">
        <v>28</v>
      </c>
      <c r="L19" s="21"/>
      <c r="M19" s="21"/>
    </row>
    <row r="20" spans="1:13" x14ac:dyDescent="0.2">
      <c r="A20" s="21"/>
      <c r="B20" s="21"/>
      <c r="C20" s="21"/>
      <c r="D20" s="291" t="s">
        <v>344</v>
      </c>
      <c r="E20" s="373">
        <v>0</v>
      </c>
      <c r="F20" s="373">
        <v>0</v>
      </c>
      <c r="G20" s="373">
        <v>10.33</v>
      </c>
      <c r="H20" s="373">
        <v>15.234</v>
      </c>
      <c r="I20" s="373">
        <v>24.411999999999999</v>
      </c>
      <c r="J20" s="373">
        <v>0.3</v>
      </c>
      <c r="K20" s="373">
        <v>8.4</v>
      </c>
      <c r="L20" s="21"/>
      <c r="M20" s="21"/>
    </row>
    <row r="21" spans="1:13" x14ac:dyDescent="0.2">
      <c r="A21" s="21"/>
      <c r="B21" s="21"/>
      <c r="C21" s="21"/>
      <c r="D21" s="291" t="s">
        <v>345</v>
      </c>
      <c r="E21" s="373">
        <v>0.75</v>
      </c>
      <c r="F21" s="373">
        <v>3.6709999999999998</v>
      </c>
      <c r="G21" s="373">
        <v>5.6020000000000003</v>
      </c>
      <c r="H21" s="373">
        <v>5.0629999999999997</v>
      </c>
      <c r="I21" s="373">
        <v>4.0579999999999998</v>
      </c>
      <c r="J21" s="373">
        <v>0.1</v>
      </c>
      <c r="K21" s="373">
        <v>0.1</v>
      </c>
      <c r="L21" s="21"/>
      <c r="M21" s="21"/>
    </row>
    <row r="22" spans="1:13" x14ac:dyDescent="0.2">
      <c r="A22" s="21"/>
      <c r="B22" s="21"/>
      <c r="C22" s="21"/>
      <c r="D22" s="291" t="s">
        <v>301</v>
      </c>
      <c r="E22" s="373">
        <v>7.5999999999999998E-2</v>
      </c>
      <c r="F22" s="373">
        <v>14.865</v>
      </c>
      <c r="G22" s="373">
        <v>9.2040000000000006</v>
      </c>
      <c r="H22" s="373">
        <v>6.952</v>
      </c>
      <c r="I22" s="373">
        <v>3.3519999999999999</v>
      </c>
      <c r="J22" s="373">
        <v>17.899999999999999</v>
      </c>
      <c r="K22" s="373">
        <v>14.6</v>
      </c>
      <c r="L22" s="21"/>
      <c r="M22" s="21"/>
    </row>
    <row r="23" spans="1:13" x14ac:dyDescent="0.2">
      <c r="A23" s="21"/>
      <c r="B23" s="21"/>
      <c r="C23" s="21"/>
      <c r="D23" s="291" t="s">
        <v>346</v>
      </c>
      <c r="E23" s="373">
        <v>3.8220000000000001</v>
      </c>
      <c r="F23" s="373">
        <v>5.8419999999999996</v>
      </c>
      <c r="G23" s="373">
        <v>5.0759999999999996</v>
      </c>
      <c r="H23" s="373">
        <v>9.4570000000000007</v>
      </c>
      <c r="I23" s="373">
        <v>12.102</v>
      </c>
      <c r="J23" s="373">
        <v>13.2</v>
      </c>
      <c r="K23" s="373">
        <v>6.4</v>
      </c>
      <c r="L23" s="21"/>
      <c r="M23" s="21"/>
    </row>
    <row r="24" spans="1:13" s="292" customFormat="1" ht="35.25" customHeight="1" x14ac:dyDescent="0.25">
      <c r="A24" s="297"/>
      <c r="B24" s="297"/>
      <c r="C24" s="297"/>
      <c r="D24" s="307" t="s">
        <v>347</v>
      </c>
      <c r="E24" s="375">
        <f t="shared" ref="E24:J24" si="0">SUM(E9:E23)</f>
        <v>825.20600000000002</v>
      </c>
      <c r="F24" s="375">
        <f t="shared" si="0"/>
        <v>849.476</v>
      </c>
      <c r="G24" s="375">
        <f t="shared" si="0"/>
        <v>1060.0020000000002</v>
      </c>
      <c r="H24" s="375">
        <f t="shared" si="0"/>
        <v>1293.0150000000003</v>
      </c>
      <c r="I24" s="375">
        <f t="shared" si="0"/>
        <v>1628.6530000000005</v>
      </c>
      <c r="J24" s="375">
        <f t="shared" si="0"/>
        <v>2129.1</v>
      </c>
      <c r="K24" s="375">
        <f>SUM(K9:K23)</f>
        <v>1509.1999999999998</v>
      </c>
      <c r="L24" s="297"/>
      <c r="M24" s="297"/>
    </row>
    <row r="25" spans="1:13" ht="24.75" customHeight="1" x14ac:dyDescent="0.25">
      <c r="A25" s="21"/>
      <c r="B25" s="21"/>
      <c r="C25" s="21"/>
      <c r="D25" s="303" t="s">
        <v>135</v>
      </c>
      <c r="E25" s="373"/>
      <c r="F25" s="373"/>
      <c r="G25" s="373"/>
      <c r="H25" s="373"/>
      <c r="I25" s="373"/>
      <c r="J25" s="373"/>
      <c r="K25" s="373"/>
      <c r="L25" s="21"/>
      <c r="M25" s="21"/>
    </row>
    <row r="26" spans="1:13" x14ac:dyDescent="0.2">
      <c r="A26" s="21"/>
      <c r="B26" s="21"/>
      <c r="C26" s="21"/>
      <c r="D26" s="291" t="s">
        <v>23</v>
      </c>
      <c r="E26" s="373">
        <v>137.76</v>
      </c>
      <c r="F26" s="373">
        <v>145.19800000000001</v>
      </c>
      <c r="G26" s="373">
        <v>44.000999999999998</v>
      </c>
      <c r="H26" s="373">
        <v>101.678</v>
      </c>
      <c r="I26" s="373">
        <v>205.02699999999999</v>
      </c>
      <c r="J26" s="373">
        <v>543.70000000000005</v>
      </c>
      <c r="K26" s="373">
        <v>68.900000000000006</v>
      </c>
      <c r="L26" s="21"/>
      <c r="M26" s="21"/>
    </row>
    <row r="27" spans="1:13" x14ac:dyDescent="0.2">
      <c r="A27" s="21"/>
      <c r="B27" s="21"/>
      <c r="C27" s="21"/>
      <c r="D27" s="291" t="s">
        <v>349</v>
      </c>
      <c r="E27" s="373">
        <v>73.844999999999999</v>
      </c>
      <c r="F27" s="373">
        <v>0</v>
      </c>
      <c r="G27" s="373">
        <v>159.745</v>
      </c>
      <c r="H27" s="373">
        <v>264.685</v>
      </c>
      <c r="I27" s="373">
        <v>272.44499999999999</v>
      </c>
      <c r="J27" s="373">
        <v>406.1</v>
      </c>
      <c r="K27" s="373">
        <v>211.1</v>
      </c>
      <c r="L27" s="21"/>
      <c r="M27" s="21"/>
    </row>
    <row r="28" spans="1:13" x14ac:dyDescent="0.2">
      <c r="A28" s="21"/>
      <c r="B28" s="21"/>
      <c r="C28" s="21"/>
      <c r="D28" s="291" t="s">
        <v>350</v>
      </c>
      <c r="E28" s="373"/>
      <c r="F28" s="373"/>
      <c r="G28" s="373">
        <v>3.1560000000000001</v>
      </c>
      <c r="H28" s="373">
        <v>2.528</v>
      </c>
      <c r="I28" s="373">
        <v>1.6970000000000001</v>
      </c>
      <c r="J28" s="373">
        <v>0.3</v>
      </c>
      <c r="K28" s="373">
        <v>0</v>
      </c>
      <c r="L28" s="21"/>
      <c r="M28" s="21"/>
    </row>
    <row r="29" spans="1:13" x14ac:dyDescent="0.2">
      <c r="A29" s="21"/>
      <c r="B29" s="21"/>
      <c r="C29" s="21"/>
      <c r="D29" s="291" t="s">
        <v>351</v>
      </c>
      <c r="E29" s="373">
        <v>428.02800000000002</v>
      </c>
      <c r="F29" s="373">
        <v>543.14</v>
      </c>
      <c r="G29" s="373">
        <v>418.68799999999999</v>
      </c>
      <c r="H29" s="373">
        <v>464.02199999999999</v>
      </c>
      <c r="I29" s="373">
        <v>615.62199999999996</v>
      </c>
      <c r="J29" s="373">
        <v>631.79999999999995</v>
      </c>
      <c r="K29" s="373">
        <v>686.9</v>
      </c>
      <c r="L29" s="21"/>
      <c r="M29" s="21"/>
    </row>
    <row r="30" spans="1:13" x14ac:dyDescent="0.2">
      <c r="A30" s="21"/>
      <c r="B30" s="21"/>
      <c r="C30" s="21"/>
      <c r="D30" s="291" t="s">
        <v>352</v>
      </c>
      <c r="E30" s="373">
        <v>56.862000000000002</v>
      </c>
      <c r="F30" s="373">
        <v>81.102999999999994</v>
      </c>
      <c r="G30" s="373">
        <v>73.616</v>
      </c>
      <c r="H30" s="373">
        <v>66.971000000000004</v>
      </c>
      <c r="I30" s="373">
        <v>69.962999999999994</v>
      </c>
      <c r="J30" s="373">
        <v>101.5</v>
      </c>
      <c r="K30" s="373">
        <v>52.3</v>
      </c>
      <c r="L30" s="21"/>
      <c r="M30" s="21"/>
    </row>
    <row r="31" spans="1:13" x14ac:dyDescent="0.2">
      <c r="A31" s="21"/>
      <c r="B31" s="21"/>
      <c r="C31" s="21"/>
      <c r="D31" s="291" t="s">
        <v>353</v>
      </c>
      <c r="E31" s="373">
        <v>0</v>
      </c>
      <c r="F31" s="373">
        <v>0</v>
      </c>
      <c r="G31" s="373">
        <v>144.386</v>
      </c>
      <c r="H31" s="373">
        <v>153.42599999999999</v>
      </c>
      <c r="I31" s="373">
        <v>159.041</v>
      </c>
      <c r="J31" s="373">
        <v>67.7</v>
      </c>
      <c r="K31" s="373">
        <v>73.7</v>
      </c>
      <c r="L31" s="21"/>
      <c r="M31" s="21"/>
    </row>
    <row r="32" spans="1:13" ht="30" x14ac:dyDescent="0.2">
      <c r="A32" s="21"/>
      <c r="B32" s="21"/>
      <c r="C32" s="21"/>
      <c r="D32" s="291" t="s">
        <v>354</v>
      </c>
      <c r="E32" s="373">
        <v>0</v>
      </c>
      <c r="F32" s="373">
        <v>0</v>
      </c>
      <c r="G32" s="373">
        <v>8.5020000000000007</v>
      </c>
      <c r="H32" s="373">
        <v>6.06</v>
      </c>
      <c r="I32" s="373">
        <v>19.774999999999999</v>
      </c>
      <c r="J32" s="373">
        <v>0.3</v>
      </c>
      <c r="K32" s="373">
        <v>7.6</v>
      </c>
      <c r="L32" s="21"/>
      <c r="M32" s="21"/>
    </row>
    <row r="33" spans="1:13" x14ac:dyDescent="0.2">
      <c r="A33" s="21"/>
      <c r="B33" s="21"/>
      <c r="C33" s="21"/>
      <c r="D33" s="291" t="s">
        <v>355</v>
      </c>
      <c r="E33" s="373">
        <v>8.8999999999999996E-2</v>
      </c>
      <c r="F33" s="373">
        <v>3.9E-2</v>
      </c>
      <c r="G33" s="373">
        <v>0.224</v>
      </c>
      <c r="H33" s="373">
        <v>0.53100000000000003</v>
      </c>
      <c r="I33" s="373">
        <v>0.89400000000000002</v>
      </c>
      <c r="J33" s="373">
        <v>0.9</v>
      </c>
      <c r="K33" s="373">
        <v>1</v>
      </c>
      <c r="L33" s="21"/>
      <c r="M33" s="21"/>
    </row>
    <row r="34" spans="1:13" x14ac:dyDescent="0.2">
      <c r="A34" s="21"/>
      <c r="B34" s="21"/>
      <c r="C34" s="21"/>
      <c r="D34" s="291" t="s">
        <v>356</v>
      </c>
      <c r="E34" s="373">
        <v>1.631</v>
      </c>
      <c r="F34" s="373">
        <v>0.13500000000000001</v>
      </c>
      <c r="G34" s="373">
        <v>0.61299999999999999</v>
      </c>
      <c r="H34" s="373">
        <v>1.095</v>
      </c>
      <c r="I34" s="373">
        <v>1.093</v>
      </c>
      <c r="J34" s="373">
        <v>6.1</v>
      </c>
      <c r="K34" s="373">
        <v>1.7</v>
      </c>
      <c r="L34" s="21"/>
      <c r="M34" s="21"/>
    </row>
    <row r="35" spans="1:13" x14ac:dyDescent="0.2">
      <c r="A35" s="21"/>
      <c r="B35" s="21"/>
      <c r="C35" s="21"/>
      <c r="D35" s="291" t="s">
        <v>22</v>
      </c>
      <c r="E35" s="373">
        <v>6.9180000000000001</v>
      </c>
      <c r="F35" s="373">
        <v>8.7379999999999995</v>
      </c>
      <c r="G35" s="373">
        <v>8.3770000000000007</v>
      </c>
      <c r="H35" s="373">
        <v>8.5280000000000005</v>
      </c>
      <c r="I35" s="373">
        <v>30.579000000000001</v>
      </c>
      <c r="J35" s="373">
        <v>115.6</v>
      </c>
      <c r="K35" s="373">
        <v>73.8</v>
      </c>
      <c r="L35" s="21"/>
      <c r="M35" s="21"/>
    </row>
    <row r="36" spans="1:13" x14ac:dyDescent="0.2">
      <c r="A36" s="21"/>
      <c r="B36" s="21"/>
      <c r="C36" s="21"/>
      <c r="D36" s="291" t="s">
        <v>357</v>
      </c>
      <c r="E36" s="373">
        <v>35.345999999999997</v>
      </c>
      <c r="F36" s="373">
        <v>34.173000000000002</v>
      </c>
      <c r="G36" s="373">
        <v>35.820999999999998</v>
      </c>
      <c r="H36" s="373">
        <v>34.514000000000003</v>
      </c>
      <c r="I36" s="373">
        <v>36.448</v>
      </c>
      <c r="J36" s="373">
        <v>67.5</v>
      </c>
      <c r="K36" s="373">
        <v>138.4</v>
      </c>
      <c r="L36" s="21"/>
      <c r="M36" s="21"/>
    </row>
    <row r="37" spans="1:13" s="292" customFormat="1" ht="35.25" customHeight="1" x14ac:dyDescent="0.25">
      <c r="A37" s="297"/>
      <c r="B37" s="297"/>
      <c r="C37" s="297"/>
      <c r="D37" s="307" t="s">
        <v>358</v>
      </c>
      <c r="E37" s="375">
        <f t="shared" ref="E37:K37" si="1">SUM(E26:E36)</f>
        <v>740.47900000000004</v>
      </c>
      <c r="F37" s="375">
        <f t="shared" si="1"/>
        <v>812.52599999999984</v>
      </c>
      <c r="G37" s="375">
        <f t="shared" si="1"/>
        <v>897.12900000000002</v>
      </c>
      <c r="H37" s="375">
        <f t="shared" si="1"/>
        <v>1104.0379999999998</v>
      </c>
      <c r="I37" s="375">
        <f t="shared" si="1"/>
        <v>1412.5840000000001</v>
      </c>
      <c r="J37" s="375">
        <f t="shared" si="1"/>
        <v>1941.5</v>
      </c>
      <c r="K37" s="375">
        <f t="shared" si="1"/>
        <v>1315.3999999999999</v>
      </c>
      <c r="L37" s="297"/>
      <c r="M37" s="297"/>
    </row>
    <row r="38" spans="1:13" ht="23.25" customHeight="1" x14ac:dyDescent="0.25">
      <c r="A38" s="21"/>
      <c r="B38" s="21"/>
      <c r="C38" s="21"/>
      <c r="D38" s="303" t="s">
        <v>28</v>
      </c>
      <c r="E38" s="373"/>
      <c r="F38" s="373"/>
      <c r="G38" s="373"/>
      <c r="H38" s="373"/>
      <c r="I38" s="373"/>
      <c r="J38" s="373"/>
      <c r="K38" s="373"/>
      <c r="L38" s="21"/>
      <c r="M38" s="21"/>
    </row>
    <row r="39" spans="1:13" x14ac:dyDescent="0.2">
      <c r="A39" s="21"/>
      <c r="B39" s="21"/>
      <c r="C39" s="21"/>
      <c r="D39" s="291" t="s">
        <v>30</v>
      </c>
      <c r="E39" s="373">
        <v>18.312999999999999</v>
      </c>
      <c r="F39" s="373">
        <v>20.475999999999999</v>
      </c>
      <c r="G39" s="373">
        <v>29.651</v>
      </c>
      <c r="H39" s="373">
        <v>29.651</v>
      </c>
      <c r="I39" s="373">
        <v>29.651</v>
      </c>
      <c r="J39" s="373">
        <v>29.7</v>
      </c>
      <c r="K39" s="373">
        <v>29.7</v>
      </c>
      <c r="L39" s="21"/>
      <c r="M39" s="21"/>
    </row>
    <row r="40" spans="1:13" x14ac:dyDescent="0.2">
      <c r="A40" s="21"/>
      <c r="B40" s="21"/>
      <c r="C40" s="21"/>
      <c r="D40" s="291" t="s">
        <v>32</v>
      </c>
      <c r="E40" s="373">
        <v>34.090000000000003</v>
      </c>
      <c r="F40" s="373">
        <v>53.624000000000002</v>
      </c>
      <c r="G40" s="373">
        <v>146.44900000000001</v>
      </c>
      <c r="H40" s="373">
        <v>146.44900000000001</v>
      </c>
      <c r="I40" s="373">
        <v>146.44900000000001</v>
      </c>
      <c r="J40" s="373">
        <v>146.4</v>
      </c>
      <c r="K40" s="373">
        <v>146.4</v>
      </c>
      <c r="L40" s="21"/>
      <c r="M40" s="21"/>
    </row>
    <row r="41" spans="1:13" x14ac:dyDescent="0.2">
      <c r="A41" s="21"/>
      <c r="B41" s="21"/>
      <c r="C41" s="21"/>
      <c r="D41" s="291" t="s">
        <v>413</v>
      </c>
      <c r="E41" s="373"/>
      <c r="F41" s="373"/>
      <c r="G41" s="373"/>
      <c r="H41" s="376">
        <v>0</v>
      </c>
      <c r="I41" s="373">
        <v>-3.7000000000000002E-3</v>
      </c>
      <c r="J41" s="376">
        <v>0</v>
      </c>
      <c r="K41" s="376">
        <v>0</v>
      </c>
      <c r="L41" s="21"/>
      <c r="M41" s="21"/>
    </row>
    <row r="42" spans="1:13" ht="30" x14ac:dyDescent="0.2">
      <c r="A42" s="21"/>
      <c r="B42" s="21"/>
      <c r="C42" s="21"/>
      <c r="D42" s="291" t="s">
        <v>359</v>
      </c>
      <c r="E42" s="373">
        <v>6.4000000000000001E-2</v>
      </c>
      <c r="F42" s="373">
        <v>0.105</v>
      </c>
      <c r="G42" s="373">
        <v>0.14199999999999999</v>
      </c>
      <c r="H42" s="373">
        <v>1.615</v>
      </c>
      <c r="I42" s="373">
        <v>1.048</v>
      </c>
      <c r="J42" s="373">
        <v>-4.8</v>
      </c>
      <c r="K42" s="373">
        <v>-0.9</v>
      </c>
      <c r="L42" s="21"/>
      <c r="M42" s="21"/>
    </row>
    <row r="43" spans="1:13" x14ac:dyDescent="0.2">
      <c r="A43" s="21"/>
      <c r="B43" s="21"/>
      <c r="C43" s="21"/>
      <c r="D43" s="291" t="s">
        <v>360</v>
      </c>
      <c r="E43" s="373">
        <v>3.8820000000000001</v>
      </c>
      <c r="F43" s="373">
        <v>3.8820000000000001</v>
      </c>
      <c r="G43" s="373">
        <v>3.8820000000000001</v>
      </c>
      <c r="H43" s="373">
        <v>6.2380000000000004</v>
      </c>
      <c r="I43" s="373">
        <v>6.08</v>
      </c>
      <c r="J43" s="373">
        <v>5.8</v>
      </c>
      <c r="K43" s="373">
        <v>6.7</v>
      </c>
      <c r="L43" s="21"/>
      <c r="M43" s="21"/>
    </row>
    <row r="44" spans="1:13" x14ac:dyDescent="0.2">
      <c r="A44" s="21"/>
      <c r="B44" s="21"/>
      <c r="C44" s="21"/>
      <c r="D44" s="291" t="s">
        <v>361</v>
      </c>
      <c r="E44" s="373">
        <v>-3.9E-2</v>
      </c>
      <c r="F44" s="373">
        <v>1.2999999999999999E-2</v>
      </c>
      <c r="G44" s="373">
        <v>-0.52800000000000002</v>
      </c>
      <c r="H44" s="373">
        <v>-1.0999999999999999E-2</v>
      </c>
      <c r="I44" s="373">
        <v>-2.1999999999999999E-2</v>
      </c>
      <c r="J44" s="373">
        <v>-0.1</v>
      </c>
      <c r="K44" s="373">
        <v>0.1</v>
      </c>
      <c r="L44" s="21"/>
      <c r="M44" s="21"/>
    </row>
    <row r="45" spans="1:13" x14ac:dyDescent="0.2">
      <c r="A45" s="21"/>
      <c r="B45" s="21"/>
      <c r="C45" s="21"/>
      <c r="D45" s="291" t="s">
        <v>262</v>
      </c>
      <c r="E45" s="373">
        <v>28.172000000000001</v>
      </c>
      <c r="F45" s="373">
        <v>-41.576999999999998</v>
      </c>
      <c r="G45" s="373">
        <v>-16.951000000000001</v>
      </c>
      <c r="H45" s="373">
        <v>4.88</v>
      </c>
      <c r="I45" s="373">
        <v>32.161000000000001</v>
      </c>
      <c r="J45" s="373">
        <v>9.6</v>
      </c>
      <c r="K45" s="373">
        <v>10.8</v>
      </c>
      <c r="L45" s="21"/>
      <c r="M45" s="21"/>
    </row>
    <row r="46" spans="1:13" s="292" customFormat="1" ht="24" customHeight="1" x14ac:dyDescent="0.25">
      <c r="A46" s="297"/>
      <c r="B46" s="297"/>
      <c r="C46" s="297"/>
      <c r="D46" s="307" t="s">
        <v>362</v>
      </c>
      <c r="E46" s="377">
        <f t="shared" ref="E46:K46" si="2">SUM(E39:E45)</f>
        <v>84.481999999999999</v>
      </c>
      <c r="F46" s="377">
        <f t="shared" si="2"/>
        <v>36.52300000000001</v>
      </c>
      <c r="G46" s="377">
        <f t="shared" si="2"/>
        <v>162.64500000000004</v>
      </c>
      <c r="H46" s="377">
        <f t="shared" si="2"/>
        <v>188.82200000000003</v>
      </c>
      <c r="I46" s="377">
        <f t="shared" si="2"/>
        <v>215.36330000000004</v>
      </c>
      <c r="J46" s="377">
        <f t="shared" si="2"/>
        <v>186.6</v>
      </c>
      <c r="K46" s="377">
        <f t="shared" si="2"/>
        <v>192.79999999999998</v>
      </c>
      <c r="L46" s="297"/>
      <c r="M46" s="297"/>
    </row>
    <row r="47" spans="1:13" ht="20.25" customHeight="1" x14ac:dyDescent="0.2">
      <c r="A47" s="21"/>
      <c r="B47" s="21"/>
      <c r="C47" s="21"/>
      <c r="D47" s="308" t="s">
        <v>363</v>
      </c>
      <c r="E47" s="378">
        <v>0.245</v>
      </c>
      <c r="F47" s="378">
        <v>0.42899999999999999</v>
      </c>
      <c r="G47" s="378">
        <v>0.24299999999999999</v>
      </c>
      <c r="H47" s="378">
        <v>0.156</v>
      </c>
      <c r="I47" s="378">
        <v>0.70799999999999996</v>
      </c>
      <c r="J47" s="378">
        <v>1</v>
      </c>
      <c r="K47" s="378">
        <v>1</v>
      </c>
      <c r="L47" s="21"/>
      <c r="M47" s="21"/>
    </row>
    <row r="48" spans="1:13" s="292" customFormat="1" ht="24" customHeight="1" x14ac:dyDescent="0.25">
      <c r="A48" s="297"/>
      <c r="B48" s="297"/>
      <c r="C48" s="297"/>
      <c r="D48" s="307" t="s">
        <v>364</v>
      </c>
      <c r="E48" s="377">
        <f t="shared" ref="E48:J48" si="3">SUM(E46:E47)</f>
        <v>84.727000000000004</v>
      </c>
      <c r="F48" s="377">
        <f t="shared" si="3"/>
        <v>36.952000000000012</v>
      </c>
      <c r="G48" s="377">
        <f t="shared" si="3"/>
        <v>162.88800000000003</v>
      </c>
      <c r="H48" s="377">
        <f t="shared" si="3"/>
        <v>188.97800000000004</v>
      </c>
      <c r="I48" s="377">
        <f t="shared" si="3"/>
        <v>216.07130000000004</v>
      </c>
      <c r="J48" s="377">
        <f t="shared" si="3"/>
        <v>187.6</v>
      </c>
      <c r="K48" s="377">
        <f>SUM(K46:K47)</f>
        <v>193.79999999999998</v>
      </c>
      <c r="L48" s="297"/>
      <c r="M48" s="297"/>
    </row>
    <row r="49" spans="1:13" s="292" customFormat="1" ht="35.25" customHeight="1" x14ac:dyDescent="0.25">
      <c r="A49" s="297"/>
      <c r="B49" s="297"/>
      <c r="C49" s="297"/>
      <c r="D49" s="307" t="s">
        <v>365</v>
      </c>
      <c r="E49" s="375">
        <f t="shared" ref="E49:K49" si="4">E37+E48</f>
        <v>825.20600000000002</v>
      </c>
      <c r="F49" s="375">
        <f t="shared" si="4"/>
        <v>849.47799999999984</v>
      </c>
      <c r="G49" s="375">
        <f t="shared" si="4"/>
        <v>1060.0170000000001</v>
      </c>
      <c r="H49" s="375">
        <f t="shared" si="4"/>
        <v>1293.0159999999998</v>
      </c>
      <c r="I49" s="375">
        <f t="shared" si="4"/>
        <v>1628.6553000000001</v>
      </c>
      <c r="J49" s="375">
        <f t="shared" si="4"/>
        <v>2129.1</v>
      </c>
      <c r="K49" s="375">
        <f t="shared" si="4"/>
        <v>1509.1999999999998</v>
      </c>
      <c r="L49" s="297"/>
      <c r="M49" s="297"/>
    </row>
    <row r="50" spans="1:13" s="305" customFormat="1" ht="19.5" hidden="1" customHeight="1" outlineLevel="1" x14ac:dyDescent="0.25">
      <c r="A50" s="304"/>
      <c r="B50" s="304"/>
      <c r="C50" s="304"/>
      <c r="D50" s="309" t="s">
        <v>366</v>
      </c>
      <c r="E50" s="386">
        <f t="shared" ref="E50:J50" si="5">E24-E49</f>
        <v>0</v>
      </c>
      <c r="F50" s="386">
        <f t="shared" si="5"/>
        <v>-1.9999999998390194E-3</v>
      </c>
      <c r="G50" s="386">
        <f t="shared" si="5"/>
        <v>-1.4999999999872671E-2</v>
      </c>
      <c r="H50" s="386">
        <f t="shared" si="5"/>
        <v>-9.9999999952160579E-4</v>
      </c>
      <c r="I50" s="386">
        <f t="shared" si="5"/>
        <v>-2.2999999996500264E-3</v>
      </c>
      <c r="J50" s="386">
        <f t="shared" si="5"/>
        <v>0</v>
      </c>
      <c r="K50" s="386">
        <f>K24-K49</f>
        <v>0</v>
      </c>
      <c r="L50" s="304"/>
      <c r="M50" s="304"/>
    </row>
    <row r="51" spans="1:13" collapsed="1" x14ac:dyDescent="0.2">
      <c r="A51" s="21"/>
      <c r="B51" s="21"/>
      <c r="C51" s="21"/>
      <c r="D51" s="291"/>
      <c r="E51" s="387"/>
      <c r="F51" s="387"/>
      <c r="G51" s="387"/>
      <c r="H51" s="387"/>
      <c r="I51" s="387"/>
      <c r="J51" s="387"/>
      <c r="K51" s="387"/>
      <c r="L51" s="21"/>
      <c r="M51" s="21"/>
    </row>
    <row r="52" spans="1:13" x14ac:dyDescent="0.2">
      <c r="A52" s="21"/>
      <c r="B52" s="21"/>
      <c r="C52" s="21"/>
      <c r="D52" s="291"/>
      <c r="E52" s="387"/>
      <c r="F52" s="387"/>
      <c r="G52" s="387"/>
      <c r="H52" s="387"/>
      <c r="I52" s="387"/>
      <c r="J52" s="387"/>
      <c r="K52" s="387"/>
      <c r="L52" s="21"/>
      <c r="M52" s="21"/>
    </row>
    <row r="53" spans="1:13" x14ac:dyDescent="0.2">
      <c r="A53" s="21"/>
      <c r="B53" s="21"/>
      <c r="C53" s="21"/>
      <c r="D53" s="291"/>
      <c r="E53" s="387"/>
      <c r="F53" s="387"/>
      <c r="G53" s="387"/>
      <c r="H53" s="387"/>
      <c r="I53" s="387"/>
      <c r="J53" s="387"/>
      <c r="K53" s="387"/>
      <c r="L53" s="21"/>
      <c r="M53" s="21"/>
    </row>
    <row r="54" spans="1:13" ht="15.75" x14ac:dyDescent="0.25">
      <c r="A54" s="21"/>
      <c r="B54" s="21"/>
      <c r="C54" s="21"/>
      <c r="D54" s="316" t="s">
        <v>367</v>
      </c>
      <c r="E54" s="387" t="s">
        <v>368</v>
      </c>
      <c r="F54" s="387"/>
      <c r="G54" s="387"/>
      <c r="H54" s="387"/>
      <c r="I54" s="387"/>
      <c r="J54" s="387"/>
      <c r="K54" s="387"/>
      <c r="L54" s="21"/>
      <c r="M54" s="21"/>
    </row>
    <row r="55" spans="1:13" x14ac:dyDescent="0.2">
      <c r="A55" s="21"/>
      <c r="B55" s="21"/>
      <c r="C55" s="21"/>
      <c r="D55" s="306" t="s">
        <v>286</v>
      </c>
      <c r="E55" s="301">
        <f t="shared" ref="E55:J55" si="6">E7</f>
        <v>2009</v>
      </c>
      <c r="F55" s="301">
        <f t="shared" si="6"/>
        <v>2010</v>
      </c>
      <c r="G55" s="301">
        <f t="shared" si="6"/>
        <v>2011</v>
      </c>
      <c r="H55" s="301">
        <f t="shared" si="6"/>
        <v>2012</v>
      </c>
      <c r="I55" s="301">
        <f t="shared" si="6"/>
        <v>2013</v>
      </c>
      <c r="J55" s="301">
        <f t="shared" si="6"/>
        <v>2014</v>
      </c>
      <c r="K55" s="301">
        <f>K7</f>
        <v>2015</v>
      </c>
      <c r="L55" s="21"/>
      <c r="M55" s="21"/>
    </row>
    <row r="56" spans="1:13" ht="26.25" customHeight="1" x14ac:dyDescent="0.2">
      <c r="A56" s="21"/>
      <c r="B56" s="21"/>
      <c r="C56" s="21"/>
      <c r="D56" s="291" t="s">
        <v>35</v>
      </c>
      <c r="E56" s="379">
        <v>82.263999999999996</v>
      </c>
      <c r="F56" s="379">
        <v>77.192999999999998</v>
      </c>
      <c r="G56" s="379">
        <v>58.912999999999997</v>
      </c>
      <c r="H56" s="379">
        <v>90.147999999999996</v>
      </c>
      <c r="I56" s="379">
        <v>124.774</v>
      </c>
      <c r="J56" s="379">
        <v>166.8</v>
      </c>
      <c r="K56" s="379">
        <v>176.4</v>
      </c>
      <c r="L56" s="21"/>
      <c r="M56" s="21"/>
    </row>
    <row r="57" spans="1:13" x14ac:dyDescent="0.2">
      <c r="A57" s="21"/>
      <c r="B57" s="21"/>
      <c r="C57" s="21"/>
      <c r="D57" s="291" t="s">
        <v>369</v>
      </c>
      <c r="E57" s="379">
        <v>-50.988</v>
      </c>
      <c r="F57" s="379">
        <v>-37.569000000000003</v>
      </c>
      <c r="G57" s="379">
        <v>-35.094999999999999</v>
      </c>
      <c r="H57" s="379">
        <v>-50.622999999999998</v>
      </c>
      <c r="I57" s="379">
        <v>-64.599999999999994</v>
      </c>
      <c r="J57" s="379">
        <v>-104.4</v>
      </c>
      <c r="K57" s="379">
        <v>-130.4</v>
      </c>
      <c r="L57" s="21"/>
      <c r="M57" s="21"/>
    </row>
    <row r="58" spans="1:13" ht="15.75" x14ac:dyDescent="0.25">
      <c r="A58" s="21"/>
      <c r="B58" s="21"/>
      <c r="C58" s="21"/>
      <c r="D58" s="310" t="s">
        <v>370</v>
      </c>
      <c r="E58" s="380">
        <f t="shared" ref="E58:J58" si="7">SUM(E56:E57)</f>
        <v>31.275999999999996</v>
      </c>
      <c r="F58" s="380">
        <f t="shared" si="7"/>
        <v>39.623999999999995</v>
      </c>
      <c r="G58" s="380">
        <f t="shared" si="7"/>
        <v>23.817999999999998</v>
      </c>
      <c r="H58" s="380">
        <f t="shared" si="7"/>
        <v>39.524999999999999</v>
      </c>
      <c r="I58" s="380">
        <f t="shared" si="7"/>
        <v>60.174000000000007</v>
      </c>
      <c r="J58" s="380">
        <f t="shared" si="7"/>
        <v>62.400000000000006</v>
      </c>
      <c r="K58" s="380">
        <f>SUM(K56:K57)</f>
        <v>46</v>
      </c>
      <c r="L58" s="21"/>
      <c r="M58" s="21"/>
    </row>
    <row r="59" spans="1:13" ht="35.25" customHeight="1" x14ac:dyDescent="0.2">
      <c r="A59" s="21"/>
      <c r="B59" s="21"/>
      <c r="C59" s="21"/>
      <c r="D59" s="291" t="s">
        <v>371</v>
      </c>
      <c r="E59" s="379">
        <v>-30.751000000000001</v>
      </c>
      <c r="F59" s="379">
        <v>-105.51300000000001</v>
      </c>
      <c r="G59" s="379">
        <v>-120.73699999999999</v>
      </c>
      <c r="H59" s="379">
        <v>15.042999999999999</v>
      </c>
      <c r="I59" s="379">
        <v>7.125</v>
      </c>
      <c r="J59" s="379">
        <v>-37.6</v>
      </c>
      <c r="K59" s="379">
        <v>-35.5</v>
      </c>
      <c r="L59" s="21"/>
      <c r="M59" s="21"/>
    </row>
    <row r="60" spans="1:13" ht="36" customHeight="1" x14ac:dyDescent="0.25">
      <c r="A60" s="21"/>
      <c r="B60" s="21"/>
      <c r="C60" s="21"/>
      <c r="D60" s="303" t="s">
        <v>414</v>
      </c>
      <c r="E60" s="381">
        <f t="shared" ref="E60:J60" si="8">SUM(E58:E59)</f>
        <v>0.52499999999999503</v>
      </c>
      <c r="F60" s="381">
        <f t="shared" si="8"/>
        <v>-65.88900000000001</v>
      </c>
      <c r="G60" s="381">
        <f t="shared" si="8"/>
        <v>-96.918999999999997</v>
      </c>
      <c r="H60" s="381">
        <f t="shared" si="8"/>
        <v>54.567999999999998</v>
      </c>
      <c r="I60" s="381">
        <f t="shared" si="8"/>
        <v>67.299000000000007</v>
      </c>
      <c r="J60" s="381">
        <f t="shared" si="8"/>
        <v>24.800000000000004</v>
      </c>
      <c r="K60" s="381">
        <f>SUM(K58:K59)</f>
        <v>10.5</v>
      </c>
      <c r="L60" s="21"/>
      <c r="M60" s="21"/>
    </row>
    <row r="61" spans="1:13" ht="27" customHeight="1" x14ac:dyDescent="0.2">
      <c r="A61" s="21"/>
      <c r="B61" s="21"/>
      <c r="C61" s="21"/>
      <c r="D61" s="291" t="s">
        <v>372</v>
      </c>
      <c r="E61" s="379">
        <v>6.9660000000000002</v>
      </c>
      <c r="F61" s="379">
        <v>7.1349999999999998</v>
      </c>
      <c r="G61" s="379">
        <v>7.83</v>
      </c>
      <c r="H61" s="379">
        <v>8.2249999999999996</v>
      </c>
      <c r="I61" s="379">
        <v>10.4</v>
      </c>
      <c r="J61" s="379">
        <v>14.6</v>
      </c>
      <c r="K61" s="379">
        <v>17.5</v>
      </c>
      <c r="L61" s="21"/>
      <c r="M61" s="21"/>
    </row>
    <row r="62" spans="1:13" x14ac:dyDescent="0.2">
      <c r="A62" s="21"/>
      <c r="B62" s="21"/>
      <c r="C62" s="21"/>
      <c r="D62" s="314" t="s">
        <v>373</v>
      </c>
      <c r="E62" s="382">
        <v>-1.486</v>
      </c>
      <c r="F62" s="382">
        <v>-1.675</v>
      </c>
      <c r="G62" s="382">
        <v>-1.9419999999999999</v>
      </c>
      <c r="H62" s="382">
        <v>-1.9179999999999999</v>
      </c>
      <c r="I62" s="382">
        <v>-2.1</v>
      </c>
      <c r="J62" s="382">
        <v>-2.5</v>
      </c>
      <c r="K62" s="382">
        <v>-2.7</v>
      </c>
      <c r="L62" s="21"/>
      <c r="M62" s="21"/>
    </row>
    <row r="63" spans="1:13" ht="30" x14ac:dyDescent="0.2">
      <c r="A63" s="21"/>
      <c r="B63" s="21"/>
      <c r="C63" s="21"/>
      <c r="D63" s="291" t="s">
        <v>418</v>
      </c>
      <c r="E63" s="373"/>
      <c r="F63" s="373">
        <v>0</v>
      </c>
      <c r="G63" s="373">
        <v>-1.111</v>
      </c>
      <c r="H63" s="373">
        <v>-4.8760000000000003</v>
      </c>
      <c r="I63" s="373">
        <v>-3.8</v>
      </c>
      <c r="J63" s="373">
        <v>-0.3</v>
      </c>
      <c r="K63" s="373">
        <v>-1.5</v>
      </c>
      <c r="L63" s="21"/>
      <c r="M63" s="21"/>
    </row>
    <row r="64" spans="1:13" ht="30" x14ac:dyDescent="0.2">
      <c r="A64" s="21"/>
      <c r="B64" s="21"/>
      <c r="C64" s="21"/>
      <c r="D64" s="314" t="s">
        <v>374</v>
      </c>
      <c r="E64" s="382"/>
      <c r="F64" s="382">
        <v>1.1120000000000001</v>
      </c>
      <c r="G64" s="382">
        <v>152.00200000000001</v>
      </c>
      <c r="H64" s="382">
        <v>-0.83699999999999997</v>
      </c>
      <c r="I64" s="382">
        <v>0</v>
      </c>
      <c r="J64" s="382">
        <v>99.1</v>
      </c>
      <c r="K64" s="382">
        <v>-0.6</v>
      </c>
      <c r="L64" s="21"/>
      <c r="M64" s="21"/>
    </row>
    <row r="65" spans="1:13" ht="30" x14ac:dyDescent="0.2">
      <c r="A65" s="21"/>
      <c r="B65" s="21"/>
      <c r="C65" s="21"/>
      <c r="D65" s="291" t="s">
        <v>375</v>
      </c>
      <c r="E65" s="373">
        <f>9.595-1.141</f>
        <v>8.4540000000000006</v>
      </c>
      <c r="F65" s="373">
        <v>3.7930000000000001</v>
      </c>
      <c r="G65" s="373">
        <v>4.8000000000000001E-2</v>
      </c>
      <c r="H65" s="373">
        <v>1.5580000000000001</v>
      </c>
      <c r="I65" s="373">
        <v>0.1</v>
      </c>
      <c r="J65" s="373">
        <v>6.5</v>
      </c>
      <c r="K65" s="373">
        <v>0.3</v>
      </c>
      <c r="L65" s="21"/>
      <c r="M65" s="21"/>
    </row>
    <row r="66" spans="1:13" ht="30" x14ac:dyDescent="0.2">
      <c r="A66" s="21"/>
      <c r="B66" s="21"/>
      <c r="C66" s="21"/>
      <c r="D66" s="314" t="s">
        <v>376</v>
      </c>
      <c r="E66" s="382">
        <v>0.93500000000000005</v>
      </c>
      <c r="F66" s="382">
        <v>-5.0170000000000003</v>
      </c>
      <c r="G66" s="382" t="s">
        <v>74</v>
      </c>
      <c r="H66" s="382">
        <v>0.95399999999999996</v>
      </c>
      <c r="I66" s="382">
        <v>1</v>
      </c>
      <c r="J66" s="382">
        <v>0.1</v>
      </c>
      <c r="K66" s="382">
        <v>0</v>
      </c>
      <c r="L66" s="21"/>
      <c r="M66" s="21"/>
    </row>
    <row r="67" spans="1:13" ht="36.75" customHeight="1" x14ac:dyDescent="0.2">
      <c r="A67" s="315" t="s">
        <v>76</v>
      </c>
      <c r="B67" s="315"/>
      <c r="C67" s="21"/>
      <c r="D67" s="291" t="s">
        <v>417</v>
      </c>
      <c r="E67" s="373">
        <v>-0.23300000000000001</v>
      </c>
      <c r="F67" s="373"/>
      <c r="G67" s="373">
        <v>-10.565</v>
      </c>
      <c r="H67" s="373">
        <v>-1.321</v>
      </c>
      <c r="I67" s="373">
        <v>-1.3</v>
      </c>
      <c r="J67" s="373">
        <v>0</v>
      </c>
      <c r="K67" s="373">
        <v>0</v>
      </c>
      <c r="L67" s="21"/>
      <c r="M67" s="21"/>
    </row>
    <row r="68" spans="1:13" ht="30" x14ac:dyDescent="0.2">
      <c r="A68" s="21"/>
      <c r="B68" s="21"/>
      <c r="C68" s="21"/>
      <c r="D68" s="314" t="s">
        <v>377</v>
      </c>
      <c r="E68" s="382">
        <v>0.63800000000000001</v>
      </c>
      <c r="F68" s="382">
        <v>2.2549999999999999</v>
      </c>
      <c r="G68" s="382">
        <v>5.883</v>
      </c>
      <c r="H68" s="382">
        <v>9.67</v>
      </c>
      <c r="I68" s="382">
        <v>-0.2</v>
      </c>
      <c r="J68" s="382">
        <v>4.9000000000000004</v>
      </c>
      <c r="K68" s="382">
        <v>6.5</v>
      </c>
      <c r="L68" s="21"/>
      <c r="M68" s="21"/>
    </row>
    <row r="69" spans="1:13" x14ac:dyDescent="0.2">
      <c r="A69" s="21"/>
      <c r="B69" s="21"/>
      <c r="C69" s="21"/>
      <c r="D69" s="291" t="s">
        <v>378</v>
      </c>
      <c r="E69" s="373">
        <v>-0.497</v>
      </c>
      <c r="F69" s="373">
        <v>-2.1960000000000002</v>
      </c>
      <c r="G69" s="373">
        <v>-2.6349999999999998</v>
      </c>
      <c r="H69" s="373">
        <v>-5.5270000000000001</v>
      </c>
      <c r="I69" s="373">
        <v>2.2000000000000002</v>
      </c>
      <c r="J69" s="373">
        <v>-15.5</v>
      </c>
      <c r="K69" s="373">
        <v>-19.600000000000001</v>
      </c>
      <c r="L69" s="21"/>
      <c r="M69" s="21"/>
    </row>
    <row r="70" spans="1:13" ht="30" x14ac:dyDescent="0.2">
      <c r="A70" s="21"/>
      <c r="B70" s="21"/>
      <c r="C70" s="21"/>
      <c r="D70" s="314" t="s">
        <v>379</v>
      </c>
      <c r="E70" s="382"/>
      <c r="F70" s="382"/>
      <c r="G70" s="382"/>
      <c r="H70" s="382">
        <v>-1.179</v>
      </c>
      <c r="I70" s="382">
        <v>0.5</v>
      </c>
      <c r="J70" s="382">
        <v>1.4</v>
      </c>
      <c r="K70" s="382">
        <v>0.9</v>
      </c>
      <c r="L70" s="21"/>
      <c r="M70" s="21"/>
    </row>
    <row r="71" spans="1:13" ht="30" x14ac:dyDescent="0.2">
      <c r="A71" s="21"/>
      <c r="B71" s="21"/>
      <c r="C71" s="21"/>
      <c r="D71" s="291" t="s">
        <v>380</v>
      </c>
      <c r="E71" s="373">
        <f>-0.6-0.004-0.205</f>
        <v>-0.80899999999999994</v>
      </c>
      <c r="F71" s="373">
        <v>-2.9889999999999999</v>
      </c>
      <c r="G71" s="373">
        <v>-1.1140000000000001</v>
      </c>
      <c r="H71" s="373">
        <v>-0.84499999999999997</v>
      </c>
      <c r="I71" s="373">
        <v>-0.4</v>
      </c>
      <c r="J71" s="373">
        <v>-88.2</v>
      </c>
      <c r="K71" s="373">
        <v>28.2</v>
      </c>
      <c r="L71" s="21"/>
      <c r="M71" s="21"/>
    </row>
    <row r="72" spans="1:13" ht="18.75" customHeight="1" x14ac:dyDescent="0.2">
      <c r="A72" s="21"/>
      <c r="B72" s="21"/>
      <c r="C72" s="21"/>
      <c r="D72" s="314" t="s">
        <v>381</v>
      </c>
      <c r="E72" s="382"/>
      <c r="F72" s="382"/>
      <c r="G72" s="382"/>
      <c r="H72" s="382"/>
      <c r="I72" s="382">
        <v>0</v>
      </c>
      <c r="J72" s="382">
        <v>9.3000000000000007</v>
      </c>
      <c r="K72" s="382">
        <v>7.1</v>
      </c>
      <c r="L72" s="21"/>
      <c r="M72" s="21"/>
    </row>
    <row r="73" spans="1:13" ht="30" x14ac:dyDescent="0.2">
      <c r="A73" s="21"/>
      <c r="B73" s="21"/>
      <c r="C73" s="21"/>
      <c r="D73" s="291" t="s">
        <v>382</v>
      </c>
      <c r="E73" s="373"/>
      <c r="F73" s="373"/>
      <c r="G73" s="373"/>
      <c r="H73" s="373"/>
      <c r="I73" s="373">
        <v>0</v>
      </c>
      <c r="J73" s="373">
        <v>-9.8000000000000007</v>
      </c>
      <c r="K73" s="373">
        <v>-8</v>
      </c>
      <c r="L73" s="21"/>
      <c r="M73" s="21"/>
    </row>
    <row r="74" spans="1:13" x14ac:dyDescent="0.2">
      <c r="A74" s="21"/>
      <c r="B74" s="21"/>
      <c r="C74" s="21"/>
      <c r="D74" s="314" t="s">
        <v>383</v>
      </c>
      <c r="E74" s="382"/>
      <c r="F74" s="382"/>
      <c r="G74" s="2194">
        <v>-0.23300000000000001</v>
      </c>
      <c r="H74" s="382">
        <v>7.5179999999999998</v>
      </c>
      <c r="I74" s="382">
        <v>8.6999999999999993</v>
      </c>
      <c r="J74" s="382">
        <v>10.199999999999999</v>
      </c>
      <c r="K74" s="382">
        <v>11.3</v>
      </c>
      <c r="L74" s="21"/>
      <c r="M74" s="21"/>
    </row>
    <row r="75" spans="1:13" x14ac:dyDescent="0.2">
      <c r="A75" s="21"/>
      <c r="B75" s="21"/>
      <c r="C75" s="21"/>
      <c r="D75" s="291" t="s">
        <v>384</v>
      </c>
      <c r="E75" s="373"/>
      <c r="F75" s="373"/>
      <c r="G75" s="2195"/>
      <c r="H75" s="373">
        <v>-7.742</v>
      </c>
      <c r="I75" s="373">
        <v>-11</v>
      </c>
      <c r="J75" s="373">
        <v>-12.5</v>
      </c>
      <c r="K75" s="373">
        <v>-13.3</v>
      </c>
      <c r="L75" s="21"/>
      <c r="M75" s="21"/>
    </row>
    <row r="76" spans="1:13" x14ac:dyDescent="0.2">
      <c r="A76" s="21"/>
      <c r="B76" s="21"/>
      <c r="C76" s="21"/>
      <c r="D76" s="314" t="s">
        <v>385</v>
      </c>
      <c r="E76" s="382">
        <f>0.019+1.856</f>
        <v>1.875</v>
      </c>
      <c r="F76" s="382">
        <v>1.903</v>
      </c>
      <c r="G76" s="382">
        <v>0.59199999999999997</v>
      </c>
      <c r="H76" s="382">
        <v>1.6579999999999999</v>
      </c>
      <c r="I76" s="382">
        <v>0.9</v>
      </c>
      <c r="J76" s="382">
        <v>1.6</v>
      </c>
      <c r="K76" s="382">
        <v>0.7</v>
      </c>
      <c r="L76" s="21"/>
      <c r="M76" s="21"/>
    </row>
    <row r="77" spans="1:13" ht="30" x14ac:dyDescent="0.2">
      <c r="A77" s="21"/>
      <c r="B77" s="21"/>
      <c r="C77" s="21"/>
      <c r="D77" s="291" t="s">
        <v>386</v>
      </c>
      <c r="E77" s="373">
        <v>0</v>
      </c>
      <c r="F77" s="373">
        <v>0</v>
      </c>
      <c r="G77" s="373">
        <v>0</v>
      </c>
      <c r="H77" s="373">
        <v>0</v>
      </c>
      <c r="I77" s="373">
        <v>0</v>
      </c>
      <c r="J77" s="373">
        <v>0</v>
      </c>
      <c r="K77" s="373">
        <v>-0.5</v>
      </c>
      <c r="L77" s="21"/>
      <c r="M77" s="21"/>
    </row>
    <row r="78" spans="1:13" ht="29.25" customHeight="1" x14ac:dyDescent="0.2">
      <c r="A78" s="21"/>
      <c r="B78" s="21"/>
      <c r="C78" s="21"/>
      <c r="D78" s="311" t="s">
        <v>387</v>
      </c>
      <c r="E78" s="383">
        <f t="shared" ref="E78:K78" si="9">SUM(E61:E77)</f>
        <v>15.843000000000002</v>
      </c>
      <c r="F78" s="383">
        <f t="shared" si="9"/>
        <v>4.3209999999999997</v>
      </c>
      <c r="G78" s="383">
        <f t="shared" si="9"/>
        <v>148.75500000000002</v>
      </c>
      <c r="H78" s="383">
        <f t="shared" si="9"/>
        <v>5.3379999999999974</v>
      </c>
      <c r="I78" s="383">
        <f t="shared" si="9"/>
        <v>5</v>
      </c>
      <c r="J78" s="383">
        <f t="shared" si="9"/>
        <v>18.899999999999995</v>
      </c>
      <c r="K78" s="383">
        <f t="shared" si="9"/>
        <v>26.29999999999999</v>
      </c>
      <c r="L78" s="21"/>
      <c r="M78" s="21"/>
    </row>
    <row r="79" spans="1:13" ht="34.5" customHeight="1" x14ac:dyDescent="0.2">
      <c r="A79" s="21"/>
      <c r="B79" s="21"/>
      <c r="C79" s="21"/>
      <c r="D79" s="312" t="s">
        <v>388</v>
      </c>
      <c r="E79" s="380">
        <f t="shared" ref="E79:K79" si="10">E60+E78</f>
        <v>16.367999999999995</v>
      </c>
      <c r="F79" s="380">
        <f t="shared" si="10"/>
        <v>-61.568000000000012</v>
      </c>
      <c r="G79" s="380">
        <f t="shared" si="10"/>
        <v>51.836000000000027</v>
      </c>
      <c r="H79" s="380">
        <f t="shared" si="10"/>
        <v>59.905999999999992</v>
      </c>
      <c r="I79" s="380">
        <f t="shared" si="10"/>
        <v>72.299000000000007</v>
      </c>
      <c r="J79" s="380">
        <f t="shared" si="10"/>
        <v>43.7</v>
      </c>
      <c r="K79" s="380">
        <f t="shared" si="10"/>
        <v>36.79999999999999</v>
      </c>
      <c r="L79" s="21"/>
      <c r="M79" s="21"/>
    </row>
    <row r="80" spans="1:13" x14ac:dyDescent="0.2">
      <c r="A80" s="21"/>
      <c r="B80" s="21"/>
      <c r="C80" s="21"/>
      <c r="D80" s="291" t="s">
        <v>389</v>
      </c>
      <c r="E80" s="2196">
        <f>-14.317-0.633</f>
        <v>-14.95</v>
      </c>
      <c r="F80" s="373">
        <v>-8.3520000000000003</v>
      </c>
      <c r="G80" s="373">
        <v>-9.2040000000000006</v>
      </c>
      <c r="H80" s="373">
        <v>-10.239000000000001</v>
      </c>
      <c r="I80" s="373">
        <v>-12.1</v>
      </c>
      <c r="J80" s="373">
        <v>-13.5</v>
      </c>
      <c r="K80" s="373">
        <v>-15.4</v>
      </c>
      <c r="L80" s="21"/>
      <c r="M80" s="21"/>
    </row>
    <row r="81" spans="1:13" x14ac:dyDescent="0.2">
      <c r="A81" s="21"/>
      <c r="B81" s="21"/>
      <c r="C81" s="21"/>
      <c r="D81" s="291" t="s">
        <v>390</v>
      </c>
      <c r="E81" s="2197"/>
      <c r="F81" s="373">
        <v>-9.4990000000000006</v>
      </c>
      <c r="G81" s="373">
        <v>-9.8070000000000004</v>
      </c>
      <c r="H81" s="373">
        <v>-13.667</v>
      </c>
      <c r="I81" s="373">
        <v>-18.399999999999999</v>
      </c>
      <c r="J81" s="373">
        <v>-22.3</v>
      </c>
      <c r="K81" s="373">
        <v>-19.600000000000001</v>
      </c>
      <c r="L81" s="21"/>
      <c r="M81" s="21"/>
    </row>
    <row r="82" spans="1:13" x14ac:dyDescent="0.2">
      <c r="A82" s="21"/>
      <c r="B82" s="21"/>
      <c r="C82" s="21"/>
      <c r="D82" s="291" t="s">
        <v>391</v>
      </c>
      <c r="E82" s="373">
        <v>-0.129</v>
      </c>
      <c r="F82" s="373">
        <v>-3.0910000000000002</v>
      </c>
      <c r="G82" s="373">
        <v>-0.75700000000000001</v>
      </c>
      <c r="H82" s="373">
        <v>-0.82899999999999996</v>
      </c>
      <c r="I82" s="373">
        <v>0.2</v>
      </c>
      <c r="J82" s="373">
        <v>0.1</v>
      </c>
      <c r="K82" s="373">
        <v>0.1</v>
      </c>
      <c r="L82" s="21"/>
      <c r="M82" s="21"/>
    </row>
    <row r="83" spans="1:13" ht="30" x14ac:dyDescent="0.2">
      <c r="A83" s="21"/>
      <c r="B83" s="21"/>
      <c r="C83" s="21"/>
      <c r="D83" s="291" t="s">
        <v>392</v>
      </c>
      <c r="E83" s="373">
        <f>-0.001-0.031</f>
        <v>-3.2000000000000001E-2</v>
      </c>
      <c r="F83" s="373">
        <v>-2.7559999999999998</v>
      </c>
      <c r="G83" s="373">
        <v>0.30599999999999999</v>
      </c>
      <c r="H83" s="373">
        <v>-4.0000000000000001E-3</v>
      </c>
      <c r="I83" s="373">
        <v>3.1</v>
      </c>
      <c r="J83" s="373">
        <v>-6.9</v>
      </c>
      <c r="K83" s="373">
        <v>0.1</v>
      </c>
      <c r="L83" s="21"/>
      <c r="M83" s="21"/>
    </row>
    <row r="84" spans="1:13" x14ac:dyDescent="0.2">
      <c r="A84" s="21"/>
      <c r="B84" s="21"/>
      <c r="C84" s="21"/>
      <c r="D84" s="291" t="s">
        <v>393</v>
      </c>
      <c r="E84" s="373">
        <v>0</v>
      </c>
      <c r="F84" s="373">
        <v>0</v>
      </c>
      <c r="G84" s="373">
        <v>-0.95199999999999996</v>
      </c>
      <c r="H84" s="373">
        <v>-0.28000000000000003</v>
      </c>
      <c r="I84" s="373">
        <v>-0.2</v>
      </c>
      <c r="J84" s="373">
        <v>-0.2</v>
      </c>
      <c r="K84" s="373">
        <v>0</v>
      </c>
      <c r="L84" s="21"/>
      <c r="M84" s="21"/>
    </row>
    <row r="85" spans="1:13" ht="29.25" customHeight="1" x14ac:dyDescent="0.25">
      <c r="A85" s="21"/>
      <c r="B85" s="21"/>
      <c r="C85" s="21"/>
      <c r="D85" s="312" t="s">
        <v>37</v>
      </c>
      <c r="E85" s="380">
        <f t="shared" ref="E85:J85" si="11">SUM(E79:E84)</f>
        <v>1.2569999999999957</v>
      </c>
      <c r="F85" s="380">
        <f t="shared" si="11"/>
        <v>-85.266000000000005</v>
      </c>
      <c r="G85" s="380">
        <f t="shared" si="11"/>
        <v>31.422000000000025</v>
      </c>
      <c r="H85" s="380">
        <f t="shared" si="11"/>
        <v>34.886999999999986</v>
      </c>
      <c r="I85" s="380">
        <f t="shared" si="11"/>
        <v>44.899000000000008</v>
      </c>
      <c r="J85" s="380">
        <f t="shared" si="11"/>
        <v>0.90000000000000147</v>
      </c>
      <c r="K85" s="380">
        <f>SUM(K79:K84)</f>
        <v>1.9999999999999902</v>
      </c>
      <c r="L85" s="11"/>
      <c r="M85" s="21"/>
    </row>
    <row r="86" spans="1:13" x14ac:dyDescent="0.2">
      <c r="A86" s="21"/>
      <c r="B86" s="21"/>
      <c r="C86" s="21"/>
      <c r="D86" s="313" t="s">
        <v>394</v>
      </c>
      <c r="E86" s="384">
        <v>-0.53500000000000003</v>
      </c>
      <c r="F86" s="384">
        <v>15.523999999999999</v>
      </c>
      <c r="G86" s="384">
        <v>-6.8049999999999997</v>
      </c>
      <c r="H86" s="384">
        <v>-6.5679999999999996</v>
      </c>
      <c r="I86" s="384">
        <v>-7.6</v>
      </c>
      <c r="J86" s="384">
        <v>0.3</v>
      </c>
      <c r="K86" s="384">
        <v>-0.3</v>
      </c>
      <c r="L86" s="21"/>
      <c r="M86" s="21"/>
    </row>
    <row r="87" spans="1:13" s="292" customFormat="1" ht="32.25" customHeight="1" x14ac:dyDescent="0.25">
      <c r="A87" s="297"/>
      <c r="B87" s="297"/>
      <c r="C87" s="297"/>
      <c r="D87" s="307" t="s">
        <v>395</v>
      </c>
      <c r="E87" s="374">
        <f t="shared" ref="E87:K87" si="12">SUM(E85:E86)</f>
        <v>0.72199999999999565</v>
      </c>
      <c r="F87" s="374">
        <f t="shared" si="12"/>
        <v>-69.742000000000004</v>
      </c>
      <c r="G87" s="374">
        <f t="shared" si="12"/>
        <v>24.617000000000026</v>
      </c>
      <c r="H87" s="374">
        <f t="shared" si="12"/>
        <v>28.318999999999988</v>
      </c>
      <c r="I87" s="374">
        <f t="shared" si="12"/>
        <v>37.299000000000007</v>
      </c>
      <c r="J87" s="374">
        <f t="shared" si="12"/>
        <v>1.2000000000000015</v>
      </c>
      <c r="K87" s="374">
        <f t="shared" si="12"/>
        <v>1.6999999999999902</v>
      </c>
      <c r="L87" s="297"/>
      <c r="M87" s="297"/>
    </row>
    <row r="88" spans="1:13" ht="48" customHeight="1" x14ac:dyDescent="0.2">
      <c r="A88" s="21"/>
      <c r="B88" s="21"/>
      <c r="C88" s="21"/>
      <c r="D88" s="291" t="s">
        <v>396</v>
      </c>
      <c r="E88" s="379"/>
      <c r="F88" s="379"/>
      <c r="G88" s="379"/>
      <c r="H88" s="379"/>
      <c r="I88" s="379">
        <v>0.4</v>
      </c>
      <c r="J88" s="379">
        <v>1.2</v>
      </c>
      <c r="K88" s="379">
        <v>-0.5</v>
      </c>
      <c r="L88" s="21"/>
      <c r="M88" s="21"/>
    </row>
    <row r="89" spans="1:13" s="292" customFormat="1" ht="32.25" customHeight="1" x14ac:dyDescent="0.25">
      <c r="A89" s="297"/>
      <c r="B89" s="297"/>
      <c r="C89" s="297"/>
      <c r="D89" s="307" t="s">
        <v>152</v>
      </c>
      <c r="E89" s="374">
        <f t="shared" ref="E89:J89" si="13">SUM(E87:E88)</f>
        <v>0.72199999999999565</v>
      </c>
      <c r="F89" s="374">
        <f t="shared" si="13"/>
        <v>-69.742000000000004</v>
      </c>
      <c r="G89" s="374">
        <f t="shared" si="13"/>
        <v>24.617000000000026</v>
      </c>
      <c r="H89" s="374">
        <f t="shared" si="13"/>
        <v>28.318999999999988</v>
      </c>
      <c r="I89" s="374">
        <f t="shared" si="13"/>
        <v>37.699000000000005</v>
      </c>
      <c r="J89" s="374">
        <f t="shared" si="13"/>
        <v>2.4000000000000012</v>
      </c>
      <c r="K89" s="374">
        <f>SUM(K87:K88)</f>
        <v>1.1999999999999902</v>
      </c>
      <c r="L89" s="297"/>
      <c r="M89" s="297"/>
    </row>
    <row r="90" spans="1:13" x14ac:dyDescent="0.2">
      <c r="A90" s="21"/>
      <c r="B90" s="21"/>
      <c r="C90" s="21"/>
      <c r="D90" s="291" t="s">
        <v>397</v>
      </c>
      <c r="E90" s="373"/>
      <c r="F90" s="373"/>
      <c r="G90" s="373"/>
      <c r="H90" s="373"/>
      <c r="I90" s="373"/>
      <c r="J90" s="373"/>
      <c r="K90" s="373"/>
      <c r="L90" s="21"/>
      <c r="M90" s="21"/>
    </row>
    <row r="91" spans="1:13" x14ac:dyDescent="0.2">
      <c r="A91" s="21"/>
      <c r="B91" s="21"/>
      <c r="C91" s="21" t="s">
        <v>74</v>
      </c>
      <c r="D91" s="291" t="s">
        <v>398</v>
      </c>
      <c r="E91" s="373"/>
      <c r="F91" s="373">
        <v>-69.75</v>
      </c>
      <c r="G91" s="373">
        <v>24.6128</v>
      </c>
      <c r="H91" s="373">
        <v>28.382999999999999</v>
      </c>
      <c r="I91" s="373">
        <v>37.799999999999997</v>
      </c>
      <c r="J91" s="373">
        <v>2.2999999999999998</v>
      </c>
      <c r="K91" s="373">
        <v>1.2</v>
      </c>
      <c r="L91" s="21"/>
      <c r="M91" s="21"/>
    </row>
    <row r="92" spans="1:13" x14ac:dyDescent="0.2">
      <c r="A92" s="21"/>
      <c r="B92" s="21"/>
      <c r="C92" s="21" t="s">
        <v>74</v>
      </c>
      <c r="D92" s="291" t="s">
        <v>363</v>
      </c>
      <c r="E92" s="373"/>
      <c r="F92" s="373">
        <v>8.0000000000000002E-3</v>
      </c>
      <c r="G92" s="373">
        <v>3.7000000000000002E-3</v>
      </c>
      <c r="H92" s="373">
        <v>-6.4000000000000001E-2</v>
      </c>
      <c r="I92" s="373">
        <v>-0.1</v>
      </c>
      <c r="J92" s="373">
        <v>0.1</v>
      </c>
      <c r="K92" s="373">
        <v>0</v>
      </c>
      <c r="L92" s="21"/>
      <c r="M92" s="21"/>
    </row>
    <row r="93" spans="1:13" ht="44.25" customHeight="1" x14ac:dyDescent="0.2">
      <c r="A93" s="21"/>
      <c r="B93" s="21"/>
      <c r="C93" s="21"/>
      <c r="D93" s="298" t="s">
        <v>399</v>
      </c>
      <c r="E93" s="385">
        <v>4.8099999999999996</v>
      </c>
      <c r="F93" s="385">
        <v>-411.4</v>
      </c>
      <c r="G93" s="385">
        <v>136.19999999999999</v>
      </c>
      <c r="H93" s="385">
        <v>104.5</v>
      </c>
      <c r="I93" s="385">
        <v>138.69999999999999</v>
      </c>
      <c r="J93" s="385">
        <v>8.5</v>
      </c>
      <c r="K93" s="385">
        <v>4.4000000000000004</v>
      </c>
      <c r="L93" s="21"/>
      <c r="M93" s="21"/>
    </row>
    <row r="94" spans="1:13" ht="72.75" customHeight="1" x14ac:dyDescent="0.2">
      <c r="A94" s="21"/>
      <c r="B94" s="21"/>
      <c r="C94" s="21"/>
      <c r="D94" s="298" t="s">
        <v>400</v>
      </c>
      <c r="E94" s="385"/>
      <c r="F94" s="385"/>
      <c r="G94" s="385"/>
      <c r="H94" s="385"/>
      <c r="I94" s="385">
        <v>137.30000000000001</v>
      </c>
      <c r="J94" s="385">
        <v>4.0999999999999996</v>
      </c>
      <c r="K94" s="385">
        <v>6.3</v>
      </c>
      <c r="L94" s="21"/>
      <c r="M94" s="21"/>
    </row>
    <row r="95" spans="1:13" ht="15.75" outlineLevel="1" x14ac:dyDescent="0.25">
      <c r="A95" s="21"/>
      <c r="B95" s="21"/>
      <c r="C95" s="21"/>
      <c r="D95" s="309" t="s">
        <v>415</v>
      </c>
      <c r="E95" s="386">
        <f t="shared" ref="E95:J95" si="14">E89-SUM(E91:E92)</f>
        <v>0.72199999999999565</v>
      </c>
      <c r="F95" s="386">
        <f t="shared" si="14"/>
        <v>0</v>
      </c>
      <c r="G95" s="386">
        <f t="shared" si="14"/>
        <v>5.0000000002725642E-4</v>
      </c>
      <c r="H95" s="386">
        <f t="shared" si="14"/>
        <v>0</v>
      </c>
      <c r="I95" s="386">
        <f t="shared" si="14"/>
        <v>-9.9999999999056399E-4</v>
      </c>
      <c r="J95" s="386">
        <f t="shared" si="14"/>
        <v>0</v>
      </c>
      <c r="K95" s="386">
        <f>K89-SUM(K91:K92)</f>
        <v>-9.7699626167013776E-15</v>
      </c>
      <c r="L95" s="21"/>
      <c r="M95" s="21"/>
    </row>
    <row r="96" spans="1:13" x14ac:dyDescent="0.2">
      <c r="A96" s="21"/>
      <c r="B96" s="21"/>
      <c r="C96" s="21"/>
      <c r="D96" s="291"/>
      <c r="E96" s="387"/>
      <c r="F96" s="387"/>
      <c r="G96" s="387"/>
      <c r="H96" s="387"/>
      <c r="I96" s="387"/>
      <c r="J96" s="387"/>
      <c r="K96" s="387"/>
      <c r="L96" s="21"/>
      <c r="M96" s="21"/>
    </row>
    <row r="97" spans="1:13" x14ac:dyDescent="0.2">
      <c r="A97" s="21"/>
      <c r="B97" s="21"/>
      <c r="C97" s="21"/>
      <c r="D97" s="291"/>
      <c r="E97" s="387"/>
      <c r="F97" s="387"/>
      <c r="G97" s="387"/>
      <c r="H97" s="387"/>
      <c r="I97" s="387"/>
      <c r="J97" s="387"/>
      <c r="K97" s="387"/>
      <c r="L97" s="21"/>
      <c r="M97" s="21"/>
    </row>
    <row r="98" spans="1:13" x14ac:dyDescent="0.2">
      <c r="A98" s="21"/>
      <c r="B98" s="21"/>
      <c r="C98" s="21"/>
      <c r="D98" s="291"/>
      <c r="E98" s="387"/>
      <c r="F98" s="387"/>
      <c r="G98" s="387"/>
      <c r="H98" s="387"/>
      <c r="I98" s="387"/>
      <c r="J98" s="387"/>
      <c r="K98" s="387"/>
      <c r="L98" s="21"/>
      <c r="M98" s="21"/>
    </row>
    <row r="99" spans="1:13" ht="15.75" x14ac:dyDescent="0.25">
      <c r="A99" s="21"/>
      <c r="B99" s="21"/>
      <c r="C99" s="21"/>
      <c r="D99" s="316" t="s">
        <v>401</v>
      </c>
      <c r="E99" s="387" t="s">
        <v>368</v>
      </c>
      <c r="F99" s="387"/>
      <c r="G99" s="387"/>
      <c r="H99" s="387"/>
      <c r="I99" s="387"/>
      <c r="J99" s="387"/>
      <c r="K99" s="387"/>
      <c r="L99" s="21"/>
      <c r="M99" s="21"/>
    </row>
    <row r="100" spans="1:13" x14ac:dyDescent="0.2">
      <c r="A100" s="21"/>
      <c r="B100" s="21"/>
      <c r="C100" s="21"/>
      <c r="D100" s="306" t="s">
        <v>286</v>
      </c>
      <c r="E100" s="301">
        <f t="shared" ref="E100:J100" si="15">E7</f>
        <v>2009</v>
      </c>
      <c r="F100" s="301">
        <f t="shared" si="15"/>
        <v>2010</v>
      </c>
      <c r="G100" s="301">
        <f t="shared" si="15"/>
        <v>2011</v>
      </c>
      <c r="H100" s="301">
        <f t="shared" si="15"/>
        <v>2012</v>
      </c>
      <c r="I100" s="301">
        <f t="shared" si="15"/>
        <v>2013</v>
      </c>
      <c r="J100" s="301">
        <f t="shared" si="15"/>
        <v>2014</v>
      </c>
      <c r="K100" s="301">
        <f>K7</f>
        <v>2015</v>
      </c>
      <c r="L100" s="21"/>
      <c r="M100" s="21"/>
    </row>
    <row r="101" spans="1:13" s="28" customFormat="1" ht="30" customHeight="1" x14ac:dyDescent="0.25">
      <c r="A101" s="11"/>
      <c r="B101" s="11"/>
      <c r="C101" s="11"/>
      <c r="D101" s="303" t="s">
        <v>402</v>
      </c>
      <c r="E101" s="381">
        <f t="shared" ref="E101:J101" si="16">E89</f>
        <v>0.72199999999999565</v>
      </c>
      <c r="F101" s="381">
        <f t="shared" si="16"/>
        <v>-69.742000000000004</v>
      </c>
      <c r="G101" s="381">
        <f t="shared" si="16"/>
        <v>24.617000000000026</v>
      </c>
      <c r="H101" s="381">
        <f t="shared" si="16"/>
        <v>28.318999999999988</v>
      </c>
      <c r="I101" s="381">
        <f t="shared" si="16"/>
        <v>37.699000000000005</v>
      </c>
      <c r="J101" s="381">
        <f t="shared" si="16"/>
        <v>2.4000000000000012</v>
      </c>
      <c r="K101" s="381">
        <f>K89</f>
        <v>1.1999999999999902</v>
      </c>
      <c r="L101" s="11"/>
      <c r="M101" s="11"/>
    </row>
    <row r="102" spans="1:13" ht="57" customHeight="1" x14ac:dyDescent="0.2">
      <c r="A102" s="21"/>
      <c r="B102" s="21"/>
      <c r="C102" s="21"/>
      <c r="D102" s="299" t="s">
        <v>403</v>
      </c>
      <c r="E102" s="373"/>
      <c r="F102" s="373"/>
      <c r="G102" s="373"/>
      <c r="H102" s="373"/>
      <c r="I102" s="373"/>
      <c r="J102" s="373"/>
      <c r="K102" s="373"/>
      <c r="L102" s="21"/>
      <c r="M102" s="21"/>
    </row>
    <row r="103" spans="1:13" ht="57" customHeight="1" x14ac:dyDescent="0.2">
      <c r="A103" s="21"/>
      <c r="B103" s="21"/>
      <c r="C103" s="21"/>
      <c r="D103" s="314" t="s">
        <v>404</v>
      </c>
      <c r="E103" s="388">
        <f>-0.008+0.001</f>
        <v>-7.0000000000000001E-3</v>
      </c>
      <c r="F103" s="388">
        <v>5.1999999999999998E-2</v>
      </c>
      <c r="G103" s="388">
        <v>4.4999999999999998E-2</v>
      </c>
      <c r="H103" s="388">
        <v>2.2360000000000002</v>
      </c>
      <c r="I103" s="388">
        <v>0.3</v>
      </c>
      <c r="J103" s="388">
        <v>-5.7</v>
      </c>
      <c r="K103" s="388">
        <v>3.9</v>
      </c>
      <c r="L103" s="21"/>
      <c r="M103" s="21"/>
    </row>
    <row r="104" spans="1:13" ht="54.75" customHeight="1" x14ac:dyDescent="0.2">
      <c r="A104" s="21"/>
      <c r="B104" s="21"/>
      <c r="C104" s="21"/>
      <c r="D104" s="291" t="s">
        <v>405</v>
      </c>
      <c r="E104" s="379"/>
      <c r="F104" s="379"/>
      <c r="G104" s="379">
        <v>0</v>
      </c>
      <c r="H104" s="379">
        <v>-0.76300000000000001</v>
      </c>
      <c r="I104" s="379">
        <v>-0.9</v>
      </c>
      <c r="J104" s="379">
        <v>-0.1</v>
      </c>
      <c r="K104" s="379">
        <v>0</v>
      </c>
      <c r="L104" s="21"/>
      <c r="M104" s="21"/>
    </row>
    <row r="105" spans="1:13" ht="24" customHeight="1" x14ac:dyDescent="0.2">
      <c r="A105" s="21"/>
      <c r="B105" s="21"/>
      <c r="C105" s="21"/>
      <c r="D105" s="314" t="s">
        <v>406</v>
      </c>
      <c r="E105" s="388">
        <v>-0.20100000000000001</v>
      </c>
      <c r="F105" s="388">
        <f>0.043-0.011</f>
        <v>3.2000000000000001E-2</v>
      </c>
      <c r="G105" s="388">
        <f>-0.5505-0.009</f>
        <v>-0.5595</v>
      </c>
      <c r="H105" s="388">
        <v>0.51700000000000002</v>
      </c>
      <c r="I105" s="388">
        <v>-1E-3</v>
      </c>
      <c r="J105" s="388">
        <v>-0.1</v>
      </c>
      <c r="K105" s="388">
        <v>0</v>
      </c>
      <c r="L105" s="21"/>
      <c r="M105" s="21"/>
    </row>
    <row r="106" spans="1:13" ht="41.25" customHeight="1" x14ac:dyDescent="0.2">
      <c r="A106" s="21"/>
      <c r="B106" s="21"/>
      <c r="C106" s="21"/>
      <c r="D106" s="291" t="s">
        <v>407</v>
      </c>
      <c r="E106" s="379"/>
      <c r="F106" s="379"/>
      <c r="G106" s="379">
        <v>0</v>
      </c>
      <c r="H106" s="379">
        <v>0</v>
      </c>
      <c r="I106" s="379">
        <v>0</v>
      </c>
      <c r="J106" s="379">
        <v>0</v>
      </c>
      <c r="K106" s="379">
        <v>0.2</v>
      </c>
      <c r="L106" s="21"/>
      <c r="M106" s="21"/>
    </row>
    <row r="107" spans="1:13" ht="57" customHeight="1" x14ac:dyDescent="0.2">
      <c r="A107" s="21"/>
      <c r="B107" s="21"/>
      <c r="C107" s="21"/>
      <c r="D107" s="299" t="s">
        <v>408</v>
      </c>
      <c r="E107" s="379"/>
      <c r="F107" s="379"/>
      <c r="G107" s="379"/>
      <c r="H107" s="379"/>
      <c r="I107" s="379"/>
      <c r="J107" s="379"/>
      <c r="K107" s="379"/>
      <c r="L107" s="21"/>
      <c r="M107" s="21"/>
    </row>
    <row r="108" spans="1:13" ht="21.75" customHeight="1" x14ac:dyDescent="0.2">
      <c r="A108" s="21"/>
      <c r="B108" s="21"/>
      <c r="C108" s="21"/>
      <c r="D108" s="314" t="s">
        <v>409</v>
      </c>
      <c r="E108" s="388">
        <f>-1.835+0.367</f>
        <v>-1.468</v>
      </c>
      <c r="F108" s="388"/>
      <c r="G108" s="388">
        <v>0</v>
      </c>
      <c r="H108" s="388">
        <v>2.6549999999999998</v>
      </c>
      <c r="I108" s="388">
        <v>0</v>
      </c>
      <c r="J108" s="388">
        <v>0</v>
      </c>
      <c r="K108" s="388">
        <v>0.9</v>
      </c>
      <c r="L108" s="21"/>
      <c r="M108" s="21"/>
    </row>
    <row r="109" spans="1:13" s="28" customFormat="1" ht="24" customHeight="1" x14ac:dyDescent="0.25">
      <c r="A109" s="11"/>
      <c r="B109" s="11"/>
      <c r="C109" s="11"/>
      <c r="D109" s="303" t="s">
        <v>410</v>
      </c>
      <c r="E109" s="381">
        <f t="shared" ref="E109:K109" si="17">SUM(E103:E108)</f>
        <v>-1.6759999999999999</v>
      </c>
      <c r="F109" s="381">
        <f t="shared" si="17"/>
        <v>8.3999999999999991E-2</v>
      </c>
      <c r="G109" s="381">
        <f t="shared" si="17"/>
        <v>-0.51449999999999996</v>
      </c>
      <c r="H109" s="381">
        <f t="shared" si="17"/>
        <v>4.6449999999999996</v>
      </c>
      <c r="I109" s="381">
        <f t="shared" si="17"/>
        <v>-0.60100000000000009</v>
      </c>
      <c r="J109" s="381">
        <f t="shared" si="17"/>
        <v>-5.8999999999999995</v>
      </c>
      <c r="K109" s="381">
        <f t="shared" si="17"/>
        <v>5</v>
      </c>
      <c r="L109" s="11"/>
      <c r="M109" s="11"/>
    </row>
    <row r="110" spans="1:13" s="292" customFormat="1" ht="32.25" customHeight="1" x14ac:dyDescent="0.25">
      <c r="A110" s="297"/>
      <c r="B110" s="297"/>
      <c r="C110" s="297"/>
      <c r="D110" s="307" t="s">
        <v>411</v>
      </c>
      <c r="E110" s="374">
        <f t="shared" ref="E110:K110" si="18">E101+E109</f>
        <v>-0.95400000000000429</v>
      </c>
      <c r="F110" s="374">
        <f t="shared" si="18"/>
        <v>-69.658000000000001</v>
      </c>
      <c r="G110" s="374">
        <f t="shared" si="18"/>
        <v>24.102500000000028</v>
      </c>
      <c r="H110" s="374">
        <f t="shared" si="18"/>
        <v>32.963999999999984</v>
      </c>
      <c r="I110" s="374">
        <f t="shared" si="18"/>
        <v>37.098000000000006</v>
      </c>
      <c r="J110" s="374">
        <f t="shared" si="18"/>
        <v>-3.4999999999999982</v>
      </c>
      <c r="K110" s="374">
        <f t="shared" si="18"/>
        <v>6.1999999999999904</v>
      </c>
      <c r="L110" s="297"/>
      <c r="M110" s="297"/>
    </row>
    <row r="111" spans="1:13" ht="24.75" customHeight="1" x14ac:dyDescent="0.2">
      <c r="A111" s="21"/>
      <c r="B111" s="21"/>
      <c r="C111" s="21"/>
      <c r="D111" s="291" t="s">
        <v>412</v>
      </c>
      <c r="E111" s="373"/>
      <c r="F111" s="373"/>
      <c r="G111" s="373"/>
      <c r="H111" s="373"/>
      <c r="I111" s="373"/>
      <c r="J111" s="373"/>
      <c r="K111" s="373"/>
      <c r="L111" s="21"/>
      <c r="M111" s="21"/>
    </row>
    <row r="112" spans="1:13" ht="24" customHeight="1" x14ac:dyDescent="0.2">
      <c r="A112" s="21"/>
      <c r="B112" s="21"/>
      <c r="C112" s="21" t="s">
        <v>74</v>
      </c>
      <c r="D112" s="291" t="s">
        <v>398</v>
      </c>
      <c r="E112" s="379">
        <v>-0.97399999999999998</v>
      </c>
      <c r="F112" s="379">
        <v>-69.655000000000001</v>
      </c>
      <c r="G112" s="379">
        <v>24.106999999999999</v>
      </c>
      <c r="H112" s="379">
        <v>32.965000000000003</v>
      </c>
      <c r="I112" s="379">
        <v>37.200000000000003</v>
      </c>
      <c r="J112" s="379">
        <v>-3.6</v>
      </c>
      <c r="K112" s="379">
        <v>6.2</v>
      </c>
      <c r="L112" s="21"/>
      <c r="M112" s="21"/>
    </row>
    <row r="113" spans="1:13" x14ac:dyDescent="0.2">
      <c r="A113" s="21"/>
      <c r="B113" s="21"/>
      <c r="C113" s="21" t="s">
        <v>74</v>
      </c>
      <c r="D113" s="313" t="s">
        <v>363</v>
      </c>
      <c r="E113" s="389">
        <v>0.13</v>
      </c>
      <c r="F113" s="389">
        <v>-2E-3</v>
      </c>
      <c r="G113" s="389">
        <v>-4.0000000000000001E-3</v>
      </c>
      <c r="H113" s="389">
        <v>-1E-3</v>
      </c>
      <c r="I113" s="389">
        <v>-0.1</v>
      </c>
      <c r="J113" s="389">
        <v>0.1</v>
      </c>
      <c r="K113" s="389">
        <v>0</v>
      </c>
      <c r="L113" s="21"/>
      <c r="M113" s="21"/>
    </row>
    <row r="114" spans="1:13" ht="22.5" customHeight="1" outlineLevel="1" x14ac:dyDescent="0.25">
      <c r="A114" s="21"/>
      <c r="B114" s="21"/>
      <c r="C114" s="21"/>
      <c r="D114" s="309" t="s">
        <v>416</v>
      </c>
      <c r="E114" s="386">
        <f t="shared" ref="E114:K114" si="19">E110-SUM(E112:E113)</f>
        <v>-0.11000000000000432</v>
      </c>
      <c r="F114" s="386">
        <f t="shared" si="19"/>
        <v>-1.0000000000047748E-3</v>
      </c>
      <c r="G114" s="386">
        <f t="shared" si="19"/>
        <v>-4.99999999970413E-4</v>
      </c>
      <c r="H114" s="386">
        <f t="shared" si="19"/>
        <v>0</v>
      </c>
      <c r="I114" s="386">
        <f t="shared" si="19"/>
        <v>-1.9999999999953388E-3</v>
      </c>
      <c r="J114" s="386">
        <f t="shared" si="19"/>
        <v>0</v>
      </c>
      <c r="K114" s="386">
        <f t="shared" si="19"/>
        <v>-9.7699626167013776E-15</v>
      </c>
      <c r="L114" s="21"/>
      <c r="M114" s="21"/>
    </row>
    <row r="115" spans="1:13" x14ac:dyDescent="0.2">
      <c r="A115" s="21"/>
      <c r="B115" s="21"/>
      <c r="C115" s="21"/>
      <c r="D115" s="291"/>
      <c r="E115" s="373"/>
      <c r="F115" s="373"/>
      <c r="G115" s="373"/>
      <c r="H115" s="373"/>
      <c r="I115" s="373"/>
      <c r="J115" s="373"/>
      <c r="K115" s="373"/>
      <c r="L115" s="21"/>
      <c r="M115" s="21"/>
    </row>
    <row r="116" spans="1:13" x14ac:dyDescent="0.2">
      <c r="A116" s="21"/>
      <c r="B116" s="21"/>
      <c r="C116" s="21"/>
      <c r="D116" s="291"/>
      <c r="E116" s="373"/>
      <c r="F116" s="373"/>
      <c r="G116" s="373"/>
      <c r="H116" s="373"/>
      <c r="I116" s="373"/>
      <c r="J116" s="373"/>
      <c r="K116" s="373"/>
      <c r="L116" s="21"/>
      <c r="M116" s="21"/>
    </row>
    <row r="117" spans="1:13" x14ac:dyDescent="0.2">
      <c r="A117" s="21"/>
      <c r="B117" s="21"/>
      <c r="C117" s="21"/>
      <c r="D117" s="291"/>
      <c r="E117" s="373"/>
      <c r="F117" s="373"/>
      <c r="G117" s="373"/>
      <c r="H117" s="373"/>
      <c r="I117" s="373"/>
      <c r="J117" s="373"/>
      <c r="K117" s="373"/>
      <c r="L117" s="21"/>
      <c r="M117" s="21"/>
    </row>
    <row r="118" spans="1:13" ht="15.75" x14ac:dyDescent="0.25">
      <c r="A118" s="21"/>
      <c r="B118" s="21"/>
      <c r="C118" s="21"/>
      <c r="D118" s="316" t="s">
        <v>1011</v>
      </c>
      <c r="E118" s="21" t="s">
        <v>348</v>
      </c>
      <c r="F118" s="21"/>
      <c r="G118" s="21"/>
      <c r="H118" s="21"/>
      <c r="I118" s="21"/>
      <c r="J118" s="21"/>
      <c r="K118" s="21"/>
      <c r="L118" s="21"/>
      <c r="M118" s="21"/>
    </row>
    <row r="119" spans="1:13" x14ac:dyDescent="0.2">
      <c r="A119" s="21"/>
      <c r="B119" s="21"/>
      <c r="C119" s="21"/>
      <c r="D119" s="306" t="s">
        <v>286</v>
      </c>
      <c r="E119" s="301">
        <f t="shared" ref="E119:J119" si="20">E7</f>
        <v>2009</v>
      </c>
      <c r="F119" s="301">
        <f t="shared" si="20"/>
        <v>2010</v>
      </c>
      <c r="G119" s="301">
        <f t="shared" si="20"/>
        <v>2011</v>
      </c>
      <c r="H119" s="301">
        <f t="shared" si="20"/>
        <v>2012</v>
      </c>
      <c r="I119" s="301">
        <f t="shared" si="20"/>
        <v>2013</v>
      </c>
      <c r="J119" s="301">
        <f t="shared" si="20"/>
        <v>2014</v>
      </c>
      <c r="K119" s="301">
        <f>K7</f>
        <v>2015</v>
      </c>
      <c r="L119" s="21"/>
      <c r="M119" s="21"/>
    </row>
    <row r="120" spans="1:13" x14ac:dyDescent="0.2">
      <c r="A120" s="21"/>
      <c r="B120" s="438"/>
      <c r="C120" s="438"/>
      <c r="D120" s="291" t="s">
        <v>1012</v>
      </c>
      <c r="E120" s="373">
        <v>78.227999999999994</v>
      </c>
      <c r="F120" s="373">
        <v>77.001999999999995</v>
      </c>
      <c r="G120" s="373">
        <v>52.542000000000002</v>
      </c>
      <c r="H120" s="373">
        <v>92.816999999999993</v>
      </c>
      <c r="I120" s="373">
        <v>116.164</v>
      </c>
      <c r="J120" s="373">
        <v>159.80000000000001</v>
      </c>
      <c r="K120" s="373">
        <v>158.69999999999999</v>
      </c>
      <c r="L120" s="21"/>
      <c r="M120" s="21"/>
    </row>
    <row r="121" spans="1:13" x14ac:dyDescent="0.2">
      <c r="A121" s="21"/>
      <c r="B121" s="438"/>
      <c r="C121" s="438"/>
      <c r="D121" s="291" t="s">
        <v>1013</v>
      </c>
      <c r="E121" s="373">
        <v>-49.784999999999997</v>
      </c>
      <c r="F121" s="373">
        <v>-36.537999999999997</v>
      </c>
      <c r="G121" s="373">
        <v>-32.472999999999999</v>
      </c>
      <c r="H121" s="373">
        <v>-38.56</v>
      </c>
      <c r="I121" s="373">
        <v>-50.591000000000001</v>
      </c>
      <c r="J121" s="373">
        <v>-90.6</v>
      </c>
      <c r="K121" s="373">
        <v>-124.7</v>
      </c>
      <c r="L121" s="21"/>
      <c r="M121" s="21"/>
    </row>
    <row r="122" spans="1:13" x14ac:dyDescent="0.2">
      <c r="A122" s="21"/>
      <c r="B122" s="438"/>
      <c r="C122" s="438"/>
      <c r="D122" s="291" t="s">
        <v>1014</v>
      </c>
      <c r="E122" s="373">
        <v>6.9189999999999996</v>
      </c>
      <c r="F122" s="373">
        <v>7.125</v>
      </c>
      <c r="G122" s="373">
        <v>6.6130000000000004</v>
      </c>
      <c r="H122" s="373">
        <v>8.0419999999999998</v>
      </c>
      <c r="I122" s="373">
        <v>10.268000000000001</v>
      </c>
      <c r="J122" s="373">
        <v>15</v>
      </c>
      <c r="K122" s="373">
        <v>17.2</v>
      </c>
      <c r="L122" s="21"/>
      <c r="M122" s="21"/>
    </row>
    <row r="123" spans="1:13" x14ac:dyDescent="0.2">
      <c r="A123" s="21"/>
      <c r="B123" s="438"/>
      <c r="C123" s="438"/>
      <c r="D123" s="291" t="s">
        <v>1015</v>
      </c>
      <c r="E123" s="373">
        <v>-1.486</v>
      </c>
      <c r="F123" s="373">
        <v>-1.647</v>
      </c>
      <c r="G123" s="373">
        <v>-2.016</v>
      </c>
      <c r="H123" s="373">
        <v>-1.946</v>
      </c>
      <c r="I123" s="373">
        <v>-2.0110000000000001</v>
      </c>
      <c r="J123" s="373">
        <v>-2.7</v>
      </c>
      <c r="K123" s="373">
        <v>-2.7</v>
      </c>
      <c r="L123" s="21"/>
      <c r="M123" s="21"/>
    </row>
    <row r="124" spans="1:13" x14ac:dyDescent="0.2">
      <c r="A124" s="21"/>
      <c r="B124" s="438"/>
      <c r="C124" s="438"/>
      <c r="D124" s="291" t="s">
        <v>1016</v>
      </c>
      <c r="E124" s="373">
        <v>0</v>
      </c>
      <c r="F124" s="373">
        <v>0</v>
      </c>
      <c r="G124" s="373">
        <v>0</v>
      </c>
      <c r="H124" s="373">
        <v>-5</v>
      </c>
      <c r="I124" s="373">
        <v>-6.85</v>
      </c>
      <c r="J124" s="373">
        <v>-25.8</v>
      </c>
      <c r="K124" s="373">
        <v>0</v>
      </c>
      <c r="L124" s="21"/>
      <c r="M124" s="21"/>
    </row>
    <row r="125" spans="1:13" x14ac:dyDescent="0.2">
      <c r="A125" s="21"/>
      <c r="B125" s="21"/>
      <c r="C125" s="21"/>
      <c r="D125" s="291"/>
      <c r="E125" s="373"/>
      <c r="F125" s="373"/>
      <c r="G125" s="373"/>
      <c r="H125" s="373"/>
      <c r="I125" s="373"/>
      <c r="J125" s="373"/>
      <c r="K125" s="373"/>
      <c r="L125" s="21"/>
      <c r="M125" s="21"/>
    </row>
    <row r="126" spans="1:13" x14ac:dyDescent="0.2">
      <c r="A126" s="21"/>
      <c r="B126" s="21"/>
      <c r="C126" s="21"/>
      <c r="D126" s="291"/>
      <c r="E126" s="373"/>
      <c r="F126" s="373"/>
      <c r="G126" s="373"/>
      <c r="H126" s="373"/>
      <c r="I126" s="373"/>
      <c r="J126" s="373"/>
      <c r="K126" s="373"/>
      <c r="L126" s="21"/>
      <c r="M126" s="21"/>
    </row>
    <row r="127" spans="1:13" x14ac:dyDescent="0.2">
      <c r="A127" s="21"/>
      <c r="B127" s="21"/>
      <c r="C127" s="21"/>
      <c r="D127" s="291"/>
      <c r="E127" s="373"/>
      <c r="F127" s="373"/>
      <c r="G127" s="373"/>
      <c r="H127" s="373"/>
      <c r="I127" s="373"/>
      <c r="J127" s="373"/>
      <c r="K127" s="373"/>
      <c r="L127" s="21"/>
      <c r="M127" s="21"/>
    </row>
    <row r="128" spans="1:13" x14ac:dyDescent="0.2">
      <c r="A128" s="21"/>
      <c r="B128" s="21"/>
      <c r="C128" s="21"/>
      <c r="D128" s="291"/>
      <c r="E128" s="373"/>
      <c r="F128" s="373"/>
      <c r="G128" s="373"/>
      <c r="H128" s="373"/>
      <c r="I128" s="373"/>
      <c r="J128" s="373"/>
      <c r="K128" s="373"/>
      <c r="L128" s="21"/>
      <c r="M128" s="21"/>
    </row>
    <row r="129" spans="1:13" ht="15.75" x14ac:dyDescent="0.25">
      <c r="A129" s="328"/>
      <c r="B129" s="328"/>
      <c r="C129" s="328"/>
      <c r="D129" s="329" t="s">
        <v>835</v>
      </c>
      <c r="E129" s="391"/>
      <c r="F129" s="391"/>
      <c r="G129" s="391"/>
      <c r="H129" s="391"/>
      <c r="I129" s="391"/>
      <c r="J129" s="391"/>
      <c r="K129" s="391"/>
      <c r="L129" s="21"/>
      <c r="M129" s="21"/>
    </row>
    <row r="130" spans="1:13" x14ac:dyDescent="0.2">
      <c r="A130" s="21"/>
      <c r="B130" s="21"/>
      <c r="C130" s="21"/>
      <c r="D130" s="291"/>
      <c r="E130" s="373"/>
      <c r="F130" s="373"/>
      <c r="G130" s="373"/>
      <c r="H130" s="373"/>
      <c r="I130" s="373"/>
      <c r="J130" s="373"/>
      <c r="K130" s="373"/>
      <c r="L130" s="21"/>
      <c r="M130" s="21"/>
    </row>
    <row r="131" spans="1:13" ht="15.75" x14ac:dyDescent="0.25">
      <c r="A131" s="21"/>
      <c r="B131" s="21"/>
      <c r="C131" s="21"/>
      <c r="D131" s="324" t="s">
        <v>838</v>
      </c>
      <c r="E131" s="387" t="s">
        <v>348</v>
      </c>
      <c r="F131" s="387"/>
      <c r="G131" s="387"/>
      <c r="H131" s="387"/>
      <c r="I131" s="387"/>
      <c r="J131" s="387"/>
      <c r="K131" s="387"/>
      <c r="L131" s="21"/>
      <c r="M131" s="21"/>
    </row>
    <row r="132" spans="1:13" x14ac:dyDescent="0.2">
      <c r="A132" s="21"/>
      <c r="B132" s="21"/>
      <c r="C132" s="21"/>
      <c r="D132" s="306"/>
      <c r="E132" s="301">
        <f t="shared" ref="E132:J132" si="21">E7</f>
        <v>2009</v>
      </c>
      <c r="F132" s="301">
        <f t="shared" si="21"/>
        <v>2010</v>
      </c>
      <c r="G132" s="301">
        <f t="shared" si="21"/>
        <v>2011</v>
      </c>
      <c r="H132" s="301">
        <f t="shared" si="21"/>
        <v>2012</v>
      </c>
      <c r="I132" s="301">
        <f t="shared" si="21"/>
        <v>2013</v>
      </c>
      <c r="J132" s="301">
        <f t="shared" si="21"/>
        <v>2014</v>
      </c>
      <c r="K132" s="301">
        <f>K7</f>
        <v>2015</v>
      </c>
      <c r="L132" s="21"/>
      <c r="M132" s="21"/>
    </row>
    <row r="133" spans="1:13" x14ac:dyDescent="0.2">
      <c r="A133" s="21"/>
      <c r="B133" s="21"/>
      <c r="C133" s="21"/>
      <c r="D133" s="291" t="s">
        <v>836</v>
      </c>
      <c r="E133" s="532">
        <v>10420</v>
      </c>
      <c r="F133" s="532">
        <v>10258</v>
      </c>
      <c r="G133" s="532">
        <v>10139</v>
      </c>
      <c r="H133" s="532">
        <v>12926</v>
      </c>
      <c r="I133" s="532">
        <v>18336</v>
      </c>
      <c r="J133" s="532">
        <v>21274</v>
      </c>
      <c r="K133" s="532">
        <v>18249</v>
      </c>
      <c r="L133" s="21"/>
      <c r="M133" s="21"/>
    </row>
    <row r="134" spans="1:13" x14ac:dyDescent="0.2">
      <c r="A134" s="21"/>
      <c r="B134" s="21"/>
      <c r="C134" s="21"/>
      <c r="D134" s="291" t="s">
        <v>837</v>
      </c>
      <c r="E134" s="533"/>
      <c r="F134" s="533"/>
      <c r="G134" s="533"/>
      <c r="H134" s="533">
        <v>10535</v>
      </c>
      <c r="I134" s="533">
        <v>11181</v>
      </c>
      <c r="J134" s="533">
        <v>12340</v>
      </c>
      <c r="K134" s="533">
        <v>11682</v>
      </c>
      <c r="L134" s="21"/>
      <c r="M134" s="21"/>
    </row>
    <row r="135" spans="1:13" x14ac:dyDescent="0.2">
      <c r="A135" s="21"/>
      <c r="B135" s="21"/>
      <c r="C135" s="21"/>
      <c r="D135" s="299"/>
      <c r="E135" s="490"/>
      <c r="F135" s="490"/>
      <c r="G135" s="490"/>
      <c r="H135" s="490"/>
      <c r="I135" s="490"/>
      <c r="J135" s="490"/>
      <c r="K135" s="490"/>
      <c r="L135" s="21"/>
      <c r="M135" s="21"/>
    </row>
    <row r="136" spans="1:13" x14ac:dyDescent="0.2">
      <c r="A136" s="21"/>
      <c r="B136" s="21"/>
      <c r="C136" s="21"/>
      <c r="D136" s="299"/>
      <c r="E136" s="490"/>
      <c r="F136" s="490"/>
      <c r="G136" s="490"/>
      <c r="H136" s="490"/>
      <c r="I136" s="490"/>
      <c r="J136" s="490"/>
      <c r="K136" s="490"/>
      <c r="L136" s="21"/>
      <c r="M136" s="21"/>
    </row>
    <row r="137" spans="1:13" ht="15.75" x14ac:dyDescent="0.25">
      <c r="A137" s="21"/>
      <c r="B137" s="21"/>
      <c r="C137" s="21"/>
      <c r="D137" s="324" t="s">
        <v>1002</v>
      </c>
      <c r="E137" s="387" t="s">
        <v>348</v>
      </c>
      <c r="F137" s="387"/>
      <c r="G137" s="387"/>
      <c r="H137" s="387"/>
      <c r="I137" s="387"/>
      <c r="J137" s="387"/>
      <c r="K137" s="387"/>
      <c r="L137" s="21"/>
      <c r="M137" s="21"/>
    </row>
    <row r="138" spans="1:13" x14ac:dyDescent="0.2">
      <c r="A138" s="21"/>
      <c r="B138" s="21"/>
      <c r="C138" s="21"/>
      <c r="D138" s="306"/>
      <c r="E138" s="301">
        <f t="shared" ref="E138:J138" si="22">E7</f>
        <v>2009</v>
      </c>
      <c r="F138" s="301">
        <f t="shared" si="22"/>
        <v>2010</v>
      </c>
      <c r="G138" s="301">
        <f t="shared" si="22"/>
        <v>2011</v>
      </c>
      <c r="H138" s="301">
        <f t="shared" si="22"/>
        <v>2012</v>
      </c>
      <c r="I138" s="301">
        <f t="shared" si="22"/>
        <v>2013</v>
      </c>
      <c r="J138" s="301">
        <f t="shared" si="22"/>
        <v>2014</v>
      </c>
      <c r="K138" s="301">
        <f>K7</f>
        <v>2015</v>
      </c>
      <c r="L138" s="21"/>
      <c r="M138" s="21"/>
    </row>
    <row r="139" spans="1:13" x14ac:dyDescent="0.2">
      <c r="A139" s="21"/>
      <c r="B139" s="21"/>
      <c r="C139" s="21"/>
      <c r="D139" s="291" t="s">
        <v>1002</v>
      </c>
      <c r="E139" s="703"/>
      <c r="F139" s="703">
        <v>30.476900000000001</v>
      </c>
      <c r="G139" s="703">
        <v>32.196100000000001</v>
      </c>
      <c r="H139" s="703">
        <v>30.372699999999998</v>
      </c>
      <c r="I139" s="703">
        <v>32.729199999999999</v>
      </c>
      <c r="J139" s="703">
        <v>56.258400000000002</v>
      </c>
      <c r="K139" s="703">
        <v>72.8827</v>
      </c>
      <c r="L139" s="21"/>
      <c r="M139" s="21"/>
    </row>
    <row r="140" spans="1:13" x14ac:dyDescent="0.2">
      <c r="A140" s="21"/>
      <c r="B140" s="21"/>
      <c r="C140" s="21"/>
      <c r="D140" s="299"/>
      <c r="E140" s="490"/>
      <c r="F140" s="490"/>
      <c r="G140" s="490"/>
      <c r="H140" s="490"/>
      <c r="I140" s="490"/>
      <c r="J140" s="490"/>
      <c r="K140" s="490"/>
      <c r="L140" s="21"/>
      <c r="M140" s="21"/>
    </row>
    <row r="141" spans="1:13" x14ac:dyDescent="0.2">
      <c r="A141" s="21"/>
      <c r="B141" s="21"/>
      <c r="C141" s="21"/>
      <c r="D141" s="291"/>
      <c r="E141" s="387"/>
      <c r="F141" s="387"/>
      <c r="G141" s="387"/>
      <c r="H141" s="387"/>
      <c r="I141" s="387"/>
      <c r="J141" s="387"/>
      <c r="K141" s="387"/>
      <c r="L141" s="21"/>
      <c r="M141" s="21"/>
    </row>
    <row r="142" spans="1:13" x14ac:dyDescent="0.2">
      <c r="A142" s="21"/>
      <c r="B142" s="21"/>
      <c r="C142" s="21"/>
      <c r="D142" s="291"/>
      <c r="E142" s="387"/>
      <c r="F142" s="387"/>
      <c r="G142" s="387"/>
      <c r="H142" s="387"/>
      <c r="I142" s="387"/>
      <c r="J142" s="387"/>
      <c r="K142" s="387"/>
      <c r="L142" s="21"/>
      <c r="M142" s="21"/>
    </row>
    <row r="143" spans="1:13" ht="15.75" x14ac:dyDescent="0.25">
      <c r="A143" s="328"/>
      <c r="B143" s="328"/>
      <c r="C143" s="328"/>
      <c r="D143" s="329" t="s">
        <v>420</v>
      </c>
      <c r="E143" s="391"/>
      <c r="F143" s="391"/>
      <c r="G143" s="391"/>
      <c r="H143" s="391"/>
      <c r="I143" s="391"/>
      <c r="J143" s="391"/>
      <c r="K143" s="391"/>
      <c r="L143" s="21"/>
      <c r="M143" s="21"/>
    </row>
    <row r="144" spans="1:13" x14ac:dyDescent="0.2">
      <c r="A144" s="21"/>
      <c r="B144" s="21"/>
      <c r="C144" s="21"/>
      <c r="D144" s="291"/>
      <c r="E144" s="387"/>
      <c r="F144" s="387"/>
      <c r="G144" s="387"/>
      <c r="H144" s="387"/>
      <c r="I144" s="387"/>
      <c r="J144" s="387"/>
      <c r="K144" s="387"/>
      <c r="L144" s="21"/>
      <c r="M144" s="21"/>
    </row>
    <row r="145" spans="1:13" ht="15.75" x14ac:dyDescent="0.25">
      <c r="A145" s="21"/>
      <c r="B145" s="21"/>
      <c r="C145" s="21"/>
      <c r="D145" s="324" t="s">
        <v>336</v>
      </c>
      <c r="E145" s="387" t="s">
        <v>348</v>
      </c>
      <c r="F145" s="387"/>
      <c r="G145" s="387"/>
      <c r="H145" s="387"/>
      <c r="I145" s="387"/>
      <c r="J145" s="387"/>
      <c r="K145" s="387"/>
      <c r="L145" s="21"/>
      <c r="M145" s="21"/>
    </row>
    <row r="146" spans="1:13" x14ac:dyDescent="0.2">
      <c r="A146" s="21"/>
      <c r="B146" s="21"/>
      <c r="C146" s="21"/>
      <c r="D146" s="306" t="s">
        <v>286</v>
      </c>
      <c r="E146" s="301">
        <f t="shared" ref="E146:J146" si="23">E7</f>
        <v>2009</v>
      </c>
      <c r="F146" s="301">
        <f t="shared" si="23"/>
        <v>2010</v>
      </c>
      <c r="G146" s="301">
        <f t="shared" si="23"/>
        <v>2011</v>
      </c>
      <c r="H146" s="301">
        <f t="shared" si="23"/>
        <v>2012</v>
      </c>
      <c r="I146" s="301">
        <f t="shared" si="23"/>
        <v>2013</v>
      </c>
      <c r="J146" s="301">
        <f t="shared" si="23"/>
        <v>2014</v>
      </c>
      <c r="K146" s="301">
        <f>K7</f>
        <v>2015</v>
      </c>
      <c r="L146" s="21"/>
      <c r="M146" s="21"/>
    </row>
    <row r="147" spans="1:13" s="28" customFormat="1" ht="15.75" x14ac:dyDescent="0.25">
      <c r="A147" s="11"/>
      <c r="B147" s="11"/>
      <c r="C147" s="11"/>
      <c r="D147" s="303" t="s">
        <v>444</v>
      </c>
      <c r="E147" s="373"/>
      <c r="F147" s="373"/>
      <c r="G147" s="373"/>
      <c r="H147" s="373"/>
      <c r="I147" s="373"/>
      <c r="J147" s="373"/>
      <c r="K147" s="373"/>
      <c r="L147" s="11"/>
      <c r="M147" s="11"/>
    </row>
    <row r="148" spans="1:13" x14ac:dyDescent="0.2">
      <c r="A148" s="21"/>
      <c r="B148" s="21"/>
      <c r="C148" s="21"/>
      <c r="D148" s="291" t="s">
        <v>445</v>
      </c>
      <c r="E148" s="373">
        <v>37.087000000000003</v>
      </c>
      <c r="F148" s="373">
        <v>45.174999999999997</v>
      </c>
      <c r="G148" s="373">
        <v>15.456</v>
      </c>
      <c r="H148" s="373">
        <v>25.154</v>
      </c>
      <c r="I148" s="373">
        <v>47.445999999999998</v>
      </c>
      <c r="J148" s="373">
        <v>22.6</v>
      </c>
      <c r="K148" s="373">
        <v>14</v>
      </c>
      <c r="L148" s="21"/>
      <c r="M148" s="21"/>
    </row>
    <row r="149" spans="1:13" x14ac:dyDescent="0.2">
      <c r="A149" s="21"/>
      <c r="B149" s="21"/>
      <c r="C149" s="21"/>
      <c r="D149" s="291" t="s">
        <v>446</v>
      </c>
      <c r="E149" s="373">
        <v>0.22500000000000001</v>
      </c>
      <c r="F149" s="373">
        <v>4.1050000000000004</v>
      </c>
      <c r="G149" s="373">
        <v>2.1349999999999998</v>
      </c>
      <c r="H149" s="373">
        <v>0</v>
      </c>
      <c r="I149" s="373">
        <v>1.345</v>
      </c>
      <c r="J149" s="373">
        <v>2.2999999999999998</v>
      </c>
      <c r="K149" s="373">
        <v>0</v>
      </c>
      <c r="L149" s="21"/>
      <c r="M149" s="21"/>
    </row>
    <row r="150" spans="1:13" x14ac:dyDescent="0.2">
      <c r="A150" s="21"/>
      <c r="B150" s="21"/>
      <c r="C150" s="21"/>
      <c r="D150" s="291" t="s">
        <v>452</v>
      </c>
      <c r="E150" s="373">
        <v>20.024000000000001</v>
      </c>
      <c r="F150" s="373">
        <v>13.226000000000001</v>
      </c>
      <c r="G150" s="373">
        <v>5.165</v>
      </c>
      <c r="H150" s="373">
        <v>0</v>
      </c>
      <c r="I150" s="373">
        <v>0</v>
      </c>
      <c r="J150" s="373">
        <v>0</v>
      </c>
      <c r="K150" s="373">
        <v>0</v>
      </c>
      <c r="L150" s="21"/>
      <c r="M150" s="21"/>
    </row>
    <row r="151" spans="1:13" x14ac:dyDescent="0.2">
      <c r="A151" s="21"/>
      <c r="B151" s="21"/>
      <c r="C151" s="21"/>
      <c r="D151" s="291" t="s">
        <v>463</v>
      </c>
      <c r="E151" s="373">
        <v>10.907999999999999</v>
      </c>
      <c r="F151" s="373">
        <v>13.423999999999999</v>
      </c>
      <c r="G151" s="373">
        <v>2.661</v>
      </c>
      <c r="H151" s="373">
        <v>0.14199999999999999</v>
      </c>
      <c r="I151" s="373">
        <v>7.0000000000000007E-2</v>
      </c>
      <c r="J151" s="373">
        <v>0</v>
      </c>
      <c r="K151" s="373">
        <v>0</v>
      </c>
      <c r="L151" s="21"/>
      <c r="M151" s="21"/>
    </row>
    <row r="152" spans="1:13" x14ac:dyDescent="0.2">
      <c r="A152" s="21"/>
      <c r="B152" s="21"/>
      <c r="C152" s="21"/>
      <c r="D152" s="291" t="s">
        <v>470</v>
      </c>
      <c r="E152" s="373">
        <v>0.91600000000000004</v>
      </c>
      <c r="F152" s="373">
        <v>0.51600000000000001</v>
      </c>
      <c r="G152" s="373">
        <v>0.15</v>
      </c>
      <c r="H152" s="373">
        <v>0</v>
      </c>
      <c r="I152" s="373">
        <v>0</v>
      </c>
      <c r="J152" s="373">
        <v>0</v>
      </c>
      <c r="K152" s="373">
        <v>0</v>
      </c>
      <c r="L152" s="21"/>
      <c r="M152" s="21"/>
    </row>
    <row r="153" spans="1:13" x14ac:dyDescent="0.2">
      <c r="A153" s="21"/>
      <c r="B153" s="21"/>
      <c r="C153" s="21"/>
      <c r="D153" s="291" t="s">
        <v>465</v>
      </c>
      <c r="E153" s="373">
        <v>2.6480000000000001</v>
      </c>
      <c r="F153" s="373">
        <v>4.5599999999999996</v>
      </c>
      <c r="G153" s="373">
        <v>6.0000000000000001E-3</v>
      </c>
      <c r="H153" s="373">
        <v>6.9999999999999999E-4</v>
      </c>
      <c r="I153" s="373">
        <v>0</v>
      </c>
      <c r="J153" s="373">
        <v>0</v>
      </c>
      <c r="K153" s="373">
        <v>0</v>
      </c>
      <c r="L153" s="21"/>
      <c r="M153" s="21" t="s">
        <v>494</v>
      </c>
    </row>
    <row r="154" spans="1:13" s="28" customFormat="1" ht="15.75" x14ac:dyDescent="0.25">
      <c r="A154" s="11"/>
      <c r="B154" s="11"/>
      <c r="C154" s="11"/>
      <c r="D154" s="303" t="s">
        <v>447</v>
      </c>
      <c r="E154" s="373"/>
      <c r="F154" s="373"/>
      <c r="G154" s="373"/>
      <c r="H154" s="373"/>
      <c r="I154" s="373"/>
      <c r="J154" s="373"/>
      <c r="K154" s="373"/>
      <c r="L154" s="11"/>
      <c r="M154" s="11"/>
    </row>
    <row r="155" spans="1:13" x14ac:dyDescent="0.2">
      <c r="A155" s="21"/>
      <c r="B155" s="21"/>
      <c r="C155" s="21"/>
      <c r="D155" s="291" t="s">
        <v>445</v>
      </c>
      <c r="E155" s="373">
        <v>0</v>
      </c>
      <c r="F155" s="373">
        <v>2.1000000000000001E-2</v>
      </c>
      <c r="G155" s="373">
        <v>0</v>
      </c>
      <c r="H155" s="373">
        <v>1.5649999999999999</v>
      </c>
      <c r="I155" s="373">
        <v>9.1449999999999996</v>
      </c>
      <c r="J155" s="373">
        <v>0.2</v>
      </c>
      <c r="K155" s="373">
        <v>0.1</v>
      </c>
      <c r="L155" s="21"/>
      <c r="M155" s="21"/>
    </row>
    <row r="156" spans="1:13" x14ac:dyDescent="0.2">
      <c r="A156" s="21"/>
      <c r="B156" s="21"/>
      <c r="C156" s="21"/>
      <c r="D156" s="291" t="s">
        <v>466</v>
      </c>
      <c r="E156" s="373">
        <v>8.9749999999999996</v>
      </c>
      <c r="F156" s="373">
        <f>0.885</f>
        <v>0.88500000000000001</v>
      </c>
      <c r="G156" s="373">
        <f>0.632</f>
        <v>0.63200000000000001</v>
      </c>
      <c r="H156" s="373">
        <v>4.0000000000000002E-4</v>
      </c>
      <c r="I156" s="373">
        <v>0</v>
      </c>
      <c r="J156" s="373">
        <v>0</v>
      </c>
      <c r="K156" s="373">
        <v>0</v>
      </c>
      <c r="L156" s="21"/>
      <c r="M156" s="21"/>
    </row>
    <row r="157" spans="1:13" x14ac:dyDescent="0.2">
      <c r="A157" s="21"/>
      <c r="B157" s="21"/>
      <c r="C157" s="21"/>
      <c r="D157" s="291" t="s">
        <v>472</v>
      </c>
      <c r="E157" s="373">
        <f>1.352</f>
        <v>1.3520000000000001</v>
      </c>
      <c r="F157" s="373">
        <v>0</v>
      </c>
      <c r="G157" s="373">
        <v>0.53</v>
      </c>
      <c r="H157" s="373">
        <v>0</v>
      </c>
      <c r="I157" s="373">
        <v>0</v>
      </c>
      <c r="J157" s="373">
        <v>0</v>
      </c>
      <c r="K157" s="373">
        <v>0</v>
      </c>
      <c r="L157" s="21"/>
      <c r="M157" s="21"/>
    </row>
    <row r="158" spans="1:13" x14ac:dyDescent="0.2">
      <c r="A158" s="21"/>
      <c r="B158" s="21"/>
      <c r="C158" s="21"/>
      <c r="D158" s="291" t="s">
        <v>470</v>
      </c>
      <c r="E158" s="373">
        <f>4.647+0.194+1.121</f>
        <v>5.9619999999999997</v>
      </c>
      <c r="F158" s="373">
        <f>0.793+0.034+0.049</f>
        <v>0.87600000000000011</v>
      </c>
      <c r="G158" s="373">
        <v>4.5119999999999996</v>
      </c>
      <c r="H158" s="373">
        <v>0</v>
      </c>
      <c r="I158" s="373">
        <v>0</v>
      </c>
      <c r="J158" s="373">
        <v>0</v>
      </c>
      <c r="K158" s="373">
        <v>0</v>
      </c>
      <c r="L158" s="21"/>
      <c r="M158" s="21"/>
    </row>
    <row r="159" spans="1:13" x14ac:dyDescent="0.2">
      <c r="A159" s="21"/>
      <c r="B159" s="21"/>
      <c r="C159" s="21"/>
      <c r="D159" s="291" t="s">
        <v>465</v>
      </c>
      <c r="E159" s="373">
        <f>0.567+0.527</f>
        <v>1.0939999999999999</v>
      </c>
      <c r="F159" s="373">
        <v>1.522</v>
      </c>
      <c r="G159" s="373" t="s">
        <v>74</v>
      </c>
      <c r="H159" s="373">
        <v>0</v>
      </c>
      <c r="I159" s="373">
        <v>0</v>
      </c>
      <c r="J159" s="373">
        <v>0</v>
      </c>
      <c r="K159" s="373">
        <v>0</v>
      </c>
      <c r="L159" s="21"/>
      <c r="M159" s="21"/>
    </row>
    <row r="160" spans="1:13" x14ac:dyDescent="0.2">
      <c r="A160" s="21"/>
      <c r="B160" s="21"/>
      <c r="C160" s="21"/>
      <c r="D160" s="291" t="s">
        <v>471</v>
      </c>
      <c r="E160" s="373">
        <v>1.016</v>
      </c>
      <c r="F160" s="373">
        <v>1.0089999999999999</v>
      </c>
      <c r="G160" s="373" t="s">
        <v>74</v>
      </c>
      <c r="H160" s="373">
        <v>0</v>
      </c>
      <c r="I160" s="373">
        <v>0</v>
      </c>
      <c r="J160" s="373">
        <v>0</v>
      </c>
      <c r="K160" s="373">
        <v>0</v>
      </c>
      <c r="L160" s="21"/>
      <c r="M160" s="21"/>
    </row>
    <row r="161" spans="1:13" s="28" customFormat="1" ht="15.75" x14ac:dyDescent="0.25">
      <c r="A161" s="11"/>
      <c r="B161" s="11"/>
      <c r="C161" s="11"/>
      <c r="D161" s="303" t="s">
        <v>448</v>
      </c>
      <c r="E161" s="390">
        <v>0.22800000000000001</v>
      </c>
      <c r="F161" s="390">
        <v>1.2849999999999999</v>
      </c>
      <c r="G161" s="390">
        <v>2.1829999999999998</v>
      </c>
      <c r="H161" s="390">
        <v>5.9880000000000004</v>
      </c>
      <c r="I161" s="390">
        <v>0.59799999999999998</v>
      </c>
      <c r="J161" s="390">
        <v>0.5</v>
      </c>
      <c r="K161" s="390">
        <v>0</v>
      </c>
      <c r="L161" s="11"/>
      <c r="M161" s="11"/>
    </row>
    <row r="162" spans="1:13" ht="30" customHeight="1" x14ac:dyDescent="0.2">
      <c r="A162" s="21"/>
      <c r="B162" s="21"/>
      <c r="C162" s="21"/>
      <c r="D162" s="307" t="s">
        <v>449</v>
      </c>
      <c r="E162" s="374">
        <f t="shared" ref="E162:J162" si="24">SUM(E147:E161)</f>
        <v>90.434999999999988</v>
      </c>
      <c r="F162" s="374">
        <f t="shared" si="24"/>
        <v>86.604000000000028</v>
      </c>
      <c r="G162" s="374">
        <f t="shared" si="24"/>
        <v>33.430000000000007</v>
      </c>
      <c r="H162" s="374">
        <f t="shared" si="24"/>
        <v>32.850099999999998</v>
      </c>
      <c r="I162" s="374">
        <f t="shared" si="24"/>
        <v>58.603999999999999</v>
      </c>
      <c r="J162" s="374">
        <f t="shared" si="24"/>
        <v>25.6</v>
      </c>
      <c r="K162" s="374">
        <f>SUM(K147:K161)</f>
        <v>14.1</v>
      </c>
      <c r="L162" s="21"/>
      <c r="M162" s="21"/>
    </row>
    <row r="163" spans="1:13" ht="15.75" outlineLevel="1" x14ac:dyDescent="0.25">
      <c r="A163" s="21"/>
      <c r="B163" s="21"/>
      <c r="C163" s="21"/>
      <c r="D163" s="309" t="s">
        <v>474</v>
      </c>
      <c r="E163" s="386">
        <f t="shared" ref="E163:K163" si="25">E11-E162</f>
        <v>6.0000000000144382E-3</v>
      </c>
      <c r="F163" s="386">
        <f t="shared" si="25"/>
        <v>4.9999999999670308E-3</v>
      </c>
      <c r="G163" s="386">
        <f t="shared" si="25"/>
        <v>3.9999999999906777E-3</v>
      </c>
      <c r="H163" s="386">
        <f t="shared" si="25"/>
        <v>9.0000000000145519E-4</v>
      </c>
      <c r="I163" s="386">
        <f t="shared" si="25"/>
        <v>2.0000000000024443E-3</v>
      </c>
      <c r="J163" s="386">
        <f t="shared" si="25"/>
        <v>0</v>
      </c>
      <c r="K163" s="386">
        <f t="shared" si="25"/>
        <v>0</v>
      </c>
      <c r="L163" s="21"/>
      <c r="M163" s="21"/>
    </row>
    <row r="164" spans="1:13" x14ac:dyDescent="0.2">
      <c r="A164" s="21"/>
      <c r="B164" s="21"/>
      <c r="C164" s="21"/>
      <c r="D164" s="291"/>
      <c r="E164" s="373"/>
      <c r="F164" s="373"/>
      <c r="G164" s="373"/>
      <c r="H164" s="373"/>
      <c r="I164" s="373"/>
      <c r="J164" s="373"/>
      <c r="K164" s="373"/>
      <c r="L164" s="21"/>
      <c r="M164" s="21"/>
    </row>
    <row r="165" spans="1:13" x14ac:dyDescent="0.2">
      <c r="A165" s="21"/>
      <c r="B165" s="21"/>
      <c r="C165" s="21"/>
      <c r="D165" s="291"/>
      <c r="E165" s="373"/>
      <c r="F165" s="373"/>
      <c r="G165" s="373"/>
      <c r="H165" s="373"/>
      <c r="I165" s="373"/>
      <c r="J165" s="373"/>
      <c r="K165" s="373"/>
      <c r="L165" s="21"/>
      <c r="M165" s="21"/>
    </row>
    <row r="166" spans="1:13" ht="15.75" x14ac:dyDescent="0.25">
      <c r="A166" s="21"/>
      <c r="B166" s="21"/>
      <c r="C166" s="21"/>
      <c r="D166" s="324" t="s">
        <v>450</v>
      </c>
      <c r="E166" s="387" t="s">
        <v>348</v>
      </c>
      <c r="F166" s="387"/>
      <c r="G166" s="387"/>
      <c r="H166" s="387"/>
      <c r="I166" s="387"/>
      <c r="J166" s="387"/>
      <c r="K166" s="387"/>
      <c r="L166" s="21"/>
      <c r="M166" s="21"/>
    </row>
    <row r="167" spans="1:13" x14ac:dyDescent="0.2">
      <c r="A167" s="21"/>
      <c r="B167" s="21"/>
      <c r="C167" s="21"/>
      <c r="D167" s="306" t="s">
        <v>286</v>
      </c>
      <c r="E167" s="301">
        <f t="shared" ref="E167:J167" si="26">E7</f>
        <v>2009</v>
      </c>
      <c r="F167" s="301">
        <f t="shared" si="26"/>
        <v>2010</v>
      </c>
      <c r="G167" s="301">
        <f t="shared" si="26"/>
        <v>2011</v>
      </c>
      <c r="H167" s="301">
        <f t="shared" si="26"/>
        <v>2012</v>
      </c>
      <c r="I167" s="301">
        <f t="shared" si="26"/>
        <v>2013</v>
      </c>
      <c r="J167" s="301">
        <f t="shared" si="26"/>
        <v>2014</v>
      </c>
      <c r="K167" s="301">
        <f>K7</f>
        <v>2015</v>
      </c>
      <c r="L167" s="21"/>
      <c r="M167" s="21"/>
    </row>
    <row r="168" spans="1:13" x14ac:dyDescent="0.2">
      <c r="A168" s="21"/>
      <c r="B168" s="21"/>
      <c r="C168" s="21"/>
      <c r="D168" s="291" t="s">
        <v>467</v>
      </c>
      <c r="E168" s="373" t="s">
        <v>74</v>
      </c>
      <c r="F168" s="373">
        <f>5.226+3.055</f>
        <v>8.2810000000000006</v>
      </c>
      <c r="G168" s="373" t="s">
        <v>74</v>
      </c>
      <c r="H168" s="373">
        <f>11.059+0.996</f>
        <v>12.055</v>
      </c>
      <c r="I168" s="373">
        <f>13.417+0.512</f>
        <v>13.929</v>
      </c>
      <c r="J168" s="373">
        <v>5.8</v>
      </c>
      <c r="K168" s="373" t="s">
        <v>74</v>
      </c>
      <c r="L168" s="21"/>
      <c r="M168" s="21"/>
    </row>
    <row r="169" spans="1:13" x14ac:dyDescent="0.2">
      <c r="A169" s="21"/>
      <c r="B169" s="21"/>
      <c r="C169" s="21"/>
      <c r="D169" s="291" t="s">
        <v>466</v>
      </c>
      <c r="E169" s="373">
        <v>0.35</v>
      </c>
      <c r="F169" s="373">
        <v>4.6440000000000001</v>
      </c>
      <c r="G169" s="373" t="s">
        <v>74</v>
      </c>
      <c r="H169" s="373" t="s">
        <v>74</v>
      </c>
      <c r="I169" s="373" t="s">
        <v>74</v>
      </c>
      <c r="J169" s="373" t="s">
        <v>74</v>
      </c>
      <c r="K169" s="373" t="s">
        <v>74</v>
      </c>
      <c r="L169" s="21"/>
      <c r="M169" s="21"/>
    </row>
    <row r="170" spans="1:13" x14ac:dyDescent="0.2">
      <c r="A170" s="21"/>
      <c r="B170" s="21"/>
      <c r="C170" s="21"/>
      <c r="D170" s="291" t="s">
        <v>471</v>
      </c>
      <c r="E170" s="373">
        <v>2.9220000000000002</v>
      </c>
      <c r="F170" s="373">
        <v>4.2709999999999999</v>
      </c>
      <c r="G170" s="373" t="s">
        <v>74</v>
      </c>
      <c r="H170" s="373" t="s">
        <v>74</v>
      </c>
      <c r="I170" s="373" t="s">
        <v>74</v>
      </c>
      <c r="J170" s="373" t="s">
        <v>74</v>
      </c>
      <c r="K170" s="373" t="s">
        <v>74</v>
      </c>
      <c r="L170" s="21"/>
      <c r="M170" s="21"/>
    </row>
    <row r="171" spans="1:13" x14ac:dyDescent="0.2">
      <c r="A171" s="21"/>
      <c r="B171" s="21"/>
      <c r="C171" s="21"/>
      <c r="D171" s="291" t="s">
        <v>452</v>
      </c>
      <c r="E171" s="373" t="s">
        <v>74</v>
      </c>
      <c r="F171" s="373">
        <v>3.2930000000000001</v>
      </c>
      <c r="G171" s="373" t="s">
        <v>74</v>
      </c>
      <c r="H171" s="373" t="s">
        <v>74</v>
      </c>
      <c r="I171" s="373" t="s">
        <v>74</v>
      </c>
      <c r="J171" s="373" t="s">
        <v>74</v>
      </c>
      <c r="K171" s="373" t="s">
        <v>74</v>
      </c>
      <c r="L171" s="21"/>
      <c r="M171" s="21"/>
    </row>
    <row r="172" spans="1:13" x14ac:dyDescent="0.2">
      <c r="A172" s="21"/>
      <c r="B172" s="21"/>
      <c r="C172" s="21"/>
      <c r="D172" s="291" t="s">
        <v>463</v>
      </c>
      <c r="E172" s="373">
        <v>1.6629</v>
      </c>
      <c r="F172" s="373">
        <v>1.2649999999999999</v>
      </c>
      <c r="G172" s="373" t="s">
        <v>74</v>
      </c>
      <c r="H172" s="373" t="s">
        <v>74</v>
      </c>
      <c r="I172" s="373" t="s">
        <v>74</v>
      </c>
      <c r="J172" s="373" t="s">
        <v>74</v>
      </c>
      <c r="K172" s="373" t="s">
        <v>74</v>
      </c>
      <c r="L172" s="21"/>
      <c r="M172" s="21"/>
    </row>
    <row r="173" spans="1:13" x14ac:dyDescent="0.2">
      <c r="A173" s="21"/>
      <c r="B173" s="21"/>
      <c r="C173" s="21"/>
      <c r="D173" s="291" t="s">
        <v>465</v>
      </c>
      <c r="E173" s="373" t="s">
        <v>74</v>
      </c>
      <c r="F173" s="373">
        <v>0.22500000000000001</v>
      </c>
      <c r="G173" s="373" t="s">
        <v>74</v>
      </c>
      <c r="H173" s="373" t="s">
        <v>74</v>
      </c>
      <c r="I173" s="373" t="s">
        <v>74</v>
      </c>
      <c r="J173" s="373" t="s">
        <v>74</v>
      </c>
      <c r="K173" s="373" t="s">
        <v>74</v>
      </c>
      <c r="L173" s="21"/>
      <c r="M173" s="21"/>
    </row>
    <row r="174" spans="1:13" s="28" customFormat="1" ht="31.5" x14ac:dyDescent="0.25">
      <c r="A174" s="11"/>
      <c r="B174" s="11"/>
      <c r="C174" s="11"/>
      <c r="D174" s="303" t="s">
        <v>449</v>
      </c>
      <c r="E174" s="390">
        <f t="shared" ref="E174:J174" si="27">SUM(E168:E173)</f>
        <v>4.9349000000000007</v>
      </c>
      <c r="F174" s="390">
        <f t="shared" si="27"/>
        <v>21.979000000000003</v>
      </c>
      <c r="G174" s="390">
        <f t="shared" si="27"/>
        <v>0</v>
      </c>
      <c r="H174" s="390">
        <f t="shared" si="27"/>
        <v>12.055</v>
      </c>
      <c r="I174" s="390">
        <f t="shared" si="27"/>
        <v>13.929</v>
      </c>
      <c r="J174" s="390">
        <f t="shared" si="27"/>
        <v>5.8</v>
      </c>
      <c r="K174" s="390">
        <f>SUM(K168:K173)</f>
        <v>0</v>
      </c>
      <c r="L174" s="11"/>
      <c r="M174" s="11"/>
    </row>
    <row r="175" spans="1:13" x14ac:dyDescent="0.2">
      <c r="A175" s="21"/>
      <c r="B175" s="21"/>
      <c r="C175" s="21"/>
      <c r="D175" s="317" t="s">
        <v>452</v>
      </c>
      <c r="E175" s="392" t="s">
        <v>74</v>
      </c>
      <c r="F175" s="392" t="s">
        <v>74</v>
      </c>
      <c r="G175" s="392">
        <v>0.38100000000000001</v>
      </c>
      <c r="H175" s="392">
        <v>5.569</v>
      </c>
      <c r="I175" s="392" t="s">
        <v>74</v>
      </c>
      <c r="J175" s="392">
        <v>10.1</v>
      </c>
      <c r="K175" s="392" t="s">
        <v>74</v>
      </c>
      <c r="L175" s="21"/>
      <c r="M175" s="21"/>
    </row>
    <row r="176" spans="1:13" s="28" customFormat="1" ht="31.5" x14ac:dyDescent="0.25">
      <c r="A176" s="11"/>
      <c r="B176" s="11"/>
      <c r="C176" s="11"/>
      <c r="D176" s="326" t="s">
        <v>453</v>
      </c>
      <c r="E176" s="393">
        <f t="shared" ref="E176:J176" si="28">SUM(E175)</f>
        <v>0</v>
      </c>
      <c r="F176" s="393">
        <f t="shared" si="28"/>
        <v>0</v>
      </c>
      <c r="G176" s="393">
        <f t="shared" si="28"/>
        <v>0.38100000000000001</v>
      </c>
      <c r="H176" s="393">
        <f t="shared" si="28"/>
        <v>5.569</v>
      </c>
      <c r="I176" s="393">
        <f t="shared" si="28"/>
        <v>0</v>
      </c>
      <c r="J176" s="393">
        <f t="shared" si="28"/>
        <v>10.1</v>
      </c>
      <c r="K176" s="393">
        <f>SUM(K175)</f>
        <v>0</v>
      </c>
      <c r="L176" s="11"/>
      <c r="M176" s="11"/>
    </row>
    <row r="177" spans="1:13" x14ac:dyDescent="0.2">
      <c r="A177" s="21"/>
      <c r="B177" s="21"/>
      <c r="C177" s="21"/>
      <c r="D177" s="291" t="s">
        <v>452</v>
      </c>
      <c r="E177" s="373" t="s">
        <v>74</v>
      </c>
      <c r="F177" s="373" t="s">
        <v>74</v>
      </c>
      <c r="G177" s="373">
        <v>175.53800000000001</v>
      </c>
      <c r="H177" s="373">
        <f>244.755</f>
        <v>244.755</v>
      </c>
      <c r="I177" s="373">
        <v>259.21600000000001</v>
      </c>
      <c r="J177" s="373">
        <v>265.60000000000002</v>
      </c>
      <c r="K177" s="373">
        <v>126.7</v>
      </c>
      <c r="L177" s="21"/>
      <c r="M177" s="21"/>
    </row>
    <row r="178" spans="1:13" x14ac:dyDescent="0.2">
      <c r="A178" s="21"/>
      <c r="B178" s="21"/>
      <c r="C178" s="21"/>
      <c r="D178" s="291" t="s">
        <v>456</v>
      </c>
      <c r="E178" s="373" t="s">
        <v>74</v>
      </c>
      <c r="F178" s="373">
        <v>16.1919</v>
      </c>
      <c r="G178" s="373">
        <v>9.3279999999999994</v>
      </c>
      <c r="H178" s="373">
        <v>0.71699999999999997</v>
      </c>
      <c r="I178" s="373" t="s">
        <v>74</v>
      </c>
      <c r="J178" s="373" t="s">
        <v>74</v>
      </c>
      <c r="K178" s="373" t="s">
        <v>74</v>
      </c>
      <c r="L178" s="21"/>
      <c r="M178" s="21"/>
    </row>
    <row r="179" spans="1:13" s="28" customFormat="1" ht="15.75" x14ac:dyDescent="0.25">
      <c r="A179" s="11"/>
      <c r="B179" s="11"/>
      <c r="C179" s="11"/>
      <c r="D179" s="303" t="s">
        <v>431</v>
      </c>
      <c r="E179" s="390">
        <f t="shared" ref="E179:J179" si="29">SUM(E177:E178)</f>
        <v>0</v>
      </c>
      <c r="F179" s="390">
        <f t="shared" si="29"/>
        <v>16.1919</v>
      </c>
      <c r="G179" s="390">
        <f t="shared" si="29"/>
        <v>184.86600000000001</v>
      </c>
      <c r="H179" s="390">
        <f t="shared" si="29"/>
        <v>245.47200000000001</v>
      </c>
      <c r="I179" s="390">
        <f t="shared" si="29"/>
        <v>259.21600000000001</v>
      </c>
      <c r="J179" s="390">
        <f t="shared" si="29"/>
        <v>265.60000000000002</v>
      </c>
      <c r="K179" s="390">
        <f>SUM(K177:K178)</f>
        <v>126.7</v>
      </c>
      <c r="L179" s="11"/>
      <c r="M179" s="11"/>
    </row>
    <row r="180" spans="1:13" ht="31.5" customHeight="1" x14ac:dyDescent="0.2">
      <c r="A180" s="21"/>
      <c r="B180" s="21"/>
      <c r="C180" s="21"/>
      <c r="D180" s="307" t="s">
        <v>454</v>
      </c>
      <c r="E180" s="374">
        <f t="shared" ref="E180:J180" si="30">SUM(E174,E176,E179)</f>
        <v>4.9349000000000007</v>
      </c>
      <c r="F180" s="374">
        <f t="shared" si="30"/>
        <v>38.170900000000003</v>
      </c>
      <c r="G180" s="374">
        <f t="shared" si="30"/>
        <v>185.24700000000001</v>
      </c>
      <c r="H180" s="374">
        <f t="shared" si="30"/>
        <v>263.096</v>
      </c>
      <c r="I180" s="374">
        <f t="shared" si="30"/>
        <v>273.14499999999998</v>
      </c>
      <c r="J180" s="374">
        <f t="shared" si="30"/>
        <v>281.5</v>
      </c>
      <c r="K180" s="374">
        <f>SUM(K174,K176,K179)</f>
        <v>126.7</v>
      </c>
      <c r="L180" s="21"/>
      <c r="M180" s="21"/>
    </row>
    <row r="181" spans="1:13" ht="15.75" outlineLevel="1" x14ac:dyDescent="0.25">
      <c r="A181" s="21"/>
      <c r="B181" s="21"/>
      <c r="C181" s="21"/>
      <c r="D181" s="309" t="s">
        <v>474</v>
      </c>
      <c r="E181" s="386">
        <f t="shared" ref="E181:K181" si="31">E12-E180</f>
        <v>1.0999999999992127E-3</v>
      </c>
      <c r="F181" s="386">
        <f t="shared" si="31"/>
        <v>4.0999999999939973E-3</v>
      </c>
      <c r="G181" s="386">
        <f t="shared" si="31"/>
        <v>0</v>
      </c>
      <c r="H181" s="386">
        <f t="shared" si="31"/>
        <v>2.0000000000095497E-3</v>
      </c>
      <c r="I181" s="386">
        <f t="shared" si="31"/>
        <v>0</v>
      </c>
      <c r="J181" s="386">
        <f t="shared" si="31"/>
        <v>0</v>
      </c>
      <c r="K181" s="386">
        <f t="shared" si="31"/>
        <v>0</v>
      </c>
      <c r="L181" s="21"/>
      <c r="M181" s="21"/>
    </row>
    <row r="182" spans="1:13" x14ac:dyDescent="0.2">
      <c r="A182" s="21"/>
      <c r="B182" s="21"/>
      <c r="C182" s="21"/>
      <c r="D182" s="291"/>
      <c r="E182" s="373"/>
      <c r="F182" s="373"/>
      <c r="G182" s="373"/>
      <c r="H182" s="373"/>
      <c r="I182" s="373"/>
      <c r="J182" s="373"/>
      <c r="K182" s="373"/>
      <c r="L182" s="21"/>
      <c r="M182" s="21"/>
    </row>
    <row r="183" spans="1:13" x14ac:dyDescent="0.2">
      <c r="A183" s="21"/>
      <c r="B183" s="21"/>
      <c r="C183" s="21"/>
      <c r="E183" s="387"/>
      <c r="F183" s="387"/>
      <c r="G183" s="387"/>
      <c r="H183" s="387"/>
      <c r="I183" s="387"/>
      <c r="J183" s="387"/>
      <c r="K183" s="387"/>
      <c r="L183" s="21"/>
      <c r="M183" s="21"/>
    </row>
    <row r="184" spans="1:13" ht="15.75" x14ac:dyDescent="0.25">
      <c r="A184" s="21"/>
      <c r="B184" s="21"/>
      <c r="C184" s="21"/>
      <c r="D184" s="324" t="s">
        <v>338</v>
      </c>
      <c r="E184" s="387" t="s">
        <v>348</v>
      </c>
      <c r="F184" s="387"/>
      <c r="G184" s="387"/>
      <c r="H184" s="387"/>
      <c r="I184" s="387"/>
      <c r="J184" s="387"/>
      <c r="K184" s="387"/>
      <c r="L184" s="21"/>
      <c r="M184" s="21"/>
    </row>
    <row r="185" spans="1:13" x14ac:dyDescent="0.2">
      <c r="A185" s="21"/>
      <c r="B185" s="21"/>
      <c r="C185" s="21"/>
      <c r="D185" s="306" t="s">
        <v>286</v>
      </c>
      <c r="E185" s="301">
        <f t="shared" ref="E185:J185" si="32">E7</f>
        <v>2009</v>
      </c>
      <c r="F185" s="301">
        <f t="shared" si="32"/>
        <v>2010</v>
      </c>
      <c r="G185" s="301">
        <f t="shared" si="32"/>
        <v>2011</v>
      </c>
      <c r="H185" s="301">
        <f t="shared" si="32"/>
        <v>2012</v>
      </c>
      <c r="I185" s="301">
        <f t="shared" si="32"/>
        <v>2013</v>
      </c>
      <c r="J185" s="301">
        <f t="shared" si="32"/>
        <v>2014</v>
      </c>
      <c r="K185" s="301">
        <f>K7</f>
        <v>2015</v>
      </c>
      <c r="L185" s="21"/>
      <c r="M185" s="21"/>
    </row>
    <row r="186" spans="1:13" ht="15.75" x14ac:dyDescent="0.25">
      <c r="A186" s="21"/>
      <c r="B186" s="21"/>
      <c r="C186" s="21"/>
      <c r="D186" s="303" t="s">
        <v>421</v>
      </c>
      <c r="E186" s="387"/>
      <c r="F186" s="387"/>
      <c r="G186" s="387"/>
      <c r="H186" s="387"/>
      <c r="I186" s="387"/>
      <c r="J186" s="387"/>
      <c r="K186" s="387"/>
      <c r="L186" s="21"/>
      <c r="M186" s="21"/>
    </row>
    <row r="187" spans="1:13" x14ac:dyDescent="0.2">
      <c r="A187" s="21"/>
      <c r="B187" s="21"/>
      <c r="C187" s="21"/>
      <c r="D187" s="291" t="s">
        <v>456</v>
      </c>
      <c r="E187" s="373">
        <v>455.358</v>
      </c>
      <c r="F187" s="373">
        <v>525.52800000000002</v>
      </c>
      <c r="G187" s="373">
        <v>553.18100000000004</v>
      </c>
      <c r="H187" s="373">
        <v>620.78499999999997</v>
      </c>
      <c r="I187" s="373">
        <v>719.16899999999998</v>
      </c>
      <c r="J187" s="373">
        <v>761.6</v>
      </c>
      <c r="K187" s="373">
        <v>686.1</v>
      </c>
      <c r="L187" s="21"/>
      <c r="M187" s="21"/>
    </row>
    <row r="188" spans="1:13" x14ac:dyDescent="0.2">
      <c r="A188" s="21"/>
      <c r="B188" s="21"/>
      <c r="C188" s="21"/>
      <c r="D188" s="291" t="s">
        <v>422</v>
      </c>
      <c r="E188" s="373">
        <v>38.340000000000003</v>
      </c>
      <c r="F188" s="373">
        <v>33.427</v>
      </c>
      <c r="G188" s="373">
        <v>44.567999999999998</v>
      </c>
      <c r="H188" s="373">
        <v>101.505</v>
      </c>
      <c r="I188" s="373">
        <v>208.059</v>
      </c>
      <c r="J188" s="373">
        <v>362.7</v>
      </c>
      <c r="K188" s="373">
        <v>158.4</v>
      </c>
      <c r="L188" s="21"/>
      <c r="M188" s="21"/>
    </row>
    <row r="189" spans="1:13" x14ac:dyDescent="0.2">
      <c r="A189" s="21"/>
      <c r="B189" s="21"/>
      <c r="C189" s="21"/>
      <c r="D189" s="291" t="s">
        <v>423</v>
      </c>
      <c r="E189" s="373">
        <v>18.577999999999999</v>
      </c>
      <c r="F189" s="373">
        <v>4.6070000000000002</v>
      </c>
      <c r="G189" s="373">
        <v>116.595</v>
      </c>
      <c r="H189" s="373">
        <v>45.594000000000001</v>
      </c>
      <c r="I189" s="373">
        <v>8.8000000000000007</v>
      </c>
      <c r="J189" s="373">
        <v>9</v>
      </c>
      <c r="K189" s="373">
        <v>146.19999999999999</v>
      </c>
      <c r="L189" s="21"/>
      <c r="M189" s="21"/>
    </row>
    <row r="190" spans="1:13" x14ac:dyDescent="0.2">
      <c r="A190" s="21"/>
      <c r="B190" s="21"/>
      <c r="C190" s="21"/>
      <c r="D190" s="291" t="s">
        <v>468</v>
      </c>
      <c r="E190" s="373">
        <v>0.89900000000000002</v>
      </c>
      <c r="F190" s="373">
        <v>10.907</v>
      </c>
      <c r="G190" s="373">
        <v>0.129</v>
      </c>
      <c r="H190" s="373">
        <v>11.811999999999999</v>
      </c>
      <c r="I190" s="373">
        <v>14.157999999999999</v>
      </c>
      <c r="J190" s="373">
        <v>0</v>
      </c>
      <c r="K190" s="373">
        <v>0</v>
      </c>
      <c r="L190" s="21"/>
      <c r="M190" s="21"/>
    </row>
    <row r="191" spans="1:13" s="322" customFormat="1" ht="21" customHeight="1" x14ac:dyDescent="0.25">
      <c r="A191" s="320"/>
      <c r="B191" s="320"/>
      <c r="C191" s="320"/>
      <c r="D191" s="321" t="s">
        <v>424</v>
      </c>
      <c r="E191" s="392">
        <f t="shared" ref="E191:J191" si="33">SUM(E187:E190)</f>
        <v>513.17499999999995</v>
      </c>
      <c r="F191" s="392">
        <f t="shared" si="33"/>
        <v>574.46900000000005</v>
      </c>
      <c r="G191" s="392">
        <f t="shared" si="33"/>
        <v>714.47300000000007</v>
      </c>
      <c r="H191" s="392">
        <f t="shared" si="33"/>
        <v>779.69600000000003</v>
      </c>
      <c r="I191" s="392">
        <f t="shared" si="33"/>
        <v>950.18599999999992</v>
      </c>
      <c r="J191" s="392">
        <f t="shared" si="33"/>
        <v>1133.3</v>
      </c>
      <c r="K191" s="392">
        <f>SUM(K187:K190)</f>
        <v>990.7</v>
      </c>
      <c r="L191" s="320"/>
      <c r="M191" s="320"/>
    </row>
    <row r="192" spans="1:13" x14ac:dyDescent="0.2">
      <c r="A192" s="21"/>
      <c r="B192" s="21"/>
      <c r="C192" s="21"/>
      <c r="D192" s="291"/>
      <c r="E192" s="387"/>
      <c r="F192" s="387"/>
      <c r="G192" s="387"/>
      <c r="H192" s="387"/>
      <c r="I192" s="387"/>
      <c r="J192" s="387"/>
      <c r="K192" s="387"/>
      <c r="L192" s="21"/>
      <c r="M192" s="21"/>
    </row>
    <row r="193" spans="1:13" ht="15.75" x14ac:dyDescent="0.25">
      <c r="A193" s="21"/>
      <c r="B193" s="21"/>
      <c r="C193" s="21"/>
      <c r="D193" s="303" t="s">
        <v>129</v>
      </c>
      <c r="E193" s="387"/>
      <c r="F193" s="387"/>
      <c r="G193" s="387"/>
      <c r="H193" s="387"/>
      <c r="I193" s="387"/>
      <c r="J193" s="387"/>
      <c r="K193" s="387"/>
      <c r="L193" s="21"/>
      <c r="M193" s="21"/>
    </row>
    <row r="194" spans="1:13" x14ac:dyDescent="0.2">
      <c r="A194" s="21"/>
      <c r="B194" s="21"/>
      <c r="C194" s="21"/>
      <c r="D194" s="291" t="s">
        <v>425</v>
      </c>
      <c r="E194" s="373">
        <v>43.194000000000003</v>
      </c>
      <c r="F194" s="373">
        <v>40.119</v>
      </c>
      <c r="G194" s="373">
        <v>43.872</v>
      </c>
      <c r="H194" s="373">
        <v>69.935000000000002</v>
      </c>
      <c r="I194" s="373">
        <v>109.17400000000001</v>
      </c>
      <c r="J194" s="373">
        <v>159</v>
      </c>
      <c r="K194" s="373">
        <v>184.5</v>
      </c>
      <c r="L194" s="21"/>
      <c r="M194" s="21"/>
    </row>
    <row r="195" spans="1:13" x14ac:dyDescent="0.2">
      <c r="A195" s="21"/>
      <c r="B195" s="21"/>
      <c r="C195" s="21"/>
      <c r="D195" s="291" t="s">
        <v>426</v>
      </c>
      <c r="E195" s="373">
        <v>27.477</v>
      </c>
      <c r="F195" s="373">
        <v>26.288</v>
      </c>
      <c r="G195" s="373">
        <v>21.460999999999999</v>
      </c>
      <c r="H195" s="373">
        <v>19.55</v>
      </c>
      <c r="I195" s="373">
        <v>47.866</v>
      </c>
      <c r="J195" s="373">
        <v>69</v>
      </c>
      <c r="K195" s="373">
        <v>82.1</v>
      </c>
      <c r="L195" s="21"/>
      <c r="M195" s="21"/>
    </row>
    <row r="196" spans="1:13" x14ac:dyDescent="0.2">
      <c r="A196" s="21"/>
      <c r="B196" s="21"/>
      <c r="C196" s="21"/>
      <c r="D196" s="291" t="s">
        <v>427</v>
      </c>
      <c r="E196" s="373">
        <v>5.8639999999999999</v>
      </c>
      <c r="F196" s="373">
        <v>5.7560000000000002</v>
      </c>
      <c r="G196" s="373">
        <v>4.3520000000000003</v>
      </c>
      <c r="H196" s="373">
        <v>0</v>
      </c>
      <c r="I196" s="373">
        <v>0</v>
      </c>
      <c r="J196" s="373">
        <v>13.2</v>
      </c>
      <c r="K196" s="373">
        <v>17.399999999999999</v>
      </c>
      <c r="L196" s="21"/>
      <c r="M196" s="21"/>
    </row>
    <row r="197" spans="1:13" x14ac:dyDescent="0.2">
      <c r="A197" s="21"/>
      <c r="B197" s="21"/>
      <c r="C197" s="21"/>
      <c r="D197" s="291" t="s">
        <v>428</v>
      </c>
      <c r="E197" s="373">
        <v>10.426</v>
      </c>
      <c r="F197" s="373">
        <v>6.0709999999999997</v>
      </c>
      <c r="G197" s="373">
        <v>3.2949999999999999</v>
      </c>
      <c r="H197" s="373">
        <v>2.2320000000000002</v>
      </c>
      <c r="I197" s="373">
        <v>1.954</v>
      </c>
      <c r="J197" s="373">
        <v>2.2999999999999998</v>
      </c>
      <c r="K197" s="373">
        <v>1.8</v>
      </c>
      <c r="L197" s="21"/>
      <c r="M197" s="21"/>
    </row>
    <row r="198" spans="1:13" x14ac:dyDescent="0.2">
      <c r="A198" s="21"/>
      <c r="B198" s="21"/>
      <c r="C198" s="21"/>
      <c r="D198" s="291" t="s">
        <v>294</v>
      </c>
      <c r="E198" s="373">
        <f>1.23+0.101</f>
        <v>1.331</v>
      </c>
      <c r="F198" s="373">
        <f>1.291+0.212</f>
        <v>1.5029999999999999</v>
      </c>
      <c r="G198" s="373">
        <f>1.26+0.246+0.12</f>
        <v>1.6259999999999999</v>
      </c>
      <c r="H198" s="373">
        <v>5.4349999999999996</v>
      </c>
      <c r="I198" s="373">
        <v>13.025</v>
      </c>
      <c r="J198" s="373">
        <v>0</v>
      </c>
      <c r="K198" s="373">
        <v>0</v>
      </c>
      <c r="L198" s="21"/>
      <c r="M198" s="21"/>
    </row>
    <row r="199" spans="1:13" s="322" customFormat="1" ht="21" customHeight="1" x14ac:dyDescent="0.25">
      <c r="A199" s="320"/>
      <c r="B199" s="320"/>
      <c r="C199" s="320"/>
      <c r="D199" s="332" t="s">
        <v>429</v>
      </c>
      <c r="E199" s="394">
        <f t="shared" ref="E199:J199" si="34">SUM(E194:E198)</f>
        <v>88.292000000000016</v>
      </c>
      <c r="F199" s="394">
        <f t="shared" si="34"/>
        <v>79.736999999999995</v>
      </c>
      <c r="G199" s="394">
        <f t="shared" si="34"/>
        <v>74.606000000000009</v>
      </c>
      <c r="H199" s="394">
        <f t="shared" si="34"/>
        <v>97.152000000000001</v>
      </c>
      <c r="I199" s="394">
        <f t="shared" si="34"/>
        <v>172.01900000000003</v>
      </c>
      <c r="J199" s="394">
        <f t="shared" si="34"/>
        <v>243.5</v>
      </c>
      <c r="K199" s="394">
        <f>SUM(K194:K198)</f>
        <v>285.8</v>
      </c>
      <c r="L199" s="320"/>
      <c r="M199" s="320"/>
    </row>
    <row r="200" spans="1:13" s="292" customFormat="1" ht="32.25" customHeight="1" x14ac:dyDescent="0.25">
      <c r="A200" s="297"/>
      <c r="B200" s="297"/>
      <c r="C200" s="297"/>
      <c r="D200" s="307" t="s">
        <v>442</v>
      </c>
      <c r="E200" s="374">
        <f>SUM(E191,E199)</f>
        <v>601.46699999999998</v>
      </c>
      <c r="F200" s="374">
        <f t="shared" ref="F200:K200" si="35">SUM(F191,F199)</f>
        <v>654.20600000000002</v>
      </c>
      <c r="G200" s="374">
        <f t="shared" si="35"/>
        <v>789.07900000000006</v>
      </c>
      <c r="H200" s="374">
        <f t="shared" si="35"/>
        <v>876.84800000000007</v>
      </c>
      <c r="I200" s="374">
        <f t="shared" si="35"/>
        <v>1122.2049999999999</v>
      </c>
      <c r="J200" s="374">
        <f t="shared" si="35"/>
        <v>1376.8</v>
      </c>
      <c r="K200" s="374">
        <f t="shared" si="35"/>
        <v>1276.5</v>
      </c>
      <c r="L200" s="297"/>
      <c r="M200" s="297"/>
    </row>
    <row r="201" spans="1:13" s="319" customFormat="1" ht="29.25" customHeight="1" x14ac:dyDescent="0.25">
      <c r="A201" s="318"/>
      <c r="B201" s="318"/>
      <c r="C201" s="318"/>
      <c r="D201" s="323" t="s">
        <v>430</v>
      </c>
      <c r="E201" s="394">
        <v>-43.305599999999998</v>
      </c>
      <c r="F201" s="394">
        <v>-148.53389999999999</v>
      </c>
      <c r="G201" s="394">
        <v>-255.34700000000001</v>
      </c>
      <c r="H201" s="394">
        <v>-226.85599999999999</v>
      </c>
      <c r="I201" s="394">
        <v>-213.14699999999999</v>
      </c>
      <c r="J201" s="394">
        <v>-280.5</v>
      </c>
      <c r="K201" s="394">
        <v>-322.10000000000002</v>
      </c>
      <c r="L201" s="318"/>
      <c r="M201" s="318"/>
    </row>
    <row r="202" spans="1:13" s="292" customFormat="1" ht="32.25" customHeight="1" x14ac:dyDescent="0.25">
      <c r="A202" s="297"/>
      <c r="B202" s="297"/>
      <c r="C202" s="297"/>
      <c r="D202" s="307" t="s">
        <v>443</v>
      </c>
      <c r="E202" s="374">
        <f>SUM(E200:E201)</f>
        <v>558.16139999999996</v>
      </c>
      <c r="F202" s="374">
        <f t="shared" ref="F202:K202" si="36">SUM(F200:F201)</f>
        <v>505.6721</v>
      </c>
      <c r="G202" s="374">
        <f t="shared" si="36"/>
        <v>533.73200000000008</v>
      </c>
      <c r="H202" s="374">
        <f t="shared" si="36"/>
        <v>649.99200000000008</v>
      </c>
      <c r="I202" s="374">
        <f t="shared" si="36"/>
        <v>909.05799999999999</v>
      </c>
      <c r="J202" s="374">
        <f t="shared" si="36"/>
        <v>1096.3</v>
      </c>
      <c r="K202" s="374">
        <f t="shared" si="36"/>
        <v>954.4</v>
      </c>
      <c r="L202" s="297"/>
      <c r="M202" s="297"/>
    </row>
    <row r="203" spans="1:13" ht="15.75" outlineLevel="1" x14ac:dyDescent="0.25">
      <c r="A203" s="21"/>
      <c r="B203" s="21"/>
      <c r="C203" s="21"/>
      <c r="D203" s="309" t="s">
        <v>474</v>
      </c>
      <c r="E203" s="386">
        <f t="shared" ref="E203:K203" si="37">E14-E202</f>
        <v>3.6000000000058208E-3</v>
      </c>
      <c r="F203" s="386">
        <f t="shared" si="37"/>
        <v>4.7900000000026921E-2</v>
      </c>
      <c r="G203" s="386">
        <f t="shared" si="37"/>
        <v>2.9999999999290594E-3</v>
      </c>
      <c r="H203" s="386">
        <f t="shared" si="37"/>
        <v>1.9999999999527063E-3</v>
      </c>
      <c r="I203" s="386">
        <f t="shared" si="37"/>
        <v>3.0000000000427463E-3</v>
      </c>
      <c r="J203" s="386">
        <f t="shared" si="37"/>
        <v>0</v>
      </c>
      <c r="K203" s="386">
        <f t="shared" si="37"/>
        <v>0</v>
      </c>
      <c r="L203" s="21"/>
      <c r="M203" s="21"/>
    </row>
    <row r="204" spans="1:13" x14ac:dyDescent="0.2">
      <c r="A204" s="21"/>
      <c r="B204" s="21"/>
      <c r="C204" s="21"/>
      <c r="D204" s="291"/>
      <c r="E204" s="387"/>
      <c r="F204" s="387"/>
      <c r="G204" s="387"/>
      <c r="H204" s="387"/>
      <c r="I204" s="387"/>
      <c r="J204" s="387"/>
      <c r="K204" s="387"/>
      <c r="L204" s="21"/>
      <c r="M204" s="21"/>
    </row>
    <row r="205" spans="1:13" x14ac:dyDescent="0.2">
      <c r="A205" s="21"/>
      <c r="B205" s="21"/>
      <c r="C205" s="21"/>
      <c r="D205" s="291"/>
      <c r="E205" s="387"/>
      <c r="F205" s="387"/>
      <c r="G205" s="387"/>
      <c r="H205" s="387"/>
      <c r="I205" s="387"/>
      <c r="J205" s="387"/>
      <c r="K205" s="387"/>
      <c r="L205" s="21"/>
      <c r="M205" s="21"/>
    </row>
    <row r="206" spans="1:13" ht="15.75" x14ac:dyDescent="0.25">
      <c r="A206" s="21"/>
      <c r="B206" s="21"/>
      <c r="C206" s="21"/>
      <c r="D206" s="324" t="s">
        <v>1005</v>
      </c>
      <c r="E206" s="387" t="s">
        <v>348</v>
      </c>
      <c r="F206" s="387"/>
      <c r="G206" s="387"/>
      <c r="H206" s="387"/>
      <c r="I206" s="387"/>
      <c r="J206" s="387"/>
      <c r="K206" s="387"/>
      <c r="L206" s="21"/>
      <c r="M206" s="21"/>
    </row>
    <row r="207" spans="1:13" x14ac:dyDescent="0.2">
      <c r="A207" s="21"/>
      <c r="B207" s="21"/>
      <c r="C207" s="21"/>
      <c r="D207" s="306" t="s">
        <v>286</v>
      </c>
      <c r="E207" s="301">
        <f t="shared" ref="E207:J207" si="38">E7</f>
        <v>2009</v>
      </c>
      <c r="F207" s="301">
        <f t="shared" si="38"/>
        <v>2010</v>
      </c>
      <c r="G207" s="301">
        <f t="shared" si="38"/>
        <v>2011</v>
      </c>
      <c r="H207" s="301">
        <f t="shared" si="38"/>
        <v>2012</v>
      </c>
      <c r="I207" s="301">
        <f t="shared" si="38"/>
        <v>2013</v>
      </c>
      <c r="J207" s="301">
        <f t="shared" si="38"/>
        <v>2014</v>
      </c>
      <c r="K207" s="301">
        <f>K7</f>
        <v>2015</v>
      </c>
      <c r="L207" s="21"/>
      <c r="M207" s="21"/>
    </row>
    <row r="208" spans="1:13" x14ac:dyDescent="0.2">
      <c r="A208" s="21"/>
      <c r="B208" s="21"/>
      <c r="C208" s="21"/>
      <c r="D208" s="291" t="s">
        <v>1006</v>
      </c>
      <c r="E208" s="373">
        <v>356.74700000000001</v>
      </c>
      <c r="F208" s="373">
        <v>303.95400000000001</v>
      </c>
      <c r="G208" s="373">
        <v>391.483</v>
      </c>
      <c r="H208" s="373">
        <v>509.55500000000001</v>
      </c>
      <c r="I208" s="373">
        <v>804.21600000000001</v>
      </c>
      <c r="J208" s="373">
        <v>897.2</v>
      </c>
      <c r="K208" s="373">
        <v>807.3</v>
      </c>
      <c r="L208" s="21"/>
      <c r="M208" s="21"/>
    </row>
    <row r="209" spans="1:13" x14ac:dyDescent="0.2">
      <c r="A209" s="21"/>
      <c r="B209" s="21"/>
      <c r="C209" s="21"/>
      <c r="D209" s="291" t="s">
        <v>1007</v>
      </c>
      <c r="E209" s="373">
        <v>137.51599999999999</v>
      </c>
      <c r="F209" s="373">
        <v>149.46199999999999</v>
      </c>
      <c r="G209" s="373">
        <v>110.489</v>
      </c>
      <c r="H209" s="373">
        <v>116.539</v>
      </c>
      <c r="I209" s="373">
        <v>82.295000000000002</v>
      </c>
      <c r="J209" s="373">
        <v>170.3</v>
      </c>
      <c r="K209" s="373">
        <v>123.2</v>
      </c>
      <c r="L209" s="21"/>
      <c r="M209" s="21"/>
    </row>
    <row r="210" spans="1:13" x14ac:dyDescent="0.2">
      <c r="A210" s="21"/>
      <c r="B210" s="21"/>
      <c r="C210" s="21"/>
      <c r="D210" s="291" t="s">
        <v>1008</v>
      </c>
      <c r="E210" s="373">
        <v>19.228999999999999</v>
      </c>
      <c r="F210" s="373">
        <v>28.37</v>
      </c>
      <c r="G210" s="373">
        <v>16.504999999999999</v>
      </c>
      <c r="H210" s="373">
        <v>14.795999999999999</v>
      </c>
      <c r="I210" s="373">
        <v>14.207000000000001</v>
      </c>
      <c r="J210" s="373">
        <v>19.7</v>
      </c>
      <c r="K210" s="373">
        <v>17.8</v>
      </c>
      <c r="L210" s="21"/>
      <c r="M210" s="21"/>
    </row>
    <row r="211" spans="1:13" x14ac:dyDescent="0.2">
      <c r="A211" s="21"/>
      <c r="B211" s="21"/>
      <c r="C211" s="21"/>
      <c r="D211" s="291" t="s">
        <v>1009</v>
      </c>
      <c r="E211" s="373">
        <f>20.995+23.71</f>
        <v>44.704999999999998</v>
      </c>
      <c r="F211" s="373">
        <v>23.931999999999999</v>
      </c>
      <c r="G211" s="373">
        <v>15.256</v>
      </c>
      <c r="H211" s="373">
        <v>9.1010000000000009</v>
      </c>
      <c r="I211" s="373">
        <v>8.3420000000000005</v>
      </c>
      <c r="J211" s="373">
        <v>9.1</v>
      </c>
      <c r="K211" s="373">
        <v>6.1</v>
      </c>
      <c r="L211" s="21"/>
      <c r="M211" s="21"/>
    </row>
    <row r="212" spans="1:13" s="292" customFormat="1" ht="32.25" customHeight="1" x14ac:dyDescent="0.25">
      <c r="A212" s="297"/>
      <c r="B212" s="297"/>
      <c r="C212" s="297"/>
      <c r="D212" s="307" t="s">
        <v>443</v>
      </c>
      <c r="E212" s="374">
        <f t="shared" ref="E212:J212" si="39">SUM(E208:E211)</f>
        <v>558.19700000000012</v>
      </c>
      <c r="F212" s="374">
        <f t="shared" si="39"/>
        <v>505.71800000000002</v>
      </c>
      <c r="G212" s="374">
        <f t="shared" si="39"/>
        <v>533.73299999999995</v>
      </c>
      <c r="H212" s="374">
        <f t="shared" si="39"/>
        <v>649.9910000000001</v>
      </c>
      <c r="I212" s="374">
        <f t="shared" si="39"/>
        <v>909.06</v>
      </c>
      <c r="J212" s="374">
        <f t="shared" si="39"/>
        <v>1096.3</v>
      </c>
      <c r="K212" s="374">
        <f>SUM(K208:K211)</f>
        <v>954.4</v>
      </c>
      <c r="L212" s="297"/>
      <c r="M212" s="297"/>
    </row>
    <row r="213" spans="1:13" ht="15.75" outlineLevel="1" x14ac:dyDescent="0.25">
      <c r="A213" s="21"/>
      <c r="B213" s="21"/>
      <c r="C213" s="21"/>
      <c r="D213" s="309" t="s">
        <v>474</v>
      </c>
      <c r="E213" s="386">
        <f t="shared" ref="E213:K213" si="40">E14-E212</f>
        <v>-3.2000000000152795E-2</v>
      </c>
      <c r="F213" s="386">
        <f t="shared" si="40"/>
        <v>2.0000000000095497E-3</v>
      </c>
      <c r="G213" s="386">
        <f t="shared" si="40"/>
        <v>2.0000000000663931E-3</v>
      </c>
      <c r="H213" s="386">
        <f t="shared" si="40"/>
        <v>2.9999999999290594E-3</v>
      </c>
      <c r="I213" s="386">
        <f t="shared" si="40"/>
        <v>1.00000000009004E-3</v>
      </c>
      <c r="J213" s="386">
        <f t="shared" si="40"/>
        <v>0</v>
      </c>
      <c r="K213" s="386">
        <f t="shared" si="40"/>
        <v>0</v>
      </c>
      <c r="L213" s="21"/>
      <c r="M213" s="21"/>
    </row>
    <row r="214" spans="1:13" x14ac:dyDescent="0.2">
      <c r="A214" s="21"/>
      <c r="B214" s="21"/>
      <c r="C214" s="21"/>
      <c r="D214" s="291"/>
      <c r="E214" s="387"/>
      <c r="F214" s="387"/>
      <c r="G214" s="387"/>
      <c r="H214" s="387"/>
      <c r="I214" s="387"/>
      <c r="J214" s="387"/>
      <c r="K214" s="387"/>
      <c r="L214" s="21"/>
      <c r="M214" s="21"/>
    </row>
    <row r="215" spans="1:13" x14ac:dyDescent="0.2">
      <c r="A215" s="21"/>
      <c r="B215" s="21"/>
      <c r="C215" s="21"/>
      <c r="D215" s="291"/>
      <c r="E215" s="387"/>
      <c r="F215" s="387"/>
      <c r="G215" s="387"/>
      <c r="H215" s="387"/>
      <c r="I215" s="387"/>
      <c r="J215" s="387"/>
      <c r="K215" s="387"/>
      <c r="L215" s="21"/>
      <c r="M215" s="21"/>
    </row>
    <row r="216" spans="1:13" ht="15.75" x14ac:dyDescent="0.25">
      <c r="A216" s="21"/>
      <c r="B216" s="21"/>
      <c r="C216" s="21"/>
      <c r="D216" s="324" t="s">
        <v>338</v>
      </c>
      <c r="E216" s="387" t="s">
        <v>348</v>
      </c>
      <c r="F216" s="387"/>
      <c r="G216" s="387"/>
      <c r="H216" s="387"/>
      <c r="I216" s="387"/>
      <c r="J216" s="387"/>
      <c r="K216" s="387"/>
      <c r="L216" s="21"/>
      <c r="M216" s="21"/>
    </row>
    <row r="217" spans="1:13" x14ac:dyDescent="0.2">
      <c r="A217" s="21"/>
      <c r="B217" s="21"/>
      <c r="C217" s="21"/>
      <c r="D217" s="306" t="s">
        <v>286</v>
      </c>
      <c r="E217" s="301">
        <f t="shared" ref="E217:J217" si="41">E7</f>
        <v>2009</v>
      </c>
      <c r="F217" s="301">
        <f t="shared" si="41"/>
        <v>2010</v>
      </c>
      <c r="G217" s="301">
        <f t="shared" si="41"/>
        <v>2011</v>
      </c>
      <c r="H217" s="301">
        <f t="shared" si="41"/>
        <v>2012</v>
      </c>
      <c r="I217" s="301">
        <f t="shared" si="41"/>
        <v>2013</v>
      </c>
      <c r="J217" s="301">
        <f t="shared" si="41"/>
        <v>2014</v>
      </c>
      <c r="K217" s="301">
        <f>K7</f>
        <v>2015</v>
      </c>
      <c r="L217" s="21"/>
      <c r="M217" s="21"/>
    </row>
    <row r="218" spans="1:13" x14ac:dyDescent="0.2">
      <c r="A218" s="21"/>
      <c r="B218" s="21"/>
      <c r="C218" s="21"/>
      <c r="D218" s="291" t="s">
        <v>307</v>
      </c>
      <c r="E218" s="373">
        <v>70.320999999999998</v>
      </c>
      <c r="F218" s="373">
        <v>63.991</v>
      </c>
      <c r="G218" s="373">
        <v>76.378</v>
      </c>
      <c r="H218" s="373">
        <v>142.62700000000001</v>
      </c>
      <c r="I218" s="373">
        <v>269.65899999999999</v>
      </c>
      <c r="J218" s="373">
        <v>368</v>
      </c>
      <c r="K218" s="373">
        <v>347.9</v>
      </c>
      <c r="L218" s="21"/>
      <c r="M218" s="21"/>
    </row>
    <row r="219" spans="1:13" x14ac:dyDescent="0.2">
      <c r="A219" s="21"/>
      <c r="B219" s="21"/>
      <c r="C219" s="21"/>
      <c r="D219" s="291" t="s">
        <v>432</v>
      </c>
      <c r="E219" s="373">
        <v>88.293999999999997</v>
      </c>
      <c r="F219" s="373">
        <v>79.739000000000004</v>
      </c>
      <c r="G219" s="373">
        <v>74.608000000000004</v>
      </c>
      <c r="H219" s="373">
        <v>97.153999999999996</v>
      </c>
      <c r="I219" s="373">
        <v>172.02099999999999</v>
      </c>
      <c r="J219" s="373">
        <v>243.5</v>
      </c>
      <c r="K219" s="373">
        <v>285.8</v>
      </c>
      <c r="L219" s="21"/>
      <c r="M219" s="21"/>
    </row>
    <row r="220" spans="1:13" x14ac:dyDescent="0.2">
      <c r="A220" s="21"/>
      <c r="B220" s="21"/>
      <c r="C220" s="21"/>
      <c r="D220" s="291" t="s">
        <v>433</v>
      </c>
      <c r="E220" s="373">
        <v>214.17400000000001</v>
      </c>
      <c r="F220" s="373">
        <v>281.46100000000001</v>
      </c>
      <c r="G220" s="373">
        <v>249.6</v>
      </c>
      <c r="H220" s="373">
        <v>153.09299999999999</v>
      </c>
      <c r="I220" s="373">
        <v>187.9</v>
      </c>
      <c r="J220" s="373">
        <v>236.9</v>
      </c>
      <c r="K220" s="373">
        <v>231.2</v>
      </c>
      <c r="L220" s="21"/>
      <c r="M220" s="21"/>
    </row>
    <row r="221" spans="1:13" x14ac:dyDescent="0.2">
      <c r="A221" s="21"/>
      <c r="B221" s="21"/>
      <c r="C221" s="21"/>
      <c r="D221" s="291" t="s">
        <v>434</v>
      </c>
      <c r="E221" s="373">
        <v>18.577999999999999</v>
      </c>
      <c r="F221" s="373">
        <v>4.6059999999999999</v>
      </c>
      <c r="G221" s="373">
        <v>116.595</v>
      </c>
      <c r="H221" s="373">
        <v>45.594000000000001</v>
      </c>
      <c r="I221" s="373">
        <v>8.8000000000000007</v>
      </c>
      <c r="J221" s="373">
        <v>9</v>
      </c>
      <c r="K221" s="373">
        <v>146.19999999999999</v>
      </c>
      <c r="L221" s="21"/>
      <c r="M221" s="21"/>
    </row>
    <row r="222" spans="1:13" x14ac:dyDescent="0.2">
      <c r="A222" s="21"/>
      <c r="B222" s="21"/>
      <c r="C222" s="21"/>
      <c r="D222" s="291" t="s">
        <v>309</v>
      </c>
      <c r="E222" s="373">
        <v>32.345999999999997</v>
      </c>
      <c r="F222" s="373">
        <v>29.669</v>
      </c>
      <c r="G222" s="373">
        <v>65.58</v>
      </c>
      <c r="H222" s="373">
        <v>137.95699999999999</v>
      </c>
      <c r="I222" s="373">
        <v>192.05199999999999</v>
      </c>
      <c r="J222" s="373">
        <v>179.4</v>
      </c>
      <c r="K222" s="373">
        <v>90.1</v>
      </c>
      <c r="L222" s="21"/>
      <c r="M222" s="21"/>
    </row>
    <row r="223" spans="1:13" x14ac:dyDescent="0.2">
      <c r="A223" s="21"/>
      <c r="B223" s="21"/>
      <c r="C223" s="21"/>
      <c r="D223" s="291" t="s">
        <v>308</v>
      </c>
      <c r="E223" s="373">
        <v>17.494</v>
      </c>
      <c r="F223" s="373">
        <v>26.744</v>
      </c>
      <c r="G223" s="373">
        <v>26.207999999999998</v>
      </c>
      <c r="H223" s="373">
        <v>46.634</v>
      </c>
      <c r="I223" s="373">
        <v>43.697000000000003</v>
      </c>
      <c r="J223" s="373">
        <v>60.3</v>
      </c>
      <c r="K223" s="373">
        <v>40.4</v>
      </c>
      <c r="L223" s="21"/>
      <c r="M223" s="21"/>
    </row>
    <row r="224" spans="1:13" x14ac:dyDescent="0.2">
      <c r="A224" s="21"/>
      <c r="B224" s="21"/>
      <c r="C224" s="21"/>
      <c r="D224" s="291" t="s">
        <v>435</v>
      </c>
      <c r="E224" s="373">
        <v>54.738999999999997</v>
      </c>
      <c r="F224" s="373">
        <v>53.26</v>
      </c>
      <c r="G224" s="373">
        <v>72.620999999999995</v>
      </c>
      <c r="H224" s="373">
        <v>63.756</v>
      </c>
      <c r="I224" s="373">
        <v>49.521000000000001</v>
      </c>
      <c r="J224" s="373">
        <v>47.4</v>
      </c>
      <c r="K224" s="373">
        <v>33.6</v>
      </c>
      <c r="L224" s="21"/>
      <c r="M224" s="21"/>
    </row>
    <row r="225" spans="1:13" x14ac:dyDescent="0.2">
      <c r="A225" s="21"/>
      <c r="B225" s="21"/>
      <c r="C225" s="21"/>
      <c r="D225" s="334" t="s">
        <v>436</v>
      </c>
      <c r="E225" s="2198">
        <v>54.412999999999997</v>
      </c>
      <c r="F225" s="2198">
        <v>28.184000000000001</v>
      </c>
      <c r="G225" s="2198">
        <v>29.366</v>
      </c>
      <c r="H225" s="395">
        <v>33.896000000000001</v>
      </c>
      <c r="I225" s="395">
        <v>75.096999999999994</v>
      </c>
      <c r="J225" s="395">
        <v>47.8</v>
      </c>
      <c r="K225" s="395">
        <v>31</v>
      </c>
      <c r="L225" s="21"/>
      <c r="M225" s="21"/>
    </row>
    <row r="226" spans="1:13" x14ac:dyDescent="0.2">
      <c r="A226" s="21"/>
      <c r="B226" s="21"/>
      <c r="C226" s="21"/>
      <c r="D226" s="335" t="s">
        <v>441</v>
      </c>
      <c r="E226" s="2201"/>
      <c r="F226" s="2201"/>
      <c r="G226" s="2199"/>
      <c r="H226" s="396">
        <v>46.137999999999998</v>
      </c>
      <c r="I226" s="396">
        <v>39.838999999999999</v>
      </c>
      <c r="J226" s="396">
        <v>38.799999999999997</v>
      </c>
      <c r="K226" s="396">
        <v>2.8</v>
      </c>
      <c r="L226" s="21"/>
      <c r="M226" s="21"/>
    </row>
    <row r="227" spans="1:13" x14ac:dyDescent="0.2">
      <c r="A227" s="21"/>
      <c r="B227" s="21"/>
      <c r="C227" s="21"/>
      <c r="D227" s="291" t="s">
        <v>437</v>
      </c>
      <c r="E227" s="373">
        <v>20.504000000000001</v>
      </c>
      <c r="F227" s="373">
        <v>38.633000000000003</v>
      </c>
      <c r="G227" s="373">
        <v>41.997</v>
      </c>
      <c r="H227" s="373">
        <v>22.957000000000001</v>
      </c>
      <c r="I227" s="373">
        <v>21.814</v>
      </c>
      <c r="J227" s="373">
        <v>24.4</v>
      </c>
      <c r="K227" s="373">
        <v>21</v>
      </c>
      <c r="L227" s="21"/>
      <c r="M227" s="21"/>
    </row>
    <row r="228" spans="1:13" x14ac:dyDescent="0.2">
      <c r="A228" s="21"/>
      <c r="B228" s="21"/>
      <c r="C228" s="21"/>
      <c r="D228" s="291" t="s">
        <v>438</v>
      </c>
      <c r="E228" s="373">
        <v>9.3819999999999997</v>
      </c>
      <c r="F228" s="373">
        <v>13.03</v>
      </c>
      <c r="G228" s="373">
        <v>7.4470000000000001</v>
      </c>
      <c r="H228" s="373">
        <v>12.363</v>
      </c>
      <c r="I228" s="373">
        <v>14.076000000000001</v>
      </c>
      <c r="J228" s="373">
        <v>19.100000000000001</v>
      </c>
      <c r="K228" s="373">
        <v>8.3000000000000007</v>
      </c>
      <c r="L228" s="21"/>
      <c r="M228" s="21"/>
    </row>
    <row r="229" spans="1:13" x14ac:dyDescent="0.2">
      <c r="A229" s="21"/>
      <c r="B229" s="21"/>
      <c r="C229" s="21"/>
      <c r="D229" s="291" t="s">
        <v>439</v>
      </c>
      <c r="E229" s="373">
        <v>1.5229999999999999</v>
      </c>
      <c r="F229" s="373">
        <v>3.306</v>
      </c>
      <c r="G229" s="373">
        <v>3.3420000000000001</v>
      </c>
      <c r="H229" s="373">
        <v>3.581</v>
      </c>
      <c r="I229" s="373">
        <v>4.2359999999999998</v>
      </c>
      <c r="J229" s="373">
        <v>5.9</v>
      </c>
      <c r="K229" s="373">
        <v>6.3</v>
      </c>
      <c r="L229" s="21"/>
      <c r="M229" s="21"/>
    </row>
    <row r="230" spans="1:13" x14ac:dyDescent="0.2">
      <c r="A230" s="21"/>
      <c r="B230" s="21"/>
      <c r="C230" s="21"/>
      <c r="D230" s="291" t="s">
        <v>440</v>
      </c>
      <c r="E230" s="2196">
        <v>19.698</v>
      </c>
      <c r="F230" s="2196">
        <v>31.625</v>
      </c>
      <c r="G230" s="2196">
        <v>25.335000000000001</v>
      </c>
      <c r="H230" s="373">
        <v>54.347000000000001</v>
      </c>
      <c r="I230" s="373">
        <v>6.0110000000000001</v>
      </c>
      <c r="J230" s="373">
        <v>62.1</v>
      </c>
      <c r="K230" s="373">
        <v>5.3</v>
      </c>
      <c r="L230" s="21"/>
      <c r="M230" s="21"/>
    </row>
    <row r="231" spans="1:13" x14ac:dyDescent="0.2">
      <c r="A231" s="21"/>
      <c r="B231" s="21"/>
      <c r="C231" s="21"/>
      <c r="D231" s="291" t="s">
        <v>294</v>
      </c>
      <c r="E231" s="2200"/>
      <c r="F231" s="2200"/>
      <c r="G231" s="2200"/>
      <c r="H231" s="373">
        <v>16.751000000000001</v>
      </c>
      <c r="I231" s="373">
        <v>37.482999999999997</v>
      </c>
      <c r="J231" s="373">
        <v>34.200000000000003</v>
      </c>
      <c r="K231" s="373">
        <v>26.6</v>
      </c>
      <c r="L231" s="21"/>
      <c r="M231" s="21"/>
    </row>
    <row r="232" spans="1:13" ht="30" customHeight="1" x14ac:dyDescent="0.2">
      <c r="A232" s="21"/>
      <c r="B232" s="21"/>
      <c r="C232" s="21"/>
      <c r="D232" s="307" t="s">
        <v>442</v>
      </c>
      <c r="E232" s="374">
        <f t="shared" ref="E232:K232" si="42">SUM(E218:E231)</f>
        <v>601.46599999999989</v>
      </c>
      <c r="F232" s="374">
        <f t="shared" si="42"/>
        <v>654.24800000000005</v>
      </c>
      <c r="G232" s="374">
        <f t="shared" si="42"/>
        <v>789.077</v>
      </c>
      <c r="H232" s="374">
        <f t="shared" si="42"/>
        <v>876.84799999999984</v>
      </c>
      <c r="I232" s="374">
        <f t="shared" si="42"/>
        <v>1122.2059999999999</v>
      </c>
      <c r="J232" s="374">
        <f t="shared" si="42"/>
        <v>1376.8</v>
      </c>
      <c r="K232" s="374">
        <f t="shared" si="42"/>
        <v>1276.4999999999998</v>
      </c>
      <c r="L232" s="21"/>
      <c r="M232" s="21"/>
    </row>
    <row r="233" spans="1:13" ht="15.75" outlineLevel="1" x14ac:dyDescent="0.25">
      <c r="A233" s="21"/>
      <c r="B233" s="21"/>
      <c r="C233" s="21"/>
      <c r="D233" s="309" t="s">
        <v>458</v>
      </c>
      <c r="E233" s="386">
        <f t="shared" ref="E233:K233" si="43">E202-E201-E232</f>
        <v>1.00000000009004E-3</v>
      </c>
      <c r="F233" s="386">
        <f t="shared" si="43"/>
        <v>-4.2000000000030013E-2</v>
      </c>
      <c r="G233" s="386">
        <f t="shared" si="43"/>
        <v>2.0000000000663931E-3</v>
      </c>
      <c r="H233" s="386">
        <f t="shared" si="43"/>
        <v>0</v>
      </c>
      <c r="I233" s="386">
        <f t="shared" si="43"/>
        <v>-9.9999999997635314E-4</v>
      </c>
      <c r="J233" s="386">
        <f t="shared" si="43"/>
        <v>0</v>
      </c>
      <c r="K233" s="386">
        <f t="shared" si="43"/>
        <v>0</v>
      </c>
      <c r="L233" s="21"/>
      <c r="M233" s="21"/>
    </row>
    <row r="234" spans="1:13" x14ac:dyDescent="0.2">
      <c r="A234" s="21"/>
      <c r="B234" s="21"/>
      <c r="C234" s="21"/>
      <c r="D234" s="291"/>
      <c r="E234" s="387"/>
      <c r="F234" s="387"/>
      <c r="G234" s="387"/>
      <c r="H234" s="387"/>
      <c r="I234" s="387"/>
      <c r="J234" s="387"/>
      <c r="K234" s="387"/>
      <c r="L234" s="21"/>
      <c r="M234" s="21"/>
    </row>
    <row r="235" spans="1:13" x14ac:dyDescent="0.2">
      <c r="A235" s="21"/>
      <c r="B235" s="21"/>
      <c r="C235" s="21"/>
      <c r="D235" s="291"/>
      <c r="E235" s="387"/>
      <c r="F235" s="387"/>
      <c r="G235" s="387"/>
      <c r="H235" s="387"/>
      <c r="I235" s="387"/>
      <c r="J235" s="387"/>
      <c r="K235" s="387"/>
      <c r="L235" s="21"/>
      <c r="M235" s="21"/>
    </row>
    <row r="236" spans="1:13" ht="15.75" x14ac:dyDescent="0.25">
      <c r="A236" s="21"/>
      <c r="B236" s="21"/>
      <c r="C236" s="21"/>
      <c r="D236" s="324" t="s">
        <v>455</v>
      </c>
      <c r="E236" s="387" t="s">
        <v>348</v>
      </c>
      <c r="F236" s="387"/>
      <c r="G236" s="387"/>
      <c r="H236" s="387"/>
      <c r="I236" s="387"/>
      <c r="J236" s="387"/>
      <c r="K236" s="387"/>
      <c r="L236" s="21"/>
      <c r="M236" s="21"/>
    </row>
    <row r="237" spans="1:13" x14ac:dyDescent="0.2">
      <c r="A237" s="21"/>
      <c r="B237" s="21"/>
      <c r="C237" s="21"/>
      <c r="D237" s="306" t="s">
        <v>286</v>
      </c>
      <c r="E237" s="301">
        <f t="shared" ref="E237:J237" si="44">E7</f>
        <v>2009</v>
      </c>
      <c r="F237" s="301">
        <f t="shared" si="44"/>
        <v>2010</v>
      </c>
      <c r="G237" s="301">
        <f t="shared" si="44"/>
        <v>2011</v>
      </c>
      <c r="H237" s="301">
        <f t="shared" si="44"/>
        <v>2012</v>
      </c>
      <c r="I237" s="301">
        <f t="shared" si="44"/>
        <v>2013</v>
      </c>
      <c r="J237" s="301">
        <f t="shared" si="44"/>
        <v>2014</v>
      </c>
      <c r="K237" s="301">
        <f>K7</f>
        <v>2015</v>
      </c>
      <c r="L237" s="21"/>
      <c r="M237" s="21"/>
    </row>
    <row r="238" spans="1:13" ht="15.75" x14ac:dyDescent="0.25">
      <c r="A238" s="21"/>
      <c r="B238" s="21"/>
      <c r="C238" s="21"/>
      <c r="D238" s="303" t="s">
        <v>421</v>
      </c>
      <c r="E238" s="390"/>
      <c r="F238" s="390"/>
      <c r="G238" s="390"/>
      <c r="H238" s="390"/>
      <c r="I238" s="390"/>
      <c r="J238" s="390"/>
      <c r="K238" s="373"/>
      <c r="L238" s="21"/>
      <c r="M238" s="21"/>
    </row>
    <row r="239" spans="1:13" x14ac:dyDescent="0.2">
      <c r="A239" s="21"/>
      <c r="B239" s="21"/>
      <c r="C239" s="21"/>
      <c r="D239" s="291" t="s">
        <v>456</v>
      </c>
      <c r="E239" s="373">
        <v>-21.895</v>
      </c>
      <c r="F239" s="373">
        <v>-127.096</v>
      </c>
      <c r="G239" s="373">
        <v>-234.1</v>
      </c>
      <c r="H239" s="373">
        <v>-206.52199999999999</v>
      </c>
      <c r="I239" s="373">
        <v>-188.404</v>
      </c>
      <c r="J239" s="373">
        <v>-233.9</v>
      </c>
      <c r="K239" s="373">
        <v>-252.4</v>
      </c>
      <c r="L239" s="21"/>
      <c r="M239" s="21"/>
    </row>
    <row r="240" spans="1:13" x14ac:dyDescent="0.2">
      <c r="A240" s="21"/>
      <c r="B240" s="21"/>
      <c r="C240" s="21"/>
      <c r="D240" s="291" t="s">
        <v>422</v>
      </c>
      <c r="E240" s="373">
        <v>-7.8150000000000004</v>
      </c>
      <c r="F240" s="373">
        <v>-7.5380000000000003</v>
      </c>
      <c r="G240" s="373">
        <v>-8.3260000000000005</v>
      </c>
      <c r="H240" s="373">
        <v>-10.72</v>
      </c>
      <c r="I240" s="373">
        <v>-13.789</v>
      </c>
      <c r="J240" s="373">
        <v>-25.5</v>
      </c>
      <c r="K240" s="373">
        <v>-40.299999999999997</v>
      </c>
      <c r="L240" s="21"/>
      <c r="M240" s="21"/>
    </row>
    <row r="241" spans="1:13" x14ac:dyDescent="0.2">
      <c r="A241" s="21"/>
      <c r="B241" s="21"/>
      <c r="C241" s="21"/>
      <c r="D241" s="291" t="s">
        <v>423</v>
      </c>
      <c r="E241" s="373">
        <v>-9.4999999999999998E-3</v>
      </c>
      <c r="F241" s="373">
        <v>0</v>
      </c>
      <c r="G241" s="373">
        <v>-3.2000000000000001E-2</v>
      </c>
      <c r="H241" s="373">
        <v>-6.9000000000000006E-2</v>
      </c>
      <c r="I241" s="373">
        <v>0</v>
      </c>
      <c r="J241" s="373">
        <v>-0.1</v>
      </c>
      <c r="K241" s="373">
        <v>0</v>
      </c>
      <c r="L241" s="21"/>
      <c r="M241" s="21"/>
    </row>
    <row r="242" spans="1:13" x14ac:dyDescent="0.2">
      <c r="A242" s="21"/>
      <c r="B242" s="21"/>
      <c r="C242" s="21"/>
      <c r="D242" s="291" t="s">
        <v>468</v>
      </c>
      <c r="E242" s="373">
        <v>0</v>
      </c>
      <c r="F242" s="373">
        <v>0</v>
      </c>
      <c r="G242" s="373">
        <v>-4.0000000000000002E-4</v>
      </c>
      <c r="H242" s="373">
        <v>-5.8999999999999997E-2</v>
      </c>
      <c r="I242" s="373">
        <v>0</v>
      </c>
      <c r="J242" s="373">
        <v>0</v>
      </c>
      <c r="K242" s="373">
        <v>0</v>
      </c>
      <c r="L242" s="21"/>
      <c r="M242" s="21"/>
    </row>
    <row r="243" spans="1:13" x14ac:dyDescent="0.2">
      <c r="A243" s="21"/>
      <c r="B243" s="21"/>
      <c r="C243" s="21"/>
      <c r="D243" s="317" t="s">
        <v>457</v>
      </c>
      <c r="E243" s="392">
        <f t="shared" ref="E243:J243" si="45">SUM(E239:E242)</f>
        <v>-29.7195</v>
      </c>
      <c r="F243" s="392">
        <f t="shared" si="45"/>
        <v>-134.63400000000001</v>
      </c>
      <c r="G243" s="392">
        <f t="shared" si="45"/>
        <v>-242.45840000000001</v>
      </c>
      <c r="H243" s="392">
        <f t="shared" si="45"/>
        <v>-217.36999999999998</v>
      </c>
      <c r="I243" s="392">
        <f t="shared" si="45"/>
        <v>-202.19299999999998</v>
      </c>
      <c r="J243" s="392">
        <f t="shared" si="45"/>
        <v>-259.5</v>
      </c>
      <c r="K243" s="392">
        <f>SUM(K239:K242)</f>
        <v>-292.7</v>
      </c>
      <c r="L243" s="21"/>
      <c r="M243" s="21"/>
    </row>
    <row r="244" spans="1:13" s="331" customFormat="1" x14ac:dyDescent="0.2">
      <c r="A244" s="330"/>
      <c r="B244" s="330"/>
      <c r="C244" s="330"/>
      <c r="D244" s="333"/>
      <c r="E244" s="397"/>
      <c r="F244" s="397"/>
      <c r="G244" s="397"/>
      <c r="H244" s="397"/>
      <c r="I244" s="397"/>
      <c r="J244" s="397"/>
      <c r="K244" s="397"/>
      <c r="L244" s="330"/>
      <c r="M244" s="330"/>
    </row>
    <row r="245" spans="1:13" x14ac:dyDescent="0.2">
      <c r="A245" s="21"/>
      <c r="B245" s="21"/>
      <c r="C245" s="21"/>
      <c r="D245" s="291"/>
      <c r="E245" s="373"/>
      <c r="F245" s="373"/>
      <c r="G245" s="373"/>
      <c r="H245" s="373"/>
      <c r="I245" s="373"/>
      <c r="J245" s="373"/>
      <c r="K245" s="373"/>
      <c r="L245" s="21"/>
      <c r="M245" s="21"/>
    </row>
    <row r="246" spans="1:13" ht="15.75" x14ac:dyDescent="0.25">
      <c r="A246" s="21"/>
      <c r="B246" s="21"/>
      <c r="C246" s="21"/>
      <c r="D246" s="303" t="s">
        <v>129</v>
      </c>
      <c r="E246" s="373"/>
      <c r="F246" s="373"/>
      <c r="G246" s="373"/>
      <c r="H246" s="373"/>
      <c r="I246" s="373"/>
      <c r="J246" s="373"/>
      <c r="K246" s="373"/>
      <c r="L246" s="21"/>
      <c r="M246" s="21"/>
    </row>
    <row r="247" spans="1:13" x14ac:dyDescent="0.2">
      <c r="A247" s="21"/>
      <c r="B247" s="21"/>
      <c r="C247" s="21"/>
      <c r="D247" s="291" t="s">
        <v>425</v>
      </c>
      <c r="E247" s="373">
        <v>-8.3520000000000003</v>
      </c>
      <c r="F247" s="373">
        <v>-8.6039999999999992</v>
      </c>
      <c r="G247" s="373">
        <f>-8.535</f>
        <v>-8.5350000000000001</v>
      </c>
      <c r="H247" s="373">
        <v>-4.9640000000000004</v>
      </c>
      <c r="I247" s="373">
        <v>-7.4770000000000003</v>
      </c>
      <c r="J247" s="373">
        <v>-15.1</v>
      </c>
      <c r="K247" s="373">
        <v>-20.7</v>
      </c>
      <c r="L247" s="21"/>
      <c r="M247" s="21"/>
    </row>
    <row r="248" spans="1:13" x14ac:dyDescent="0.2">
      <c r="A248" s="21"/>
      <c r="B248" s="21"/>
      <c r="C248" s="21"/>
      <c r="D248" s="291" t="s">
        <v>426</v>
      </c>
      <c r="E248" s="373">
        <v>-1.345</v>
      </c>
      <c r="F248" s="373">
        <v>-1.62</v>
      </c>
      <c r="G248" s="373">
        <v>-1.258</v>
      </c>
      <c r="H248" s="373">
        <v>-1.357</v>
      </c>
      <c r="I248" s="373">
        <v>-1.111</v>
      </c>
      <c r="J248" s="373">
        <v>-2.2999999999999998</v>
      </c>
      <c r="K248" s="373">
        <v>-3.8</v>
      </c>
      <c r="L248" s="21"/>
      <c r="M248" s="21"/>
    </row>
    <row r="249" spans="1:13" x14ac:dyDescent="0.2">
      <c r="A249" s="21"/>
      <c r="B249" s="21"/>
      <c r="C249" s="21"/>
      <c r="D249" s="291" t="s">
        <v>427</v>
      </c>
      <c r="E249" s="373">
        <v>-1.3680000000000001</v>
      </c>
      <c r="F249" s="373">
        <v>-1.3560000000000001</v>
      </c>
      <c r="G249" s="373">
        <v>-1.1299999999999999</v>
      </c>
      <c r="H249" s="373">
        <v>-1.5009999999999999</v>
      </c>
      <c r="I249" s="373">
        <v>-1.1839999999999999</v>
      </c>
      <c r="J249" s="373">
        <v>-2.2999999999999998</v>
      </c>
      <c r="K249" s="373">
        <v>-3.5</v>
      </c>
      <c r="L249" s="21"/>
      <c r="M249" s="21"/>
    </row>
    <row r="250" spans="1:13" x14ac:dyDescent="0.2">
      <c r="A250" s="21"/>
      <c r="B250" s="21"/>
      <c r="C250" s="21"/>
      <c r="D250" s="291" t="s">
        <v>428</v>
      </c>
      <c r="E250" s="373">
        <v>-1.66</v>
      </c>
      <c r="F250" s="373">
        <v>-1.595</v>
      </c>
      <c r="G250" s="373">
        <v>-1.2410000000000001</v>
      </c>
      <c r="H250" s="373">
        <v>-1.091</v>
      </c>
      <c r="I250" s="373">
        <v>-0.89800000000000002</v>
      </c>
      <c r="J250" s="373">
        <v>-1.3</v>
      </c>
      <c r="K250" s="373">
        <v>-1.4</v>
      </c>
      <c r="L250" s="21"/>
      <c r="M250" s="21"/>
    </row>
    <row r="251" spans="1:13" x14ac:dyDescent="0.2">
      <c r="A251" s="21"/>
      <c r="B251" s="21"/>
      <c r="C251" s="21"/>
      <c r="D251" s="291" t="s">
        <v>294</v>
      </c>
      <c r="E251" s="373">
        <f>-0.839-0.019</f>
        <v>-0.85799999999999998</v>
      </c>
      <c r="F251" s="373">
        <f>-0.696-0.026</f>
        <v>-0.72199999999999998</v>
      </c>
      <c r="G251" s="373">
        <f>-0.678-0.043</f>
        <v>-0.72100000000000009</v>
      </c>
      <c r="H251" s="373">
        <f>-0.571</f>
        <v>-0.57099999999999995</v>
      </c>
      <c r="I251" s="373">
        <f>-0.266</f>
        <v>-0.26600000000000001</v>
      </c>
      <c r="J251" s="373" t="s">
        <v>74</v>
      </c>
      <c r="K251" s="373" t="s">
        <v>74</v>
      </c>
      <c r="L251" s="21"/>
      <c r="M251" s="21"/>
    </row>
    <row r="252" spans="1:13" ht="24" customHeight="1" x14ac:dyDescent="0.2">
      <c r="A252" s="21"/>
      <c r="B252" s="21"/>
      <c r="C252" s="21"/>
      <c r="D252" s="332" t="s">
        <v>459</v>
      </c>
      <c r="E252" s="394">
        <f t="shared" ref="E252:J252" si="46">SUM(E247:E251)</f>
        <v>-13.583000000000002</v>
      </c>
      <c r="F252" s="394">
        <f t="shared" si="46"/>
        <v>-13.897</v>
      </c>
      <c r="G252" s="394">
        <f t="shared" si="46"/>
        <v>-12.884999999999998</v>
      </c>
      <c r="H252" s="394">
        <f t="shared" si="46"/>
        <v>-9.484</v>
      </c>
      <c r="I252" s="394">
        <f t="shared" si="46"/>
        <v>-10.936</v>
      </c>
      <c r="J252" s="394">
        <f t="shared" si="46"/>
        <v>-21</v>
      </c>
      <c r="K252" s="394">
        <f>SUM(K247:K251)</f>
        <v>-29.4</v>
      </c>
      <c r="L252" s="21"/>
      <c r="M252" s="21"/>
    </row>
    <row r="253" spans="1:13" ht="27" customHeight="1" x14ac:dyDescent="0.2">
      <c r="A253" s="21"/>
      <c r="B253" s="21"/>
      <c r="C253" s="21"/>
      <c r="D253" s="307" t="s">
        <v>460</v>
      </c>
      <c r="E253" s="374">
        <f t="shared" ref="E253:J253" si="47">SUM(E243,E252)</f>
        <v>-43.302500000000002</v>
      </c>
      <c r="F253" s="374">
        <f t="shared" si="47"/>
        <v>-148.53100000000001</v>
      </c>
      <c r="G253" s="374">
        <f t="shared" si="47"/>
        <v>-255.3434</v>
      </c>
      <c r="H253" s="374">
        <f t="shared" si="47"/>
        <v>-226.85399999999998</v>
      </c>
      <c r="I253" s="374">
        <f t="shared" si="47"/>
        <v>-213.12899999999999</v>
      </c>
      <c r="J253" s="374">
        <f t="shared" si="47"/>
        <v>-280.5</v>
      </c>
      <c r="K253" s="374">
        <f>SUM(K243,K252)</f>
        <v>-322.09999999999997</v>
      </c>
      <c r="L253" s="21"/>
      <c r="M253" s="21"/>
    </row>
    <row r="254" spans="1:13" ht="15.75" outlineLevel="1" x14ac:dyDescent="0.25">
      <c r="A254" s="21"/>
      <c r="B254" s="21"/>
      <c r="C254" s="21"/>
      <c r="D254" s="309" t="s">
        <v>458</v>
      </c>
      <c r="E254" s="386">
        <f t="shared" ref="E254:K254" si="48">E201-E253</f>
        <v>-3.0999999999963279E-3</v>
      </c>
      <c r="F254" s="386">
        <f t="shared" si="48"/>
        <v>-2.8999999999825832E-3</v>
      </c>
      <c r="G254" s="386">
        <f t="shared" si="48"/>
        <v>-3.6000000000058208E-3</v>
      </c>
      <c r="H254" s="386">
        <f t="shared" si="48"/>
        <v>-2.0000000000095497E-3</v>
      </c>
      <c r="I254" s="386">
        <f t="shared" si="48"/>
        <v>-1.8000000000000682E-2</v>
      </c>
      <c r="J254" s="386">
        <f t="shared" si="48"/>
        <v>0</v>
      </c>
      <c r="K254" s="386">
        <f t="shared" si="48"/>
        <v>0</v>
      </c>
      <c r="L254" s="21"/>
      <c r="M254" s="21"/>
    </row>
    <row r="255" spans="1:13" x14ac:dyDescent="0.2">
      <c r="A255" s="21"/>
      <c r="B255" s="21"/>
      <c r="C255" s="21"/>
      <c r="D255" s="291"/>
      <c r="E255" s="387"/>
      <c r="F255" s="387"/>
      <c r="G255" s="387"/>
      <c r="H255" s="387"/>
      <c r="I255" s="387"/>
      <c r="J255" s="387"/>
      <c r="K255" s="387"/>
      <c r="L255" s="21"/>
      <c r="M255" s="21"/>
    </row>
    <row r="256" spans="1:13" x14ac:dyDescent="0.2">
      <c r="A256" s="21"/>
      <c r="B256" s="21"/>
      <c r="C256" s="21"/>
      <c r="D256" s="291"/>
      <c r="E256" s="387"/>
      <c r="F256" s="387"/>
      <c r="G256" s="387"/>
      <c r="H256" s="387"/>
      <c r="I256" s="387"/>
      <c r="J256" s="387"/>
      <c r="K256" s="387"/>
      <c r="L256" s="21"/>
      <c r="M256" s="21"/>
    </row>
    <row r="257" spans="1:13" ht="31.5" x14ac:dyDescent="0.25">
      <c r="A257" s="21"/>
      <c r="B257" s="21"/>
      <c r="C257" s="21"/>
      <c r="D257" s="324" t="s">
        <v>881</v>
      </c>
      <c r="E257" s="387" t="s">
        <v>348</v>
      </c>
      <c r="F257" s="387"/>
      <c r="G257" s="387"/>
      <c r="H257" s="387"/>
      <c r="I257" s="387"/>
      <c r="J257" s="387"/>
      <c r="K257" s="387"/>
      <c r="L257" s="21"/>
      <c r="M257" s="21"/>
    </row>
    <row r="258" spans="1:13" x14ac:dyDescent="0.2">
      <c r="A258" s="21"/>
      <c r="B258" s="21"/>
      <c r="C258" s="21"/>
      <c r="D258" s="306" t="s">
        <v>286</v>
      </c>
      <c r="E258" s="301">
        <f t="shared" ref="E258:J258" si="49">E7</f>
        <v>2009</v>
      </c>
      <c r="F258" s="301">
        <f t="shared" si="49"/>
        <v>2010</v>
      </c>
      <c r="G258" s="301">
        <f t="shared" si="49"/>
        <v>2011</v>
      </c>
      <c r="H258" s="301">
        <f t="shared" si="49"/>
        <v>2012</v>
      </c>
      <c r="I258" s="301">
        <f t="shared" si="49"/>
        <v>2013</v>
      </c>
      <c r="J258" s="301">
        <f t="shared" si="49"/>
        <v>2014</v>
      </c>
      <c r="K258" s="301">
        <f>K7</f>
        <v>2015</v>
      </c>
      <c r="L258" s="21"/>
      <c r="M258" s="21"/>
    </row>
    <row r="259" spans="1:13" ht="15.75" x14ac:dyDescent="0.25">
      <c r="A259" s="21"/>
      <c r="B259" s="21"/>
      <c r="C259" s="21"/>
      <c r="D259" s="303" t="s">
        <v>421</v>
      </c>
      <c r="E259" s="390"/>
      <c r="F259" s="390"/>
      <c r="G259" s="390"/>
      <c r="H259" s="390"/>
      <c r="I259" s="390"/>
      <c r="J259" s="390"/>
      <c r="K259" s="373"/>
      <c r="L259" s="21"/>
      <c r="M259" s="21"/>
    </row>
    <row r="260" spans="1:13" x14ac:dyDescent="0.2">
      <c r="A260" s="21"/>
      <c r="B260" s="21"/>
      <c r="C260" s="21"/>
      <c r="D260" s="291" t="s">
        <v>456</v>
      </c>
      <c r="E260" s="373"/>
      <c r="F260" s="373"/>
      <c r="G260" s="373">
        <f>77.934+52.16+2.725</f>
        <v>132.81899999999999</v>
      </c>
      <c r="H260" s="373">
        <f>8.312+2.11+197.73</f>
        <v>208.15199999999999</v>
      </c>
      <c r="I260" s="373">
        <f>3.572+3.186+0.697+173.773</f>
        <v>181.22800000000001</v>
      </c>
      <c r="J260" s="373">
        <f>4.2+1.2+3.9+218.2</f>
        <v>227.5</v>
      </c>
      <c r="K260" s="373">
        <f>1.4+55.5+1+249.4</f>
        <v>307.3</v>
      </c>
      <c r="L260" s="21"/>
      <c r="M260" s="21"/>
    </row>
    <row r="261" spans="1:13" x14ac:dyDescent="0.2">
      <c r="A261" s="21"/>
      <c r="B261" s="21"/>
      <c r="C261" s="21"/>
      <c r="D261" s="291" t="s">
        <v>422</v>
      </c>
      <c r="E261" s="373"/>
      <c r="F261" s="373"/>
      <c r="G261" s="373">
        <f>1.947+0.564</f>
        <v>2.5110000000000001</v>
      </c>
      <c r="H261" s="373">
        <f>0.007+0.054+8.554</f>
        <v>8.6150000000000002</v>
      </c>
      <c r="I261" s="373">
        <f>0.055+0.809+8.636</f>
        <v>9.5</v>
      </c>
      <c r="J261" s="373">
        <f>0.4+2.8+13.2</f>
        <v>16.399999999999999</v>
      </c>
      <c r="K261" s="373">
        <f>0.5+9.5+1.2+49.9</f>
        <v>61.099999999999994</v>
      </c>
      <c r="L261" s="21"/>
      <c r="M261" s="21"/>
    </row>
    <row r="262" spans="1:13" x14ac:dyDescent="0.2">
      <c r="A262" s="21"/>
      <c r="B262" s="21"/>
      <c r="C262" s="21"/>
      <c r="D262" s="291" t="s">
        <v>423</v>
      </c>
      <c r="E262" s="373"/>
      <c r="F262" s="373"/>
      <c r="G262" s="373">
        <v>0</v>
      </c>
      <c r="H262" s="373">
        <v>0</v>
      </c>
      <c r="I262" s="373">
        <v>0</v>
      </c>
      <c r="J262" s="373">
        <v>0</v>
      </c>
      <c r="K262" s="373">
        <v>0</v>
      </c>
      <c r="L262" s="21"/>
      <c r="M262" s="21"/>
    </row>
    <row r="263" spans="1:13" x14ac:dyDescent="0.2">
      <c r="A263" s="21"/>
      <c r="B263" s="21"/>
      <c r="C263" s="21"/>
      <c r="D263" s="291" t="s">
        <v>468</v>
      </c>
      <c r="E263" s="373"/>
      <c r="F263" s="373"/>
      <c r="G263" s="373">
        <v>0</v>
      </c>
      <c r="H263" s="373">
        <v>0</v>
      </c>
      <c r="I263" s="373">
        <v>0</v>
      </c>
      <c r="J263" s="373">
        <v>0</v>
      </c>
      <c r="K263" s="373">
        <v>0</v>
      </c>
      <c r="L263" s="21"/>
      <c r="M263" s="21"/>
    </row>
    <row r="264" spans="1:13" ht="34.5" customHeight="1" x14ac:dyDescent="0.2">
      <c r="A264" s="21"/>
      <c r="B264" s="21"/>
      <c r="C264" s="21"/>
      <c r="D264" s="321" t="s">
        <v>882</v>
      </c>
      <c r="E264" s="392">
        <f t="shared" ref="E264:J264" si="50">SUM(E260:E263)</f>
        <v>0</v>
      </c>
      <c r="F264" s="392">
        <f t="shared" si="50"/>
        <v>0</v>
      </c>
      <c r="G264" s="392">
        <f t="shared" si="50"/>
        <v>135.32999999999998</v>
      </c>
      <c r="H264" s="392">
        <f t="shared" si="50"/>
        <v>216.767</v>
      </c>
      <c r="I264" s="392">
        <f t="shared" si="50"/>
        <v>190.72800000000001</v>
      </c>
      <c r="J264" s="392">
        <f t="shared" si="50"/>
        <v>243.9</v>
      </c>
      <c r="K264" s="392">
        <f>SUM(K260:K263)</f>
        <v>368.4</v>
      </c>
      <c r="L264" s="21"/>
      <c r="M264" s="21"/>
    </row>
    <row r="265" spans="1:13" ht="34.5" customHeight="1" x14ac:dyDescent="0.2">
      <c r="A265" s="21"/>
      <c r="B265" s="21"/>
      <c r="C265" s="21"/>
      <c r="D265" s="321" t="s">
        <v>885</v>
      </c>
      <c r="E265" s="392"/>
      <c r="F265" s="392"/>
      <c r="G265" s="392">
        <f>-68.798-49.319-0.258</f>
        <v>-118.375</v>
      </c>
      <c r="H265" s="392">
        <f>-0.001-0.181-1.791-179.037</f>
        <v>-181.01000000000002</v>
      </c>
      <c r="I265" s="392">
        <f>-0.011-1.277-171.617</f>
        <v>-172.905</v>
      </c>
      <c r="J265" s="392">
        <f>-0.8-0.1-3.1-209.8</f>
        <v>-213.8</v>
      </c>
      <c r="K265" s="392">
        <f>-0.2-7-1.3-255.4</f>
        <v>-263.89999999999998</v>
      </c>
      <c r="L265" s="21"/>
      <c r="M265" s="21"/>
    </row>
    <row r="266" spans="1:13" ht="15.75" x14ac:dyDescent="0.25">
      <c r="A266" s="21"/>
      <c r="B266" s="21"/>
      <c r="C266" s="21"/>
      <c r="D266" s="303" t="s">
        <v>129</v>
      </c>
      <c r="E266" s="373"/>
      <c r="F266" s="373"/>
      <c r="G266" s="373"/>
      <c r="H266" s="373"/>
      <c r="I266" s="373"/>
      <c r="J266" s="373"/>
      <c r="K266" s="373"/>
      <c r="L266" s="21"/>
      <c r="M266" s="21"/>
    </row>
    <row r="267" spans="1:13" x14ac:dyDescent="0.2">
      <c r="A267" s="21"/>
      <c r="B267" s="21"/>
      <c r="C267" s="21"/>
      <c r="D267" s="291" t="s">
        <v>425</v>
      </c>
      <c r="E267" s="373"/>
      <c r="F267" s="373"/>
      <c r="G267" s="373">
        <f>0.047</f>
        <v>4.7E-2</v>
      </c>
      <c r="H267" s="373">
        <v>0.61499999999999999</v>
      </c>
      <c r="I267" s="373">
        <v>0</v>
      </c>
      <c r="J267" s="373">
        <v>0</v>
      </c>
      <c r="K267" s="373">
        <v>0</v>
      </c>
      <c r="L267" s="21"/>
      <c r="M267" s="21"/>
    </row>
    <row r="268" spans="1:13" x14ac:dyDescent="0.2">
      <c r="A268" s="21"/>
      <c r="B268" s="21"/>
      <c r="C268" s="21"/>
      <c r="D268" s="291" t="s">
        <v>426</v>
      </c>
      <c r="E268" s="373"/>
      <c r="F268" s="373"/>
      <c r="G268" s="373">
        <f>0.007+0.079</f>
        <v>8.6000000000000007E-2</v>
      </c>
      <c r="H268" s="373">
        <v>0</v>
      </c>
      <c r="I268" s="373">
        <v>4.0000000000000001E-3</v>
      </c>
      <c r="J268" s="373">
        <f>0.1+0.2</f>
        <v>0.30000000000000004</v>
      </c>
      <c r="K268" s="373">
        <f>0.3+0.3</f>
        <v>0.6</v>
      </c>
      <c r="L268" s="21"/>
      <c r="M268" s="21"/>
    </row>
    <row r="269" spans="1:13" x14ac:dyDescent="0.2">
      <c r="A269" s="21"/>
      <c r="B269" s="21"/>
      <c r="C269" s="21"/>
      <c r="D269" s="291" t="s">
        <v>427</v>
      </c>
      <c r="E269" s="373"/>
      <c r="F269" s="373"/>
      <c r="G269" s="373">
        <v>0</v>
      </c>
      <c r="H269" s="373">
        <v>0</v>
      </c>
      <c r="I269" s="373">
        <v>0</v>
      </c>
      <c r="J269" s="373">
        <v>0</v>
      </c>
      <c r="K269" s="373">
        <v>0</v>
      </c>
      <c r="L269" s="21"/>
      <c r="M269" s="21"/>
    </row>
    <row r="270" spans="1:13" x14ac:dyDescent="0.2">
      <c r="A270" s="21"/>
      <c r="B270" s="21"/>
      <c r="C270" s="21"/>
      <c r="D270" s="291" t="s">
        <v>428</v>
      </c>
      <c r="E270" s="373"/>
      <c r="F270" s="373"/>
      <c r="G270" s="373">
        <v>0</v>
      </c>
      <c r="H270" s="373">
        <v>0</v>
      </c>
      <c r="I270" s="373">
        <v>0</v>
      </c>
      <c r="J270" s="373">
        <v>0</v>
      </c>
      <c r="K270" s="373">
        <v>0</v>
      </c>
      <c r="L270" s="21"/>
      <c r="M270" s="21"/>
    </row>
    <row r="271" spans="1:13" x14ac:dyDescent="0.2">
      <c r="A271" s="21"/>
      <c r="B271" s="21"/>
      <c r="C271" s="21"/>
      <c r="D271" s="291" t="s">
        <v>294</v>
      </c>
      <c r="E271" s="373"/>
      <c r="F271" s="373"/>
      <c r="G271" s="373">
        <v>0</v>
      </c>
      <c r="H271" s="373">
        <v>8.9999999999999993E-3</v>
      </c>
      <c r="I271" s="373">
        <v>5.0000000000000001E-3</v>
      </c>
      <c r="J271" s="373">
        <v>0</v>
      </c>
      <c r="K271" s="373">
        <v>0</v>
      </c>
      <c r="L271" s="21"/>
      <c r="M271" s="21"/>
    </row>
    <row r="272" spans="1:13" s="322" customFormat="1" ht="37.5" customHeight="1" x14ac:dyDescent="0.25">
      <c r="A272" s="320"/>
      <c r="B272" s="320"/>
      <c r="C272" s="320"/>
      <c r="D272" s="321" t="s">
        <v>883</v>
      </c>
      <c r="E272" s="394">
        <f t="shared" ref="E272:J272" si="51">SUM(E267:E271)</f>
        <v>0</v>
      </c>
      <c r="F272" s="394">
        <f t="shared" si="51"/>
        <v>0</v>
      </c>
      <c r="G272" s="394">
        <f t="shared" si="51"/>
        <v>0.13300000000000001</v>
      </c>
      <c r="H272" s="394">
        <f t="shared" si="51"/>
        <v>0.624</v>
      </c>
      <c r="I272" s="394">
        <f t="shared" si="51"/>
        <v>9.0000000000000011E-3</v>
      </c>
      <c r="J272" s="394">
        <f t="shared" si="51"/>
        <v>0.30000000000000004</v>
      </c>
      <c r="K272" s="394">
        <f>SUM(K267:K271)</f>
        <v>0.6</v>
      </c>
      <c r="L272" s="320"/>
      <c r="M272" s="320"/>
    </row>
    <row r="273" spans="1:13" s="322" customFormat="1" ht="37.5" customHeight="1" x14ac:dyDescent="0.25">
      <c r="A273" s="320"/>
      <c r="B273" s="320"/>
      <c r="C273" s="320"/>
      <c r="D273" s="321" t="s">
        <v>886</v>
      </c>
      <c r="E273" s="394"/>
      <c r="F273" s="394"/>
      <c r="G273" s="394">
        <f>-0.0001</f>
        <v>-1E-4</v>
      </c>
      <c r="H273" s="394">
        <f>-0.035</f>
        <v>-3.5000000000000003E-2</v>
      </c>
      <c r="I273" s="394">
        <v>0</v>
      </c>
      <c r="J273" s="394">
        <v>0</v>
      </c>
      <c r="K273" s="394">
        <f>-0.1-0.1</f>
        <v>-0.2</v>
      </c>
      <c r="L273" s="320"/>
      <c r="M273" s="320"/>
    </row>
    <row r="274" spans="1:13" ht="33" customHeight="1" x14ac:dyDescent="0.2">
      <c r="A274" s="21"/>
      <c r="B274" s="21"/>
      <c r="C274" s="21"/>
      <c r="D274" s="307" t="s">
        <v>884</v>
      </c>
      <c r="E274" s="374">
        <f t="shared" ref="E274:K274" si="52">SUM(E264,E272)</f>
        <v>0</v>
      </c>
      <c r="F274" s="374">
        <f t="shared" si="52"/>
        <v>0</v>
      </c>
      <c r="G274" s="374">
        <f t="shared" si="52"/>
        <v>135.46299999999999</v>
      </c>
      <c r="H274" s="374">
        <f t="shared" si="52"/>
        <v>217.39099999999999</v>
      </c>
      <c r="I274" s="374">
        <f t="shared" si="52"/>
        <v>190.73699999999999</v>
      </c>
      <c r="J274" s="374">
        <f t="shared" si="52"/>
        <v>244.20000000000002</v>
      </c>
      <c r="K274" s="374">
        <f t="shared" si="52"/>
        <v>369</v>
      </c>
      <c r="L274" s="21"/>
      <c r="M274" s="21"/>
    </row>
    <row r="275" spans="1:13" ht="26.25" customHeight="1" x14ac:dyDescent="0.2">
      <c r="A275" s="21"/>
      <c r="B275" s="21"/>
      <c r="C275" s="21"/>
      <c r="D275" s="321" t="s">
        <v>887</v>
      </c>
      <c r="E275" s="387">
        <f t="shared" ref="E275:J275" si="53">E265+E273</f>
        <v>0</v>
      </c>
      <c r="F275" s="387">
        <f t="shared" si="53"/>
        <v>0</v>
      </c>
      <c r="G275" s="387">
        <f t="shared" si="53"/>
        <v>-118.3751</v>
      </c>
      <c r="H275" s="387">
        <f t="shared" si="53"/>
        <v>-181.04500000000002</v>
      </c>
      <c r="I275" s="387">
        <f t="shared" si="53"/>
        <v>-172.905</v>
      </c>
      <c r="J275" s="387">
        <f t="shared" si="53"/>
        <v>-213.8</v>
      </c>
      <c r="K275" s="387">
        <f>K265+K273</f>
        <v>-264.09999999999997</v>
      </c>
      <c r="L275" s="21"/>
      <c r="M275" s="21"/>
    </row>
    <row r="276" spans="1:13" ht="36.75" customHeight="1" x14ac:dyDescent="0.2">
      <c r="A276" s="21"/>
      <c r="B276" s="21"/>
      <c r="C276" s="21"/>
      <c r="D276" s="307" t="s">
        <v>888</v>
      </c>
      <c r="E276" s="374">
        <f t="shared" ref="E276:J276" si="54">SUM(E274:E275)</f>
        <v>0</v>
      </c>
      <c r="F276" s="374">
        <f t="shared" si="54"/>
        <v>0</v>
      </c>
      <c r="G276" s="374">
        <f t="shared" si="54"/>
        <v>17.087899999999991</v>
      </c>
      <c r="H276" s="374">
        <f t="shared" si="54"/>
        <v>36.345999999999975</v>
      </c>
      <c r="I276" s="374">
        <f t="shared" si="54"/>
        <v>17.831999999999994</v>
      </c>
      <c r="J276" s="374">
        <f t="shared" si="54"/>
        <v>30.400000000000006</v>
      </c>
      <c r="K276" s="374">
        <f>SUM(K274:K275)</f>
        <v>104.90000000000003</v>
      </c>
      <c r="L276" s="21"/>
      <c r="M276" s="21"/>
    </row>
    <row r="277" spans="1:13" x14ac:dyDescent="0.2">
      <c r="A277" s="21"/>
      <c r="B277" s="21"/>
      <c r="C277" s="21"/>
      <c r="D277" s="291"/>
      <c r="E277" s="387"/>
      <c r="F277" s="387"/>
      <c r="G277" s="387"/>
      <c r="H277" s="387"/>
      <c r="I277" s="387"/>
      <c r="J277" s="387"/>
      <c r="K277" s="387"/>
      <c r="L277" s="21"/>
      <c r="M277" s="21"/>
    </row>
    <row r="278" spans="1:13" x14ac:dyDescent="0.2">
      <c r="A278" s="21"/>
      <c r="B278" s="21"/>
      <c r="C278" s="21"/>
      <c r="D278" s="291"/>
      <c r="E278" s="387"/>
      <c r="F278" s="387"/>
      <c r="G278" s="387"/>
      <c r="H278" s="387"/>
      <c r="I278" s="387"/>
      <c r="J278" s="387"/>
      <c r="K278" s="387"/>
      <c r="L278" s="21"/>
      <c r="M278" s="21"/>
    </row>
    <row r="279" spans="1:13" ht="31.5" x14ac:dyDescent="0.25">
      <c r="A279" s="21"/>
      <c r="B279" s="21"/>
      <c r="C279" s="21"/>
      <c r="D279" s="324" t="s">
        <v>922</v>
      </c>
      <c r="E279" s="387" t="s">
        <v>348</v>
      </c>
      <c r="F279" s="387"/>
      <c r="G279" s="387"/>
      <c r="H279" s="387"/>
      <c r="I279" s="387"/>
      <c r="J279" s="387"/>
      <c r="K279" s="387"/>
      <c r="L279" s="21"/>
      <c r="M279" s="21"/>
    </row>
    <row r="280" spans="1:13" x14ac:dyDescent="0.2">
      <c r="A280" s="21"/>
      <c r="B280" s="21"/>
      <c r="C280" s="21"/>
      <c r="D280" s="306" t="s">
        <v>286</v>
      </c>
      <c r="E280" s="301">
        <f t="shared" ref="E280:J280" si="55">E7</f>
        <v>2009</v>
      </c>
      <c r="F280" s="301">
        <f t="shared" si="55"/>
        <v>2010</v>
      </c>
      <c r="G280" s="301">
        <f t="shared" si="55"/>
        <v>2011</v>
      </c>
      <c r="H280" s="301">
        <f t="shared" si="55"/>
        <v>2012</v>
      </c>
      <c r="I280" s="301">
        <f t="shared" si="55"/>
        <v>2013</v>
      </c>
      <c r="J280" s="301">
        <f t="shared" si="55"/>
        <v>2014</v>
      </c>
      <c r="K280" s="301">
        <f>K7</f>
        <v>2015</v>
      </c>
      <c r="L280" s="21"/>
      <c r="M280" s="21"/>
    </row>
    <row r="281" spans="1:13" ht="24.75" customHeight="1" x14ac:dyDescent="0.2">
      <c r="A281" s="21"/>
      <c r="B281" s="21"/>
      <c r="C281" s="21"/>
      <c r="D281" s="676" t="s">
        <v>923</v>
      </c>
      <c r="E281" s="677"/>
      <c r="F281" s="677">
        <f>2.163+143.265+72.342-143.19</f>
        <v>74.579999999999984</v>
      </c>
      <c r="G281" s="677">
        <f>5.118+42.982+1.592-23.905</f>
        <v>25.786999999999999</v>
      </c>
      <c r="H281" s="677">
        <f>11.015+38.096-14.222</f>
        <v>34.888999999999996</v>
      </c>
      <c r="I281" s="677">
        <f>19.863+25.489-11.431</f>
        <v>33.921000000000006</v>
      </c>
      <c r="J281" s="677">
        <f>39.2+39.5-4.8</f>
        <v>73.900000000000006</v>
      </c>
      <c r="K281" s="677">
        <f>80.4+55.9-1.8</f>
        <v>134.5</v>
      </c>
      <c r="L281" s="21"/>
      <c r="M281" s="21"/>
    </row>
    <row r="282" spans="1:13" x14ac:dyDescent="0.2">
      <c r="A282" s="21"/>
      <c r="B282" s="21"/>
      <c r="C282" s="21"/>
      <c r="D282" s="291"/>
      <c r="E282" s="373"/>
      <c r="F282" s="373"/>
      <c r="G282" s="373"/>
      <c r="H282" s="373"/>
      <c r="I282" s="373"/>
      <c r="J282" s="373"/>
      <c r="K282" s="373"/>
      <c r="L282" s="21"/>
      <c r="M282" s="21"/>
    </row>
    <row r="283" spans="1:13" x14ac:dyDescent="0.2">
      <c r="A283" s="21"/>
      <c r="B283" s="21"/>
      <c r="C283" s="21"/>
      <c r="D283" s="291"/>
      <c r="E283" s="373"/>
      <c r="F283" s="373"/>
      <c r="G283" s="373"/>
      <c r="H283" s="373"/>
      <c r="I283" s="373"/>
      <c r="J283" s="373"/>
      <c r="K283" s="373"/>
      <c r="L283" s="21"/>
      <c r="M283" s="21"/>
    </row>
    <row r="284" spans="1:13" x14ac:dyDescent="0.2">
      <c r="A284" s="21"/>
      <c r="B284" s="21"/>
      <c r="C284" s="21"/>
      <c r="D284" s="291"/>
      <c r="E284" s="373"/>
      <c r="F284" s="373"/>
      <c r="G284" s="373"/>
      <c r="H284" s="373"/>
      <c r="I284" s="373"/>
      <c r="J284" s="373"/>
      <c r="K284" s="373"/>
      <c r="L284" s="21"/>
      <c r="M284" s="21"/>
    </row>
    <row r="285" spans="1:13" x14ac:dyDescent="0.2">
      <c r="A285" s="21"/>
      <c r="B285" s="21"/>
      <c r="C285" s="21"/>
      <c r="D285" s="291"/>
      <c r="E285" s="387"/>
      <c r="F285" s="387"/>
      <c r="G285" s="387"/>
      <c r="H285" s="387"/>
      <c r="I285" s="387"/>
      <c r="J285" s="387"/>
      <c r="K285" s="387"/>
      <c r="L285" s="21"/>
      <c r="M285" s="21"/>
    </row>
    <row r="286" spans="1:13" x14ac:dyDescent="0.2">
      <c r="A286" s="21"/>
      <c r="B286" s="21"/>
      <c r="C286" s="21"/>
      <c r="D286" s="291"/>
      <c r="E286" s="387"/>
      <c r="F286" s="387"/>
      <c r="G286" s="387"/>
      <c r="H286" s="387"/>
      <c r="I286" s="387"/>
      <c r="J286" s="387"/>
      <c r="K286" s="387"/>
      <c r="L286" s="21"/>
      <c r="M286" s="21"/>
    </row>
    <row r="287" spans="1:13" x14ac:dyDescent="0.2">
      <c r="A287" s="21"/>
      <c r="B287" s="21"/>
      <c r="C287" s="21"/>
      <c r="D287" s="291"/>
      <c r="E287" s="387"/>
      <c r="F287" s="387"/>
      <c r="G287" s="387"/>
      <c r="H287" s="387"/>
      <c r="I287" s="387"/>
      <c r="J287" s="387"/>
      <c r="K287" s="387"/>
      <c r="L287" s="21"/>
      <c r="M287" s="21"/>
    </row>
    <row r="288" spans="1:13" x14ac:dyDescent="0.2">
      <c r="A288" s="21"/>
      <c r="B288" s="21"/>
      <c r="C288" s="21"/>
      <c r="D288" s="291"/>
      <c r="E288" s="387"/>
      <c r="F288" s="387"/>
      <c r="G288" s="387"/>
      <c r="H288" s="387"/>
      <c r="I288" s="387"/>
      <c r="J288" s="387"/>
      <c r="K288" s="387"/>
      <c r="L288" s="21"/>
      <c r="M288" s="21"/>
    </row>
    <row r="289" spans="1:13" ht="15.75" x14ac:dyDescent="0.25">
      <c r="A289" s="21"/>
      <c r="B289" s="21"/>
      <c r="C289" s="21"/>
      <c r="D289" s="324" t="s">
        <v>339</v>
      </c>
      <c r="E289" s="387" t="s">
        <v>348</v>
      </c>
      <c r="F289" s="387"/>
      <c r="G289" s="387"/>
      <c r="H289" s="387"/>
      <c r="I289" s="387"/>
      <c r="J289" s="387"/>
      <c r="K289" s="387"/>
      <c r="L289" s="21"/>
      <c r="M289" s="21"/>
    </row>
    <row r="290" spans="1:13" x14ac:dyDescent="0.2">
      <c r="A290" s="21"/>
      <c r="B290" s="21"/>
      <c r="C290" s="21"/>
      <c r="D290" s="306" t="s">
        <v>286</v>
      </c>
      <c r="E290" s="301">
        <f t="shared" ref="E290:J290" si="56">E7</f>
        <v>2009</v>
      </c>
      <c r="F290" s="301">
        <f t="shared" si="56"/>
        <v>2010</v>
      </c>
      <c r="G290" s="301">
        <f t="shared" si="56"/>
        <v>2011</v>
      </c>
      <c r="H290" s="301">
        <f t="shared" si="56"/>
        <v>2012</v>
      </c>
      <c r="I290" s="301">
        <f t="shared" si="56"/>
        <v>2013</v>
      </c>
      <c r="J290" s="301">
        <f t="shared" si="56"/>
        <v>2014</v>
      </c>
      <c r="K290" s="301">
        <f>K7</f>
        <v>2015</v>
      </c>
      <c r="L290" s="21"/>
      <c r="M290" s="21"/>
    </row>
    <row r="291" spans="1:13" x14ac:dyDescent="0.2">
      <c r="A291" s="21"/>
      <c r="B291" s="21"/>
      <c r="C291" s="21"/>
      <c r="D291" s="291" t="s">
        <v>452</v>
      </c>
      <c r="E291" s="373" t="s">
        <v>74</v>
      </c>
      <c r="F291" s="373" t="s">
        <v>74</v>
      </c>
      <c r="G291" s="373">
        <v>10.205</v>
      </c>
      <c r="H291" s="373">
        <v>19.818999999999999</v>
      </c>
      <c r="I291" s="373">
        <v>23.951000000000001</v>
      </c>
      <c r="J291" s="373">
        <v>6.6</v>
      </c>
      <c r="K291" s="373">
        <v>21.4</v>
      </c>
      <c r="L291" s="21"/>
      <c r="M291" s="21"/>
    </row>
    <row r="292" spans="1:13" x14ac:dyDescent="0.2">
      <c r="A292" s="21"/>
      <c r="B292" s="21"/>
      <c r="C292" s="21"/>
      <c r="D292" s="291" t="s">
        <v>461</v>
      </c>
      <c r="E292" s="373">
        <v>14.266</v>
      </c>
      <c r="F292" s="373">
        <v>14.005000000000001</v>
      </c>
      <c r="G292" s="373">
        <v>7.0069999999999997</v>
      </c>
      <c r="H292" s="373">
        <v>5.9050000000000002</v>
      </c>
      <c r="I292" s="373">
        <v>4.8769999999999998</v>
      </c>
      <c r="J292" s="373">
        <v>4.2</v>
      </c>
      <c r="K292" s="373">
        <v>4.4000000000000004</v>
      </c>
      <c r="L292" s="21"/>
      <c r="M292" s="21"/>
    </row>
    <row r="293" spans="1:13" x14ac:dyDescent="0.2">
      <c r="A293" s="21"/>
      <c r="B293" s="21"/>
      <c r="C293" s="21"/>
      <c r="D293" s="291" t="s">
        <v>469</v>
      </c>
      <c r="E293" s="373">
        <v>2.9999999999999997E-4</v>
      </c>
      <c r="F293" s="373">
        <v>0.28499999999999998</v>
      </c>
      <c r="G293" s="373">
        <v>0.63300000000000001</v>
      </c>
      <c r="H293" s="373">
        <v>6.8000000000000005E-2</v>
      </c>
      <c r="I293" s="373" t="s">
        <v>74</v>
      </c>
      <c r="J293" s="373" t="s">
        <v>74</v>
      </c>
      <c r="K293" s="373" t="s">
        <v>74</v>
      </c>
      <c r="L293" s="21"/>
      <c r="M293" s="21"/>
    </row>
    <row r="294" spans="1:13" x14ac:dyDescent="0.2">
      <c r="A294" s="21"/>
      <c r="B294" s="21"/>
      <c r="C294" s="21"/>
      <c r="D294" s="291" t="s">
        <v>451</v>
      </c>
      <c r="E294" s="373">
        <v>0.28799999999999998</v>
      </c>
      <c r="F294" s="373">
        <v>0.31900000000000001</v>
      </c>
      <c r="G294" s="373">
        <v>0.41089999999999999</v>
      </c>
      <c r="H294" s="373"/>
      <c r="I294" s="373"/>
      <c r="J294" s="373"/>
      <c r="K294" s="373"/>
      <c r="L294" s="21"/>
      <c r="M294" s="21"/>
    </row>
    <row r="295" spans="1:13" x14ac:dyDescent="0.2">
      <c r="A295" s="21"/>
      <c r="B295" s="21"/>
      <c r="C295" s="21"/>
      <c r="D295" s="291" t="s">
        <v>471</v>
      </c>
      <c r="E295" s="373">
        <v>0.42799999999999999</v>
      </c>
      <c r="F295" s="373">
        <v>0.114</v>
      </c>
      <c r="G295" s="373" t="s">
        <v>74</v>
      </c>
      <c r="H295" s="373"/>
      <c r="I295" s="373"/>
      <c r="J295" s="373"/>
      <c r="K295" s="373"/>
      <c r="L295" s="21"/>
      <c r="M295" s="21"/>
    </row>
    <row r="296" spans="1:13" x14ac:dyDescent="0.2">
      <c r="A296" s="21"/>
      <c r="B296" s="21"/>
      <c r="C296" s="21"/>
      <c r="D296" s="291" t="s">
        <v>463</v>
      </c>
      <c r="E296" s="373">
        <v>4.7E-2</v>
      </c>
      <c r="F296" s="373" t="s">
        <v>74</v>
      </c>
      <c r="G296" s="373" t="s">
        <v>74</v>
      </c>
      <c r="H296" s="373"/>
      <c r="I296" s="373"/>
      <c r="J296" s="373"/>
      <c r="K296" s="373"/>
      <c r="L296" s="21"/>
      <c r="M296" s="21"/>
    </row>
    <row r="297" spans="1:13" ht="26.25" customHeight="1" x14ac:dyDescent="0.2">
      <c r="A297" s="21"/>
      <c r="B297" s="21"/>
      <c r="C297" s="21"/>
      <c r="D297" s="307" t="s">
        <v>453</v>
      </c>
      <c r="E297" s="374">
        <f>SUM(E291:E296)</f>
        <v>15.029300000000001</v>
      </c>
      <c r="F297" s="374">
        <f t="shared" ref="F297:K297" si="57">SUM(F291:F296)</f>
        <v>14.723000000000003</v>
      </c>
      <c r="G297" s="374">
        <f t="shared" si="57"/>
        <v>18.2559</v>
      </c>
      <c r="H297" s="374">
        <f t="shared" si="57"/>
        <v>25.792000000000002</v>
      </c>
      <c r="I297" s="374">
        <f t="shared" si="57"/>
        <v>28.827999999999999</v>
      </c>
      <c r="J297" s="374">
        <f t="shared" si="57"/>
        <v>10.8</v>
      </c>
      <c r="K297" s="374">
        <f t="shared" si="57"/>
        <v>25.799999999999997</v>
      </c>
      <c r="L297" s="21"/>
      <c r="M297" s="21"/>
    </row>
    <row r="298" spans="1:13" ht="15.75" hidden="1" outlineLevel="1" x14ac:dyDescent="0.25">
      <c r="A298" s="21"/>
      <c r="B298" s="21"/>
      <c r="C298" s="21"/>
      <c r="D298" s="309" t="s">
        <v>474</v>
      </c>
      <c r="E298" s="386">
        <f t="shared" ref="E298:K298" si="58">E15-E297</f>
        <v>2.6999999999990365E-3</v>
      </c>
      <c r="F298" s="386">
        <f t="shared" si="58"/>
        <v>0</v>
      </c>
      <c r="G298" s="386">
        <f t="shared" si="58"/>
        <v>2.0999999999986585E-3</v>
      </c>
      <c r="H298" s="386">
        <f t="shared" si="58"/>
        <v>0</v>
      </c>
      <c r="I298" s="386">
        <f t="shared" si="58"/>
        <v>0</v>
      </c>
      <c r="J298" s="386">
        <f t="shared" si="58"/>
        <v>0</v>
      </c>
      <c r="K298" s="386">
        <f t="shared" si="58"/>
        <v>0</v>
      </c>
      <c r="L298" s="21"/>
      <c r="M298" s="21"/>
    </row>
    <row r="299" spans="1:13" collapsed="1" x14ac:dyDescent="0.2">
      <c r="A299" s="21"/>
      <c r="B299" s="21"/>
      <c r="C299" s="21"/>
      <c r="D299" s="291"/>
      <c r="E299" s="387"/>
      <c r="F299" s="387"/>
      <c r="G299" s="387"/>
      <c r="H299" s="387"/>
      <c r="I299" s="387"/>
      <c r="J299" s="387"/>
      <c r="K299" s="387"/>
      <c r="L299" s="21"/>
      <c r="M299" s="21"/>
    </row>
    <row r="300" spans="1:13" x14ac:dyDescent="0.2">
      <c r="A300" s="21"/>
      <c r="B300" s="21"/>
      <c r="C300" s="21"/>
      <c r="D300" s="291"/>
      <c r="E300" s="387"/>
      <c r="F300" s="387"/>
      <c r="G300" s="387"/>
      <c r="H300" s="387"/>
      <c r="I300" s="387"/>
      <c r="J300" s="387"/>
      <c r="K300" s="387"/>
      <c r="L300" s="21"/>
      <c r="M300" s="21"/>
    </row>
    <row r="301" spans="1:13" ht="31.5" x14ac:dyDescent="0.25">
      <c r="A301" s="21"/>
      <c r="B301" s="21"/>
      <c r="C301" s="21"/>
      <c r="D301" s="324" t="s">
        <v>462</v>
      </c>
      <c r="E301" s="387" t="s">
        <v>348</v>
      </c>
      <c r="F301" s="387"/>
      <c r="G301" s="387"/>
      <c r="H301" s="387"/>
      <c r="I301" s="387"/>
      <c r="J301" s="387"/>
      <c r="K301" s="387"/>
      <c r="L301" s="21"/>
      <c r="M301" s="21"/>
    </row>
    <row r="302" spans="1:13" x14ac:dyDescent="0.2">
      <c r="A302" s="21"/>
      <c r="B302" s="21"/>
      <c r="C302" s="21"/>
      <c r="D302" s="306" t="s">
        <v>286</v>
      </c>
      <c r="E302" s="301">
        <f t="shared" ref="E302:J302" si="59">E7</f>
        <v>2009</v>
      </c>
      <c r="F302" s="301">
        <f t="shared" si="59"/>
        <v>2010</v>
      </c>
      <c r="G302" s="301">
        <f t="shared" si="59"/>
        <v>2011</v>
      </c>
      <c r="H302" s="301">
        <f t="shared" si="59"/>
        <v>2012</v>
      </c>
      <c r="I302" s="301">
        <f t="shared" si="59"/>
        <v>2013</v>
      </c>
      <c r="J302" s="301">
        <f t="shared" si="59"/>
        <v>2014</v>
      </c>
      <c r="K302" s="301">
        <f>K7</f>
        <v>2015</v>
      </c>
      <c r="L302" s="21"/>
      <c r="M302" s="21"/>
    </row>
    <row r="303" spans="1:13" x14ac:dyDescent="0.2">
      <c r="A303" s="21"/>
      <c r="B303" s="21"/>
      <c r="C303" s="21"/>
      <c r="D303" s="291" t="s">
        <v>464</v>
      </c>
      <c r="E303" s="373" t="s">
        <v>74</v>
      </c>
      <c r="F303" s="373" t="s">
        <v>74</v>
      </c>
      <c r="G303" s="373" t="s">
        <v>74</v>
      </c>
      <c r="H303" s="373">
        <v>3.5999999999999997E-2</v>
      </c>
      <c r="I303" s="373">
        <v>4.0000000000000001E-3</v>
      </c>
      <c r="J303" s="373" t="s">
        <v>74</v>
      </c>
      <c r="K303" s="373">
        <v>16</v>
      </c>
      <c r="L303" s="21"/>
      <c r="M303" s="21"/>
    </row>
    <row r="304" spans="1:13" x14ac:dyDescent="0.2">
      <c r="A304" s="21"/>
      <c r="B304" s="21"/>
      <c r="C304" s="21"/>
      <c r="D304" s="291" t="s">
        <v>452</v>
      </c>
      <c r="E304" s="373">
        <v>6.6000000000000003E-2</v>
      </c>
      <c r="F304" s="373">
        <v>4.5499999999999999E-2</v>
      </c>
      <c r="G304" s="373">
        <v>0.11799999999999999</v>
      </c>
      <c r="H304" s="373" t="s">
        <v>74</v>
      </c>
      <c r="I304" s="373" t="s">
        <v>74</v>
      </c>
      <c r="J304" s="373" t="s">
        <v>74</v>
      </c>
      <c r="K304" s="373" t="s">
        <v>74</v>
      </c>
      <c r="L304" s="21"/>
      <c r="M304" s="21"/>
    </row>
    <row r="305" spans="1:13" x14ac:dyDescent="0.2">
      <c r="A305" s="21"/>
      <c r="B305" s="21"/>
      <c r="C305" s="21"/>
      <c r="D305" s="291" t="s">
        <v>471</v>
      </c>
      <c r="E305" s="373">
        <v>3.49E-2</v>
      </c>
      <c r="F305" s="373">
        <v>5.1999999999999998E-2</v>
      </c>
      <c r="G305" s="373" t="s">
        <v>74</v>
      </c>
      <c r="H305" s="373"/>
      <c r="I305" s="373"/>
      <c r="J305" s="373"/>
      <c r="K305" s="373"/>
      <c r="L305" s="21"/>
      <c r="M305" s="21"/>
    </row>
    <row r="306" spans="1:13" x14ac:dyDescent="0.2">
      <c r="A306" s="21"/>
      <c r="B306" s="21"/>
      <c r="C306" s="21"/>
      <c r="D306" s="291" t="s">
        <v>451</v>
      </c>
      <c r="E306" s="373" t="s">
        <v>74</v>
      </c>
      <c r="F306" s="373">
        <v>0.14099999999999999</v>
      </c>
      <c r="G306" s="373">
        <v>0.20599999999999999</v>
      </c>
      <c r="H306" s="373">
        <v>9.6000000000000002E-2</v>
      </c>
      <c r="I306" s="373" t="s">
        <v>74</v>
      </c>
      <c r="J306" s="373" t="s">
        <v>74</v>
      </c>
      <c r="K306" s="373" t="s">
        <v>74</v>
      </c>
      <c r="L306" s="21"/>
      <c r="M306" s="21"/>
    </row>
    <row r="307" spans="1:13" x14ac:dyDescent="0.2">
      <c r="A307" s="21"/>
      <c r="B307" s="21"/>
      <c r="C307" s="21"/>
      <c r="D307" s="291" t="s">
        <v>473</v>
      </c>
      <c r="E307" s="373">
        <v>0.16900000000000001</v>
      </c>
      <c r="F307" s="373">
        <v>0.184</v>
      </c>
      <c r="G307" s="373" t="s">
        <v>74</v>
      </c>
      <c r="H307" s="373" t="s">
        <v>74</v>
      </c>
      <c r="I307" s="373" t="s">
        <v>74</v>
      </c>
      <c r="J307" s="373" t="s">
        <v>74</v>
      </c>
      <c r="K307" s="373" t="s">
        <v>74</v>
      </c>
      <c r="L307" s="21"/>
      <c r="M307" s="21"/>
    </row>
    <row r="308" spans="1:13" ht="42" customHeight="1" x14ac:dyDescent="0.2">
      <c r="A308" s="21"/>
      <c r="B308" s="21"/>
      <c r="C308" s="21"/>
      <c r="D308" s="307" t="s">
        <v>475</v>
      </c>
      <c r="E308" s="374">
        <f t="shared" ref="E308:J308" si="60">SUM(E303:E307)</f>
        <v>0.26990000000000003</v>
      </c>
      <c r="F308" s="374">
        <f t="shared" si="60"/>
        <v>0.42249999999999999</v>
      </c>
      <c r="G308" s="374">
        <f t="shared" si="60"/>
        <v>0.32399999999999995</v>
      </c>
      <c r="H308" s="374">
        <f t="shared" si="60"/>
        <v>0.13200000000000001</v>
      </c>
      <c r="I308" s="374">
        <f t="shared" si="60"/>
        <v>4.0000000000000001E-3</v>
      </c>
      <c r="J308" s="374">
        <f t="shared" si="60"/>
        <v>0</v>
      </c>
      <c r="K308" s="374">
        <f>SUM(K303:K307)</f>
        <v>16</v>
      </c>
      <c r="L308" s="21"/>
      <c r="M308" s="21"/>
    </row>
    <row r="309" spans="1:13" ht="15.75" hidden="1" outlineLevel="1" x14ac:dyDescent="0.25">
      <c r="A309" s="21"/>
      <c r="B309" s="21"/>
      <c r="C309" s="21"/>
      <c r="D309" s="309" t="s">
        <v>474</v>
      </c>
      <c r="E309" s="386">
        <f t="shared" ref="E309:K309" si="61">SUM(E16,-E308)</f>
        <v>-4.9000000000000155E-3</v>
      </c>
      <c r="F309" s="386">
        <f t="shared" si="61"/>
        <v>-4.500000000000004E-3</v>
      </c>
      <c r="G309" s="386">
        <f t="shared" si="61"/>
        <v>0</v>
      </c>
      <c r="H309" s="386">
        <f t="shared" si="61"/>
        <v>0</v>
      </c>
      <c r="I309" s="386">
        <f t="shared" si="61"/>
        <v>0</v>
      </c>
      <c r="J309" s="386">
        <f t="shared" si="61"/>
        <v>0</v>
      </c>
      <c r="K309" s="386">
        <f t="shared" si="61"/>
        <v>0</v>
      </c>
      <c r="L309" s="21"/>
      <c r="M309" s="21"/>
    </row>
    <row r="310" spans="1:13" collapsed="1" x14ac:dyDescent="0.2">
      <c r="A310" s="21"/>
      <c r="B310" s="21"/>
      <c r="C310" s="21"/>
      <c r="D310" s="291"/>
      <c r="E310" s="387"/>
      <c r="F310" s="387"/>
      <c r="G310" s="387"/>
      <c r="H310" s="387"/>
      <c r="I310" s="387"/>
      <c r="J310" s="387"/>
      <c r="K310" s="387"/>
      <c r="L310" s="21"/>
      <c r="M310" s="21"/>
    </row>
    <row r="311" spans="1:13" x14ac:dyDescent="0.2">
      <c r="A311" s="21"/>
      <c r="B311" s="21"/>
      <c r="C311" s="21"/>
      <c r="D311" s="291"/>
      <c r="E311" s="387"/>
      <c r="F311" s="387"/>
      <c r="G311" s="387"/>
      <c r="H311" s="387"/>
      <c r="I311" s="387"/>
      <c r="J311" s="387"/>
      <c r="K311" s="387"/>
      <c r="L311" s="21"/>
      <c r="M311" s="21"/>
    </row>
    <row r="312" spans="1:13" x14ac:dyDescent="0.2">
      <c r="A312" s="21"/>
      <c r="B312" s="21"/>
      <c r="C312" s="21"/>
      <c r="D312" s="291"/>
      <c r="E312" s="387"/>
      <c r="F312" s="387"/>
      <c r="G312" s="387"/>
      <c r="H312" s="387"/>
      <c r="I312" s="387"/>
      <c r="J312" s="387"/>
      <c r="K312" s="387"/>
      <c r="L312" s="21"/>
      <c r="M312" s="21"/>
    </row>
    <row r="313" spans="1:13" ht="15.75" x14ac:dyDescent="0.25">
      <c r="A313" s="21"/>
      <c r="B313" s="21"/>
      <c r="C313" s="21"/>
      <c r="D313" s="324" t="s">
        <v>23</v>
      </c>
      <c r="E313" s="387" t="s">
        <v>348</v>
      </c>
      <c r="F313" s="387"/>
      <c r="G313" s="387"/>
      <c r="H313" s="387"/>
      <c r="I313" s="387"/>
      <c r="J313" s="387"/>
      <c r="K313" s="387"/>
      <c r="L313" s="21"/>
      <c r="M313" s="21"/>
    </row>
    <row r="314" spans="1:13" x14ac:dyDescent="0.2">
      <c r="A314" s="21"/>
      <c r="B314" s="21"/>
      <c r="C314" s="21"/>
      <c r="D314" s="306" t="s">
        <v>286</v>
      </c>
      <c r="E314" s="301">
        <f t="shared" ref="E314:J314" si="62">E7</f>
        <v>2009</v>
      </c>
      <c r="F314" s="301">
        <f t="shared" si="62"/>
        <v>2010</v>
      </c>
      <c r="G314" s="301">
        <f t="shared" si="62"/>
        <v>2011</v>
      </c>
      <c r="H314" s="301">
        <f t="shared" si="62"/>
        <v>2012</v>
      </c>
      <c r="I314" s="301">
        <f t="shared" si="62"/>
        <v>2013</v>
      </c>
      <c r="J314" s="301">
        <f t="shared" si="62"/>
        <v>2014</v>
      </c>
      <c r="K314" s="301">
        <f>K7</f>
        <v>2015</v>
      </c>
      <c r="L314" s="21"/>
      <c r="M314" s="21"/>
    </row>
    <row r="315" spans="1:13" x14ac:dyDescent="0.2">
      <c r="A315" s="21"/>
      <c r="B315" s="21"/>
      <c r="C315" s="21"/>
      <c r="D315" s="291" t="s">
        <v>495</v>
      </c>
      <c r="E315" s="373">
        <v>91.66</v>
      </c>
      <c r="F315" s="373">
        <f>83.299</f>
        <v>83.299000000000007</v>
      </c>
      <c r="G315" s="373">
        <v>32.133000000000003</v>
      </c>
      <c r="H315" s="373">
        <v>88.394999999999996</v>
      </c>
      <c r="I315" s="373">
        <v>161.4</v>
      </c>
      <c r="J315" s="373">
        <v>531.79999999999995</v>
      </c>
      <c r="K315" s="373">
        <v>63.7</v>
      </c>
      <c r="L315" s="21"/>
      <c r="M315" s="21"/>
    </row>
    <row r="316" spans="1:13" x14ac:dyDescent="0.2">
      <c r="A316" s="21"/>
      <c r="B316" s="21"/>
      <c r="C316" s="21"/>
      <c r="D316" s="291" t="s">
        <v>526</v>
      </c>
      <c r="E316" s="373">
        <v>36.942</v>
      </c>
      <c r="F316" s="373">
        <v>15.723000000000001</v>
      </c>
      <c r="G316" s="373"/>
      <c r="H316" s="373"/>
      <c r="I316" s="373"/>
      <c r="J316" s="373"/>
      <c r="K316" s="373"/>
      <c r="L316" s="21"/>
      <c r="M316" s="21"/>
    </row>
    <row r="317" spans="1:13" x14ac:dyDescent="0.2">
      <c r="A317" s="21"/>
      <c r="B317" s="21"/>
      <c r="C317" s="21"/>
      <c r="D317" s="291" t="s">
        <v>496</v>
      </c>
      <c r="E317" s="373">
        <v>4.984</v>
      </c>
      <c r="F317" s="373">
        <v>11.438000000000001</v>
      </c>
      <c r="G317" s="373">
        <v>4.7489999999999997</v>
      </c>
      <c r="H317" s="373">
        <v>3.0470000000000002</v>
      </c>
      <c r="I317" s="373">
        <v>39.700000000000003</v>
      </c>
      <c r="J317" s="373">
        <v>11.9</v>
      </c>
      <c r="K317" s="373">
        <v>5.2</v>
      </c>
      <c r="L317" s="21"/>
      <c r="M317" s="21"/>
    </row>
    <row r="318" spans="1:13" x14ac:dyDescent="0.2">
      <c r="A318" s="21"/>
      <c r="B318" s="21"/>
      <c r="C318" s="21"/>
      <c r="D318" s="291" t="s">
        <v>523</v>
      </c>
      <c r="E318" s="373">
        <v>4.173</v>
      </c>
      <c r="F318" s="373">
        <v>34.737000000000002</v>
      </c>
      <c r="G318" s="373">
        <v>7.117</v>
      </c>
      <c r="H318" s="373">
        <v>10.208</v>
      </c>
      <c r="I318" s="373">
        <v>3.9</v>
      </c>
      <c r="J318" s="373">
        <v>0</v>
      </c>
      <c r="K318" s="373">
        <v>0</v>
      </c>
      <c r="L318" s="21"/>
      <c r="M318" s="21"/>
    </row>
    <row r="319" spans="1:13" ht="32.25" customHeight="1" x14ac:dyDescent="0.2">
      <c r="A319" s="21"/>
      <c r="B319" s="21"/>
      <c r="C319" s="21"/>
      <c r="D319" s="307" t="s">
        <v>497</v>
      </c>
      <c r="E319" s="374">
        <f t="shared" ref="E319:J319" si="63">SUM(E315:E318)</f>
        <v>137.75900000000001</v>
      </c>
      <c r="F319" s="374">
        <f t="shared" si="63"/>
        <v>145.197</v>
      </c>
      <c r="G319" s="374">
        <f t="shared" si="63"/>
        <v>43.999000000000002</v>
      </c>
      <c r="H319" s="374">
        <f t="shared" si="63"/>
        <v>101.64999999999999</v>
      </c>
      <c r="I319" s="374">
        <f t="shared" si="63"/>
        <v>205.00000000000003</v>
      </c>
      <c r="J319" s="374">
        <f t="shared" si="63"/>
        <v>543.69999999999993</v>
      </c>
      <c r="K319" s="374">
        <f>SUM(K315:K318)</f>
        <v>68.900000000000006</v>
      </c>
      <c r="L319" s="21"/>
      <c r="M319" s="21"/>
    </row>
    <row r="320" spans="1:13" ht="15.75" outlineLevel="1" x14ac:dyDescent="0.25">
      <c r="A320" s="21"/>
      <c r="B320" s="21"/>
      <c r="C320" s="21"/>
      <c r="D320" s="309" t="s">
        <v>474</v>
      </c>
      <c r="E320" s="386">
        <f t="shared" ref="E320:K320" si="64">E26-E319</f>
        <v>9.9999999997635314E-4</v>
      </c>
      <c r="F320" s="386">
        <f t="shared" si="64"/>
        <v>1.0000000000047748E-3</v>
      </c>
      <c r="G320" s="386">
        <f t="shared" si="64"/>
        <v>1.9999999999953388E-3</v>
      </c>
      <c r="H320" s="386">
        <f t="shared" si="64"/>
        <v>2.8000000000005798E-2</v>
      </c>
      <c r="I320" s="386">
        <f t="shared" si="64"/>
        <v>2.6999999999958391E-2</v>
      </c>
      <c r="J320" s="386">
        <f t="shared" si="64"/>
        <v>0</v>
      </c>
      <c r="K320" s="386">
        <f t="shared" si="64"/>
        <v>0</v>
      </c>
      <c r="L320" s="21"/>
      <c r="M320" s="21"/>
    </row>
    <row r="321" spans="1:13" x14ac:dyDescent="0.2">
      <c r="A321" s="21"/>
      <c r="B321" s="21"/>
      <c r="C321" s="21"/>
      <c r="D321" s="291"/>
      <c r="E321" s="387"/>
      <c r="F321" s="387"/>
      <c r="G321" s="387"/>
      <c r="H321" s="387"/>
      <c r="I321" s="387"/>
      <c r="J321" s="387"/>
      <c r="K321" s="387"/>
      <c r="L321" s="387"/>
      <c r="M321" s="387"/>
    </row>
    <row r="322" spans="1:13" x14ac:dyDescent="0.2">
      <c r="A322" s="21"/>
      <c r="B322" s="21"/>
      <c r="C322" s="21"/>
      <c r="D322" s="291"/>
      <c r="E322" s="387"/>
      <c r="F322" s="387"/>
      <c r="G322" s="387"/>
      <c r="H322" s="387"/>
      <c r="I322" s="387"/>
      <c r="J322" s="387"/>
      <c r="K322" s="387"/>
      <c r="L322" s="387"/>
      <c r="M322" s="387"/>
    </row>
    <row r="323" spans="1:13" ht="15.75" x14ac:dyDescent="0.25">
      <c r="A323" s="21"/>
      <c r="B323" s="21"/>
      <c r="C323" s="21"/>
      <c r="D323" s="324" t="s">
        <v>349</v>
      </c>
      <c r="E323" s="387" t="s">
        <v>348</v>
      </c>
      <c r="F323" s="387"/>
      <c r="G323" s="387"/>
      <c r="H323" s="387"/>
      <c r="I323" s="387"/>
      <c r="J323" s="387"/>
      <c r="K323" s="387"/>
      <c r="L323" s="387"/>
      <c r="M323" s="387"/>
    </row>
    <row r="324" spans="1:13" x14ac:dyDescent="0.2">
      <c r="A324" s="21"/>
      <c r="B324" s="21"/>
      <c r="C324" s="21"/>
      <c r="D324" s="306" t="s">
        <v>286</v>
      </c>
      <c r="E324" s="301">
        <f t="shared" ref="E324:J324" si="65">E7</f>
        <v>2009</v>
      </c>
      <c r="F324" s="301">
        <f t="shared" si="65"/>
        <v>2010</v>
      </c>
      <c r="G324" s="301">
        <f t="shared" si="65"/>
        <v>2011</v>
      </c>
      <c r="H324" s="301">
        <f t="shared" si="65"/>
        <v>2012</v>
      </c>
      <c r="I324" s="301">
        <f t="shared" si="65"/>
        <v>2013</v>
      </c>
      <c r="J324" s="301">
        <f t="shared" si="65"/>
        <v>2014</v>
      </c>
      <c r="K324" s="301">
        <f>K7</f>
        <v>2015</v>
      </c>
      <c r="L324" s="387"/>
      <c r="M324" s="387"/>
    </row>
    <row r="325" spans="1:13" x14ac:dyDescent="0.2">
      <c r="A325" s="21"/>
      <c r="B325" s="21"/>
      <c r="C325" s="21"/>
      <c r="D325" s="291" t="s">
        <v>498</v>
      </c>
      <c r="E325" s="373">
        <v>0</v>
      </c>
      <c r="F325" s="373">
        <v>0</v>
      </c>
      <c r="G325" s="373">
        <v>157.84100000000001</v>
      </c>
      <c r="H325" s="373">
        <v>252.87</v>
      </c>
      <c r="I325" s="373">
        <v>243.9</v>
      </c>
      <c r="J325" s="373">
        <v>325.8</v>
      </c>
      <c r="K325" s="373">
        <v>135.1</v>
      </c>
      <c r="L325" s="387"/>
      <c r="M325" s="387"/>
    </row>
    <row r="326" spans="1:13" x14ac:dyDescent="0.2">
      <c r="A326" s="21"/>
      <c r="B326" s="21"/>
      <c r="C326" s="21"/>
      <c r="D326" s="291" t="s">
        <v>499</v>
      </c>
      <c r="E326" s="373">
        <v>73.844999999999999</v>
      </c>
      <c r="F326" s="373">
        <v>0</v>
      </c>
      <c r="G326" s="373">
        <v>1.9039999999999999</v>
      </c>
      <c r="H326" s="373">
        <v>11.814</v>
      </c>
      <c r="I326" s="373">
        <v>28.6</v>
      </c>
      <c r="J326" s="373">
        <v>80.3</v>
      </c>
      <c r="K326" s="373">
        <v>76</v>
      </c>
      <c r="L326" s="387"/>
      <c r="M326" s="387"/>
    </row>
    <row r="327" spans="1:13" ht="27" customHeight="1" x14ac:dyDescent="0.2">
      <c r="A327" s="21"/>
      <c r="B327" s="21"/>
      <c r="C327" s="21"/>
      <c r="D327" s="307" t="s">
        <v>508</v>
      </c>
      <c r="E327" s="374">
        <f t="shared" ref="E327:K327" si="66">SUM(E325:E326)</f>
        <v>73.844999999999999</v>
      </c>
      <c r="F327" s="374">
        <f t="shared" si="66"/>
        <v>0</v>
      </c>
      <c r="G327" s="374">
        <f t="shared" si="66"/>
        <v>159.745</v>
      </c>
      <c r="H327" s="374">
        <f t="shared" si="66"/>
        <v>264.68400000000003</v>
      </c>
      <c r="I327" s="374">
        <f t="shared" si="66"/>
        <v>272.5</v>
      </c>
      <c r="J327" s="374">
        <f t="shared" si="66"/>
        <v>406.1</v>
      </c>
      <c r="K327" s="374">
        <f t="shared" si="66"/>
        <v>211.1</v>
      </c>
      <c r="L327" s="387"/>
      <c r="M327" s="387"/>
    </row>
    <row r="328" spans="1:13" ht="15.75" outlineLevel="1" x14ac:dyDescent="0.25">
      <c r="A328" s="21"/>
      <c r="B328" s="21"/>
      <c r="C328" s="21"/>
      <c r="D328" s="309" t="s">
        <v>474</v>
      </c>
      <c r="E328" s="386">
        <f t="shared" ref="E328:K328" si="67">E27-E327</f>
        <v>0</v>
      </c>
      <c r="F328" s="386">
        <f t="shared" si="67"/>
        <v>0</v>
      </c>
      <c r="G328" s="386">
        <f t="shared" si="67"/>
        <v>0</v>
      </c>
      <c r="H328" s="386">
        <f t="shared" si="67"/>
        <v>9.9999999997635314E-4</v>
      </c>
      <c r="I328" s="386">
        <f t="shared" si="67"/>
        <v>-5.5000000000006821E-2</v>
      </c>
      <c r="J328" s="386">
        <f t="shared" si="67"/>
        <v>0</v>
      </c>
      <c r="K328" s="386">
        <f t="shared" si="67"/>
        <v>0</v>
      </c>
      <c r="L328" s="21"/>
      <c r="M328" s="21"/>
    </row>
    <row r="329" spans="1:13" x14ac:dyDescent="0.2">
      <c r="A329" s="21"/>
      <c r="B329" s="21"/>
      <c r="C329" s="21"/>
      <c r="D329" s="291"/>
      <c r="E329" s="387"/>
      <c r="F329" s="387"/>
      <c r="G329" s="387"/>
      <c r="H329" s="387"/>
      <c r="I329" s="387"/>
      <c r="J329" s="387"/>
      <c r="K329" s="387"/>
      <c r="L329" s="387"/>
      <c r="M329" s="387"/>
    </row>
    <row r="330" spans="1:13" x14ac:dyDescent="0.2">
      <c r="A330" s="21"/>
      <c r="B330" s="21"/>
      <c r="C330" s="21"/>
      <c r="D330" s="291"/>
      <c r="E330" s="387"/>
      <c r="F330" s="387"/>
      <c r="G330" s="387"/>
      <c r="H330" s="387"/>
      <c r="I330" s="387"/>
      <c r="J330" s="387"/>
      <c r="K330" s="387"/>
      <c r="L330" s="387"/>
      <c r="M330" s="387"/>
    </row>
    <row r="331" spans="1:13" ht="15.75" x14ac:dyDescent="0.25">
      <c r="A331" s="21"/>
      <c r="B331" s="21"/>
      <c r="C331" s="21"/>
      <c r="D331" s="324" t="s">
        <v>351</v>
      </c>
      <c r="E331" s="387" t="s">
        <v>348</v>
      </c>
      <c r="F331" s="387"/>
      <c r="G331" s="387"/>
      <c r="H331" s="387"/>
      <c r="I331" s="387"/>
      <c r="J331" s="387"/>
      <c r="K331" s="387"/>
      <c r="L331" s="387"/>
      <c r="M331" s="387"/>
    </row>
    <row r="332" spans="1:13" x14ac:dyDescent="0.2">
      <c r="A332" s="21"/>
      <c r="B332" s="21"/>
      <c r="C332" s="21"/>
      <c r="D332" s="306" t="s">
        <v>286</v>
      </c>
      <c r="E332" s="301">
        <f t="shared" ref="E332:J332" si="68">E7</f>
        <v>2009</v>
      </c>
      <c r="F332" s="301">
        <f t="shared" si="68"/>
        <v>2010</v>
      </c>
      <c r="G332" s="301">
        <f t="shared" si="68"/>
        <v>2011</v>
      </c>
      <c r="H332" s="301">
        <f t="shared" si="68"/>
        <v>2012</v>
      </c>
      <c r="I332" s="301">
        <f t="shared" si="68"/>
        <v>2013</v>
      </c>
      <c r="J332" s="301">
        <f t="shared" si="68"/>
        <v>2014</v>
      </c>
      <c r="K332" s="301">
        <f>K7</f>
        <v>2015</v>
      </c>
      <c r="L332" s="387"/>
      <c r="M332" s="387"/>
    </row>
    <row r="333" spans="1:13" s="28" customFormat="1" ht="15.75" x14ac:dyDescent="0.25">
      <c r="A333" s="11"/>
      <c r="B333" s="11"/>
      <c r="C333" s="11"/>
      <c r="D333" s="303" t="s">
        <v>500</v>
      </c>
      <c r="E333" s="390">
        <f t="shared" ref="E333:J333" si="69">SUM(E334:E335)</f>
        <v>66.287000000000006</v>
      </c>
      <c r="F333" s="390">
        <f t="shared" si="69"/>
        <v>141.75200000000001</v>
      </c>
      <c r="G333" s="390">
        <f t="shared" si="69"/>
        <v>61.486000000000004</v>
      </c>
      <c r="H333" s="390">
        <f t="shared" si="69"/>
        <v>44.015000000000001</v>
      </c>
      <c r="I333" s="390">
        <f t="shared" si="69"/>
        <v>153.39999999999998</v>
      </c>
      <c r="J333" s="390">
        <f t="shared" si="69"/>
        <v>143.30000000000001</v>
      </c>
      <c r="K333" s="390">
        <f>SUM(K334:K335)</f>
        <v>116.8</v>
      </c>
      <c r="L333" s="398"/>
      <c r="M333" s="398"/>
    </row>
    <row r="334" spans="1:13" x14ac:dyDescent="0.2">
      <c r="A334" s="21"/>
      <c r="B334" s="21"/>
      <c r="C334" s="21"/>
      <c r="D334" s="291" t="s">
        <v>501</v>
      </c>
      <c r="E334" s="373">
        <v>18.698</v>
      </c>
      <c r="F334" s="373">
        <v>39.872999999999998</v>
      </c>
      <c r="G334" s="373">
        <v>11.56</v>
      </c>
      <c r="H334" s="373">
        <v>4.7409999999999997</v>
      </c>
      <c r="I334" s="373">
        <v>74.599999999999994</v>
      </c>
      <c r="J334" s="373">
        <v>43.2</v>
      </c>
      <c r="K334" s="373">
        <v>30.3</v>
      </c>
      <c r="L334" s="387"/>
      <c r="M334" s="387"/>
    </row>
    <row r="335" spans="1:13" x14ac:dyDescent="0.2">
      <c r="A335" s="21"/>
      <c r="B335" s="21"/>
      <c r="C335" s="21"/>
      <c r="D335" s="291" t="s">
        <v>502</v>
      </c>
      <c r="E335" s="373">
        <v>47.588999999999999</v>
      </c>
      <c r="F335" s="373">
        <v>101.879</v>
      </c>
      <c r="G335" s="373">
        <v>49.926000000000002</v>
      </c>
      <c r="H335" s="373">
        <v>39.274000000000001</v>
      </c>
      <c r="I335" s="373">
        <v>78.8</v>
      </c>
      <c r="J335" s="373">
        <v>100.1</v>
      </c>
      <c r="K335" s="373">
        <v>86.5</v>
      </c>
      <c r="L335" s="387"/>
      <c r="M335" s="387"/>
    </row>
    <row r="336" spans="1:13" s="28" customFormat="1" ht="15.75" x14ac:dyDescent="0.25">
      <c r="A336" s="11"/>
      <c r="B336" s="11"/>
      <c r="C336" s="11"/>
      <c r="D336" s="303" t="s">
        <v>503</v>
      </c>
      <c r="E336" s="390">
        <f t="shared" ref="E336:J336" si="70">SUM(E337:E338)</f>
        <v>184.26900000000001</v>
      </c>
      <c r="F336" s="390">
        <f t="shared" si="70"/>
        <v>219.76499999999999</v>
      </c>
      <c r="G336" s="390">
        <f t="shared" si="70"/>
        <v>194.22199999999998</v>
      </c>
      <c r="H336" s="390">
        <f t="shared" si="70"/>
        <v>235.65199999999999</v>
      </c>
      <c r="I336" s="390">
        <f t="shared" si="70"/>
        <v>235.1</v>
      </c>
      <c r="J336" s="390">
        <f t="shared" si="70"/>
        <v>218.89999999999998</v>
      </c>
      <c r="K336" s="390">
        <f>SUM(K337:K338)</f>
        <v>158.1</v>
      </c>
      <c r="L336" s="398"/>
      <c r="M336" s="398"/>
    </row>
    <row r="337" spans="1:13" x14ac:dyDescent="0.2">
      <c r="A337" s="21"/>
      <c r="B337" s="21"/>
      <c r="C337" s="21"/>
      <c r="D337" s="291" t="s">
        <v>501</v>
      </c>
      <c r="E337" s="373">
        <f>24.523+71.071</f>
        <v>95.593999999999994</v>
      </c>
      <c r="F337" s="373">
        <f>24.264+99.49</f>
        <v>123.75399999999999</v>
      </c>
      <c r="G337" s="373">
        <f>48.487+87.368</f>
        <v>135.85499999999999</v>
      </c>
      <c r="H337" s="373">
        <f>81.893+90.57</f>
        <v>172.46299999999999</v>
      </c>
      <c r="I337" s="373">
        <v>123.3</v>
      </c>
      <c r="J337" s="373">
        <v>97.8</v>
      </c>
      <c r="K337" s="373">
        <v>79.3</v>
      </c>
      <c r="L337" s="387"/>
      <c r="M337" s="387"/>
    </row>
    <row r="338" spans="1:13" x14ac:dyDescent="0.2">
      <c r="A338" s="21"/>
      <c r="B338" s="21"/>
      <c r="C338" s="21"/>
      <c r="D338" s="291" t="s">
        <v>502</v>
      </c>
      <c r="E338" s="373">
        <f>20.452+68.223</f>
        <v>88.674999999999997</v>
      </c>
      <c r="F338" s="373">
        <f>15.113+80.898</f>
        <v>96.010999999999996</v>
      </c>
      <c r="G338" s="373">
        <f>5.83+52.537</f>
        <v>58.366999999999997</v>
      </c>
      <c r="H338" s="373">
        <f>4.765+58.424</f>
        <v>63.189</v>
      </c>
      <c r="I338" s="373">
        <v>111.8</v>
      </c>
      <c r="J338" s="373">
        <v>121.1</v>
      </c>
      <c r="K338" s="373">
        <v>78.8</v>
      </c>
      <c r="L338" s="387"/>
      <c r="M338" s="387"/>
    </row>
    <row r="339" spans="1:13" s="28" customFormat="1" ht="15.75" x14ac:dyDescent="0.25">
      <c r="A339" s="11"/>
      <c r="B339" s="11"/>
      <c r="C339" s="11"/>
      <c r="D339" s="303" t="s">
        <v>432</v>
      </c>
      <c r="E339" s="390">
        <f t="shared" ref="E339:J339" si="71">SUM(E340:E341)</f>
        <v>177.46899999999999</v>
      </c>
      <c r="F339" s="390">
        <f t="shared" si="71"/>
        <v>181.61799999999999</v>
      </c>
      <c r="G339" s="390">
        <f t="shared" si="71"/>
        <v>162.977</v>
      </c>
      <c r="H339" s="390">
        <f t="shared" si="71"/>
        <v>184.352</v>
      </c>
      <c r="I339" s="390">
        <f t="shared" si="71"/>
        <v>227.2</v>
      </c>
      <c r="J339" s="390">
        <f t="shared" si="71"/>
        <v>269.60000000000002</v>
      </c>
      <c r="K339" s="390">
        <f>SUM(K340:K341)</f>
        <v>412</v>
      </c>
      <c r="L339" s="398"/>
      <c r="M339" s="398"/>
    </row>
    <row r="340" spans="1:13" x14ac:dyDescent="0.2">
      <c r="A340" s="21"/>
      <c r="B340" s="21"/>
      <c r="C340" s="21"/>
      <c r="D340" s="291" t="s">
        <v>501</v>
      </c>
      <c r="E340" s="373">
        <v>33.344999999999999</v>
      </c>
      <c r="F340" s="373">
        <v>38.094999999999999</v>
      </c>
      <c r="G340" s="373">
        <v>41.555</v>
      </c>
      <c r="H340" s="373">
        <v>46.061</v>
      </c>
      <c r="I340" s="373">
        <v>50.5</v>
      </c>
      <c r="J340" s="373">
        <v>54.8</v>
      </c>
      <c r="K340" s="373">
        <v>59.1</v>
      </c>
      <c r="L340" s="387"/>
      <c r="M340" s="387"/>
    </row>
    <row r="341" spans="1:13" x14ac:dyDescent="0.2">
      <c r="A341" s="21"/>
      <c r="B341" s="21"/>
      <c r="C341" s="21"/>
      <c r="D341" s="291" t="s">
        <v>502</v>
      </c>
      <c r="E341" s="373">
        <v>144.124</v>
      </c>
      <c r="F341" s="373">
        <v>143.523</v>
      </c>
      <c r="G341" s="373">
        <v>121.422</v>
      </c>
      <c r="H341" s="373">
        <v>138.291</v>
      </c>
      <c r="I341" s="373">
        <v>176.7</v>
      </c>
      <c r="J341" s="373">
        <v>214.8</v>
      </c>
      <c r="K341" s="373">
        <v>352.9</v>
      </c>
      <c r="L341" s="387"/>
      <c r="M341" s="387"/>
    </row>
    <row r="342" spans="1:13" ht="31.5" customHeight="1" x14ac:dyDescent="0.2">
      <c r="A342" s="21"/>
      <c r="B342" s="21"/>
      <c r="C342" s="21"/>
      <c r="D342" s="307" t="s">
        <v>507</v>
      </c>
      <c r="E342" s="374">
        <f t="shared" ref="E342:J342" si="72">SUM(E333,E336,E339)</f>
        <v>428.02499999999998</v>
      </c>
      <c r="F342" s="374">
        <f t="shared" si="72"/>
        <v>543.13499999999999</v>
      </c>
      <c r="G342" s="374">
        <f t="shared" si="72"/>
        <v>418.68499999999995</v>
      </c>
      <c r="H342" s="374">
        <f t="shared" si="72"/>
        <v>464.01900000000001</v>
      </c>
      <c r="I342" s="374">
        <f t="shared" si="72"/>
        <v>615.70000000000005</v>
      </c>
      <c r="J342" s="374">
        <f t="shared" si="72"/>
        <v>631.79999999999995</v>
      </c>
      <c r="K342" s="374">
        <f>SUM(K333,K336,K339)</f>
        <v>686.9</v>
      </c>
      <c r="L342" s="387"/>
      <c r="M342" s="387"/>
    </row>
    <row r="343" spans="1:13" ht="15.75" outlineLevel="1" x14ac:dyDescent="0.25">
      <c r="A343" s="21"/>
      <c r="B343" s="21"/>
      <c r="C343" s="21"/>
      <c r="D343" s="309" t="s">
        <v>474</v>
      </c>
      <c r="E343" s="386">
        <f t="shared" ref="E343:K343" si="73">E29-E342</f>
        <v>3.0000000000427463E-3</v>
      </c>
      <c r="F343" s="386">
        <f t="shared" si="73"/>
        <v>4.9999999999954525E-3</v>
      </c>
      <c r="G343" s="386">
        <f t="shared" si="73"/>
        <v>3.0000000000427463E-3</v>
      </c>
      <c r="H343" s="386">
        <f t="shared" si="73"/>
        <v>2.9999999999859028E-3</v>
      </c>
      <c r="I343" s="386">
        <f t="shared" si="73"/>
        <v>-7.8000000000088221E-2</v>
      </c>
      <c r="J343" s="386">
        <f t="shared" si="73"/>
        <v>0</v>
      </c>
      <c r="K343" s="386">
        <f t="shared" si="73"/>
        <v>0</v>
      </c>
      <c r="L343" s="21"/>
      <c r="M343" s="21"/>
    </row>
    <row r="344" spans="1:13" x14ac:dyDescent="0.2">
      <c r="A344" s="21"/>
      <c r="B344" s="21"/>
      <c r="C344" s="21"/>
      <c r="D344" s="291"/>
      <c r="E344" s="387"/>
      <c r="F344" s="387"/>
      <c r="G344" s="387"/>
      <c r="H344" s="387"/>
      <c r="I344" s="387"/>
      <c r="J344" s="387"/>
      <c r="K344" s="387"/>
      <c r="L344" s="387"/>
      <c r="M344" s="387"/>
    </row>
    <row r="345" spans="1:13" x14ac:dyDescent="0.2">
      <c r="A345" s="21"/>
      <c r="B345" s="21"/>
      <c r="C345" s="21"/>
      <c r="D345" s="291"/>
      <c r="E345" s="387"/>
      <c r="F345" s="387"/>
      <c r="G345" s="387"/>
      <c r="H345" s="387"/>
      <c r="I345" s="387"/>
      <c r="J345" s="387"/>
      <c r="K345" s="387"/>
      <c r="L345" s="387"/>
      <c r="M345" s="387"/>
    </row>
    <row r="346" spans="1:13" x14ac:dyDescent="0.2">
      <c r="A346" s="21"/>
      <c r="B346" s="21"/>
      <c r="C346" s="21"/>
      <c r="D346" s="291"/>
      <c r="E346" s="387"/>
      <c r="F346" s="387"/>
      <c r="G346" s="387"/>
      <c r="H346" s="387"/>
      <c r="I346" s="387"/>
      <c r="J346" s="387"/>
      <c r="K346" s="387"/>
      <c r="L346" s="387"/>
      <c r="M346" s="387"/>
    </row>
    <row r="347" spans="1:13" ht="15.75" x14ac:dyDescent="0.25">
      <c r="A347" s="21"/>
      <c r="B347" s="21"/>
      <c r="C347" s="21"/>
      <c r="D347" s="399" t="s">
        <v>504</v>
      </c>
      <c r="E347" s="387" t="s">
        <v>348</v>
      </c>
      <c r="F347" s="387"/>
      <c r="G347" s="387"/>
      <c r="H347" s="387"/>
      <c r="I347" s="387"/>
      <c r="J347" s="387"/>
      <c r="K347" s="387"/>
      <c r="L347" s="387"/>
      <c r="M347" s="387"/>
    </row>
    <row r="348" spans="1:13" x14ac:dyDescent="0.2">
      <c r="A348" s="21"/>
      <c r="B348" s="21"/>
      <c r="C348" s="21"/>
      <c r="D348" s="306" t="s">
        <v>286</v>
      </c>
      <c r="E348" s="301">
        <f t="shared" ref="E348:J348" si="74">E7</f>
        <v>2009</v>
      </c>
      <c r="F348" s="301">
        <f t="shared" si="74"/>
        <v>2010</v>
      </c>
      <c r="G348" s="301">
        <f t="shared" si="74"/>
        <v>2011</v>
      </c>
      <c r="H348" s="301">
        <f t="shared" si="74"/>
        <v>2012</v>
      </c>
      <c r="I348" s="301">
        <f t="shared" si="74"/>
        <v>2013</v>
      </c>
      <c r="J348" s="301">
        <f t="shared" si="74"/>
        <v>2014</v>
      </c>
      <c r="K348" s="301">
        <f>K7</f>
        <v>2015</v>
      </c>
      <c r="L348" s="387"/>
      <c r="M348" s="387"/>
    </row>
    <row r="349" spans="1:13" s="28" customFormat="1" ht="15.75" x14ac:dyDescent="0.25">
      <c r="A349" s="11"/>
      <c r="B349" s="11"/>
      <c r="C349" s="11"/>
      <c r="D349" s="303" t="s">
        <v>432</v>
      </c>
      <c r="E349" s="390">
        <v>177.47</v>
      </c>
      <c r="F349" s="390">
        <v>181.619</v>
      </c>
      <c r="G349" s="390">
        <v>162.977</v>
      </c>
      <c r="H349" s="390">
        <v>184.35300000000001</v>
      </c>
      <c r="I349" s="390">
        <v>227.1</v>
      </c>
      <c r="J349" s="390">
        <v>269.60000000000002</v>
      </c>
      <c r="K349" s="390">
        <v>412</v>
      </c>
      <c r="L349" s="398"/>
      <c r="M349" s="398"/>
    </row>
    <row r="350" spans="1:13" x14ac:dyDescent="0.2">
      <c r="A350" s="21"/>
      <c r="B350" s="21"/>
      <c r="C350" s="21"/>
      <c r="D350" s="291" t="s">
        <v>434</v>
      </c>
      <c r="E350" s="373">
        <v>66.287000000000006</v>
      </c>
      <c r="F350" s="373">
        <v>141.75299999999999</v>
      </c>
      <c r="G350" s="373">
        <v>61.485999999999997</v>
      </c>
      <c r="H350" s="373">
        <v>44.015999999999998</v>
      </c>
      <c r="I350" s="373">
        <v>153.4</v>
      </c>
      <c r="J350" s="373">
        <v>143.30000000000001</v>
      </c>
      <c r="K350" s="373">
        <v>116.8</v>
      </c>
      <c r="L350" s="387"/>
      <c r="M350" s="387"/>
    </row>
    <row r="351" spans="1:13" x14ac:dyDescent="0.2">
      <c r="A351" s="21"/>
      <c r="B351" s="21"/>
      <c r="C351" s="21"/>
      <c r="D351" s="291" t="s">
        <v>307</v>
      </c>
      <c r="E351" s="373">
        <v>19.849</v>
      </c>
      <c r="F351" s="373">
        <v>33.622</v>
      </c>
      <c r="G351" s="373">
        <v>33.558999999999997</v>
      </c>
      <c r="H351" s="373">
        <v>42.418999999999997</v>
      </c>
      <c r="I351" s="373">
        <v>65</v>
      </c>
      <c r="J351" s="373">
        <v>97.2</v>
      </c>
      <c r="K351" s="373">
        <v>54.4</v>
      </c>
      <c r="L351" s="387"/>
      <c r="M351" s="387"/>
    </row>
    <row r="352" spans="1:13" s="28" customFormat="1" ht="15.75" x14ac:dyDescent="0.25">
      <c r="A352" s="11"/>
      <c r="B352" s="11"/>
      <c r="C352" s="11"/>
      <c r="D352" s="291" t="s">
        <v>505</v>
      </c>
      <c r="E352" s="373">
        <v>45.798000000000002</v>
      </c>
      <c r="F352" s="373">
        <v>25.21</v>
      </c>
      <c r="G352" s="373">
        <v>29.977</v>
      </c>
      <c r="H352" s="373">
        <v>34.886000000000003</v>
      </c>
      <c r="I352" s="373">
        <v>50.1</v>
      </c>
      <c r="J352" s="373">
        <v>27.9</v>
      </c>
      <c r="K352" s="373">
        <v>31.7</v>
      </c>
      <c r="L352" s="398"/>
      <c r="M352" s="398"/>
    </row>
    <row r="353" spans="1:13" x14ac:dyDescent="0.2">
      <c r="A353" s="21"/>
      <c r="B353" s="21"/>
      <c r="C353" s="21"/>
      <c r="D353" s="291" t="s">
        <v>309</v>
      </c>
      <c r="E353" s="373">
        <v>13.455</v>
      </c>
      <c r="F353" s="373">
        <v>15.531000000000001</v>
      </c>
      <c r="G353" s="373">
        <v>14.89</v>
      </c>
      <c r="H353" s="373">
        <v>24.544</v>
      </c>
      <c r="I353" s="373">
        <v>24.7</v>
      </c>
      <c r="J353" s="373">
        <v>29.8</v>
      </c>
      <c r="K353" s="373">
        <v>23.2</v>
      </c>
      <c r="L353" s="387"/>
      <c r="M353" s="387"/>
    </row>
    <row r="354" spans="1:13" x14ac:dyDescent="0.2">
      <c r="A354" s="21"/>
      <c r="B354" s="21"/>
      <c r="C354" s="21"/>
      <c r="D354" s="291" t="s">
        <v>308</v>
      </c>
      <c r="E354" s="373">
        <v>30.881</v>
      </c>
      <c r="F354" s="373">
        <v>26.07</v>
      </c>
      <c r="G354" s="373">
        <v>43.189</v>
      </c>
      <c r="H354" s="373">
        <v>79.778999999999996</v>
      </c>
      <c r="I354" s="373">
        <v>49.6</v>
      </c>
      <c r="J354" s="373">
        <v>20.7</v>
      </c>
      <c r="K354" s="373">
        <v>20.399999999999999</v>
      </c>
      <c r="L354" s="387"/>
      <c r="M354" s="387"/>
    </row>
    <row r="355" spans="1:13" s="28" customFormat="1" ht="15.75" x14ac:dyDescent="0.25">
      <c r="A355" s="11"/>
      <c r="B355" s="11"/>
      <c r="C355" s="11"/>
      <c r="D355" s="291" t="s">
        <v>435</v>
      </c>
      <c r="E355" s="373">
        <v>12.173999999999999</v>
      </c>
      <c r="F355" s="373">
        <v>25.085000000000001</v>
      </c>
      <c r="G355" s="373">
        <v>26.239000000000001</v>
      </c>
      <c r="H355" s="373">
        <v>6.1139999999999999</v>
      </c>
      <c r="I355" s="373">
        <v>22.7</v>
      </c>
      <c r="J355" s="373">
        <v>11.3</v>
      </c>
      <c r="K355" s="373">
        <v>5.7</v>
      </c>
      <c r="L355" s="398"/>
      <c r="M355" s="398"/>
    </row>
    <row r="356" spans="1:13" x14ac:dyDescent="0.2">
      <c r="A356" s="21"/>
      <c r="B356" s="21"/>
      <c r="C356" s="21"/>
      <c r="D356" s="291" t="s">
        <v>506</v>
      </c>
      <c r="E356" s="373">
        <v>39.32</v>
      </c>
      <c r="F356" s="373">
        <v>53.305</v>
      </c>
      <c r="G356" s="373">
        <v>23.059000000000001</v>
      </c>
      <c r="H356" s="373">
        <v>5.2510000000000003</v>
      </c>
      <c r="I356" s="373">
        <v>6.7</v>
      </c>
      <c r="J356" s="373">
        <v>4.5999999999999996</v>
      </c>
      <c r="K356" s="373">
        <v>2.5</v>
      </c>
      <c r="L356" s="387"/>
      <c r="M356" s="387"/>
    </row>
    <row r="357" spans="1:13" x14ac:dyDescent="0.2">
      <c r="A357" s="21"/>
      <c r="B357" s="21"/>
      <c r="C357" s="21"/>
      <c r="D357" s="291" t="s">
        <v>439</v>
      </c>
      <c r="E357" s="373">
        <v>1.657</v>
      </c>
      <c r="F357" s="373">
        <v>1.385</v>
      </c>
      <c r="G357" s="373">
        <v>0.30499999999999999</v>
      </c>
      <c r="H357" s="373">
        <v>0.38700000000000001</v>
      </c>
      <c r="I357" s="373">
        <v>0.3</v>
      </c>
      <c r="J357" s="373">
        <v>1</v>
      </c>
      <c r="K357" s="373">
        <v>1.2</v>
      </c>
      <c r="L357" s="387"/>
      <c r="M357" s="387"/>
    </row>
    <row r="358" spans="1:13" x14ac:dyDescent="0.2">
      <c r="A358" s="21"/>
      <c r="B358" s="21"/>
      <c r="C358" s="21"/>
      <c r="D358" s="291" t="s">
        <v>438</v>
      </c>
      <c r="E358" s="373">
        <v>0.64100000000000001</v>
      </c>
      <c r="F358" s="373">
        <v>0.43</v>
      </c>
      <c r="G358" s="373">
        <v>0.503</v>
      </c>
      <c r="H358" s="373">
        <v>1.2609999999999999</v>
      </c>
      <c r="I358" s="373">
        <v>1.1000000000000001</v>
      </c>
      <c r="J358" s="373">
        <v>1.1000000000000001</v>
      </c>
      <c r="K358" s="373">
        <v>0.8</v>
      </c>
      <c r="L358" s="387"/>
      <c r="M358" s="387"/>
    </row>
    <row r="359" spans="1:13" x14ac:dyDescent="0.2">
      <c r="A359" s="21"/>
      <c r="B359" s="21"/>
      <c r="C359" s="21"/>
      <c r="D359" s="291" t="s">
        <v>437</v>
      </c>
      <c r="E359" s="373">
        <v>0.34899999999999998</v>
      </c>
      <c r="F359" s="373">
        <v>0.436</v>
      </c>
      <c r="G359" s="373">
        <v>1.2829999999999999</v>
      </c>
      <c r="H359" s="373">
        <v>0.80500000000000005</v>
      </c>
      <c r="I359" s="373">
        <v>0.6</v>
      </c>
      <c r="J359" s="373">
        <v>0.7</v>
      </c>
      <c r="K359" s="373">
        <v>0.2</v>
      </c>
      <c r="L359" s="387"/>
      <c r="M359" s="387"/>
    </row>
    <row r="360" spans="1:13" x14ac:dyDescent="0.2">
      <c r="A360" s="21"/>
      <c r="B360" s="21"/>
      <c r="C360" s="21"/>
      <c r="D360" s="291" t="s">
        <v>294</v>
      </c>
      <c r="E360" s="373">
        <v>20.138999999999999</v>
      </c>
      <c r="F360" s="373">
        <v>38.688000000000002</v>
      </c>
      <c r="G360" s="373">
        <v>21.216000000000001</v>
      </c>
      <c r="H360" s="373">
        <v>40.201000000000001</v>
      </c>
      <c r="I360" s="373">
        <v>14.3</v>
      </c>
      <c r="J360" s="373">
        <v>24.6</v>
      </c>
      <c r="K360" s="373">
        <v>18</v>
      </c>
      <c r="L360" s="387"/>
      <c r="M360" s="387"/>
    </row>
    <row r="361" spans="1:13" ht="34.5" customHeight="1" x14ac:dyDescent="0.2">
      <c r="A361" s="21"/>
      <c r="B361" s="21"/>
      <c r="C361" s="21"/>
      <c r="D361" s="307" t="s">
        <v>507</v>
      </c>
      <c r="E361" s="374">
        <f t="shared" ref="E361:K361" si="75">SUM(E349:E360)</f>
        <v>428.02</v>
      </c>
      <c r="F361" s="374">
        <f t="shared" si="75"/>
        <v>543.1339999999999</v>
      </c>
      <c r="G361" s="374">
        <f t="shared" si="75"/>
        <v>418.68299999999999</v>
      </c>
      <c r="H361" s="374">
        <f t="shared" si="75"/>
        <v>464.01600000000002</v>
      </c>
      <c r="I361" s="374">
        <f t="shared" si="75"/>
        <v>615.60000000000014</v>
      </c>
      <c r="J361" s="374">
        <f t="shared" si="75"/>
        <v>631.80000000000007</v>
      </c>
      <c r="K361" s="374">
        <f t="shared" si="75"/>
        <v>686.90000000000009</v>
      </c>
      <c r="L361" s="387"/>
      <c r="M361" s="387"/>
    </row>
    <row r="362" spans="1:13" ht="15.75" outlineLevel="1" x14ac:dyDescent="0.25">
      <c r="A362" s="21"/>
      <c r="B362" s="21"/>
      <c r="C362" s="21"/>
      <c r="D362" s="309" t="s">
        <v>474</v>
      </c>
      <c r="E362" s="386">
        <f t="shared" ref="E362:K362" si="76">E29-E361</f>
        <v>8.0000000000381988E-3</v>
      </c>
      <c r="F362" s="386">
        <f t="shared" si="76"/>
        <v>6.0000000000854925E-3</v>
      </c>
      <c r="G362" s="386">
        <f t="shared" si="76"/>
        <v>4.9999999999954525E-3</v>
      </c>
      <c r="H362" s="386">
        <f t="shared" si="76"/>
        <v>5.9999999999718057E-3</v>
      </c>
      <c r="I362" s="386">
        <f t="shared" si="76"/>
        <v>2.199999999982083E-2</v>
      </c>
      <c r="J362" s="386">
        <f t="shared" si="76"/>
        <v>0</v>
      </c>
      <c r="K362" s="386">
        <f t="shared" si="76"/>
        <v>0</v>
      </c>
      <c r="L362" s="21"/>
      <c r="M362" s="21"/>
    </row>
    <row r="363" spans="1:13" x14ac:dyDescent="0.2">
      <c r="A363" s="21"/>
      <c r="B363" s="21"/>
      <c r="C363" s="21"/>
      <c r="D363" s="291"/>
      <c r="E363" s="387"/>
      <c r="F363" s="387"/>
      <c r="G363" s="387"/>
      <c r="H363" s="387"/>
      <c r="I363" s="387"/>
      <c r="J363" s="387"/>
      <c r="K363" s="387"/>
      <c r="L363" s="387"/>
      <c r="M363" s="387"/>
    </row>
    <row r="364" spans="1:13" x14ac:dyDescent="0.2">
      <c r="A364" s="21"/>
      <c r="B364" s="21"/>
      <c r="C364" s="21"/>
      <c r="D364" s="291"/>
      <c r="E364" s="387"/>
      <c r="F364" s="387"/>
      <c r="G364" s="387"/>
      <c r="H364" s="387"/>
      <c r="I364" s="387"/>
      <c r="J364" s="387"/>
      <c r="K364" s="387"/>
      <c r="L364" s="387"/>
      <c r="M364" s="387"/>
    </row>
    <row r="365" spans="1:13" ht="15.75" x14ac:dyDescent="0.25">
      <c r="A365" s="21"/>
      <c r="B365" s="21"/>
      <c r="C365" s="21"/>
      <c r="D365" s="324" t="s">
        <v>352</v>
      </c>
      <c r="E365" s="387" t="s">
        <v>348</v>
      </c>
      <c r="F365" s="387"/>
      <c r="G365" s="387"/>
      <c r="H365" s="387"/>
      <c r="I365" s="387"/>
      <c r="J365" s="387"/>
      <c r="K365" s="387"/>
      <c r="L365" s="387"/>
      <c r="M365" s="387"/>
    </row>
    <row r="366" spans="1:13" x14ac:dyDescent="0.2">
      <c r="A366" s="21"/>
      <c r="B366" s="21"/>
      <c r="C366" s="21"/>
      <c r="D366" s="306" t="s">
        <v>286</v>
      </c>
      <c r="E366" s="301">
        <f t="shared" ref="E366:J366" si="77">E7</f>
        <v>2009</v>
      </c>
      <c r="F366" s="301">
        <f t="shared" si="77"/>
        <v>2010</v>
      </c>
      <c r="G366" s="301">
        <f t="shared" si="77"/>
        <v>2011</v>
      </c>
      <c r="H366" s="301">
        <f t="shared" si="77"/>
        <v>2012</v>
      </c>
      <c r="I366" s="301">
        <f t="shared" si="77"/>
        <v>2013</v>
      </c>
      <c r="J366" s="301">
        <f t="shared" si="77"/>
        <v>2014</v>
      </c>
      <c r="K366" s="301">
        <f>K7</f>
        <v>2015</v>
      </c>
      <c r="L366" s="387"/>
      <c r="M366" s="387"/>
    </row>
    <row r="367" spans="1:13" x14ac:dyDescent="0.2">
      <c r="A367" s="21"/>
      <c r="B367" s="21"/>
      <c r="C367" s="21"/>
      <c r="D367" s="291" t="s">
        <v>509</v>
      </c>
      <c r="E367" s="373">
        <v>17.818000000000001</v>
      </c>
      <c r="F367" s="373">
        <v>18.483000000000001</v>
      </c>
      <c r="G367" s="373">
        <v>11.036</v>
      </c>
      <c r="H367" s="373">
        <v>10.54</v>
      </c>
      <c r="I367" s="373">
        <v>20.9</v>
      </c>
      <c r="J367" s="373">
        <v>30.3</v>
      </c>
      <c r="K367" s="373">
        <v>30.4</v>
      </c>
      <c r="L367" s="387"/>
      <c r="M367" s="387"/>
    </row>
    <row r="368" spans="1:13" x14ac:dyDescent="0.2">
      <c r="A368" s="21"/>
      <c r="B368" s="21"/>
      <c r="C368" s="21"/>
      <c r="D368" s="291" t="s">
        <v>510</v>
      </c>
      <c r="E368" s="373">
        <v>0</v>
      </c>
      <c r="F368" s="373">
        <v>0</v>
      </c>
      <c r="G368" s="373">
        <v>0</v>
      </c>
      <c r="H368" s="373">
        <v>0</v>
      </c>
      <c r="I368" s="373">
        <v>12.8</v>
      </c>
      <c r="J368" s="373">
        <v>17.100000000000001</v>
      </c>
      <c r="K368" s="373">
        <v>17</v>
      </c>
      <c r="L368" s="387"/>
      <c r="M368" s="387"/>
    </row>
    <row r="369" spans="1:13" x14ac:dyDescent="0.2">
      <c r="A369" s="21"/>
      <c r="B369" s="21"/>
      <c r="C369" s="21"/>
      <c r="D369" s="291" t="s">
        <v>511</v>
      </c>
      <c r="E369" s="373">
        <v>8.3019999999999996</v>
      </c>
      <c r="F369" s="373">
        <v>5.0389999999999997</v>
      </c>
      <c r="G369" s="373">
        <v>5.9470000000000001</v>
      </c>
      <c r="H369" s="373">
        <v>3.4369999999999998</v>
      </c>
      <c r="I369" s="373">
        <v>12.4</v>
      </c>
      <c r="J369" s="373">
        <v>12.7</v>
      </c>
      <c r="K369" s="373">
        <v>4.9000000000000004</v>
      </c>
      <c r="L369" s="387"/>
      <c r="M369" s="387"/>
    </row>
    <row r="370" spans="1:13" x14ac:dyDescent="0.2">
      <c r="A370" s="21"/>
      <c r="B370" s="21"/>
      <c r="C370" s="21"/>
      <c r="D370" s="291" t="s">
        <v>512</v>
      </c>
      <c r="E370" s="373">
        <v>30.741</v>
      </c>
      <c r="F370" s="373">
        <v>57.581000000000003</v>
      </c>
      <c r="G370" s="373">
        <v>56.631999999999998</v>
      </c>
      <c r="H370" s="373">
        <v>52.994</v>
      </c>
      <c r="I370" s="373">
        <v>23.9</v>
      </c>
      <c r="J370" s="373">
        <v>41.4</v>
      </c>
      <c r="K370" s="373">
        <v>0</v>
      </c>
      <c r="L370" s="387"/>
      <c r="M370" s="387"/>
    </row>
    <row r="371" spans="1:13" ht="27" customHeight="1" x14ac:dyDescent="0.2">
      <c r="A371" s="21"/>
      <c r="B371" s="21"/>
      <c r="C371" s="21"/>
      <c r="D371" s="307" t="s">
        <v>513</v>
      </c>
      <c r="E371" s="374">
        <f t="shared" ref="E371:K371" si="78">SUM(E367:E370)</f>
        <v>56.861000000000004</v>
      </c>
      <c r="F371" s="374">
        <f t="shared" si="78"/>
        <v>81.103000000000009</v>
      </c>
      <c r="G371" s="374">
        <f t="shared" si="78"/>
        <v>73.614999999999995</v>
      </c>
      <c r="H371" s="374">
        <f t="shared" si="78"/>
        <v>66.971000000000004</v>
      </c>
      <c r="I371" s="374">
        <f t="shared" si="78"/>
        <v>70</v>
      </c>
      <c r="J371" s="374">
        <f t="shared" si="78"/>
        <v>101.5</v>
      </c>
      <c r="K371" s="374">
        <f t="shared" si="78"/>
        <v>52.3</v>
      </c>
      <c r="L371" s="387"/>
      <c r="M371" s="387"/>
    </row>
    <row r="372" spans="1:13" ht="15.75" outlineLevel="1" x14ac:dyDescent="0.25">
      <c r="A372" s="21"/>
      <c r="B372" s="21"/>
      <c r="C372" s="21"/>
      <c r="D372" s="309" t="s">
        <v>474</v>
      </c>
      <c r="E372" s="386">
        <f t="shared" ref="E372:K372" si="79">E30-E371</f>
        <v>9.9999999999766942E-4</v>
      </c>
      <c r="F372" s="386">
        <f t="shared" si="79"/>
        <v>0</v>
      </c>
      <c r="G372" s="386">
        <f t="shared" si="79"/>
        <v>1.0000000000047748E-3</v>
      </c>
      <c r="H372" s="386">
        <f t="shared" si="79"/>
        <v>0</v>
      </c>
      <c r="I372" s="386">
        <f t="shared" si="79"/>
        <v>-3.7000000000006139E-2</v>
      </c>
      <c r="J372" s="386">
        <f t="shared" si="79"/>
        <v>0</v>
      </c>
      <c r="K372" s="386">
        <f t="shared" si="79"/>
        <v>0</v>
      </c>
      <c r="L372" s="21"/>
      <c r="M372" s="21"/>
    </row>
    <row r="373" spans="1:13" x14ac:dyDescent="0.2">
      <c r="A373" s="21"/>
      <c r="B373" s="21"/>
      <c r="C373" s="21"/>
      <c r="D373" s="291"/>
      <c r="E373" s="387"/>
      <c r="F373" s="387"/>
      <c r="G373" s="387"/>
      <c r="H373" s="387"/>
      <c r="I373" s="387"/>
      <c r="J373" s="387"/>
      <c r="K373" s="387"/>
      <c r="L373" s="387"/>
      <c r="M373" s="387"/>
    </row>
    <row r="374" spans="1:13" x14ac:dyDescent="0.2">
      <c r="A374" s="21"/>
      <c r="B374" s="21"/>
      <c r="C374" s="21"/>
      <c r="D374" s="291"/>
      <c r="E374" s="387"/>
      <c r="F374" s="387"/>
      <c r="G374" s="387"/>
      <c r="H374" s="387"/>
      <c r="I374" s="387"/>
      <c r="J374" s="387"/>
      <c r="K374" s="387"/>
      <c r="L374" s="387"/>
      <c r="M374" s="387"/>
    </row>
    <row r="375" spans="1:13" ht="15.75" x14ac:dyDescent="0.25">
      <c r="A375" s="21"/>
      <c r="B375" s="21"/>
      <c r="C375" s="21"/>
      <c r="D375" s="324" t="s">
        <v>353</v>
      </c>
      <c r="E375" s="387" t="s">
        <v>348</v>
      </c>
      <c r="F375" s="387"/>
      <c r="G375" s="387"/>
      <c r="H375" s="387"/>
      <c r="I375" s="387"/>
      <c r="J375" s="387"/>
      <c r="K375" s="387"/>
      <c r="L375" s="387"/>
      <c r="M375" s="387"/>
    </row>
    <row r="376" spans="1:13" x14ac:dyDescent="0.2">
      <c r="A376" s="21"/>
      <c r="B376" s="21"/>
      <c r="C376" s="21"/>
      <c r="D376" s="306" t="s">
        <v>286</v>
      </c>
      <c r="E376" s="301">
        <f t="shared" ref="E376:J376" si="80">E7</f>
        <v>2009</v>
      </c>
      <c r="F376" s="301">
        <f t="shared" si="80"/>
        <v>2010</v>
      </c>
      <c r="G376" s="301">
        <f t="shared" si="80"/>
        <v>2011</v>
      </c>
      <c r="H376" s="301">
        <f t="shared" si="80"/>
        <v>2012</v>
      </c>
      <c r="I376" s="301">
        <f t="shared" si="80"/>
        <v>2013</v>
      </c>
      <c r="J376" s="301">
        <f t="shared" si="80"/>
        <v>2014</v>
      </c>
      <c r="K376" s="301">
        <f>K7</f>
        <v>2015</v>
      </c>
      <c r="L376" s="387"/>
      <c r="M376" s="387"/>
    </row>
    <row r="377" spans="1:13" x14ac:dyDescent="0.2">
      <c r="A377" s="21"/>
      <c r="B377" s="21"/>
      <c r="C377" s="21"/>
      <c r="D377" s="291" t="s">
        <v>514</v>
      </c>
      <c r="E377" s="373"/>
      <c r="F377" s="373"/>
      <c r="G377" s="373">
        <f>G31</f>
        <v>144.386</v>
      </c>
      <c r="H377" s="373">
        <f>H31</f>
        <v>153.42599999999999</v>
      </c>
      <c r="I377" s="373">
        <f>I31</f>
        <v>159.041</v>
      </c>
      <c r="J377" s="400">
        <f>J31</f>
        <v>67.7</v>
      </c>
      <c r="K377" s="373">
        <f>K31</f>
        <v>73.7</v>
      </c>
      <c r="L377" s="387"/>
      <c r="M377" s="387"/>
    </row>
    <row r="378" spans="1:13" s="28" customFormat="1" ht="15.75" x14ac:dyDescent="0.25">
      <c r="A378" s="11"/>
      <c r="B378" s="11"/>
      <c r="C378" s="11"/>
      <c r="D378" s="303" t="s">
        <v>516</v>
      </c>
      <c r="E378" s="390"/>
      <c r="F378" s="390"/>
      <c r="G378" s="390"/>
      <c r="H378" s="390"/>
      <c r="I378" s="390"/>
      <c r="J378" s="390"/>
      <c r="K378" s="390"/>
      <c r="L378" s="398"/>
      <c r="M378" s="398"/>
    </row>
    <row r="379" spans="1:13" x14ac:dyDescent="0.2">
      <c r="A379" s="21"/>
      <c r="B379" s="21"/>
      <c r="C379" s="21"/>
      <c r="D379" s="291" t="s">
        <v>515</v>
      </c>
      <c r="E379" s="373"/>
      <c r="F379" s="373"/>
      <c r="G379" s="373">
        <v>413.47500000000002</v>
      </c>
      <c r="H379" s="373">
        <v>390.15899999999999</v>
      </c>
      <c r="I379" s="373">
        <v>404.5</v>
      </c>
      <c r="J379" s="373">
        <v>344.6</v>
      </c>
      <c r="K379" s="373">
        <v>375.5</v>
      </c>
      <c r="L379" s="387"/>
      <c r="M379" s="387"/>
    </row>
    <row r="380" spans="1:13" x14ac:dyDescent="0.2">
      <c r="A380" s="21"/>
      <c r="B380" s="21"/>
      <c r="C380" s="21"/>
      <c r="D380" s="291" t="s">
        <v>524</v>
      </c>
      <c r="E380" s="373"/>
      <c r="F380" s="373"/>
      <c r="G380" s="373">
        <v>200.94</v>
      </c>
      <c r="H380" s="373">
        <v>199.15100000000001</v>
      </c>
      <c r="I380" s="373">
        <v>205.4</v>
      </c>
      <c r="J380" s="373">
        <v>134</v>
      </c>
      <c r="K380" s="373">
        <v>118.1</v>
      </c>
      <c r="L380" s="387"/>
      <c r="M380" s="387"/>
    </row>
    <row r="381" spans="1:13" s="403" customFormat="1" x14ac:dyDescent="0.2">
      <c r="A381" s="401"/>
      <c r="B381" s="401"/>
      <c r="C381" s="401"/>
      <c r="D381" s="299" t="s">
        <v>525</v>
      </c>
      <c r="E381" s="402"/>
      <c r="F381" s="402"/>
      <c r="G381" s="402">
        <f>G380/G377</f>
        <v>1.3916861745598603</v>
      </c>
      <c r="H381" s="402">
        <f>H380/H377</f>
        <v>1.2980264101260544</v>
      </c>
      <c r="I381" s="402">
        <f>I380/I377</f>
        <v>1.2914908734225767</v>
      </c>
      <c r="J381" s="402">
        <f>J380/J377</f>
        <v>1.9793205317577547</v>
      </c>
      <c r="K381" s="402">
        <f>K380/K377</f>
        <v>1.6024423337856173</v>
      </c>
      <c r="L381" s="402"/>
      <c r="M381" s="402"/>
    </row>
    <row r="382" spans="1:13" x14ac:dyDescent="0.2">
      <c r="A382" s="21"/>
      <c r="B382" s="21"/>
      <c r="C382" s="21"/>
      <c r="D382" s="291"/>
      <c r="E382" s="387"/>
      <c r="F382" s="387"/>
      <c r="G382" s="387"/>
      <c r="H382" s="387"/>
      <c r="I382" s="387"/>
      <c r="J382" s="387"/>
      <c r="K382" s="387"/>
      <c r="L382" s="387"/>
      <c r="M382" s="387"/>
    </row>
    <row r="383" spans="1:13" ht="15.75" x14ac:dyDescent="0.25">
      <c r="A383" s="21"/>
      <c r="B383" s="21"/>
      <c r="C383" s="21"/>
      <c r="D383" s="404" t="s">
        <v>527</v>
      </c>
      <c r="E383" s="387"/>
      <c r="F383" s="387"/>
      <c r="G383" s="387"/>
      <c r="H383" s="387"/>
      <c r="I383" s="387"/>
      <c r="J383" s="387"/>
      <c r="K383" s="387"/>
      <c r="L383" s="387"/>
      <c r="M383" s="387"/>
    </row>
    <row r="384" spans="1:13" x14ac:dyDescent="0.2">
      <c r="A384" s="21"/>
      <c r="B384" s="21"/>
      <c r="C384" s="21"/>
      <c r="D384" s="291"/>
      <c r="E384" s="387"/>
      <c r="F384" s="387"/>
      <c r="G384" s="387"/>
      <c r="H384" s="387"/>
      <c r="I384" s="387"/>
      <c r="J384" s="387"/>
      <c r="K384" s="387"/>
      <c r="L384" s="387"/>
      <c r="M384" s="387"/>
    </row>
    <row r="385" spans="1:13" x14ac:dyDescent="0.2">
      <c r="A385" s="21"/>
      <c r="B385" s="21"/>
      <c r="C385" s="21"/>
      <c r="D385" s="291"/>
      <c r="E385" s="387"/>
      <c r="F385" s="387"/>
      <c r="G385" s="387"/>
      <c r="H385" s="387"/>
      <c r="I385" s="387"/>
      <c r="J385" s="387"/>
      <c r="K385" s="387"/>
      <c r="L385" s="387"/>
      <c r="M385" s="387"/>
    </row>
    <row r="386" spans="1:13" x14ac:dyDescent="0.2">
      <c r="A386" s="21"/>
      <c r="B386" s="21"/>
      <c r="C386" s="21"/>
      <c r="D386" s="291"/>
      <c r="E386" s="387"/>
      <c r="F386" s="387"/>
      <c r="G386" s="387"/>
      <c r="H386" s="387"/>
      <c r="I386" s="387"/>
      <c r="J386" s="387"/>
      <c r="K386" s="387"/>
      <c r="L386" s="387"/>
      <c r="M386" s="387"/>
    </row>
    <row r="387" spans="1:13" x14ac:dyDescent="0.2">
      <c r="A387" s="21"/>
      <c r="B387" s="21"/>
      <c r="C387" s="21"/>
      <c r="D387" s="291"/>
      <c r="E387" s="387"/>
      <c r="F387" s="387"/>
      <c r="G387" s="387"/>
      <c r="H387" s="387"/>
      <c r="I387" s="387"/>
      <c r="J387" s="387"/>
      <c r="K387" s="387"/>
      <c r="L387" s="387"/>
      <c r="M387" s="387"/>
    </row>
    <row r="388" spans="1:13" x14ac:dyDescent="0.2">
      <c r="A388" s="21"/>
      <c r="B388" s="21"/>
      <c r="C388" s="21"/>
      <c r="D388" s="291"/>
      <c r="E388" s="387"/>
      <c r="F388" s="387"/>
      <c r="G388" s="387"/>
      <c r="H388" s="387"/>
      <c r="I388" s="387"/>
      <c r="J388" s="387"/>
      <c r="K388" s="387"/>
      <c r="L388" s="387"/>
      <c r="M388" s="387"/>
    </row>
    <row r="389" spans="1:13" x14ac:dyDescent="0.2">
      <c r="A389" s="21"/>
      <c r="B389" s="21"/>
      <c r="C389" s="21"/>
      <c r="D389" s="291"/>
      <c r="E389" s="387"/>
      <c r="F389" s="387"/>
      <c r="G389" s="387"/>
      <c r="H389" s="387"/>
      <c r="I389" s="387"/>
      <c r="J389" s="387"/>
      <c r="K389" s="387"/>
      <c r="L389" s="387"/>
      <c r="M389" s="387"/>
    </row>
    <row r="390" spans="1:13" x14ac:dyDescent="0.2">
      <c r="A390" s="21"/>
      <c r="B390" s="21"/>
      <c r="C390" s="21"/>
      <c r="D390" s="291"/>
      <c r="E390" s="387"/>
      <c r="F390" s="387"/>
      <c r="G390" s="387"/>
      <c r="H390" s="387"/>
      <c r="I390" s="387"/>
      <c r="J390" s="387"/>
      <c r="K390" s="387"/>
      <c r="L390" s="387"/>
      <c r="M390" s="387"/>
    </row>
    <row r="391" spans="1:13" x14ac:dyDescent="0.2">
      <c r="A391" s="21"/>
      <c r="B391" s="21"/>
      <c r="C391" s="21"/>
      <c r="D391" s="291"/>
      <c r="E391" s="387"/>
      <c r="F391" s="387"/>
      <c r="G391" s="387"/>
      <c r="H391" s="387"/>
      <c r="I391" s="387"/>
      <c r="J391" s="387"/>
      <c r="K391" s="387"/>
      <c r="L391" s="387"/>
      <c r="M391" s="387"/>
    </row>
    <row r="392" spans="1:13" x14ac:dyDescent="0.2">
      <c r="A392" s="21"/>
      <c r="B392" s="21"/>
      <c r="C392" s="21"/>
      <c r="D392" s="291"/>
      <c r="E392" s="387"/>
      <c r="F392" s="387"/>
      <c r="G392" s="387"/>
      <c r="H392" s="387"/>
      <c r="I392" s="387"/>
      <c r="J392" s="387"/>
      <c r="K392" s="387"/>
      <c r="L392" s="387"/>
      <c r="M392" s="387"/>
    </row>
    <row r="393" spans="1:13" x14ac:dyDescent="0.2">
      <c r="A393" s="21"/>
      <c r="B393" s="21"/>
      <c r="C393" s="21"/>
      <c r="D393" s="291"/>
      <c r="E393" s="387"/>
      <c r="F393" s="387"/>
      <c r="G393" s="387"/>
      <c r="H393" s="387"/>
      <c r="I393" s="387"/>
      <c r="J393" s="387"/>
      <c r="K393" s="387"/>
      <c r="L393" s="387"/>
      <c r="M393" s="387"/>
    </row>
    <row r="394" spans="1:13" x14ac:dyDescent="0.2">
      <c r="A394" s="21"/>
      <c r="B394" s="21"/>
      <c r="C394" s="21"/>
      <c r="D394" s="291"/>
      <c r="E394" s="387"/>
      <c r="F394" s="387"/>
      <c r="G394" s="387"/>
      <c r="H394" s="387"/>
      <c r="I394" s="387"/>
      <c r="J394" s="387"/>
      <c r="K394" s="387"/>
      <c r="L394" s="387"/>
      <c r="M394" s="387"/>
    </row>
    <row r="395" spans="1:13" x14ac:dyDescent="0.2">
      <c r="A395" s="21"/>
      <c r="B395" s="21"/>
      <c r="C395" s="21"/>
      <c r="D395" s="291"/>
      <c r="E395" s="387"/>
      <c r="F395" s="387"/>
      <c r="G395" s="387"/>
      <c r="H395" s="387"/>
      <c r="I395" s="387"/>
      <c r="J395" s="387"/>
      <c r="K395" s="387"/>
      <c r="L395" s="387"/>
      <c r="M395" s="387"/>
    </row>
    <row r="396" spans="1:13" x14ac:dyDescent="0.2">
      <c r="A396" s="21"/>
      <c r="B396" s="21"/>
      <c r="C396" s="21"/>
      <c r="D396" s="291"/>
      <c r="E396" s="387"/>
      <c r="F396" s="387"/>
      <c r="G396" s="387"/>
      <c r="H396" s="387"/>
      <c r="I396" s="387"/>
      <c r="J396" s="387"/>
      <c r="K396" s="387"/>
      <c r="L396" s="387"/>
      <c r="M396" s="387"/>
    </row>
    <row r="397" spans="1:13" x14ac:dyDescent="0.2">
      <c r="A397" s="21"/>
      <c r="B397" s="21"/>
      <c r="C397" s="21"/>
      <c r="D397" s="291"/>
      <c r="E397" s="387"/>
      <c r="F397" s="387"/>
      <c r="G397" s="387"/>
      <c r="H397" s="387"/>
      <c r="I397" s="387"/>
      <c r="J397" s="387"/>
      <c r="K397" s="387"/>
      <c r="L397" s="387"/>
      <c r="M397" s="387"/>
    </row>
    <row r="398" spans="1:13" x14ac:dyDescent="0.2">
      <c r="A398" s="21"/>
      <c r="B398" s="21"/>
      <c r="C398" s="21"/>
      <c r="D398" s="291"/>
      <c r="E398" s="387"/>
      <c r="F398" s="387"/>
      <c r="G398" s="387"/>
      <c r="H398" s="387"/>
      <c r="I398" s="387"/>
      <c r="J398" s="387"/>
      <c r="K398" s="387"/>
      <c r="L398" s="387"/>
      <c r="M398" s="387"/>
    </row>
    <row r="399" spans="1:13" x14ac:dyDescent="0.2">
      <c r="A399" s="21"/>
      <c r="B399" s="21"/>
      <c r="C399" s="21"/>
      <c r="D399" s="291"/>
      <c r="E399" s="387"/>
      <c r="F399" s="387"/>
      <c r="G399" s="387"/>
      <c r="H399" s="387"/>
      <c r="I399" s="387"/>
      <c r="J399" s="387"/>
      <c r="K399" s="387"/>
      <c r="L399" s="387"/>
      <c r="M399" s="387"/>
    </row>
    <row r="400" spans="1:13" x14ac:dyDescent="0.2">
      <c r="A400" s="21"/>
      <c r="B400" s="21"/>
      <c r="C400" s="21"/>
      <c r="D400" s="291"/>
      <c r="E400" s="387"/>
      <c r="F400" s="387"/>
      <c r="G400" s="387"/>
      <c r="H400" s="387"/>
      <c r="I400" s="387"/>
      <c r="J400" s="387"/>
      <c r="K400" s="387"/>
      <c r="L400" s="387"/>
      <c r="M400" s="387"/>
    </row>
    <row r="401" spans="1:13" x14ac:dyDescent="0.2">
      <c r="A401" s="21"/>
      <c r="B401" s="21"/>
      <c r="C401" s="21"/>
      <c r="D401" s="291"/>
      <c r="E401" s="387"/>
      <c r="F401" s="387"/>
      <c r="G401" s="387"/>
      <c r="H401" s="387"/>
      <c r="I401" s="387"/>
      <c r="J401" s="387"/>
      <c r="K401" s="387"/>
      <c r="L401" s="387"/>
      <c r="M401" s="387"/>
    </row>
    <row r="402" spans="1:13" ht="15.75" x14ac:dyDescent="0.25">
      <c r="A402" s="21"/>
      <c r="B402" s="21"/>
      <c r="C402" s="21"/>
      <c r="D402" s="404" t="s">
        <v>528</v>
      </c>
      <c r="E402" s="387"/>
      <c r="F402" s="387"/>
      <c r="G402" s="387"/>
      <c r="H402" s="387"/>
      <c r="I402" s="387"/>
      <c r="J402" s="387"/>
      <c r="K402" s="387"/>
      <c r="L402" s="387"/>
      <c r="M402" s="387"/>
    </row>
    <row r="403" spans="1:13" x14ac:dyDescent="0.2">
      <c r="A403" s="21"/>
      <c r="B403" s="21"/>
      <c r="C403" s="21"/>
      <c r="D403" s="291"/>
      <c r="E403" s="387"/>
      <c r="F403" s="387"/>
      <c r="G403" s="387"/>
      <c r="H403" s="387"/>
      <c r="I403" s="387"/>
      <c r="J403" s="387"/>
      <c r="K403" s="387"/>
      <c r="L403" s="387"/>
      <c r="M403" s="387"/>
    </row>
    <row r="404" spans="1:13" x14ac:dyDescent="0.2">
      <c r="A404" s="21"/>
      <c r="B404" s="21"/>
      <c r="C404" s="21"/>
      <c r="D404" s="291"/>
      <c r="E404" s="387"/>
      <c r="F404" s="387"/>
      <c r="G404" s="387"/>
      <c r="H404" s="387"/>
      <c r="I404" s="387"/>
      <c r="J404" s="387"/>
      <c r="K404" s="387"/>
      <c r="L404" s="387"/>
      <c r="M404" s="387"/>
    </row>
    <row r="405" spans="1:13" x14ac:dyDescent="0.2">
      <c r="A405" s="21"/>
      <c r="B405" s="21"/>
      <c r="C405" s="21"/>
      <c r="D405" s="291"/>
      <c r="E405" s="387"/>
      <c r="F405" s="387"/>
      <c r="G405" s="387"/>
      <c r="H405" s="387"/>
      <c r="I405" s="387"/>
      <c r="J405" s="387"/>
      <c r="K405" s="387"/>
      <c r="L405" s="387"/>
      <c r="M405" s="387"/>
    </row>
    <row r="406" spans="1:13" x14ac:dyDescent="0.2">
      <c r="A406" s="21"/>
      <c r="B406" s="21"/>
      <c r="C406" s="21"/>
      <c r="D406" s="291"/>
      <c r="E406" s="387"/>
      <c r="F406" s="387"/>
      <c r="G406" s="387"/>
      <c r="H406" s="387"/>
      <c r="I406" s="387"/>
      <c r="J406" s="387"/>
      <c r="K406" s="387"/>
      <c r="L406" s="387"/>
      <c r="M406" s="387"/>
    </row>
    <row r="407" spans="1:13" x14ac:dyDescent="0.2">
      <c r="A407" s="21"/>
      <c r="B407" s="21"/>
      <c r="C407" s="21"/>
      <c r="D407" s="291"/>
      <c r="E407" s="387"/>
      <c r="F407" s="387"/>
      <c r="G407" s="387"/>
      <c r="H407" s="387"/>
      <c r="I407" s="387"/>
      <c r="J407" s="387"/>
      <c r="K407" s="387"/>
      <c r="L407" s="387"/>
      <c r="M407" s="387"/>
    </row>
    <row r="408" spans="1:13" x14ac:dyDescent="0.2">
      <c r="A408" s="21"/>
      <c r="B408" s="21"/>
      <c r="C408" s="21"/>
      <c r="D408" s="291"/>
      <c r="E408" s="387"/>
      <c r="F408" s="387"/>
      <c r="G408" s="387"/>
      <c r="H408" s="387"/>
      <c r="I408" s="387"/>
      <c r="J408" s="387"/>
      <c r="K408" s="387"/>
      <c r="L408" s="387"/>
      <c r="M408" s="387"/>
    </row>
    <row r="409" spans="1:13" x14ac:dyDescent="0.2">
      <c r="A409" s="21"/>
      <c r="B409" s="21"/>
      <c r="C409" s="21"/>
      <c r="D409" s="291"/>
      <c r="E409" s="387"/>
      <c r="F409" s="387"/>
      <c r="G409" s="387"/>
      <c r="H409" s="387"/>
      <c r="I409" s="387"/>
      <c r="J409" s="387"/>
      <c r="K409" s="387"/>
      <c r="L409" s="387"/>
      <c r="M409" s="387"/>
    </row>
    <row r="410" spans="1:13" x14ac:dyDescent="0.2">
      <c r="A410" s="21"/>
      <c r="B410" s="21"/>
      <c r="C410" s="21"/>
      <c r="D410" s="291"/>
      <c r="E410" s="387"/>
      <c r="F410" s="387"/>
      <c r="G410" s="387"/>
      <c r="H410" s="387"/>
      <c r="I410" s="387"/>
      <c r="J410" s="387"/>
      <c r="K410" s="387"/>
      <c r="L410" s="387"/>
      <c r="M410" s="387"/>
    </row>
    <row r="411" spans="1:13" x14ac:dyDescent="0.2">
      <c r="A411" s="21"/>
      <c r="B411" s="21"/>
      <c r="C411" s="21"/>
      <c r="D411" s="291"/>
      <c r="E411" s="387"/>
      <c r="F411" s="387"/>
      <c r="G411" s="387"/>
      <c r="H411" s="387"/>
      <c r="I411" s="387"/>
      <c r="J411" s="387"/>
      <c r="K411" s="387"/>
      <c r="L411" s="387"/>
      <c r="M411" s="387"/>
    </row>
    <row r="412" spans="1:13" x14ac:dyDescent="0.2">
      <c r="A412" s="21"/>
      <c r="B412" s="21"/>
      <c r="C412" s="21"/>
      <c r="D412" s="291"/>
      <c r="E412" s="387"/>
      <c r="F412" s="387"/>
      <c r="G412" s="387"/>
      <c r="H412" s="387"/>
      <c r="I412" s="387"/>
      <c r="J412" s="387"/>
      <c r="K412" s="387"/>
      <c r="L412" s="387"/>
      <c r="M412" s="387"/>
    </row>
    <row r="413" spans="1:13" x14ac:dyDescent="0.2">
      <c r="A413" s="21"/>
      <c r="B413" s="21"/>
      <c r="C413" s="21"/>
      <c r="D413" s="291"/>
      <c r="E413" s="387"/>
      <c r="F413" s="387"/>
      <c r="G413" s="387"/>
      <c r="H413" s="387"/>
      <c r="I413" s="387"/>
      <c r="J413" s="387"/>
      <c r="K413" s="387"/>
      <c r="L413" s="387"/>
      <c r="M413" s="387"/>
    </row>
    <row r="414" spans="1:13" x14ac:dyDescent="0.2">
      <c r="A414" s="21"/>
      <c r="B414" s="21"/>
      <c r="C414" s="21"/>
      <c r="D414" s="291"/>
      <c r="E414" s="387"/>
      <c r="F414" s="387"/>
      <c r="G414" s="387"/>
      <c r="H414" s="387"/>
      <c r="I414" s="387"/>
      <c r="J414" s="387"/>
      <c r="K414" s="387"/>
      <c r="L414" s="387"/>
      <c r="M414" s="387"/>
    </row>
    <row r="415" spans="1:13" x14ac:dyDescent="0.2">
      <c r="A415" s="21"/>
      <c r="B415" s="21"/>
      <c r="C415" s="21"/>
      <c r="D415" s="291"/>
      <c r="E415" s="387"/>
      <c r="F415" s="387"/>
      <c r="G415" s="387"/>
      <c r="H415" s="387"/>
      <c r="I415" s="387"/>
      <c r="J415" s="387"/>
      <c r="K415" s="387"/>
      <c r="L415" s="387"/>
      <c r="M415" s="387"/>
    </row>
    <row r="416" spans="1:13" x14ac:dyDescent="0.2">
      <c r="A416" s="21"/>
      <c r="B416" s="21"/>
      <c r="C416" s="21"/>
      <c r="D416" s="291"/>
      <c r="E416" s="387"/>
      <c r="F416" s="387"/>
      <c r="G416" s="387"/>
      <c r="H416" s="387"/>
      <c r="I416" s="387"/>
      <c r="J416" s="387"/>
      <c r="K416" s="387"/>
      <c r="L416" s="387"/>
      <c r="M416" s="387"/>
    </row>
    <row r="417" spans="1:13" x14ac:dyDescent="0.2">
      <c r="A417" s="21"/>
      <c r="B417" s="21"/>
      <c r="C417" s="21"/>
      <c r="D417" s="291"/>
      <c r="E417" s="387"/>
      <c r="F417" s="387"/>
      <c r="G417" s="387"/>
      <c r="H417" s="387"/>
      <c r="I417" s="387"/>
      <c r="J417" s="387"/>
      <c r="K417" s="387"/>
      <c r="L417" s="387"/>
      <c r="M417" s="387"/>
    </row>
    <row r="418" spans="1:13" x14ac:dyDescent="0.2">
      <c r="A418" s="21"/>
      <c r="B418" s="21"/>
      <c r="C418" s="21"/>
      <c r="D418" s="291"/>
      <c r="E418" s="387"/>
      <c r="F418" s="387"/>
      <c r="G418" s="387"/>
      <c r="H418" s="387"/>
      <c r="I418" s="387"/>
      <c r="J418" s="387"/>
      <c r="K418" s="387"/>
      <c r="L418" s="387"/>
      <c r="M418" s="387"/>
    </row>
    <row r="419" spans="1:13" x14ac:dyDescent="0.2">
      <c r="A419" s="21"/>
      <c r="B419" s="21"/>
      <c r="C419" s="21"/>
      <c r="D419" s="291"/>
      <c r="E419" s="387"/>
      <c r="F419" s="387"/>
      <c r="G419" s="387"/>
      <c r="H419" s="387"/>
      <c r="I419" s="387"/>
      <c r="J419" s="387"/>
      <c r="K419" s="387"/>
      <c r="L419" s="387"/>
      <c r="M419" s="387"/>
    </row>
    <row r="420" spans="1:13" x14ac:dyDescent="0.2">
      <c r="A420" s="21"/>
      <c r="B420" s="21"/>
      <c r="C420" s="21"/>
      <c r="D420" s="291"/>
      <c r="E420" s="387"/>
      <c r="F420" s="387"/>
      <c r="G420" s="387"/>
      <c r="H420" s="387"/>
      <c r="I420" s="387"/>
      <c r="J420" s="387"/>
      <c r="K420" s="387"/>
      <c r="L420" s="387"/>
      <c r="M420" s="387"/>
    </row>
    <row r="421" spans="1:13" x14ac:dyDescent="0.2">
      <c r="A421" s="21"/>
      <c r="B421" s="21"/>
      <c r="C421" s="21"/>
      <c r="D421" s="291"/>
      <c r="E421" s="387"/>
      <c r="F421" s="387"/>
      <c r="G421" s="387"/>
      <c r="H421" s="387"/>
      <c r="I421" s="387"/>
      <c r="J421" s="387"/>
      <c r="K421" s="387"/>
      <c r="L421" s="387"/>
      <c r="M421" s="387"/>
    </row>
    <row r="422" spans="1:13" x14ac:dyDescent="0.2">
      <c r="A422" s="21"/>
      <c r="B422" s="21"/>
      <c r="C422" s="21"/>
      <c r="D422" s="291"/>
      <c r="E422" s="387"/>
      <c r="F422" s="387"/>
      <c r="G422" s="387"/>
      <c r="H422" s="387"/>
      <c r="I422" s="387"/>
      <c r="J422" s="387"/>
      <c r="K422" s="387"/>
      <c r="L422" s="387"/>
      <c r="M422" s="387"/>
    </row>
    <row r="423" spans="1:13" x14ac:dyDescent="0.2">
      <c r="A423" s="21"/>
      <c r="B423" s="21"/>
      <c r="C423" s="21"/>
      <c r="D423" s="291"/>
      <c r="E423" s="387"/>
      <c r="F423" s="387"/>
      <c r="G423" s="387"/>
      <c r="H423" s="387"/>
      <c r="I423" s="387"/>
      <c r="J423" s="387"/>
      <c r="K423" s="387"/>
      <c r="L423" s="387"/>
      <c r="M423" s="387"/>
    </row>
    <row r="424" spans="1:13" x14ac:dyDescent="0.2">
      <c r="A424" s="21"/>
      <c r="B424" s="21"/>
      <c r="C424" s="21"/>
      <c r="D424" s="291"/>
      <c r="E424" s="387"/>
      <c r="F424" s="387"/>
      <c r="G424" s="387"/>
      <c r="H424" s="387"/>
      <c r="I424" s="387"/>
      <c r="J424" s="387"/>
      <c r="K424" s="387"/>
      <c r="L424" s="387"/>
      <c r="M424" s="387"/>
    </row>
    <row r="425" spans="1:13" x14ac:dyDescent="0.2">
      <c r="A425" s="21"/>
      <c r="B425" s="21"/>
      <c r="C425" s="21"/>
      <c r="D425" s="291"/>
      <c r="E425" s="387"/>
      <c r="F425" s="387"/>
      <c r="G425" s="387"/>
      <c r="H425" s="387"/>
      <c r="I425" s="387"/>
      <c r="J425" s="387"/>
      <c r="K425" s="387"/>
      <c r="L425" s="387"/>
      <c r="M425" s="387"/>
    </row>
    <row r="426" spans="1:13" x14ac:dyDescent="0.2">
      <c r="A426" s="21"/>
      <c r="B426" s="21"/>
      <c r="C426" s="21"/>
      <c r="D426" s="291"/>
      <c r="E426" s="387"/>
      <c r="F426" s="387"/>
      <c r="G426" s="387"/>
      <c r="H426" s="387"/>
      <c r="I426" s="387"/>
      <c r="J426" s="387"/>
      <c r="K426" s="387"/>
      <c r="L426" s="387"/>
      <c r="M426" s="387"/>
    </row>
    <row r="427" spans="1:13" x14ac:dyDescent="0.2">
      <c r="A427" s="21"/>
      <c r="B427" s="21"/>
      <c r="C427" s="21"/>
      <c r="D427" s="291"/>
      <c r="E427" s="387"/>
      <c r="F427" s="387"/>
      <c r="G427" s="387"/>
      <c r="H427" s="387"/>
      <c r="I427" s="387"/>
      <c r="J427" s="387"/>
      <c r="K427" s="387"/>
      <c r="L427" s="387"/>
      <c r="M427" s="387"/>
    </row>
    <row r="428" spans="1:13" x14ac:dyDescent="0.2">
      <c r="A428" s="21"/>
      <c r="B428" s="21"/>
      <c r="C428" s="21"/>
      <c r="D428" s="291"/>
      <c r="E428" s="387"/>
      <c r="F428" s="387"/>
      <c r="G428" s="387"/>
      <c r="H428" s="387"/>
      <c r="I428" s="387"/>
      <c r="J428" s="387"/>
      <c r="K428" s="387"/>
      <c r="L428" s="387"/>
      <c r="M428" s="387"/>
    </row>
    <row r="429" spans="1:13" x14ac:dyDescent="0.2">
      <c r="A429" s="21"/>
      <c r="B429" s="21"/>
      <c r="C429" s="21"/>
      <c r="D429" s="291"/>
      <c r="E429" s="387"/>
      <c r="F429" s="387"/>
      <c r="G429" s="387"/>
      <c r="H429" s="387"/>
      <c r="I429" s="387"/>
      <c r="J429" s="387"/>
      <c r="K429" s="387"/>
      <c r="L429" s="387"/>
      <c r="M429" s="387"/>
    </row>
    <row r="430" spans="1:13" x14ac:dyDescent="0.2">
      <c r="A430" s="21"/>
      <c r="B430" s="21"/>
      <c r="C430" s="21"/>
      <c r="D430" s="291"/>
      <c r="E430" s="387"/>
      <c r="F430" s="387"/>
      <c r="G430" s="387"/>
      <c r="H430" s="387"/>
      <c r="I430" s="387"/>
      <c r="J430" s="387"/>
      <c r="K430" s="387"/>
      <c r="L430" s="387"/>
      <c r="M430" s="387"/>
    </row>
    <row r="431" spans="1:13" x14ac:dyDescent="0.2">
      <c r="A431" s="21"/>
      <c r="B431" s="21"/>
      <c r="C431" s="21"/>
      <c r="D431" s="291"/>
      <c r="E431" s="387"/>
      <c r="F431" s="387"/>
      <c r="G431" s="387"/>
      <c r="H431" s="387"/>
      <c r="I431" s="387"/>
      <c r="J431" s="387"/>
      <c r="K431" s="387"/>
      <c r="L431" s="387"/>
      <c r="M431" s="387"/>
    </row>
    <row r="432" spans="1:13" x14ac:dyDescent="0.2">
      <c r="A432" s="21"/>
      <c r="B432" s="21"/>
      <c r="C432" s="21"/>
      <c r="D432" s="291"/>
      <c r="E432" s="387"/>
      <c r="F432" s="387"/>
      <c r="G432" s="387"/>
      <c r="H432" s="387"/>
      <c r="I432" s="387"/>
      <c r="J432" s="387"/>
      <c r="K432" s="387"/>
      <c r="L432" s="387"/>
      <c r="M432" s="387"/>
    </row>
    <row r="433" spans="1:13" x14ac:dyDescent="0.2">
      <c r="A433" s="21"/>
      <c r="B433" s="21"/>
      <c r="C433" s="21"/>
      <c r="D433" s="291"/>
      <c r="E433" s="387"/>
      <c r="F433" s="387"/>
      <c r="G433" s="387"/>
      <c r="H433" s="387"/>
      <c r="I433" s="387"/>
      <c r="J433" s="387"/>
      <c r="K433" s="387"/>
      <c r="L433" s="387"/>
      <c r="M433" s="387"/>
    </row>
    <row r="434" spans="1:13" x14ac:dyDescent="0.2">
      <c r="A434" s="21"/>
      <c r="B434" s="21"/>
      <c r="C434" s="21"/>
      <c r="D434" s="291"/>
      <c r="E434" s="387"/>
      <c r="F434" s="387"/>
      <c r="G434" s="387"/>
      <c r="H434" s="387"/>
      <c r="I434" s="387"/>
      <c r="J434" s="387"/>
      <c r="K434" s="387"/>
      <c r="L434" s="387"/>
      <c r="M434" s="387"/>
    </row>
    <row r="435" spans="1:13" x14ac:dyDescent="0.2">
      <c r="A435" s="21"/>
      <c r="B435" s="21"/>
      <c r="C435" s="21"/>
      <c r="D435" s="291"/>
      <c r="E435" s="387"/>
      <c r="F435" s="387"/>
      <c r="G435" s="387"/>
      <c r="H435" s="387"/>
      <c r="I435" s="387"/>
      <c r="J435" s="387"/>
      <c r="K435" s="387"/>
      <c r="L435" s="387"/>
      <c r="M435" s="387"/>
    </row>
    <row r="436" spans="1:13" x14ac:dyDescent="0.2">
      <c r="A436" s="21"/>
      <c r="B436" s="21"/>
      <c r="C436" s="21"/>
      <c r="D436" s="291"/>
      <c r="E436" s="387"/>
      <c r="F436" s="387"/>
      <c r="G436" s="387"/>
      <c r="H436" s="387"/>
      <c r="I436" s="387"/>
      <c r="J436" s="387"/>
      <c r="K436" s="387"/>
      <c r="L436" s="387"/>
      <c r="M436" s="387"/>
    </row>
    <row r="437" spans="1:13" x14ac:dyDescent="0.2">
      <c r="A437" s="21"/>
      <c r="B437" s="21"/>
      <c r="C437" s="21"/>
      <c r="D437" s="291"/>
      <c r="E437" s="387"/>
      <c r="F437" s="387"/>
      <c r="G437" s="387"/>
      <c r="H437" s="387"/>
      <c r="I437" s="387"/>
      <c r="J437" s="387"/>
      <c r="K437" s="387"/>
      <c r="L437" s="387"/>
      <c r="M437" s="387"/>
    </row>
    <row r="438" spans="1:13" x14ac:dyDescent="0.2">
      <c r="A438" s="21"/>
      <c r="B438" s="21"/>
      <c r="C438" s="21"/>
      <c r="D438" s="291"/>
      <c r="E438" s="387"/>
      <c r="F438" s="387"/>
      <c r="G438" s="387"/>
      <c r="H438" s="387"/>
      <c r="I438" s="387"/>
      <c r="J438" s="387"/>
      <c r="K438" s="387"/>
      <c r="L438" s="387"/>
      <c r="M438" s="387"/>
    </row>
    <row r="439" spans="1:13" x14ac:dyDescent="0.2">
      <c r="A439" s="21"/>
      <c r="B439" s="21"/>
      <c r="C439" s="21"/>
      <c r="D439" s="291"/>
      <c r="E439" s="387"/>
      <c r="F439" s="387"/>
      <c r="G439" s="387"/>
      <c r="H439" s="387"/>
      <c r="I439" s="387"/>
      <c r="J439" s="387"/>
      <c r="K439" s="387"/>
      <c r="L439" s="387"/>
      <c r="M439" s="387"/>
    </row>
    <row r="440" spans="1:13" ht="15.75" x14ac:dyDescent="0.25">
      <c r="A440" s="21"/>
      <c r="B440" s="21"/>
      <c r="C440" s="21"/>
      <c r="D440" s="324" t="s">
        <v>22</v>
      </c>
      <c r="E440" s="387" t="s">
        <v>348</v>
      </c>
      <c r="F440" s="387"/>
      <c r="G440" s="387"/>
      <c r="H440" s="387"/>
      <c r="I440" s="387"/>
      <c r="J440" s="387"/>
      <c r="K440" s="387"/>
      <c r="L440" s="387"/>
      <c r="M440" s="387"/>
    </row>
    <row r="441" spans="1:13" x14ac:dyDescent="0.2">
      <c r="A441" s="21"/>
      <c r="B441" s="21"/>
      <c r="C441" s="21"/>
      <c r="D441" s="306" t="s">
        <v>286</v>
      </c>
      <c r="E441" s="301">
        <f t="shared" ref="E441:J441" si="81">E7</f>
        <v>2009</v>
      </c>
      <c r="F441" s="301">
        <f t="shared" si="81"/>
        <v>2010</v>
      </c>
      <c r="G441" s="301">
        <f t="shared" si="81"/>
        <v>2011</v>
      </c>
      <c r="H441" s="301">
        <f t="shared" si="81"/>
        <v>2012</v>
      </c>
      <c r="I441" s="301">
        <f t="shared" si="81"/>
        <v>2013</v>
      </c>
      <c r="J441" s="301">
        <f t="shared" si="81"/>
        <v>2014</v>
      </c>
      <c r="K441" s="301">
        <f>K7</f>
        <v>2015</v>
      </c>
      <c r="L441" s="387"/>
      <c r="M441" s="387"/>
    </row>
    <row r="442" spans="1:13" s="28" customFormat="1" ht="15.75" x14ac:dyDescent="0.25">
      <c r="A442" s="11"/>
      <c r="B442" s="11"/>
      <c r="C442" s="11"/>
      <c r="D442" s="303" t="s">
        <v>518</v>
      </c>
      <c r="E442" s="390">
        <f>3.439+0.059</f>
        <v>3.4980000000000002</v>
      </c>
      <c r="F442" s="390">
        <f>2.852+0.06</f>
        <v>2.9119999999999999</v>
      </c>
      <c r="G442" s="390">
        <f>6.088+0.112</f>
        <v>6.2</v>
      </c>
      <c r="H442" s="390">
        <f>0.23+4.961</f>
        <v>5.1910000000000007</v>
      </c>
      <c r="I442" s="390">
        <v>22.4</v>
      </c>
      <c r="J442" s="390">
        <v>2.4</v>
      </c>
      <c r="K442" s="390">
        <v>1.3</v>
      </c>
      <c r="L442" s="398"/>
      <c r="M442" s="398"/>
    </row>
    <row r="443" spans="1:13" s="28" customFormat="1" ht="15.75" x14ac:dyDescent="0.25">
      <c r="A443" s="11"/>
      <c r="B443" s="11"/>
      <c r="C443" s="11"/>
      <c r="D443" s="303" t="s">
        <v>519</v>
      </c>
      <c r="E443" s="390">
        <f t="shared" ref="E443:J443" si="82">SUM(E444:E446)</f>
        <v>3.42</v>
      </c>
      <c r="F443" s="390">
        <f t="shared" si="82"/>
        <v>5.8259999999999996</v>
      </c>
      <c r="G443" s="390">
        <f t="shared" si="82"/>
        <v>2.1770000000000009</v>
      </c>
      <c r="H443" s="390">
        <f t="shared" si="82"/>
        <v>3.3369999999999997</v>
      </c>
      <c r="I443" s="390">
        <f t="shared" si="82"/>
        <v>8.2000000000000011</v>
      </c>
      <c r="J443" s="390">
        <f t="shared" si="82"/>
        <v>113.19999999999999</v>
      </c>
      <c r="K443" s="390">
        <f>SUM(K444:K446)</f>
        <v>72.5</v>
      </c>
      <c r="L443" s="398"/>
      <c r="M443" s="398"/>
    </row>
    <row r="444" spans="1:13" x14ac:dyDescent="0.2">
      <c r="A444" s="21"/>
      <c r="B444" s="21"/>
      <c r="C444" s="21"/>
      <c r="D444" s="291" t="s">
        <v>520</v>
      </c>
      <c r="E444" s="373">
        <v>0</v>
      </c>
      <c r="F444" s="373">
        <v>0</v>
      </c>
      <c r="G444" s="373">
        <v>5.0000000000000001E-4</v>
      </c>
      <c r="H444" s="373">
        <v>6.9999999999999994E-5</v>
      </c>
      <c r="I444" s="373">
        <v>0.3</v>
      </c>
      <c r="J444" s="373">
        <v>95.1</v>
      </c>
      <c r="K444" s="373">
        <v>65.599999999999994</v>
      </c>
      <c r="L444" s="387"/>
      <c r="M444" s="387"/>
    </row>
    <row r="445" spans="1:13" x14ac:dyDescent="0.2">
      <c r="A445" s="21"/>
      <c r="B445" s="21"/>
      <c r="C445" s="21"/>
      <c r="D445" s="291" t="s">
        <v>521</v>
      </c>
      <c r="E445" s="373">
        <v>0</v>
      </c>
      <c r="F445" s="373">
        <v>0</v>
      </c>
      <c r="G445" s="373">
        <v>0</v>
      </c>
      <c r="H445" s="373">
        <v>0</v>
      </c>
      <c r="I445" s="373">
        <v>0</v>
      </c>
      <c r="J445" s="373">
        <v>9.1999999999999993</v>
      </c>
      <c r="K445" s="373">
        <v>0</v>
      </c>
      <c r="L445" s="387"/>
      <c r="M445" s="387"/>
    </row>
    <row r="446" spans="1:13" x14ac:dyDescent="0.2">
      <c r="A446" s="21"/>
      <c r="B446" s="21"/>
      <c r="C446" s="21"/>
      <c r="D446" s="291" t="s">
        <v>522</v>
      </c>
      <c r="E446" s="373">
        <v>3.42</v>
      </c>
      <c r="F446" s="373">
        <v>5.8259999999999996</v>
      </c>
      <c r="G446" s="373">
        <v>2.1765000000000008</v>
      </c>
      <c r="H446" s="373">
        <v>3.3369299999999997</v>
      </c>
      <c r="I446" s="373">
        <f>3.4+1.8+2.2+0.1+0.4</f>
        <v>7.9</v>
      </c>
      <c r="J446" s="373">
        <f>4.1+2.6+1.2+0.3+0.7</f>
        <v>8.8999999999999986</v>
      </c>
      <c r="K446" s="373">
        <f>3.1+1.8+1.4+0.1+0.5</f>
        <v>6.9</v>
      </c>
      <c r="L446" s="387"/>
      <c r="M446" s="387"/>
    </row>
    <row r="447" spans="1:13" ht="31.5" customHeight="1" x14ac:dyDescent="0.2">
      <c r="A447" s="21"/>
      <c r="B447" s="21"/>
      <c r="C447" s="21"/>
      <c r="D447" s="307" t="s">
        <v>517</v>
      </c>
      <c r="E447" s="374">
        <f t="shared" ref="E447:J447" si="83">SUM(E442:E443)</f>
        <v>6.9180000000000001</v>
      </c>
      <c r="F447" s="374">
        <f t="shared" si="83"/>
        <v>8.7379999999999995</v>
      </c>
      <c r="G447" s="374">
        <f t="shared" si="83"/>
        <v>8.3770000000000007</v>
      </c>
      <c r="H447" s="374">
        <f t="shared" si="83"/>
        <v>8.5280000000000005</v>
      </c>
      <c r="I447" s="374">
        <f t="shared" si="83"/>
        <v>30.6</v>
      </c>
      <c r="J447" s="374">
        <f t="shared" si="83"/>
        <v>115.6</v>
      </c>
      <c r="K447" s="374">
        <f>SUM(K442:K443)</f>
        <v>73.8</v>
      </c>
      <c r="L447" s="387"/>
      <c r="M447" s="387"/>
    </row>
    <row r="448" spans="1:13" ht="15.75" outlineLevel="1" x14ac:dyDescent="0.25">
      <c r="A448" s="21"/>
      <c r="B448" s="21"/>
      <c r="C448" s="21"/>
      <c r="D448" s="309" t="s">
        <v>474</v>
      </c>
      <c r="E448" s="386">
        <f t="shared" ref="E448:K448" si="84">E35-E447</f>
        <v>0</v>
      </c>
      <c r="F448" s="386">
        <f t="shared" si="84"/>
        <v>0</v>
      </c>
      <c r="G448" s="386">
        <f t="shared" si="84"/>
        <v>0</v>
      </c>
      <c r="H448" s="386">
        <f t="shared" si="84"/>
        <v>0</v>
      </c>
      <c r="I448" s="386">
        <f t="shared" si="84"/>
        <v>-2.1000000000000796E-2</v>
      </c>
      <c r="J448" s="386">
        <f t="shared" si="84"/>
        <v>0</v>
      </c>
      <c r="K448" s="386">
        <f t="shared" si="84"/>
        <v>0</v>
      </c>
      <c r="L448" s="21"/>
      <c r="M448" s="21"/>
    </row>
    <row r="449" spans="1:13" x14ac:dyDescent="0.2">
      <c r="A449" s="21"/>
      <c r="B449" s="21"/>
      <c r="C449" s="21"/>
      <c r="D449" s="291"/>
      <c r="E449" s="387"/>
      <c r="F449" s="387"/>
      <c r="G449" s="387"/>
      <c r="H449" s="387"/>
      <c r="I449" s="387"/>
      <c r="J449" s="387"/>
      <c r="K449" s="387"/>
      <c r="L449" s="387"/>
      <c r="M449" s="387"/>
    </row>
    <row r="450" spans="1:13" x14ac:dyDescent="0.2">
      <c r="A450" s="21"/>
      <c r="B450" s="21"/>
      <c r="C450" s="21"/>
      <c r="D450" s="291"/>
      <c r="E450" s="387"/>
      <c r="F450" s="387"/>
      <c r="G450" s="387"/>
      <c r="H450" s="387"/>
      <c r="I450" s="387"/>
      <c r="J450" s="387"/>
      <c r="K450" s="387"/>
      <c r="L450" s="387"/>
      <c r="M450" s="387"/>
    </row>
    <row r="451" spans="1:13" x14ac:dyDescent="0.2">
      <c r="A451" s="21"/>
      <c r="B451" s="21"/>
      <c r="C451" s="21"/>
      <c r="D451" s="291"/>
      <c r="E451" s="387"/>
      <c r="F451" s="387"/>
      <c r="G451" s="387"/>
      <c r="H451" s="387"/>
      <c r="I451" s="387"/>
      <c r="J451" s="387"/>
      <c r="K451" s="387"/>
      <c r="L451" s="387"/>
      <c r="M451" s="387"/>
    </row>
    <row r="452" spans="1:13" x14ac:dyDescent="0.2">
      <c r="A452" s="21"/>
      <c r="B452" s="21"/>
      <c r="C452" s="21"/>
      <c r="D452" s="291"/>
      <c r="E452" s="387"/>
      <c r="F452" s="387"/>
      <c r="G452" s="387"/>
      <c r="H452" s="387"/>
      <c r="I452" s="387"/>
      <c r="J452" s="387"/>
      <c r="K452" s="387"/>
      <c r="L452" s="387"/>
      <c r="M452" s="387"/>
    </row>
    <row r="453" spans="1:13" ht="15.75" x14ac:dyDescent="0.25">
      <c r="A453" s="21"/>
      <c r="B453" s="21"/>
      <c r="C453" s="21"/>
      <c r="D453" s="324" t="s">
        <v>550</v>
      </c>
      <c r="E453" s="387" t="s">
        <v>348</v>
      </c>
      <c r="F453" s="387"/>
      <c r="G453" s="387"/>
      <c r="H453" s="387"/>
      <c r="I453" s="387"/>
      <c r="J453" s="387"/>
      <c r="K453" s="387"/>
      <c r="L453" s="387"/>
      <c r="M453" s="387"/>
    </row>
    <row r="454" spans="1:13" x14ac:dyDescent="0.2">
      <c r="A454" s="21"/>
      <c r="B454" s="21"/>
      <c r="C454" s="21"/>
      <c r="D454" s="306" t="s">
        <v>286</v>
      </c>
      <c r="E454" s="301">
        <f t="shared" ref="E454:J454" si="85">E7</f>
        <v>2009</v>
      </c>
      <c r="F454" s="301">
        <f t="shared" si="85"/>
        <v>2010</v>
      </c>
      <c r="G454" s="301">
        <f t="shared" si="85"/>
        <v>2011</v>
      </c>
      <c r="H454" s="301">
        <f t="shared" si="85"/>
        <v>2012</v>
      </c>
      <c r="I454" s="301">
        <f t="shared" si="85"/>
        <v>2013</v>
      </c>
      <c r="J454" s="301">
        <f t="shared" si="85"/>
        <v>2014</v>
      </c>
      <c r="K454" s="301">
        <f>K7</f>
        <v>2015</v>
      </c>
      <c r="L454" s="387"/>
      <c r="M454" s="387"/>
    </row>
    <row r="455" spans="1:13" x14ac:dyDescent="0.2">
      <c r="A455" s="21"/>
      <c r="B455" s="21"/>
      <c r="C455" s="21"/>
      <c r="D455" s="291" t="s">
        <v>553</v>
      </c>
      <c r="E455" s="373">
        <v>80.576499999999996</v>
      </c>
      <c r="F455" s="373">
        <v>32.513800000000003</v>
      </c>
      <c r="G455" s="373">
        <v>159.37899999999999</v>
      </c>
      <c r="H455" s="373">
        <v>183.035</v>
      </c>
      <c r="I455" s="373">
        <v>209</v>
      </c>
      <c r="J455" s="373">
        <v>186.6</v>
      </c>
      <c r="K455" s="373">
        <v>187.1</v>
      </c>
      <c r="L455" s="387"/>
      <c r="M455" s="387"/>
    </row>
    <row r="456" spans="1:13" x14ac:dyDescent="0.2">
      <c r="A456" s="21"/>
      <c r="B456" s="21"/>
      <c r="C456" s="21"/>
      <c r="D456" s="291" t="s">
        <v>554</v>
      </c>
      <c r="E456" s="373">
        <v>39.150799999999997</v>
      </c>
      <c r="F456" s="373">
        <v>20.258900000000001</v>
      </c>
      <c r="G456" s="373">
        <v>39.317</v>
      </c>
      <c r="H456" s="373">
        <v>42.218000000000004</v>
      </c>
      <c r="I456" s="373">
        <v>31.4</v>
      </c>
      <c r="J456" s="373">
        <v>45.6</v>
      </c>
      <c r="K456" s="373">
        <v>91.2</v>
      </c>
      <c r="L456" s="387"/>
      <c r="M456" s="387"/>
    </row>
    <row r="457" spans="1:13" ht="30.75" customHeight="1" x14ac:dyDescent="0.2">
      <c r="A457" s="21"/>
      <c r="B457" s="21"/>
      <c r="C457" s="21"/>
      <c r="D457" s="307" t="s">
        <v>555</v>
      </c>
      <c r="E457" s="374">
        <f t="shared" ref="E457:J457" si="86">SUM(E455:E456)</f>
        <v>119.72729999999999</v>
      </c>
      <c r="F457" s="374">
        <f t="shared" si="86"/>
        <v>52.7727</v>
      </c>
      <c r="G457" s="374">
        <f t="shared" si="86"/>
        <v>198.696</v>
      </c>
      <c r="H457" s="374">
        <f t="shared" si="86"/>
        <v>225.25299999999999</v>
      </c>
      <c r="I457" s="374">
        <f t="shared" si="86"/>
        <v>240.4</v>
      </c>
      <c r="J457" s="374">
        <f t="shared" si="86"/>
        <v>232.2</v>
      </c>
      <c r="K457" s="374">
        <f>SUM(K455:K456)</f>
        <v>278.3</v>
      </c>
      <c r="L457" s="387"/>
      <c r="M457" s="387"/>
    </row>
    <row r="458" spans="1:13" ht="21.75" customHeight="1" x14ac:dyDescent="0.2">
      <c r="A458" s="21"/>
      <c r="B458" s="21"/>
      <c r="C458" s="21"/>
      <c r="D458" s="291" t="s">
        <v>556</v>
      </c>
      <c r="E458" s="379">
        <v>657.68700000000001</v>
      </c>
      <c r="F458" s="379">
        <v>654.41800000000001</v>
      </c>
      <c r="G458" s="379">
        <v>772.11490000000003</v>
      </c>
      <c r="H458" s="379">
        <v>1146.9590000000001</v>
      </c>
      <c r="I458" s="379">
        <v>1583.4</v>
      </c>
      <c r="J458" s="379">
        <v>2199.6</v>
      </c>
      <c r="K458" s="379">
        <v>1631.9</v>
      </c>
      <c r="L458" s="387"/>
      <c r="M458" s="387"/>
    </row>
    <row r="459" spans="1:13" ht="30.75" customHeight="1" x14ac:dyDescent="0.2">
      <c r="A459" s="21"/>
      <c r="B459" s="21"/>
      <c r="C459" s="21"/>
      <c r="D459" s="307" t="s">
        <v>557</v>
      </c>
      <c r="E459" s="435">
        <f t="shared" ref="E459:J459" si="87">E457/E458</f>
        <v>0.18204297789069873</v>
      </c>
      <c r="F459" s="435">
        <f t="shared" si="87"/>
        <v>8.0640660862017849E-2</v>
      </c>
      <c r="G459" s="435">
        <f t="shared" si="87"/>
        <v>0.25733993735906402</v>
      </c>
      <c r="H459" s="435">
        <f t="shared" si="87"/>
        <v>0.19639150135270744</v>
      </c>
      <c r="I459" s="435">
        <f t="shared" si="87"/>
        <v>0.15182518630794492</v>
      </c>
      <c r="J459" s="435">
        <f t="shared" si="87"/>
        <v>0.10556464811783961</v>
      </c>
      <c r="K459" s="435">
        <f>K457/K458</f>
        <v>0.17053741038053802</v>
      </c>
      <c r="L459" s="387"/>
      <c r="M459" s="387"/>
    </row>
    <row r="460" spans="1:13" ht="24.75" customHeight="1" x14ac:dyDescent="0.2">
      <c r="A460" s="21"/>
      <c r="B460" s="21"/>
      <c r="C460" s="21"/>
      <c r="D460" s="323" t="s">
        <v>558</v>
      </c>
      <c r="E460" s="436">
        <f t="shared" ref="E460:J460" si="88">E455/E458</f>
        <v>0.12251496532545116</v>
      </c>
      <c r="F460" s="436">
        <f t="shared" si="88"/>
        <v>4.9683535599570922E-2</v>
      </c>
      <c r="G460" s="436">
        <f t="shared" si="88"/>
        <v>0.20641875969496248</v>
      </c>
      <c r="H460" s="436">
        <f t="shared" si="88"/>
        <v>0.15958286215985051</v>
      </c>
      <c r="I460" s="436">
        <f t="shared" si="88"/>
        <v>0.13199444233926991</v>
      </c>
      <c r="J460" s="436">
        <f t="shared" si="88"/>
        <v>8.4833606110201853E-2</v>
      </c>
      <c r="K460" s="436">
        <f>K455/K458</f>
        <v>0.11465163306575157</v>
      </c>
      <c r="L460" s="387"/>
      <c r="M460" s="387"/>
    </row>
    <row r="461" spans="1:13" ht="20.25" customHeight="1" x14ac:dyDescent="0.2">
      <c r="A461" s="21"/>
      <c r="B461" s="21"/>
      <c r="C461" s="21"/>
      <c r="D461" s="291" t="s">
        <v>551</v>
      </c>
      <c r="E461" s="424">
        <v>0.08</v>
      </c>
      <c r="F461" s="424">
        <v>0.08</v>
      </c>
      <c r="G461" s="424">
        <v>0.08</v>
      </c>
      <c r="H461" s="424">
        <v>0.08</v>
      </c>
      <c r="I461" s="424">
        <v>0.08</v>
      </c>
      <c r="J461" s="424">
        <v>0.08</v>
      </c>
      <c r="K461" s="424">
        <v>0.08</v>
      </c>
      <c r="L461" s="387"/>
      <c r="M461" s="387"/>
    </row>
    <row r="462" spans="1:13" ht="20.25" customHeight="1" x14ac:dyDescent="0.2">
      <c r="A462" s="21"/>
      <c r="B462" s="21"/>
      <c r="C462" s="21"/>
      <c r="D462" s="291" t="s">
        <v>552</v>
      </c>
      <c r="E462" s="424">
        <v>0.04</v>
      </c>
      <c r="F462" s="424">
        <v>0.04</v>
      </c>
      <c r="G462" s="424">
        <v>0.04</v>
      </c>
      <c r="H462" s="424">
        <v>0.04</v>
      </c>
      <c r="I462" s="424">
        <v>0.04</v>
      </c>
      <c r="J462" s="424">
        <v>0.04</v>
      </c>
      <c r="K462" s="424">
        <v>0.04</v>
      </c>
      <c r="L462" s="387"/>
      <c r="M462" s="387"/>
    </row>
    <row r="463" spans="1:13" x14ac:dyDescent="0.2">
      <c r="A463" s="21"/>
      <c r="B463" s="21"/>
      <c r="C463" s="21"/>
      <c r="D463" s="291"/>
      <c r="E463" s="387"/>
      <c r="F463" s="387"/>
      <c r="G463" s="387"/>
      <c r="H463" s="387"/>
      <c r="I463" s="387"/>
      <c r="J463" s="387"/>
      <c r="K463" s="387"/>
      <c r="L463" s="387"/>
      <c r="M463" s="387"/>
    </row>
    <row r="464" spans="1:13" x14ac:dyDescent="0.2">
      <c r="A464" s="21"/>
      <c r="B464" s="21"/>
      <c r="C464" s="21"/>
      <c r="D464" s="291"/>
      <c r="E464" s="90"/>
      <c r="F464" s="90"/>
      <c r="G464" s="90"/>
      <c r="H464" s="90"/>
      <c r="I464" s="90"/>
      <c r="J464" s="90"/>
      <c r="K464" s="90"/>
      <c r="L464" s="387"/>
      <c r="M464" s="387"/>
    </row>
    <row r="465" spans="1:13" x14ac:dyDescent="0.2">
      <c r="A465" s="21"/>
      <c r="B465" s="21"/>
      <c r="C465" s="21"/>
      <c r="D465" s="291"/>
      <c r="E465" s="387"/>
      <c r="F465" s="387"/>
      <c r="G465" s="387"/>
      <c r="H465" s="387"/>
      <c r="I465" s="387"/>
      <c r="J465" s="387"/>
      <c r="K465" s="387"/>
      <c r="L465" s="387"/>
      <c r="M465" s="387"/>
    </row>
    <row r="466" spans="1:13" x14ac:dyDescent="0.2">
      <c r="A466" s="21"/>
      <c r="B466" s="21"/>
      <c r="C466" s="21"/>
      <c r="D466" s="291"/>
      <c r="E466" s="387"/>
      <c r="F466" s="387"/>
      <c r="G466" s="387"/>
      <c r="H466" s="387"/>
      <c r="I466" s="387"/>
      <c r="J466" s="387"/>
      <c r="K466" s="387"/>
      <c r="L466" s="387"/>
      <c r="M466" s="387"/>
    </row>
    <row r="467" spans="1:13" x14ac:dyDescent="0.2">
      <c r="A467" s="21"/>
      <c r="B467" s="21"/>
      <c r="C467" s="21"/>
      <c r="D467" s="291"/>
      <c r="E467" s="387"/>
      <c r="F467" s="387"/>
      <c r="G467" s="387"/>
      <c r="H467" s="387"/>
      <c r="I467" s="387"/>
      <c r="J467" s="387"/>
      <c r="K467" s="387"/>
      <c r="L467" s="387"/>
      <c r="M467" s="387"/>
    </row>
    <row r="468" spans="1:13" x14ac:dyDescent="0.2">
      <c r="A468" s="21"/>
      <c r="B468" s="21"/>
      <c r="C468" s="21"/>
      <c r="D468" s="291"/>
      <c r="E468" s="387"/>
      <c r="F468" s="387"/>
      <c r="G468" s="387"/>
      <c r="H468" s="387"/>
      <c r="I468" s="387"/>
      <c r="J468" s="387"/>
      <c r="K468" s="387"/>
      <c r="L468" s="387"/>
      <c r="M468" s="387"/>
    </row>
    <row r="469" spans="1:13" x14ac:dyDescent="0.2">
      <c r="A469" s="21"/>
      <c r="B469" s="21"/>
      <c r="C469" s="21"/>
      <c r="D469" s="291"/>
      <c r="E469" s="387"/>
      <c r="F469" s="387"/>
      <c r="G469" s="387"/>
      <c r="H469" s="387"/>
      <c r="I469" s="387"/>
      <c r="J469" s="387"/>
      <c r="K469" s="387"/>
      <c r="L469" s="387"/>
      <c r="M469" s="387"/>
    </row>
    <row r="470" spans="1:13" x14ac:dyDescent="0.2">
      <c r="A470" s="21"/>
      <c r="B470" s="21"/>
      <c r="C470" s="21"/>
      <c r="D470" s="291"/>
      <c r="E470" s="387"/>
      <c r="F470" s="387"/>
      <c r="G470" s="387"/>
      <c r="H470" s="387"/>
      <c r="I470" s="387"/>
      <c r="J470" s="387"/>
      <c r="K470" s="387"/>
      <c r="L470" s="387"/>
      <c r="M470" s="387"/>
    </row>
    <row r="471" spans="1:13" x14ac:dyDescent="0.2">
      <c r="A471" s="21"/>
      <c r="B471" s="21"/>
      <c r="C471" s="21"/>
      <c r="D471" s="291"/>
      <c r="E471" s="21"/>
      <c r="F471" s="21"/>
      <c r="G471" s="21"/>
      <c r="H471" s="21"/>
      <c r="I471" s="21"/>
      <c r="J471" s="21"/>
      <c r="K471" s="21"/>
      <c r="L471" s="21"/>
      <c r="M471" s="21"/>
    </row>
    <row r="472" spans="1:13" x14ac:dyDescent="0.2">
      <c r="A472" s="21"/>
      <c r="B472" s="21"/>
      <c r="C472" s="21"/>
      <c r="D472" s="291"/>
      <c r="E472" s="21"/>
      <c r="F472" s="21"/>
      <c r="G472" s="21"/>
      <c r="H472" s="21"/>
      <c r="I472" s="21"/>
      <c r="J472" s="21"/>
      <c r="K472" s="21"/>
      <c r="L472" s="21"/>
      <c r="M472" s="21"/>
    </row>
    <row r="473" spans="1:13" x14ac:dyDescent="0.2">
      <c r="A473" s="21"/>
      <c r="B473" s="21"/>
      <c r="C473" s="21"/>
      <c r="D473" s="291"/>
      <c r="E473" s="21"/>
      <c r="F473" s="21"/>
      <c r="G473" s="21"/>
      <c r="H473" s="21"/>
      <c r="I473" s="21"/>
      <c r="J473" s="21"/>
      <c r="K473" s="21"/>
      <c r="L473" s="21"/>
      <c r="M473" s="21"/>
    </row>
    <row r="474" spans="1:13" x14ac:dyDescent="0.2">
      <c r="A474" s="21"/>
      <c r="B474" s="21"/>
      <c r="C474" s="21"/>
      <c r="D474" s="291"/>
      <c r="E474" s="21"/>
      <c r="F474" s="21"/>
      <c r="G474" s="21"/>
      <c r="H474" s="21"/>
      <c r="I474" s="21"/>
      <c r="J474" s="21"/>
      <c r="K474" s="21"/>
      <c r="L474" s="21"/>
      <c r="M474" s="21"/>
    </row>
    <row r="475" spans="1:13" x14ac:dyDescent="0.2">
      <c r="A475" s="21"/>
      <c r="B475" s="21"/>
      <c r="C475" s="21"/>
      <c r="D475" s="291"/>
      <c r="E475" s="21"/>
      <c r="F475" s="21"/>
      <c r="G475" s="21"/>
      <c r="H475" s="21"/>
      <c r="I475" s="21"/>
      <c r="J475" s="21"/>
      <c r="K475" s="21"/>
      <c r="L475" s="21"/>
      <c r="M475" s="21"/>
    </row>
    <row r="476" spans="1:13" x14ac:dyDescent="0.2">
      <c r="A476" s="21"/>
      <c r="B476" s="21"/>
      <c r="C476" s="21"/>
      <c r="D476" s="291"/>
      <c r="E476" s="21"/>
      <c r="F476" s="21"/>
      <c r="G476" s="21"/>
      <c r="H476" s="21"/>
      <c r="I476" s="21"/>
      <c r="J476" s="21"/>
      <c r="K476" s="21"/>
      <c r="L476" s="21"/>
      <c r="M476" s="21"/>
    </row>
    <row r="477" spans="1:13" x14ac:dyDescent="0.2">
      <c r="A477" s="21"/>
      <c r="B477" s="21"/>
      <c r="C477" s="21"/>
      <c r="D477" s="291"/>
      <c r="E477" s="21"/>
      <c r="F477" s="21"/>
      <c r="G477" s="21"/>
      <c r="H477" s="21"/>
      <c r="I477" s="21"/>
      <c r="J477" s="21"/>
      <c r="K477" s="21"/>
      <c r="L477" s="21"/>
      <c r="M477" s="21"/>
    </row>
    <row r="478" spans="1:13" x14ac:dyDescent="0.2">
      <c r="A478" s="21"/>
      <c r="B478" s="21"/>
      <c r="C478" s="21"/>
      <c r="D478" s="291"/>
      <c r="E478" s="21"/>
      <c r="F478" s="21"/>
      <c r="G478" s="21"/>
      <c r="H478" s="21"/>
      <c r="I478" s="21"/>
      <c r="J478" s="21"/>
      <c r="K478" s="21"/>
      <c r="L478" s="21"/>
      <c r="M478" s="21"/>
    </row>
    <row r="479" spans="1:13" x14ac:dyDescent="0.2">
      <c r="A479" s="21"/>
      <c r="B479" s="21"/>
      <c r="C479" s="21"/>
      <c r="D479" s="291"/>
      <c r="E479" s="21"/>
      <c r="F479" s="21"/>
      <c r="G479" s="21"/>
      <c r="H479" s="21"/>
      <c r="I479" s="21"/>
      <c r="J479" s="21"/>
      <c r="K479" s="21"/>
      <c r="L479" s="21"/>
      <c r="M479" s="21"/>
    </row>
    <row r="480" spans="1:13" x14ac:dyDescent="0.2">
      <c r="A480" s="21"/>
      <c r="B480" s="21"/>
      <c r="C480" s="21"/>
      <c r="D480" s="291"/>
      <c r="E480" s="21"/>
      <c r="F480" s="21"/>
      <c r="G480" s="21"/>
      <c r="H480" s="21"/>
      <c r="I480" s="21"/>
      <c r="J480" s="21"/>
      <c r="K480" s="21"/>
      <c r="L480" s="21"/>
      <c r="M480" s="21"/>
    </row>
    <row r="481" spans="1:13" x14ac:dyDescent="0.2">
      <c r="A481" s="21"/>
      <c r="B481" s="21"/>
      <c r="C481" s="21"/>
      <c r="D481" s="291"/>
      <c r="E481" s="21"/>
      <c r="F481" s="21"/>
      <c r="G481" s="21"/>
      <c r="H481" s="21"/>
      <c r="I481" s="21"/>
      <c r="J481" s="21"/>
      <c r="K481" s="21"/>
      <c r="L481" s="21"/>
      <c r="M481" s="21"/>
    </row>
    <row r="482" spans="1:13" x14ac:dyDescent="0.2">
      <c r="A482" s="21"/>
      <c r="B482" s="21"/>
      <c r="C482" s="21"/>
      <c r="D482" s="291"/>
      <c r="E482" s="21"/>
      <c r="F482" s="21"/>
      <c r="G482" s="21"/>
      <c r="H482" s="21"/>
      <c r="I482" s="21"/>
      <c r="J482" s="21"/>
      <c r="K482" s="21"/>
      <c r="L482" s="21"/>
      <c r="M482" s="21"/>
    </row>
    <row r="483" spans="1:13" x14ac:dyDescent="0.2">
      <c r="A483" s="21"/>
      <c r="B483" s="21"/>
      <c r="C483" s="21"/>
      <c r="D483" s="291"/>
      <c r="E483" s="21"/>
      <c r="F483" s="21"/>
      <c r="G483" s="21"/>
      <c r="H483" s="21"/>
      <c r="I483" s="21"/>
      <c r="J483" s="21"/>
      <c r="K483" s="21"/>
      <c r="L483" s="21"/>
      <c r="M483" s="21"/>
    </row>
    <row r="484" spans="1:13" x14ac:dyDescent="0.2">
      <c r="A484" s="21"/>
      <c r="B484" s="21"/>
      <c r="C484" s="21"/>
      <c r="D484" s="291"/>
      <c r="E484" s="21"/>
      <c r="F484" s="21"/>
      <c r="G484" s="21"/>
      <c r="H484" s="21"/>
      <c r="I484" s="21"/>
      <c r="J484" s="21"/>
      <c r="K484" s="21"/>
      <c r="L484" s="21"/>
      <c r="M484" s="21"/>
    </row>
    <row r="485" spans="1:13" ht="15.75" x14ac:dyDescent="0.25">
      <c r="A485" s="21"/>
      <c r="B485" s="21"/>
      <c r="C485" s="21"/>
      <c r="D485" s="324" t="s">
        <v>804</v>
      </c>
      <c r="E485" s="387" t="s">
        <v>368</v>
      </c>
      <c r="F485" s="387"/>
      <c r="G485" s="387"/>
      <c r="H485" s="387"/>
      <c r="I485" s="387"/>
      <c r="J485" s="387"/>
      <c r="K485" s="387"/>
      <c r="L485" s="21"/>
      <c r="M485" s="21"/>
    </row>
    <row r="486" spans="1:13" x14ac:dyDescent="0.2">
      <c r="A486" s="21"/>
      <c r="B486" s="21"/>
      <c r="C486" s="21"/>
      <c r="D486" s="306" t="s">
        <v>286</v>
      </c>
      <c r="E486" s="301">
        <f t="shared" ref="E486:J486" si="89">E7</f>
        <v>2009</v>
      </c>
      <c r="F486" s="301">
        <f t="shared" si="89"/>
        <v>2010</v>
      </c>
      <c r="G486" s="301">
        <f t="shared" si="89"/>
        <v>2011</v>
      </c>
      <c r="H486" s="301">
        <f t="shared" si="89"/>
        <v>2012</v>
      </c>
      <c r="I486" s="301">
        <f t="shared" si="89"/>
        <v>2013</v>
      </c>
      <c r="J486" s="301">
        <f t="shared" si="89"/>
        <v>2014</v>
      </c>
      <c r="K486" s="301">
        <f>K7</f>
        <v>2015</v>
      </c>
      <c r="L486" s="21"/>
      <c r="M486" s="21"/>
    </row>
    <row r="487" spans="1:13" ht="21.75" customHeight="1" x14ac:dyDescent="0.25">
      <c r="A487" s="21"/>
      <c r="B487" s="21"/>
      <c r="C487" s="21"/>
      <c r="D487" s="303" t="s">
        <v>35</v>
      </c>
      <c r="E487" s="387"/>
      <c r="F487" s="387"/>
      <c r="G487" s="387"/>
      <c r="H487" s="387"/>
      <c r="I487" s="387"/>
      <c r="J487" s="387"/>
      <c r="K487" s="387"/>
      <c r="L487" s="21"/>
      <c r="M487" s="21"/>
    </row>
    <row r="488" spans="1:13" ht="42" customHeight="1" x14ac:dyDescent="0.25">
      <c r="A488" s="21"/>
      <c r="B488" s="21"/>
      <c r="C488" s="21"/>
      <c r="D488" s="326" t="s">
        <v>805</v>
      </c>
      <c r="E488" s="480"/>
      <c r="F488" s="480">
        <v>9.9600000000000009</v>
      </c>
      <c r="G488" s="480">
        <v>5.7720000000000002</v>
      </c>
      <c r="H488" s="480">
        <v>2.5830000000000002</v>
      </c>
      <c r="I488" s="480">
        <v>4.5</v>
      </c>
      <c r="J488" s="480">
        <v>4.3</v>
      </c>
      <c r="K488" s="480">
        <v>2.5</v>
      </c>
      <c r="L488" s="387"/>
      <c r="M488" s="387"/>
    </row>
    <row r="489" spans="1:13" x14ac:dyDescent="0.2">
      <c r="A489" s="21"/>
      <c r="B489" s="21"/>
      <c r="C489" s="21"/>
      <c r="D489" s="291" t="s">
        <v>338</v>
      </c>
      <c r="E489" s="373"/>
      <c r="F489" s="373">
        <v>65.799000000000007</v>
      </c>
      <c r="G489" s="373">
        <v>49.776000000000003</v>
      </c>
      <c r="H489" s="373">
        <v>79.430000000000007</v>
      </c>
      <c r="I489" s="373">
        <v>110.9</v>
      </c>
      <c r="J489" s="373">
        <v>136.30000000000001</v>
      </c>
      <c r="K489" s="373">
        <v>158.5</v>
      </c>
      <c r="L489" s="21"/>
      <c r="M489" s="21"/>
    </row>
    <row r="490" spans="1:13" x14ac:dyDescent="0.2">
      <c r="A490" s="21"/>
      <c r="B490" s="21"/>
      <c r="C490" s="21"/>
      <c r="D490" s="291" t="s">
        <v>331</v>
      </c>
      <c r="E490" s="373"/>
      <c r="F490" s="373">
        <v>1.2929999999999999</v>
      </c>
      <c r="G490" s="373">
        <v>3.26</v>
      </c>
      <c r="H490" s="373">
        <v>7.0810000000000004</v>
      </c>
      <c r="I490" s="373">
        <v>7.2</v>
      </c>
      <c r="J490" s="373">
        <v>24.2</v>
      </c>
      <c r="K490" s="373">
        <v>11.8</v>
      </c>
      <c r="L490" s="21"/>
      <c r="M490" s="21"/>
    </row>
    <row r="491" spans="1:13" x14ac:dyDescent="0.2">
      <c r="A491" s="21"/>
      <c r="B491" s="21"/>
      <c r="C491" s="21"/>
      <c r="D491" s="291" t="s">
        <v>339</v>
      </c>
      <c r="E491" s="373"/>
      <c r="F491" s="373">
        <v>0.112</v>
      </c>
      <c r="G491" s="373">
        <v>7.9000000000000001E-2</v>
      </c>
      <c r="H491" s="373">
        <v>1.046</v>
      </c>
      <c r="I491" s="373">
        <v>2.2000000000000002</v>
      </c>
      <c r="J491" s="373">
        <v>2</v>
      </c>
      <c r="K491" s="373">
        <v>1.8</v>
      </c>
      <c r="L491" s="21"/>
      <c r="M491" s="21"/>
    </row>
    <row r="492" spans="1:13" s="322" customFormat="1" ht="21" customHeight="1" x14ac:dyDescent="0.25">
      <c r="A492" s="320"/>
      <c r="B492" s="320"/>
      <c r="C492" s="320"/>
      <c r="D492" s="479" t="s">
        <v>462</v>
      </c>
      <c r="E492" s="373"/>
      <c r="F492" s="373">
        <v>2.7E-2</v>
      </c>
      <c r="G492" s="373">
        <v>2.4E-2</v>
      </c>
      <c r="H492" s="373">
        <v>7.0000000000000001E-3</v>
      </c>
      <c r="I492" s="373">
        <v>0</v>
      </c>
      <c r="J492" s="373">
        <v>0</v>
      </c>
      <c r="K492" s="373">
        <v>1.8</v>
      </c>
      <c r="L492" s="320"/>
      <c r="M492" s="320"/>
    </row>
    <row r="493" spans="1:13" ht="42" customHeight="1" x14ac:dyDescent="0.25">
      <c r="A493" s="21"/>
      <c r="B493" s="21"/>
      <c r="C493" s="21"/>
      <c r="D493" s="481" t="s">
        <v>806</v>
      </c>
      <c r="E493" s="482">
        <f t="shared" ref="E493:J493" si="90">SUM(E489:E492)</f>
        <v>0</v>
      </c>
      <c r="F493" s="482">
        <f t="shared" si="90"/>
        <v>67.231000000000009</v>
      </c>
      <c r="G493" s="482">
        <f t="shared" si="90"/>
        <v>53.139000000000003</v>
      </c>
      <c r="H493" s="482">
        <f t="shared" si="90"/>
        <v>87.564000000000021</v>
      </c>
      <c r="I493" s="482">
        <f t="shared" si="90"/>
        <v>120.30000000000001</v>
      </c>
      <c r="J493" s="482">
        <f t="shared" si="90"/>
        <v>162.5</v>
      </c>
      <c r="K493" s="482">
        <f>SUM(K489:K492)</f>
        <v>173.90000000000003</v>
      </c>
      <c r="L493" s="387"/>
      <c r="M493" s="387"/>
    </row>
    <row r="494" spans="1:13" ht="31.5" customHeight="1" thickBot="1" x14ac:dyDescent="0.25">
      <c r="A494" s="21"/>
      <c r="B494" s="21"/>
      <c r="C494" s="21"/>
      <c r="D494" s="483" t="s">
        <v>807</v>
      </c>
      <c r="E494" s="484">
        <f t="shared" ref="E494:J494" si="91">E488+E493</f>
        <v>0</v>
      </c>
      <c r="F494" s="484">
        <f t="shared" si="91"/>
        <v>77.191000000000003</v>
      </c>
      <c r="G494" s="484">
        <f t="shared" si="91"/>
        <v>58.911000000000001</v>
      </c>
      <c r="H494" s="484">
        <f t="shared" si="91"/>
        <v>90.14700000000002</v>
      </c>
      <c r="I494" s="484">
        <f t="shared" si="91"/>
        <v>124.80000000000001</v>
      </c>
      <c r="J494" s="484">
        <f t="shared" si="91"/>
        <v>166.8</v>
      </c>
      <c r="K494" s="484">
        <f>K488+K493</f>
        <v>176.40000000000003</v>
      </c>
      <c r="L494" s="387"/>
      <c r="M494" s="387"/>
    </row>
    <row r="495" spans="1:13" s="28" customFormat="1" ht="24.75" customHeight="1" thickTop="1" x14ac:dyDescent="0.25">
      <c r="A495" s="11"/>
      <c r="B495" s="11"/>
      <c r="C495" s="11"/>
      <c r="D495" s="485" t="s">
        <v>369</v>
      </c>
      <c r="E495" s="486"/>
      <c r="F495" s="486"/>
      <c r="G495" s="486"/>
      <c r="H495" s="486"/>
      <c r="I495" s="486"/>
      <c r="J495" s="486"/>
      <c r="K495" s="486"/>
      <c r="L495" s="11"/>
      <c r="M495" s="11"/>
    </row>
    <row r="496" spans="1:13" x14ac:dyDescent="0.2">
      <c r="A496" s="21"/>
      <c r="B496" s="21"/>
      <c r="C496" s="21"/>
      <c r="D496" s="291" t="s">
        <v>351</v>
      </c>
      <c r="E496" s="373"/>
      <c r="F496" s="373">
        <v>-25.428000000000001</v>
      </c>
      <c r="G496" s="373">
        <v>-21.545000000000002</v>
      </c>
      <c r="H496" s="373">
        <v>-18.283000000000001</v>
      </c>
      <c r="I496" s="373">
        <v>-26.8</v>
      </c>
      <c r="J496" s="373">
        <v>-36.1</v>
      </c>
      <c r="K496" s="373">
        <v>-50.8</v>
      </c>
      <c r="L496" s="21"/>
      <c r="M496" s="21"/>
    </row>
    <row r="497" spans="1:13" x14ac:dyDescent="0.2">
      <c r="A497" s="21"/>
      <c r="B497" s="21"/>
      <c r="C497" s="21"/>
      <c r="D497" s="291" t="s">
        <v>809</v>
      </c>
      <c r="E497" s="373"/>
      <c r="F497" s="373">
        <v>-0.81200000000000006</v>
      </c>
      <c r="G497" s="373">
        <v>-0.96299999999999997</v>
      </c>
      <c r="H497" s="373">
        <v>-10.375999999999999</v>
      </c>
      <c r="I497" s="373">
        <v>-15.3</v>
      </c>
      <c r="J497" s="373">
        <v>-27.5</v>
      </c>
      <c r="K497" s="373">
        <v>-43.2</v>
      </c>
      <c r="L497" s="21"/>
      <c r="M497" s="21"/>
    </row>
    <row r="498" spans="1:13" x14ac:dyDescent="0.2">
      <c r="A498" s="21"/>
      <c r="B498" s="21"/>
      <c r="C498" s="21"/>
      <c r="D498" s="291" t="s">
        <v>23</v>
      </c>
      <c r="E498" s="373"/>
      <c r="F498" s="373">
        <v>-3.2029999999999998</v>
      </c>
      <c r="G498" s="373">
        <v>-2.3140000000000001</v>
      </c>
      <c r="H498" s="373">
        <v>-2.379</v>
      </c>
      <c r="I498" s="373">
        <v>-4.8</v>
      </c>
      <c r="J498" s="373">
        <v>-19.399999999999999</v>
      </c>
      <c r="K498" s="373">
        <v>-10.7</v>
      </c>
      <c r="L498" s="21"/>
      <c r="M498" s="21"/>
    </row>
    <row r="499" spans="1:13" x14ac:dyDescent="0.2">
      <c r="A499" s="21"/>
      <c r="B499" s="21"/>
      <c r="C499" s="21"/>
      <c r="D499" s="291" t="s">
        <v>357</v>
      </c>
      <c r="E499" s="373"/>
      <c r="F499" s="373">
        <v>-2.427</v>
      </c>
      <c r="G499" s="373">
        <v>-2.3769999999999998</v>
      </c>
      <c r="H499" s="373">
        <v>-2.3660000000000001</v>
      </c>
      <c r="I499" s="373">
        <v>-2.2999999999999998</v>
      </c>
      <c r="J499" s="373">
        <v>-3</v>
      </c>
      <c r="K499" s="373">
        <v>-9.5</v>
      </c>
      <c r="L499" s="21"/>
      <c r="M499" s="21"/>
    </row>
    <row r="500" spans="1:13" x14ac:dyDescent="0.2">
      <c r="A500" s="21"/>
      <c r="B500" s="21"/>
      <c r="C500" s="21"/>
      <c r="D500" s="291" t="s">
        <v>810</v>
      </c>
      <c r="E500" s="373"/>
      <c r="F500" s="373">
        <v>0</v>
      </c>
      <c r="G500" s="373">
        <v>-3.0089999999999999</v>
      </c>
      <c r="H500" s="373">
        <v>-12.707000000000001</v>
      </c>
      <c r="I500" s="373">
        <v>-11.5</v>
      </c>
      <c r="J500" s="373">
        <v>-12.9</v>
      </c>
      <c r="K500" s="373">
        <v>-9.1999999999999993</v>
      </c>
      <c r="L500" s="21"/>
      <c r="M500" s="21"/>
    </row>
    <row r="501" spans="1:13" x14ac:dyDescent="0.2">
      <c r="A501" s="21"/>
      <c r="B501" s="21"/>
      <c r="C501" s="21"/>
      <c r="D501" s="291" t="s">
        <v>352</v>
      </c>
      <c r="E501" s="373"/>
      <c r="F501" s="373">
        <v>-5.6980000000000004</v>
      </c>
      <c r="G501" s="373">
        <v>-4.8849999999999998</v>
      </c>
      <c r="H501" s="373">
        <v>-4.5090000000000003</v>
      </c>
      <c r="I501" s="373">
        <v>-3.9</v>
      </c>
      <c r="J501" s="373">
        <v>-5.5</v>
      </c>
      <c r="K501" s="373">
        <v>-7</v>
      </c>
      <c r="L501" s="21"/>
      <c r="M501" s="21"/>
    </row>
    <row r="502" spans="1:13" ht="31.5" customHeight="1" thickBot="1" x14ac:dyDescent="0.25">
      <c r="A502" s="21"/>
      <c r="B502" s="21"/>
      <c r="C502" s="21"/>
      <c r="D502" s="483" t="s">
        <v>808</v>
      </c>
      <c r="E502" s="484">
        <f t="shared" ref="E502:K502" si="92">SUM(E496:E501)</f>
        <v>0</v>
      </c>
      <c r="F502" s="484">
        <f t="shared" si="92"/>
        <v>-37.567999999999998</v>
      </c>
      <c r="G502" s="484">
        <f t="shared" si="92"/>
        <v>-35.093000000000004</v>
      </c>
      <c r="H502" s="484">
        <f t="shared" si="92"/>
        <v>-50.620000000000005</v>
      </c>
      <c r="I502" s="484">
        <f t="shared" si="92"/>
        <v>-64.599999999999994</v>
      </c>
      <c r="J502" s="484">
        <f t="shared" si="92"/>
        <v>-104.4</v>
      </c>
      <c r="K502" s="484">
        <f t="shared" si="92"/>
        <v>-130.4</v>
      </c>
      <c r="L502" s="387"/>
      <c r="M502" s="387"/>
    </row>
    <row r="503" spans="1:13" ht="31.5" customHeight="1" thickTop="1" thickBot="1" x14ac:dyDescent="0.25">
      <c r="A503" s="21"/>
      <c r="B503" s="21"/>
      <c r="C503" s="21"/>
      <c r="D503" s="487" t="s">
        <v>370</v>
      </c>
      <c r="E503" s="488">
        <f t="shared" ref="E503:K503" si="93">E494+E502</f>
        <v>0</v>
      </c>
      <c r="F503" s="488">
        <f t="shared" si="93"/>
        <v>39.623000000000005</v>
      </c>
      <c r="G503" s="488">
        <f t="shared" si="93"/>
        <v>23.817999999999998</v>
      </c>
      <c r="H503" s="488">
        <f t="shared" si="93"/>
        <v>39.527000000000015</v>
      </c>
      <c r="I503" s="488">
        <f t="shared" si="93"/>
        <v>60.200000000000017</v>
      </c>
      <c r="J503" s="488">
        <f t="shared" si="93"/>
        <v>62.400000000000006</v>
      </c>
      <c r="K503" s="488">
        <f t="shared" si="93"/>
        <v>46.000000000000028</v>
      </c>
      <c r="L503" s="387"/>
      <c r="M503" s="387"/>
    </row>
    <row r="504" spans="1:13" ht="16.5" outlineLevel="1" thickTop="1" x14ac:dyDescent="0.25">
      <c r="A504" s="21"/>
      <c r="B504" s="21"/>
      <c r="C504" s="21"/>
      <c r="D504" s="309" t="s">
        <v>817</v>
      </c>
      <c r="E504" s="386"/>
      <c r="F504" s="386">
        <f t="shared" ref="F504:K504" si="94">F56-F494</f>
        <v>1.9999999999953388E-3</v>
      </c>
      <c r="G504" s="386">
        <f t="shared" si="94"/>
        <v>1.9999999999953388E-3</v>
      </c>
      <c r="H504" s="386">
        <f t="shared" si="94"/>
        <v>9.9999999997635314E-4</v>
      </c>
      <c r="I504" s="386">
        <f t="shared" si="94"/>
        <v>-2.6000000000010459E-2</v>
      </c>
      <c r="J504" s="386">
        <f t="shared" si="94"/>
        <v>0</v>
      </c>
      <c r="K504" s="386">
        <f t="shared" si="94"/>
        <v>0</v>
      </c>
      <c r="L504" s="21"/>
      <c r="M504" s="21"/>
    </row>
    <row r="505" spans="1:13" ht="15.75" outlineLevel="1" x14ac:dyDescent="0.25">
      <c r="A505" s="21"/>
      <c r="B505" s="21"/>
      <c r="C505" s="21"/>
      <c r="D505" s="309" t="s">
        <v>818</v>
      </c>
      <c r="E505" s="386"/>
      <c r="F505" s="386">
        <f t="shared" ref="F505:K505" si="95">F57-F502</f>
        <v>-1.0000000000047748E-3</v>
      </c>
      <c r="G505" s="386">
        <f t="shared" si="95"/>
        <v>-1.9999999999953388E-3</v>
      </c>
      <c r="H505" s="386">
        <f t="shared" si="95"/>
        <v>-2.9999999999930083E-3</v>
      </c>
      <c r="I505" s="386">
        <f t="shared" si="95"/>
        <v>0</v>
      </c>
      <c r="J505" s="386">
        <f t="shared" si="95"/>
        <v>0</v>
      </c>
      <c r="K505" s="386">
        <f t="shared" si="95"/>
        <v>0</v>
      </c>
      <c r="L505" s="21"/>
      <c r="M505" s="21"/>
    </row>
    <row r="506" spans="1:13" x14ac:dyDescent="0.2">
      <c r="A506" s="21"/>
      <c r="B506" s="21"/>
      <c r="C506" s="21"/>
      <c r="D506" s="291"/>
      <c r="E506" s="21"/>
      <c r="F506" s="21"/>
      <c r="G506" s="21"/>
      <c r="H506" s="21"/>
      <c r="I506" s="21"/>
      <c r="J506" s="21"/>
      <c r="K506" s="21"/>
      <c r="L506" s="21"/>
      <c r="M506" s="21"/>
    </row>
    <row r="507" spans="1:13" x14ac:dyDescent="0.2">
      <c r="A507" s="21"/>
      <c r="B507" s="21"/>
      <c r="C507" s="21"/>
      <c r="D507" s="291"/>
      <c r="E507" s="21"/>
      <c r="F507" s="21"/>
      <c r="G507" s="21"/>
      <c r="H507" s="21"/>
      <c r="I507" s="21"/>
      <c r="J507" s="21"/>
      <c r="K507" s="21"/>
      <c r="L507" s="21"/>
      <c r="M507" s="21"/>
    </row>
    <row r="508" spans="1:13" x14ac:dyDescent="0.2">
      <c r="A508" s="21"/>
      <c r="B508" s="21"/>
      <c r="C508" s="21"/>
      <c r="D508" s="291"/>
      <c r="E508" s="21"/>
      <c r="F508" s="21"/>
      <c r="G508" s="21"/>
      <c r="H508" s="21"/>
      <c r="I508" s="21"/>
      <c r="J508" s="21"/>
      <c r="K508" s="21"/>
      <c r="L508" s="21"/>
      <c r="M508" s="21"/>
    </row>
    <row r="509" spans="1:13" x14ac:dyDescent="0.2">
      <c r="A509" s="21"/>
      <c r="B509" s="21"/>
      <c r="C509" s="21"/>
      <c r="D509" s="291"/>
      <c r="E509" s="21"/>
      <c r="F509" s="21"/>
      <c r="G509" s="21"/>
      <c r="H509" s="21"/>
      <c r="I509" s="21"/>
      <c r="J509" s="21"/>
      <c r="K509" s="21"/>
      <c r="L509" s="21"/>
      <c r="M509" s="21"/>
    </row>
    <row r="510" spans="1:13" x14ac:dyDescent="0.2">
      <c r="A510" s="21"/>
      <c r="B510" s="21"/>
      <c r="C510" s="21"/>
      <c r="D510" s="291"/>
      <c r="E510" s="21"/>
      <c r="F510" s="21"/>
      <c r="G510" s="21"/>
      <c r="H510" s="21"/>
      <c r="I510" s="21"/>
      <c r="J510" s="21"/>
      <c r="K510" s="21"/>
      <c r="L510" s="21"/>
      <c r="M510" s="21"/>
    </row>
    <row r="511" spans="1:13" x14ac:dyDescent="0.2">
      <c r="A511" s="21"/>
      <c r="B511" s="21"/>
      <c r="C511" s="21"/>
      <c r="D511" s="291"/>
      <c r="E511" s="21"/>
      <c r="F511" s="21"/>
      <c r="G511" s="21"/>
      <c r="H511" s="21"/>
      <c r="I511" s="21"/>
      <c r="J511" s="21"/>
      <c r="K511" s="21"/>
      <c r="L511" s="21"/>
      <c r="M511" s="21"/>
    </row>
    <row r="512" spans="1:13" x14ac:dyDescent="0.2">
      <c r="A512" s="21"/>
      <c r="B512" s="21"/>
      <c r="C512" s="21"/>
      <c r="D512" s="291"/>
      <c r="E512" s="21"/>
      <c r="F512" s="21"/>
      <c r="G512" s="21"/>
      <c r="H512" s="21"/>
      <c r="I512" s="21"/>
      <c r="J512" s="21"/>
      <c r="K512" s="21"/>
      <c r="L512" s="21"/>
      <c r="M512" s="21"/>
    </row>
    <row r="513" spans="1:13" x14ac:dyDescent="0.2">
      <c r="A513" s="21"/>
      <c r="B513" s="21"/>
      <c r="C513" s="21"/>
      <c r="D513" s="291"/>
      <c r="E513" s="21"/>
      <c r="F513" s="21"/>
      <c r="G513" s="21"/>
      <c r="H513" s="21"/>
      <c r="I513" s="21"/>
      <c r="J513" s="21"/>
      <c r="K513" s="21"/>
      <c r="L513" s="21"/>
      <c r="M513" s="21"/>
    </row>
    <row r="514" spans="1:13" x14ac:dyDescent="0.2">
      <c r="A514" s="21"/>
      <c r="B514" s="21"/>
      <c r="C514" s="21"/>
      <c r="D514" s="291"/>
      <c r="E514" s="21"/>
      <c r="F514" s="21"/>
      <c r="G514" s="21"/>
      <c r="H514" s="21"/>
      <c r="I514" s="21"/>
      <c r="J514" s="21"/>
      <c r="K514" s="21"/>
      <c r="L514" s="21"/>
      <c r="M514" s="21"/>
    </row>
    <row r="515" spans="1:13" x14ac:dyDescent="0.2">
      <c r="A515" s="21"/>
      <c r="B515" s="21"/>
      <c r="C515" s="21"/>
      <c r="D515" s="291"/>
      <c r="E515" s="21"/>
      <c r="F515" s="21"/>
      <c r="G515" s="21"/>
      <c r="H515" s="21"/>
      <c r="I515" s="21"/>
      <c r="J515" s="21"/>
      <c r="K515" s="21"/>
      <c r="L515" s="21"/>
      <c r="M515" s="21"/>
    </row>
    <row r="516" spans="1:13" x14ac:dyDescent="0.2">
      <c r="A516" s="21"/>
      <c r="B516" s="21"/>
      <c r="C516" s="21"/>
      <c r="D516" s="291"/>
      <c r="E516" s="21"/>
      <c r="F516" s="21"/>
      <c r="G516" s="21"/>
      <c r="H516" s="21"/>
      <c r="I516" s="21"/>
      <c r="J516" s="21"/>
      <c r="K516" s="21"/>
      <c r="L516" s="21"/>
      <c r="M516" s="21"/>
    </row>
    <row r="517" spans="1:13" x14ac:dyDescent="0.2">
      <c r="A517" s="21"/>
      <c r="B517" s="21"/>
      <c r="C517" s="21"/>
      <c r="D517" s="291"/>
      <c r="E517" s="21"/>
      <c r="F517" s="21"/>
      <c r="G517" s="21"/>
      <c r="H517" s="21"/>
      <c r="I517" s="21"/>
      <c r="J517" s="21"/>
      <c r="K517" s="21"/>
      <c r="L517" s="21"/>
      <c r="M517" s="21"/>
    </row>
  </sheetData>
  <mergeCells count="8">
    <mergeCell ref="G74:G75"/>
    <mergeCell ref="E80:E81"/>
    <mergeCell ref="G225:G226"/>
    <mergeCell ref="G230:G231"/>
    <mergeCell ref="F225:F226"/>
    <mergeCell ref="E225:E226"/>
    <mergeCell ref="E230:E231"/>
    <mergeCell ref="F230:F231"/>
  </mergeCells>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4DBF0-9EB9-4961-A6FE-6DC35EC5803E}">
  <dimension ref="A1:J109"/>
  <sheetViews>
    <sheetView workbookViewId="0">
      <selection sqref="A1:J109"/>
    </sheetView>
  </sheetViews>
  <sheetFormatPr defaultRowHeight="15" x14ac:dyDescent="0.25"/>
  <cols>
    <col min="1" max="1" width="14" customWidth="1"/>
    <col min="2" max="2" width="81.140625" bestFit="1" customWidth="1"/>
    <col min="3" max="9" width="10" bestFit="1" customWidth="1"/>
    <col min="10" max="10" width="10" customWidth="1"/>
  </cols>
  <sheetData>
    <row r="1" spans="1:10" x14ac:dyDescent="0.25">
      <c r="A1" t="s">
        <v>1486</v>
      </c>
      <c r="B1" t="s">
        <v>3066</v>
      </c>
      <c r="C1" t="s">
        <v>2611</v>
      </c>
      <c r="D1" t="s">
        <v>2610</v>
      </c>
      <c r="E1" t="s">
        <v>2608</v>
      </c>
      <c r="F1" t="s">
        <v>2609</v>
      </c>
      <c r="G1" t="s">
        <v>2599</v>
      </c>
      <c r="H1" t="s">
        <v>2598</v>
      </c>
      <c r="I1" t="s">
        <v>2597</v>
      </c>
      <c r="J1" t="s">
        <v>3315</v>
      </c>
    </row>
    <row r="2" spans="1:10" x14ac:dyDescent="0.25">
      <c r="A2" t="s">
        <v>3067</v>
      </c>
      <c r="B2" t="s">
        <v>3067</v>
      </c>
    </row>
    <row r="3" spans="1:10" x14ac:dyDescent="0.25">
      <c r="A3" t="s">
        <v>1571</v>
      </c>
      <c r="B3" t="s">
        <v>3068</v>
      </c>
      <c r="C3">
        <v>48011741</v>
      </c>
      <c r="D3">
        <v>48011741</v>
      </c>
      <c r="E3">
        <v>48011741</v>
      </c>
      <c r="F3">
        <v>48011741</v>
      </c>
      <c r="G3">
        <v>48011741</v>
      </c>
      <c r="H3">
        <v>48011741</v>
      </c>
      <c r="I3">
        <v>48011741</v>
      </c>
      <c r="J3">
        <v>48011741</v>
      </c>
    </row>
    <row r="4" spans="1:10" x14ac:dyDescent="0.25">
      <c r="A4" t="s">
        <v>4</v>
      </c>
      <c r="B4" t="s">
        <v>3069</v>
      </c>
      <c r="C4">
        <v>48011741</v>
      </c>
      <c r="D4">
        <v>48011741</v>
      </c>
      <c r="E4">
        <v>48011741</v>
      </c>
      <c r="F4">
        <v>48011741</v>
      </c>
      <c r="G4">
        <v>48011741</v>
      </c>
      <c r="H4">
        <v>48011741</v>
      </c>
      <c r="I4">
        <v>48011741</v>
      </c>
      <c r="J4">
        <v>48011741</v>
      </c>
    </row>
    <row r="5" spans="1:10" x14ac:dyDescent="0.25">
      <c r="A5" t="s">
        <v>5</v>
      </c>
      <c r="B5" t="s">
        <v>3070</v>
      </c>
      <c r="C5">
        <v>0</v>
      </c>
      <c r="D5">
        <v>0</v>
      </c>
      <c r="E5">
        <v>0</v>
      </c>
      <c r="F5">
        <v>0</v>
      </c>
      <c r="G5">
        <v>0</v>
      </c>
      <c r="H5">
        <v>0</v>
      </c>
      <c r="I5">
        <v>0</v>
      </c>
      <c r="J5">
        <v>0</v>
      </c>
    </row>
    <row r="6" spans="1:10" x14ac:dyDescent="0.25">
      <c r="A6" t="s">
        <v>1572</v>
      </c>
      <c r="B6" t="s">
        <v>3071</v>
      </c>
      <c r="C6">
        <v>8346702</v>
      </c>
      <c r="D6">
        <v>8743061</v>
      </c>
      <c r="E6">
        <v>17195208</v>
      </c>
      <c r="F6">
        <v>17152868</v>
      </c>
      <c r="G6">
        <v>16934996</v>
      </c>
      <c r="H6">
        <v>21228177</v>
      </c>
      <c r="I6">
        <v>23797022</v>
      </c>
      <c r="J6">
        <v>44867500</v>
      </c>
    </row>
    <row r="7" spans="1:10" x14ac:dyDescent="0.25">
      <c r="A7" t="s">
        <v>6</v>
      </c>
      <c r="B7" t="s">
        <v>263</v>
      </c>
      <c r="C7">
        <v>411512</v>
      </c>
      <c r="D7">
        <v>588794</v>
      </c>
      <c r="E7">
        <v>6002640</v>
      </c>
      <c r="F7">
        <v>16107897</v>
      </c>
      <c r="G7">
        <v>13266615</v>
      </c>
      <c r="H7">
        <v>17355948</v>
      </c>
      <c r="I7">
        <v>18975773</v>
      </c>
      <c r="J7">
        <v>44867500</v>
      </c>
    </row>
    <row r="8" spans="1:10" x14ac:dyDescent="0.25">
      <c r="A8" t="s">
        <v>7</v>
      </c>
      <c r="B8" t="s">
        <v>264</v>
      </c>
      <c r="C8">
        <v>7935190</v>
      </c>
      <c r="D8">
        <v>8154267</v>
      </c>
      <c r="E8">
        <v>11192568</v>
      </c>
      <c r="F8">
        <v>1044971</v>
      </c>
      <c r="G8">
        <v>3668381</v>
      </c>
      <c r="H8">
        <v>3872229</v>
      </c>
      <c r="I8">
        <v>4821249</v>
      </c>
      <c r="J8">
        <v>0</v>
      </c>
    </row>
    <row r="9" spans="1:10" x14ac:dyDescent="0.25">
      <c r="A9" t="s">
        <v>1539</v>
      </c>
      <c r="B9" t="s">
        <v>33</v>
      </c>
      <c r="C9">
        <v>64084</v>
      </c>
      <c r="D9">
        <v>109078</v>
      </c>
      <c r="E9">
        <v>207894</v>
      </c>
      <c r="F9">
        <v>520535</v>
      </c>
      <c r="G9">
        <v>738407</v>
      </c>
      <c r="H9">
        <v>1053596</v>
      </c>
      <c r="I9">
        <v>1131454</v>
      </c>
      <c r="J9">
        <v>1451972</v>
      </c>
    </row>
    <row r="10" spans="1:10" x14ac:dyDescent="0.25">
      <c r="A10" t="s">
        <v>1540</v>
      </c>
      <c r="B10" t="s">
        <v>3072</v>
      </c>
      <c r="C10">
        <v>0</v>
      </c>
      <c r="D10">
        <v>0</v>
      </c>
    </row>
    <row r="11" spans="1:10" x14ac:dyDescent="0.25">
      <c r="A11" t="s">
        <v>1541</v>
      </c>
      <c r="B11" t="s">
        <v>3073</v>
      </c>
      <c r="C11">
        <v>0</v>
      </c>
      <c r="D11">
        <v>95207</v>
      </c>
    </row>
    <row r="12" spans="1:10" x14ac:dyDescent="0.25">
      <c r="A12" t="s">
        <v>1542</v>
      </c>
      <c r="B12" t="s">
        <v>3074</v>
      </c>
      <c r="C12">
        <v>56422527</v>
      </c>
      <c r="D12">
        <v>56959087</v>
      </c>
      <c r="E12">
        <v>65414843</v>
      </c>
      <c r="F12">
        <v>65685144</v>
      </c>
      <c r="G12">
        <v>65685144</v>
      </c>
      <c r="H12">
        <v>70293514</v>
      </c>
      <c r="I12">
        <v>72940217</v>
      </c>
      <c r="J12">
        <v>94331213</v>
      </c>
    </row>
    <row r="13" spans="1:10" x14ac:dyDescent="0.25">
      <c r="A13" t="s">
        <v>3075</v>
      </c>
      <c r="B13" t="s">
        <v>3075</v>
      </c>
    </row>
    <row r="14" spans="1:10" x14ac:dyDescent="0.25">
      <c r="A14" t="s">
        <v>1543</v>
      </c>
      <c r="B14" t="s">
        <v>3076</v>
      </c>
      <c r="C14">
        <v>0</v>
      </c>
      <c r="D14">
        <v>0</v>
      </c>
      <c r="E14">
        <v>0</v>
      </c>
      <c r="F14">
        <v>0</v>
      </c>
      <c r="G14">
        <v>0</v>
      </c>
      <c r="H14">
        <v>0</v>
      </c>
      <c r="I14">
        <v>0</v>
      </c>
      <c r="J14">
        <v>0</v>
      </c>
    </row>
    <row r="15" spans="1:10" x14ac:dyDescent="0.25">
      <c r="A15" t="s">
        <v>1226</v>
      </c>
      <c r="B15" t="s">
        <v>3077</v>
      </c>
      <c r="C15">
        <v>0</v>
      </c>
      <c r="D15">
        <v>0</v>
      </c>
      <c r="E15">
        <v>0</v>
      </c>
      <c r="F15">
        <v>0</v>
      </c>
      <c r="G15">
        <v>0</v>
      </c>
      <c r="H15">
        <v>0</v>
      </c>
      <c r="I15">
        <v>0</v>
      </c>
      <c r="J15">
        <v>0</v>
      </c>
    </row>
    <row r="16" spans="1:10" x14ac:dyDescent="0.25">
      <c r="A16" t="s">
        <v>1544</v>
      </c>
      <c r="B16" t="s">
        <v>3078</v>
      </c>
      <c r="C16">
        <v>315083</v>
      </c>
      <c r="D16">
        <v>747255</v>
      </c>
      <c r="E16">
        <v>1783192</v>
      </c>
      <c r="F16">
        <v>3037328</v>
      </c>
      <c r="G16">
        <v>4409785</v>
      </c>
      <c r="H16">
        <v>6973458</v>
      </c>
      <c r="I16">
        <v>8737457</v>
      </c>
      <c r="J16">
        <v>10774027</v>
      </c>
    </row>
    <row r="17" spans="1:10" x14ac:dyDescent="0.25">
      <c r="A17" t="s">
        <v>1545</v>
      </c>
      <c r="B17" t="s">
        <v>3079</v>
      </c>
      <c r="C17">
        <v>85194</v>
      </c>
      <c r="D17">
        <v>264330</v>
      </c>
      <c r="E17">
        <v>708714</v>
      </c>
      <c r="F17">
        <v>883074</v>
      </c>
      <c r="G17">
        <v>921846</v>
      </c>
      <c r="H17">
        <v>1997406</v>
      </c>
      <c r="I17">
        <v>0</v>
      </c>
      <c r="J17">
        <v>0</v>
      </c>
    </row>
    <row r="18" spans="1:10" x14ac:dyDescent="0.25">
      <c r="A18" t="s">
        <v>1546</v>
      </c>
      <c r="B18" t="s">
        <v>3080</v>
      </c>
      <c r="C18">
        <v>0</v>
      </c>
      <c r="D18">
        <v>0</v>
      </c>
      <c r="E18">
        <v>0</v>
      </c>
      <c r="F18">
        <v>0</v>
      </c>
      <c r="G18">
        <v>0</v>
      </c>
      <c r="H18">
        <v>0</v>
      </c>
      <c r="I18">
        <v>0</v>
      </c>
      <c r="J18">
        <v>0</v>
      </c>
    </row>
    <row r="19" spans="1:10" x14ac:dyDescent="0.25">
      <c r="A19" t="s">
        <v>1547</v>
      </c>
      <c r="B19" t="s">
        <v>3081</v>
      </c>
      <c r="C19">
        <v>0</v>
      </c>
      <c r="D19">
        <v>0</v>
      </c>
      <c r="E19">
        <v>0</v>
      </c>
      <c r="F19">
        <v>367065</v>
      </c>
      <c r="G19">
        <v>367065</v>
      </c>
      <c r="H19">
        <v>367065</v>
      </c>
      <c r="I19">
        <v>367065</v>
      </c>
      <c r="J19">
        <v>367065</v>
      </c>
    </row>
    <row r="20" spans="1:10" x14ac:dyDescent="0.25">
      <c r="A20" t="s">
        <v>1548</v>
      </c>
      <c r="B20" t="s">
        <v>3082</v>
      </c>
      <c r="C20">
        <v>0</v>
      </c>
      <c r="D20">
        <v>0</v>
      </c>
    </row>
    <row r="21" spans="1:10" x14ac:dyDescent="0.25">
      <c r="A21" t="s">
        <v>1549</v>
      </c>
      <c r="B21" t="s">
        <v>3083</v>
      </c>
      <c r="C21">
        <v>0</v>
      </c>
      <c r="D21">
        <v>0</v>
      </c>
    </row>
    <row r="22" spans="1:10" x14ac:dyDescent="0.25">
      <c r="A22" t="s">
        <v>1490</v>
      </c>
      <c r="B22" t="s">
        <v>3084</v>
      </c>
      <c r="C22">
        <v>0</v>
      </c>
      <c r="D22">
        <v>0</v>
      </c>
    </row>
    <row r="23" spans="1:10" x14ac:dyDescent="0.25">
      <c r="A23" t="s">
        <v>1491</v>
      </c>
      <c r="B23" t="s">
        <v>3085</v>
      </c>
      <c r="C23">
        <v>0</v>
      </c>
      <c r="D23">
        <v>378281</v>
      </c>
      <c r="E23">
        <v>377330</v>
      </c>
      <c r="F23">
        <v>397695</v>
      </c>
    </row>
    <row r="24" spans="1:10" x14ac:dyDescent="0.25">
      <c r="A24" t="s">
        <v>1492</v>
      </c>
      <c r="B24" t="s">
        <v>3086</v>
      </c>
      <c r="C24">
        <v>0</v>
      </c>
      <c r="D24">
        <v>0</v>
      </c>
      <c r="E24">
        <v>6180</v>
      </c>
      <c r="F24">
        <v>6180</v>
      </c>
    </row>
    <row r="25" spans="1:10" x14ac:dyDescent="0.25">
      <c r="A25" t="s">
        <v>1493</v>
      </c>
      <c r="B25" t="s">
        <v>3087</v>
      </c>
      <c r="C25">
        <v>0</v>
      </c>
      <c r="D25">
        <v>0</v>
      </c>
      <c r="E25">
        <v>0</v>
      </c>
      <c r="F25">
        <v>0</v>
      </c>
    </row>
    <row r="26" spans="1:10" x14ac:dyDescent="0.25">
      <c r="A26" t="s">
        <v>1494</v>
      </c>
      <c r="B26" t="s">
        <v>3088</v>
      </c>
      <c r="C26">
        <v>0</v>
      </c>
      <c r="D26">
        <v>0</v>
      </c>
      <c r="E26">
        <v>0</v>
      </c>
      <c r="F26">
        <v>0</v>
      </c>
    </row>
    <row r="27" spans="1:10" x14ac:dyDescent="0.25">
      <c r="A27" t="s">
        <v>1495</v>
      </c>
      <c r="B27" t="s">
        <v>3089</v>
      </c>
      <c r="C27">
        <v>0</v>
      </c>
      <c r="D27">
        <v>0</v>
      </c>
    </row>
    <row r="28" spans="1:10" x14ac:dyDescent="0.25">
      <c r="A28" t="s">
        <v>1496</v>
      </c>
      <c r="B28" t="s">
        <v>3090</v>
      </c>
      <c r="C28">
        <v>0</v>
      </c>
      <c r="D28">
        <v>0</v>
      </c>
      <c r="E28">
        <v>0</v>
      </c>
      <c r="F28">
        <v>0</v>
      </c>
      <c r="G28">
        <v>0</v>
      </c>
      <c r="H28">
        <v>0</v>
      </c>
      <c r="I28">
        <v>0</v>
      </c>
      <c r="J28">
        <v>0</v>
      </c>
    </row>
    <row r="29" spans="1:10" x14ac:dyDescent="0.25">
      <c r="A29" t="s">
        <v>1497</v>
      </c>
      <c r="B29" t="s">
        <v>3091</v>
      </c>
      <c r="C29">
        <v>0</v>
      </c>
      <c r="D29">
        <v>0</v>
      </c>
      <c r="E29">
        <v>0</v>
      </c>
      <c r="F29">
        <v>0</v>
      </c>
    </row>
    <row r="30" spans="1:10" x14ac:dyDescent="0.25">
      <c r="A30" t="s">
        <v>1498</v>
      </c>
      <c r="B30" t="s">
        <v>3092</v>
      </c>
      <c r="C30">
        <v>0</v>
      </c>
      <c r="D30">
        <v>0</v>
      </c>
      <c r="E30">
        <v>0</v>
      </c>
      <c r="F30">
        <v>0</v>
      </c>
    </row>
    <row r="31" spans="1:10" x14ac:dyDescent="0.25">
      <c r="A31" t="s">
        <v>1499</v>
      </c>
      <c r="B31" t="s">
        <v>3093</v>
      </c>
      <c r="C31">
        <v>0</v>
      </c>
      <c r="D31">
        <v>0</v>
      </c>
    </row>
    <row r="32" spans="1:10" x14ac:dyDescent="0.25">
      <c r="A32" t="s">
        <v>1487</v>
      </c>
      <c r="B32" t="s">
        <v>3094</v>
      </c>
      <c r="C32">
        <v>0</v>
      </c>
      <c r="D32">
        <v>0</v>
      </c>
      <c r="F32">
        <v>0</v>
      </c>
      <c r="I32">
        <v>0</v>
      </c>
      <c r="J32">
        <v>0</v>
      </c>
    </row>
    <row r="33" spans="1:10" x14ac:dyDescent="0.25">
      <c r="A33" t="s">
        <v>1488</v>
      </c>
      <c r="B33" t="s">
        <v>3095</v>
      </c>
      <c r="C33">
        <v>299849</v>
      </c>
      <c r="D33">
        <v>224198</v>
      </c>
      <c r="E33">
        <v>224198</v>
      </c>
      <c r="F33">
        <v>224198</v>
      </c>
      <c r="G33">
        <v>224198</v>
      </c>
      <c r="H33">
        <v>224198</v>
      </c>
      <c r="I33">
        <v>224198</v>
      </c>
      <c r="J33">
        <v>224198</v>
      </c>
    </row>
    <row r="34" spans="1:10" x14ac:dyDescent="0.25">
      <c r="A34" t="s">
        <v>1526</v>
      </c>
      <c r="B34" t="s">
        <v>223</v>
      </c>
      <c r="C34">
        <v>183731</v>
      </c>
      <c r="D34">
        <v>0</v>
      </c>
      <c r="E34">
        <v>0</v>
      </c>
      <c r="F34">
        <v>0</v>
      </c>
      <c r="G34">
        <v>0</v>
      </c>
      <c r="H34">
        <v>0</v>
      </c>
      <c r="I34">
        <v>0</v>
      </c>
      <c r="J34">
        <v>0</v>
      </c>
    </row>
    <row r="35" spans="1:10" x14ac:dyDescent="0.25">
      <c r="A35" t="s">
        <v>1527</v>
      </c>
      <c r="B35" t="s">
        <v>3096</v>
      </c>
      <c r="C35">
        <v>883857</v>
      </c>
      <c r="D35">
        <v>1614064</v>
      </c>
      <c r="E35">
        <v>3099614</v>
      </c>
      <c r="F35">
        <v>4915540</v>
      </c>
      <c r="G35">
        <v>6339559</v>
      </c>
      <c r="H35">
        <v>9981379</v>
      </c>
      <c r="I35">
        <v>9746337</v>
      </c>
      <c r="J35">
        <v>11755919</v>
      </c>
    </row>
    <row r="36" spans="1:10" x14ac:dyDescent="0.25">
      <c r="A36" t="s">
        <v>1528</v>
      </c>
      <c r="B36" t="s">
        <v>3097</v>
      </c>
      <c r="C36">
        <v>55538670</v>
      </c>
      <c r="D36">
        <v>55345023</v>
      </c>
      <c r="E36">
        <v>62315229</v>
      </c>
      <c r="F36">
        <v>60769604</v>
      </c>
      <c r="G36">
        <v>59345585</v>
      </c>
      <c r="H36">
        <v>60312135</v>
      </c>
      <c r="I36">
        <v>63193880</v>
      </c>
      <c r="J36">
        <v>82575294</v>
      </c>
    </row>
    <row r="37" spans="1:10" x14ac:dyDescent="0.25">
      <c r="A37" t="s">
        <v>3098</v>
      </c>
      <c r="B37" t="s">
        <v>3098</v>
      </c>
    </row>
    <row r="38" spans="1:10" x14ac:dyDescent="0.25">
      <c r="A38" t="s">
        <v>1531</v>
      </c>
      <c r="B38" t="s">
        <v>3099</v>
      </c>
      <c r="C38">
        <v>0</v>
      </c>
      <c r="D38">
        <v>0</v>
      </c>
      <c r="E38">
        <v>0</v>
      </c>
      <c r="F38">
        <v>0</v>
      </c>
      <c r="G38">
        <v>0</v>
      </c>
      <c r="H38">
        <v>0</v>
      </c>
      <c r="I38">
        <v>0</v>
      </c>
      <c r="J38">
        <v>0</v>
      </c>
    </row>
    <row r="39" spans="1:10" x14ac:dyDescent="0.25">
      <c r="A39" t="s">
        <v>1532</v>
      </c>
      <c r="B39" t="s">
        <v>3100</v>
      </c>
      <c r="C39">
        <v>0</v>
      </c>
      <c r="D39">
        <v>0</v>
      </c>
      <c r="E39">
        <v>0</v>
      </c>
      <c r="F39">
        <v>0</v>
      </c>
      <c r="G39">
        <v>0</v>
      </c>
      <c r="H39">
        <v>0</v>
      </c>
      <c r="I39">
        <v>0</v>
      </c>
      <c r="J39">
        <v>0</v>
      </c>
    </row>
    <row r="40" spans="1:10" x14ac:dyDescent="0.25">
      <c r="A40" t="s">
        <v>1533</v>
      </c>
      <c r="B40" t="s">
        <v>3101</v>
      </c>
      <c r="C40">
        <v>0</v>
      </c>
      <c r="D40">
        <v>0</v>
      </c>
      <c r="E40">
        <v>0</v>
      </c>
      <c r="F40">
        <v>0</v>
      </c>
      <c r="G40">
        <v>0</v>
      </c>
      <c r="H40">
        <v>0</v>
      </c>
      <c r="I40">
        <v>0</v>
      </c>
      <c r="J40">
        <v>0</v>
      </c>
    </row>
    <row r="41" spans="1:10" x14ac:dyDescent="0.25">
      <c r="A41" t="s">
        <v>1534</v>
      </c>
      <c r="B41" t="s">
        <v>3102</v>
      </c>
      <c r="C41">
        <v>0</v>
      </c>
      <c r="D41">
        <v>0</v>
      </c>
      <c r="E41">
        <v>0</v>
      </c>
      <c r="F41">
        <v>0</v>
      </c>
      <c r="G41">
        <v>0</v>
      </c>
      <c r="H41">
        <v>0</v>
      </c>
      <c r="I41">
        <v>0</v>
      </c>
      <c r="J41">
        <v>0</v>
      </c>
    </row>
    <row r="42" spans="1:10" x14ac:dyDescent="0.25">
      <c r="A42" t="s">
        <v>1535</v>
      </c>
      <c r="B42" t="s">
        <v>3103</v>
      </c>
      <c r="C42">
        <v>0</v>
      </c>
      <c r="D42">
        <v>0</v>
      </c>
    </row>
    <row r="43" spans="1:10" x14ac:dyDescent="0.25">
      <c r="A43" t="s">
        <v>1536</v>
      </c>
      <c r="B43" t="s">
        <v>3104</v>
      </c>
      <c r="C43">
        <v>0</v>
      </c>
      <c r="D43">
        <v>0</v>
      </c>
    </row>
    <row r="44" spans="1:10" x14ac:dyDescent="0.25">
      <c r="A44" t="s">
        <v>1537</v>
      </c>
      <c r="B44" t="s">
        <v>3105</v>
      </c>
      <c r="C44">
        <v>0</v>
      </c>
      <c r="D44">
        <v>0</v>
      </c>
      <c r="E44">
        <v>0</v>
      </c>
      <c r="F44">
        <v>0</v>
      </c>
      <c r="G44">
        <v>0</v>
      </c>
      <c r="H44">
        <v>0</v>
      </c>
      <c r="I44">
        <v>0</v>
      </c>
      <c r="J44">
        <v>0</v>
      </c>
    </row>
    <row r="45" spans="1:10" x14ac:dyDescent="0.25">
      <c r="A45" t="s">
        <v>3106</v>
      </c>
      <c r="B45" t="s">
        <v>3106</v>
      </c>
    </row>
    <row r="46" spans="1:10" x14ac:dyDescent="0.25">
      <c r="A46" t="s">
        <v>2594</v>
      </c>
      <c r="B46" t="s">
        <v>3107</v>
      </c>
      <c r="C46">
        <v>0</v>
      </c>
      <c r="D46">
        <v>0</v>
      </c>
      <c r="E46">
        <v>0</v>
      </c>
      <c r="F46">
        <v>0</v>
      </c>
    </row>
    <row r="47" spans="1:10" x14ac:dyDescent="0.25">
      <c r="A47" t="s">
        <v>2595</v>
      </c>
      <c r="B47" t="s">
        <v>3108</v>
      </c>
      <c r="C47">
        <v>0</v>
      </c>
      <c r="D47">
        <v>0</v>
      </c>
      <c r="E47">
        <v>0</v>
      </c>
      <c r="F47">
        <v>0</v>
      </c>
    </row>
    <row r="48" spans="1:10" x14ac:dyDescent="0.25">
      <c r="A48" t="s">
        <v>2596</v>
      </c>
      <c r="B48" t="s">
        <v>3109</v>
      </c>
      <c r="C48">
        <v>0</v>
      </c>
      <c r="D48">
        <v>0</v>
      </c>
      <c r="E48">
        <v>0</v>
      </c>
      <c r="F48">
        <v>0</v>
      </c>
    </row>
    <row r="49" spans="1:10" x14ac:dyDescent="0.25">
      <c r="A49" t="s">
        <v>3110</v>
      </c>
      <c r="B49" t="s">
        <v>3111</v>
      </c>
      <c r="C49">
        <v>0</v>
      </c>
      <c r="D49">
        <v>0</v>
      </c>
      <c r="E49">
        <v>0</v>
      </c>
      <c r="F49">
        <v>0</v>
      </c>
    </row>
    <row r="50" spans="1:10" x14ac:dyDescent="0.25">
      <c r="A50" t="s">
        <v>3112</v>
      </c>
      <c r="B50" t="s">
        <v>3113</v>
      </c>
      <c r="C50">
        <v>183731</v>
      </c>
      <c r="D50">
        <v>0</v>
      </c>
      <c r="E50">
        <v>0</v>
      </c>
      <c r="F50">
        <v>0</v>
      </c>
      <c r="G50">
        <v>0</v>
      </c>
      <c r="H50">
        <v>0</v>
      </c>
      <c r="I50">
        <v>0</v>
      </c>
      <c r="J50">
        <v>0</v>
      </c>
    </row>
    <row r="51" spans="1:10" x14ac:dyDescent="0.25">
      <c r="A51" t="s">
        <v>3114</v>
      </c>
      <c r="B51" t="s">
        <v>235</v>
      </c>
      <c r="C51">
        <v>0</v>
      </c>
      <c r="D51">
        <v>0</v>
      </c>
      <c r="E51">
        <v>0</v>
      </c>
      <c r="F51">
        <v>0</v>
      </c>
      <c r="G51">
        <v>0</v>
      </c>
      <c r="H51">
        <v>0</v>
      </c>
      <c r="I51">
        <v>0</v>
      </c>
      <c r="J51">
        <v>0</v>
      </c>
    </row>
    <row r="52" spans="1:10" x14ac:dyDescent="0.25">
      <c r="A52" t="s">
        <v>3115</v>
      </c>
      <c r="B52" t="s">
        <v>3116</v>
      </c>
      <c r="C52">
        <v>183731</v>
      </c>
      <c r="D52">
        <v>0</v>
      </c>
      <c r="E52">
        <v>0</v>
      </c>
      <c r="F52">
        <v>0</v>
      </c>
      <c r="G52">
        <v>0</v>
      </c>
      <c r="H52">
        <v>0</v>
      </c>
      <c r="I52">
        <v>0</v>
      </c>
      <c r="J52">
        <v>0</v>
      </c>
    </row>
    <row r="53" spans="1:10" x14ac:dyDescent="0.25">
      <c r="A53" t="s">
        <v>3117</v>
      </c>
      <c r="B53" t="s">
        <v>3118</v>
      </c>
      <c r="C53">
        <v>0</v>
      </c>
      <c r="D53">
        <v>0</v>
      </c>
      <c r="E53">
        <v>0</v>
      </c>
      <c r="F53">
        <v>0</v>
      </c>
      <c r="G53">
        <v>0</v>
      </c>
      <c r="H53">
        <v>0</v>
      </c>
      <c r="I53">
        <v>0</v>
      </c>
      <c r="J53">
        <v>0</v>
      </c>
    </row>
    <row r="54" spans="1:10" x14ac:dyDescent="0.25">
      <c r="A54" t="s">
        <v>3119</v>
      </c>
      <c r="B54" t="s">
        <v>3120</v>
      </c>
      <c r="C54">
        <v>55538670</v>
      </c>
      <c r="D54">
        <v>55345023</v>
      </c>
      <c r="E54">
        <v>62315229</v>
      </c>
      <c r="F54">
        <v>60769604</v>
      </c>
      <c r="G54">
        <v>59345585</v>
      </c>
      <c r="H54">
        <v>60312135</v>
      </c>
      <c r="I54">
        <v>63193880</v>
      </c>
      <c r="J54">
        <v>82575294</v>
      </c>
    </row>
    <row r="55" spans="1:10" x14ac:dyDescent="0.25">
      <c r="A55" t="s">
        <v>3121</v>
      </c>
      <c r="B55" t="s">
        <v>3121</v>
      </c>
    </row>
    <row r="56" spans="1:10" x14ac:dyDescent="0.25">
      <c r="A56" t="s">
        <v>3122</v>
      </c>
      <c r="B56" t="s">
        <v>3123</v>
      </c>
      <c r="C56">
        <v>19234106</v>
      </c>
      <c r="D56">
        <v>20835352</v>
      </c>
      <c r="E56">
        <v>12837465</v>
      </c>
      <c r="F56">
        <v>11751655</v>
      </c>
      <c r="G56">
        <v>15745009</v>
      </c>
      <c r="H56">
        <v>14200777</v>
      </c>
      <c r="I56">
        <v>32863078</v>
      </c>
      <c r="J56">
        <v>18795461</v>
      </c>
    </row>
    <row r="57" spans="1:10" x14ac:dyDescent="0.25">
      <c r="A57" t="s">
        <v>3124</v>
      </c>
      <c r="B57" t="s">
        <v>3125</v>
      </c>
      <c r="C57">
        <v>3428384</v>
      </c>
      <c r="D57">
        <v>3932783</v>
      </c>
      <c r="E57">
        <v>3081458</v>
      </c>
      <c r="F57">
        <v>2515553</v>
      </c>
      <c r="G57">
        <v>1131762</v>
      </c>
      <c r="H57">
        <v>0</v>
      </c>
      <c r="I57">
        <v>0</v>
      </c>
      <c r="J57">
        <v>0</v>
      </c>
    </row>
    <row r="58" spans="1:10" x14ac:dyDescent="0.25">
      <c r="A58" t="s">
        <v>3126</v>
      </c>
      <c r="B58" t="s">
        <v>3127</v>
      </c>
      <c r="C58">
        <v>0</v>
      </c>
      <c r="D58">
        <v>113536</v>
      </c>
    </row>
    <row r="59" spans="1:10" x14ac:dyDescent="0.25">
      <c r="A59" t="s">
        <v>3128</v>
      </c>
      <c r="B59" t="s">
        <v>3129</v>
      </c>
      <c r="C59">
        <v>0</v>
      </c>
      <c r="D59">
        <v>0</v>
      </c>
    </row>
    <row r="60" spans="1:10" x14ac:dyDescent="0.25">
      <c r="A60" t="s">
        <v>3130</v>
      </c>
      <c r="B60" t="s">
        <v>3131</v>
      </c>
      <c r="C60">
        <v>0</v>
      </c>
      <c r="D60">
        <v>0</v>
      </c>
      <c r="E60">
        <v>0</v>
      </c>
      <c r="F60">
        <v>0</v>
      </c>
      <c r="G60">
        <v>0</v>
      </c>
      <c r="H60">
        <v>0</v>
      </c>
      <c r="I60">
        <v>0</v>
      </c>
      <c r="J60">
        <v>0</v>
      </c>
    </row>
    <row r="61" spans="1:10" x14ac:dyDescent="0.25">
      <c r="A61" t="s">
        <v>3132</v>
      </c>
      <c r="B61" t="s">
        <v>3133</v>
      </c>
      <c r="C61">
        <v>22662490</v>
      </c>
      <c r="D61">
        <v>24881671</v>
      </c>
      <c r="E61">
        <v>15918923</v>
      </c>
      <c r="F61">
        <v>14267208</v>
      </c>
      <c r="G61">
        <v>16876771</v>
      </c>
      <c r="H61">
        <v>14200777</v>
      </c>
      <c r="I61">
        <v>32863078</v>
      </c>
      <c r="J61">
        <v>18795461</v>
      </c>
    </row>
    <row r="62" spans="1:10" x14ac:dyDescent="0.25">
      <c r="A62" t="s">
        <v>3134</v>
      </c>
      <c r="B62" t="s">
        <v>3134</v>
      </c>
    </row>
    <row r="63" spans="1:10" x14ac:dyDescent="0.25">
      <c r="A63" t="s">
        <v>3135</v>
      </c>
      <c r="B63" t="s">
        <v>3136</v>
      </c>
      <c r="C63">
        <v>0</v>
      </c>
      <c r="D63">
        <v>0</v>
      </c>
      <c r="E63">
        <v>0</v>
      </c>
      <c r="F63">
        <v>0</v>
      </c>
      <c r="G63">
        <v>0</v>
      </c>
      <c r="H63">
        <v>0</v>
      </c>
      <c r="I63">
        <v>0</v>
      </c>
      <c r="J63">
        <v>0</v>
      </c>
    </row>
    <row r="64" spans="1:10" x14ac:dyDescent="0.25">
      <c r="A64" t="s">
        <v>3137</v>
      </c>
      <c r="B64" t="s">
        <v>3138</v>
      </c>
      <c r="C64">
        <v>0</v>
      </c>
      <c r="D64">
        <v>0</v>
      </c>
      <c r="E64">
        <v>0</v>
      </c>
      <c r="F64">
        <v>0</v>
      </c>
      <c r="G64">
        <v>0</v>
      </c>
      <c r="H64">
        <v>0</v>
      </c>
      <c r="I64">
        <v>0</v>
      </c>
      <c r="J64">
        <v>0</v>
      </c>
    </row>
    <row r="65" spans="1:10" x14ac:dyDescent="0.25">
      <c r="A65" t="s">
        <v>3139</v>
      </c>
      <c r="B65" t="s">
        <v>3140</v>
      </c>
      <c r="C65">
        <v>0</v>
      </c>
      <c r="D65">
        <v>0</v>
      </c>
      <c r="E65">
        <v>0</v>
      </c>
      <c r="F65">
        <v>0</v>
      </c>
    </row>
    <row r="66" spans="1:10" x14ac:dyDescent="0.25">
      <c r="A66" t="s">
        <v>3141</v>
      </c>
      <c r="B66" t="s">
        <v>3142</v>
      </c>
    </row>
    <row r="67" spans="1:10" x14ac:dyDescent="0.25">
      <c r="A67" t="s">
        <v>3143</v>
      </c>
      <c r="B67" t="s">
        <v>3144</v>
      </c>
      <c r="C67">
        <v>0</v>
      </c>
      <c r="D67">
        <v>0</v>
      </c>
      <c r="E67">
        <v>0</v>
      </c>
      <c r="F67">
        <v>0</v>
      </c>
    </row>
    <row r="68" spans="1:10" x14ac:dyDescent="0.25">
      <c r="A68" t="s">
        <v>3145</v>
      </c>
      <c r="B68" t="s">
        <v>3146</v>
      </c>
      <c r="C68">
        <v>0</v>
      </c>
      <c r="D68">
        <v>0</v>
      </c>
      <c r="E68">
        <v>0</v>
      </c>
      <c r="F68">
        <v>0</v>
      </c>
      <c r="G68">
        <v>0</v>
      </c>
      <c r="H68">
        <v>0</v>
      </c>
      <c r="I68">
        <v>0</v>
      </c>
      <c r="J68">
        <v>0</v>
      </c>
    </row>
    <row r="69" spans="1:10" x14ac:dyDescent="0.25">
      <c r="A69" t="s">
        <v>3147</v>
      </c>
      <c r="B69" t="s">
        <v>3148</v>
      </c>
      <c r="C69">
        <v>0</v>
      </c>
      <c r="D69">
        <v>0</v>
      </c>
      <c r="E69">
        <v>0</v>
      </c>
      <c r="F69">
        <v>0</v>
      </c>
      <c r="G69">
        <v>0</v>
      </c>
      <c r="H69">
        <v>0</v>
      </c>
      <c r="I69">
        <v>0</v>
      </c>
      <c r="J69">
        <v>0</v>
      </c>
    </row>
    <row r="70" spans="1:10" x14ac:dyDescent="0.25">
      <c r="A70" t="s">
        <v>3149</v>
      </c>
      <c r="B70" t="s">
        <v>3150</v>
      </c>
      <c r="C70">
        <v>0</v>
      </c>
      <c r="D70">
        <v>0</v>
      </c>
      <c r="E70">
        <v>0</v>
      </c>
      <c r="F70">
        <v>0</v>
      </c>
      <c r="G70">
        <v>0</v>
      </c>
      <c r="H70">
        <v>0</v>
      </c>
      <c r="I70">
        <v>0</v>
      </c>
      <c r="J70">
        <v>0</v>
      </c>
    </row>
    <row r="71" spans="1:10" x14ac:dyDescent="0.25">
      <c r="A71" t="s">
        <v>3151</v>
      </c>
      <c r="B71" t="s">
        <v>3152</v>
      </c>
      <c r="C71">
        <v>0</v>
      </c>
      <c r="D71">
        <v>0</v>
      </c>
      <c r="E71">
        <v>0</v>
      </c>
      <c r="F71">
        <v>0</v>
      </c>
      <c r="G71">
        <v>0</v>
      </c>
      <c r="H71">
        <v>0</v>
      </c>
      <c r="I71">
        <v>0</v>
      </c>
      <c r="J71">
        <v>0</v>
      </c>
    </row>
    <row r="72" spans="1:10" x14ac:dyDescent="0.25">
      <c r="A72" t="s">
        <v>3153</v>
      </c>
      <c r="B72" t="s">
        <v>2778</v>
      </c>
      <c r="C72">
        <v>0</v>
      </c>
      <c r="D72">
        <v>0</v>
      </c>
      <c r="E72">
        <v>0</v>
      </c>
      <c r="F72">
        <v>0</v>
      </c>
      <c r="G72">
        <v>0</v>
      </c>
      <c r="H72">
        <v>0</v>
      </c>
      <c r="I72">
        <v>0</v>
      </c>
      <c r="J72">
        <v>0</v>
      </c>
    </row>
    <row r="73" spans="1:10" x14ac:dyDescent="0.25">
      <c r="A73" t="s">
        <v>3154</v>
      </c>
      <c r="B73" t="s">
        <v>3155</v>
      </c>
      <c r="C73">
        <v>0</v>
      </c>
      <c r="D73">
        <v>0</v>
      </c>
      <c r="E73">
        <v>0</v>
      </c>
      <c r="F73">
        <v>0</v>
      </c>
      <c r="G73">
        <v>0</v>
      </c>
      <c r="H73">
        <v>0</v>
      </c>
      <c r="I73">
        <v>0</v>
      </c>
      <c r="J73">
        <v>0</v>
      </c>
    </row>
    <row r="74" spans="1:10" x14ac:dyDescent="0.25">
      <c r="A74" t="s">
        <v>3156</v>
      </c>
      <c r="B74" t="s">
        <v>3157</v>
      </c>
      <c r="C74">
        <v>22662490</v>
      </c>
      <c r="D74">
        <v>24881671</v>
      </c>
      <c r="E74">
        <v>15918923</v>
      </c>
      <c r="F74">
        <v>14267208</v>
      </c>
      <c r="G74">
        <v>16876771</v>
      </c>
      <c r="H74">
        <v>14200777</v>
      </c>
      <c r="I74">
        <v>32863078</v>
      </c>
      <c r="J74">
        <v>18795461</v>
      </c>
    </row>
    <row r="75" spans="1:10" x14ac:dyDescent="0.25">
      <c r="A75" t="s">
        <v>3158</v>
      </c>
      <c r="B75" t="s">
        <v>3159</v>
      </c>
      <c r="C75">
        <v>78201160</v>
      </c>
      <c r="D75">
        <v>80226694</v>
      </c>
      <c r="E75">
        <v>78234152</v>
      </c>
      <c r="F75">
        <v>75036812</v>
      </c>
      <c r="G75">
        <v>76222356</v>
      </c>
      <c r="H75">
        <v>74512912</v>
      </c>
      <c r="I75">
        <v>96056958</v>
      </c>
      <c r="J75">
        <v>101370755</v>
      </c>
    </row>
    <row r="76" spans="1:10" x14ac:dyDescent="0.25">
      <c r="A76" t="s">
        <v>3160</v>
      </c>
      <c r="B76" t="s">
        <v>3161</v>
      </c>
    </row>
    <row r="77" spans="1:10" x14ac:dyDescent="0.25">
      <c r="A77" t="s">
        <v>3162</v>
      </c>
      <c r="B77" t="s">
        <v>3163</v>
      </c>
      <c r="C77">
        <v>548339488</v>
      </c>
      <c r="D77">
        <v>526114963</v>
      </c>
      <c r="E77">
        <v>518631101</v>
      </c>
      <c r="F77">
        <v>524301086</v>
      </c>
      <c r="G77">
        <v>633235213</v>
      </c>
      <c r="H77">
        <v>624879043</v>
      </c>
      <c r="I77">
        <v>684497906</v>
      </c>
      <c r="J77">
        <v>756291057</v>
      </c>
    </row>
    <row r="78" spans="1:10" x14ac:dyDescent="0.25">
      <c r="A78" t="s">
        <v>3164</v>
      </c>
      <c r="B78" t="s">
        <v>3165</v>
      </c>
      <c r="C78">
        <v>548339488</v>
      </c>
      <c r="D78">
        <v>526114963</v>
      </c>
      <c r="E78">
        <v>518631101</v>
      </c>
      <c r="F78">
        <v>524301086</v>
      </c>
      <c r="G78">
        <v>633235213</v>
      </c>
      <c r="H78">
        <v>624879043</v>
      </c>
      <c r="I78">
        <v>684497906</v>
      </c>
      <c r="J78">
        <v>756291057</v>
      </c>
    </row>
    <row r="79" spans="1:10" x14ac:dyDescent="0.25">
      <c r="A79" t="s">
        <v>3166</v>
      </c>
      <c r="B79" t="s">
        <v>3167</v>
      </c>
      <c r="C79">
        <v>548309316</v>
      </c>
      <c r="D79">
        <v>526129031</v>
      </c>
      <c r="E79">
        <v>517567321</v>
      </c>
      <c r="F79">
        <v>524308466</v>
      </c>
      <c r="G79">
        <v>633242593</v>
      </c>
      <c r="H79">
        <v>626380967</v>
      </c>
      <c r="I79">
        <v>686526139</v>
      </c>
      <c r="J79">
        <v>758768180</v>
      </c>
    </row>
    <row r="80" spans="1:10" x14ac:dyDescent="0.25">
      <c r="A80" t="s">
        <v>3168</v>
      </c>
      <c r="B80" t="s">
        <v>3168</v>
      </c>
    </row>
    <row r="81" spans="1:10" x14ac:dyDescent="0.25">
      <c r="A81" t="s">
        <v>3169</v>
      </c>
      <c r="B81" t="s">
        <v>3170</v>
      </c>
      <c r="C81">
        <v>10</v>
      </c>
      <c r="D81">
        <v>11</v>
      </c>
      <c r="E81">
        <v>12</v>
      </c>
      <c r="F81">
        <v>12</v>
      </c>
      <c r="G81">
        <v>9</v>
      </c>
      <c r="H81">
        <v>10</v>
      </c>
      <c r="I81">
        <v>9</v>
      </c>
      <c r="J81">
        <v>11</v>
      </c>
    </row>
    <row r="82" spans="1:10" x14ac:dyDescent="0.25">
      <c r="A82" t="s">
        <v>3171</v>
      </c>
      <c r="B82" t="s">
        <v>3172</v>
      </c>
      <c r="C82">
        <v>10</v>
      </c>
      <c r="D82">
        <v>11</v>
      </c>
      <c r="E82">
        <v>12</v>
      </c>
      <c r="F82">
        <v>12</v>
      </c>
      <c r="G82">
        <v>9</v>
      </c>
      <c r="H82">
        <v>10</v>
      </c>
      <c r="I82">
        <v>9</v>
      </c>
      <c r="J82">
        <v>11</v>
      </c>
    </row>
    <row r="83" spans="1:10" x14ac:dyDescent="0.25">
      <c r="A83" t="s">
        <v>3173</v>
      </c>
      <c r="B83" t="s">
        <v>3174</v>
      </c>
      <c r="C83">
        <v>14</v>
      </c>
      <c r="D83">
        <v>15</v>
      </c>
      <c r="E83">
        <v>15</v>
      </c>
      <c r="F83">
        <v>14</v>
      </c>
      <c r="G83">
        <v>12</v>
      </c>
      <c r="H83">
        <v>12</v>
      </c>
      <c r="I83">
        <v>14</v>
      </c>
      <c r="J83">
        <v>13</v>
      </c>
    </row>
    <row r="84" spans="1:10" x14ac:dyDescent="0.25">
      <c r="A84" t="s">
        <v>3175</v>
      </c>
      <c r="B84" t="s">
        <v>3176</v>
      </c>
      <c r="C84">
        <v>1</v>
      </c>
      <c r="D84">
        <v>2</v>
      </c>
    </row>
    <row r="85" spans="1:10" x14ac:dyDescent="0.25">
      <c r="A85" t="s">
        <v>3177</v>
      </c>
      <c r="B85" t="s">
        <v>3178</v>
      </c>
      <c r="C85">
        <v>1</v>
      </c>
      <c r="D85">
        <v>2</v>
      </c>
    </row>
    <row r="86" spans="1:10" x14ac:dyDescent="0.25">
      <c r="A86" t="s">
        <v>3179</v>
      </c>
      <c r="B86" t="s">
        <v>3180</v>
      </c>
      <c r="C86">
        <v>0</v>
      </c>
      <c r="D86">
        <v>0</v>
      </c>
    </row>
    <row r="87" spans="1:10" x14ac:dyDescent="0.25">
      <c r="A87" t="s">
        <v>3181</v>
      </c>
      <c r="B87" t="s">
        <v>3182</v>
      </c>
    </row>
    <row r="88" spans="1:10" x14ac:dyDescent="0.25">
      <c r="A88" t="s">
        <v>3183</v>
      </c>
      <c r="B88" t="s">
        <v>3184</v>
      </c>
      <c r="C88">
        <v>4</v>
      </c>
      <c r="D88">
        <v>5</v>
      </c>
    </row>
    <row r="89" spans="1:10" x14ac:dyDescent="0.25">
      <c r="A89" t="s">
        <v>3185</v>
      </c>
      <c r="B89" t="s">
        <v>3185</v>
      </c>
    </row>
    <row r="90" spans="1:10" x14ac:dyDescent="0.25">
      <c r="A90" t="s">
        <v>3186</v>
      </c>
      <c r="B90" t="s">
        <v>3187</v>
      </c>
      <c r="C90">
        <v>5</v>
      </c>
      <c r="D90">
        <v>5</v>
      </c>
      <c r="E90">
        <v>5</v>
      </c>
      <c r="F90">
        <v>5</v>
      </c>
      <c r="G90">
        <v>5</v>
      </c>
      <c r="H90">
        <v>5</v>
      </c>
      <c r="I90">
        <v>5</v>
      </c>
      <c r="J90">
        <v>5</v>
      </c>
    </row>
    <row r="91" spans="1:10" x14ac:dyDescent="0.25">
      <c r="A91" t="s">
        <v>3188</v>
      </c>
      <c r="B91" t="s">
        <v>3189</v>
      </c>
      <c r="C91">
        <v>6</v>
      </c>
      <c r="D91">
        <v>6</v>
      </c>
      <c r="E91">
        <v>6</v>
      </c>
      <c r="F91">
        <v>6</v>
      </c>
      <c r="G91">
        <v>6</v>
      </c>
      <c r="H91">
        <v>6</v>
      </c>
      <c r="I91">
        <v>6</v>
      </c>
      <c r="J91">
        <v>6</v>
      </c>
    </row>
    <row r="92" spans="1:10" x14ac:dyDescent="0.25">
      <c r="A92" t="s">
        <v>3190</v>
      </c>
      <c r="B92" t="s">
        <v>3191</v>
      </c>
      <c r="C92">
        <v>8</v>
      </c>
      <c r="D92">
        <v>8</v>
      </c>
      <c r="E92">
        <v>8</v>
      </c>
      <c r="F92">
        <v>8</v>
      </c>
      <c r="G92">
        <v>8</v>
      </c>
      <c r="H92">
        <v>8</v>
      </c>
      <c r="I92">
        <v>8</v>
      </c>
      <c r="J92">
        <v>8</v>
      </c>
    </row>
    <row r="93" spans="1:10" x14ac:dyDescent="0.25">
      <c r="A93" t="s">
        <v>3192</v>
      </c>
      <c r="B93" t="s">
        <v>3192</v>
      </c>
    </row>
    <row r="94" spans="1:10" x14ac:dyDescent="0.25">
      <c r="A94" t="s">
        <v>3193</v>
      </c>
      <c r="B94" t="s">
        <v>3194</v>
      </c>
      <c r="C94">
        <v>1611224</v>
      </c>
      <c r="D94">
        <v>1764830</v>
      </c>
      <c r="E94">
        <v>1349325</v>
      </c>
      <c r="F94">
        <v>2806507</v>
      </c>
    </row>
    <row r="95" spans="1:10" x14ac:dyDescent="0.25">
      <c r="A95" t="s">
        <v>3195</v>
      </c>
      <c r="B95" t="s">
        <v>3088</v>
      </c>
      <c r="C95">
        <v>150000</v>
      </c>
      <c r="D95">
        <v>150000</v>
      </c>
      <c r="E95">
        <v>1384722</v>
      </c>
      <c r="F95">
        <v>1994393</v>
      </c>
    </row>
    <row r="96" spans="1:10" x14ac:dyDescent="0.25">
      <c r="A96" t="s">
        <v>3196</v>
      </c>
      <c r="B96" t="s">
        <v>3089</v>
      </c>
      <c r="C96">
        <v>0</v>
      </c>
      <c r="D96">
        <v>0</v>
      </c>
    </row>
    <row r="97" spans="1:10" x14ac:dyDescent="0.25">
      <c r="A97" t="s">
        <v>3197</v>
      </c>
      <c r="B97" t="s">
        <v>3090</v>
      </c>
      <c r="C97">
        <v>101488</v>
      </c>
      <c r="D97">
        <v>0</v>
      </c>
      <c r="E97">
        <v>0</v>
      </c>
      <c r="F97">
        <v>0</v>
      </c>
      <c r="G97">
        <v>0</v>
      </c>
      <c r="H97">
        <v>0</v>
      </c>
      <c r="I97">
        <v>-1579395</v>
      </c>
      <c r="J97">
        <v>0</v>
      </c>
    </row>
    <row r="98" spans="1:10" x14ac:dyDescent="0.25">
      <c r="A98" t="s">
        <v>3198</v>
      </c>
      <c r="B98" t="s">
        <v>3198</v>
      </c>
    </row>
    <row r="99" spans="1:10" x14ac:dyDescent="0.25">
      <c r="A99" t="s">
        <v>3199</v>
      </c>
      <c r="B99" t="s">
        <v>3200</v>
      </c>
      <c r="C99">
        <v>0</v>
      </c>
      <c r="D99">
        <v>0</v>
      </c>
    </row>
    <row r="100" spans="1:10" x14ac:dyDescent="0.25">
      <c r="A100" t="s">
        <v>3201</v>
      </c>
      <c r="B100" t="s">
        <v>3202</v>
      </c>
      <c r="C100">
        <v>0</v>
      </c>
      <c r="D100">
        <v>0</v>
      </c>
    </row>
    <row r="101" spans="1:10" x14ac:dyDescent="0.25">
      <c r="A101" t="s">
        <v>3203</v>
      </c>
      <c r="B101" t="s">
        <v>3204</v>
      </c>
      <c r="C101">
        <v>0</v>
      </c>
      <c r="D101">
        <v>0</v>
      </c>
    </row>
    <row r="102" spans="1:10" x14ac:dyDescent="0.25">
      <c r="A102" t="s">
        <v>3205</v>
      </c>
      <c r="B102" t="s">
        <v>3206</v>
      </c>
      <c r="C102">
        <v>0</v>
      </c>
      <c r="D102">
        <v>0</v>
      </c>
    </row>
    <row r="103" spans="1:10" x14ac:dyDescent="0.25">
      <c r="A103" t="s">
        <v>3207</v>
      </c>
      <c r="B103" t="s">
        <v>3207</v>
      </c>
    </row>
    <row r="104" spans="1:10" x14ac:dyDescent="0.25">
      <c r="A104" t="s">
        <v>3208</v>
      </c>
      <c r="B104" t="s">
        <v>3209</v>
      </c>
    </row>
    <row r="105" spans="1:10" x14ac:dyDescent="0.25">
      <c r="A105" t="s">
        <v>3210</v>
      </c>
      <c r="B105" t="s">
        <v>3211</v>
      </c>
    </row>
    <row r="106" spans="1:10" x14ac:dyDescent="0.25">
      <c r="A106" t="s">
        <v>3212</v>
      </c>
      <c r="B106" t="s">
        <v>3213</v>
      </c>
    </row>
    <row r="107" spans="1:10" x14ac:dyDescent="0.25">
      <c r="A107" t="s">
        <v>3214</v>
      </c>
      <c r="B107" t="s">
        <v>3215</v>
      </c>
    </row>
    <row r="108" spans="1:10" x14ac:dyDescent="0.25">
      <c r="A108" t="s">
        <v>3216</v>
      </c>
      <c r="B108" t="s">
        <v>3217</v>
      </c>
    </row>
    <row r="109" spans="1:10" x14ac:dyDescent="0.25">
      <c r="A109" t="s">
        <v>3218</v>
      </c>
      <c r="B109" t="s">
        <v>3219</v>
      </c>
    </row>
  </sheetData>
  <phoneticPr fontId="134"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7F382-8095-4C7C-893A-139F7E8B80EB}">
  <dimension ref="A1:D119"/>
  <sheetViews>
    <sheetView topLeftCell="A79" workbookViewId="0">
      <selection activeCell="H84" sqref="H84"/>
    </sheetView>
  </sheetViews>
  <sheetFormatPr defaultRowHeight="15" x14ac:dyDescent="0.25"/>
  <cols>
    <col min="1" max="1" width="15.85546875" customWidth="1"/>
    <col min="2" max="2" width="81.140625" bestFit="1" customWidth="1"/>
    <col min="3" max="4" width="10" bestFit="1" customWidth="1"/>
  </cols>
  <sheetData>
    <row r="1" spans="1:4" x14ac:dyDescent="0.25">
      <c r="A1" t="s">
        <v>1486</v>
      </c>
      <c r="B1" t="s">
        <v>3066</v>
      </c>
      <c r="C1" t="s">
        <v>2613</v>
      </c>
      <c r="D1" t="s">
        <v>2612</v>
      </c>
    </row>
    <row r="2" spans="1:4" x14ac:dyDescent="0.25">
      <c r="A2" t="s">
        <v>3067</v>
      </c>
      <c r="B2" t="s">
        <v>3067</v>
      </c>
    </row>
    <row r="3" spans="1:4" x14ac:dyDescent="0.25">
      <c r="A3" t="s">
        <v>1571</v>
      </c>
      <c r="B3" t="s">
        <v>3233</v>
      </c>
      <c r="C3">
        <v>38011741</v>
      </c>
      <c r="D3">
        <v>38011741</v>
      </c>
    </row>
    <row r="4" spans="1:4" x14ac:dyDescent="0.25">
      <c r="A4" t="s">
        <v>4</v>
      </c>
      <c r="B4" t="s">
        <v>3069</v>
      </c>
      <c r="C4">
        <v>38011741</v>
      </c>
      <c r="D4">
        <v>38011741</v>
      </c>
    </row>
    <row r="5" spans="1:4" x14ac:dyDescent="0.25">
      <c r="A5" t="s">
        <v>5</v>
      </c>
      <c r="B5" t="s">
        <v>3070</v>
      </c>
      <c r="C5">
        <v>0</v>
      </c>
      <c r="D5">
        <v>0</v>
      </c>
    </row>
    <row r="6" spans="1:4" x14ac:dyDescent="0.25">
      <c r="A6" t="s">
        <v>1572</v>
      </c>
      <c r="B6" t="s">
        <v>3071</v>
      </c>
      <c r="C6">
        <v>-3558085</v>
      </c>
      <c r="D6">
        <v>4715067</v>
      </c>
    </row>
    <row r="7" spans="1:4" x14ac:dyDescent="0.25">
      <c r="A7" t="s">
        <v>6</v>
      </c>
      <c r="B7" t="s">
        <v>263</v>
      </c>
      <c r="C7">
        <v>5976703</v>
      </c>
      <c r="D7">
        <v>805695</v>
      </c>
    </row>
    <row r="8" spans="1:4" x14ac:dyDescent="0.25">
      <c r="A8" t="s">
        <v>7</v>
      </c>
      <c r="B8" t="s">
        <v>264</v>
      </c>
      <c r="C8">
        <v>-9534788</v>
      </c>
      <c r="D8">
        <v>3909372</v>
      </c>
    </row>
    <row r="9" spans="1:4" x14ac:dyDescent="0.25">
      <c r="A9" t="s">
        <v>1539</v>
      </c>
      <c r="B9" t="s">
        <v>33</v>
      </c>
      <c r="C9">
        <v>2401789</v>
      </c>
      <c r="D9">
        <v>0</v>
      </c>
    </row>
    <row r="10" spans="1:4" x14ac:dyDescent="0.25">
      <c r="A10" t="s">
        <v>1540</v>
      </c>
      <c r="B10" t="s">
        <v>3072</v>
      </c>
    </row>
    <row r="11" spans="1:4" x14ac:dyDescent="0.25">
      <c r="A11" t="s">
        <v>1541</v>
      </c>
      <c r="B11" t="s">
        <v>3073</v>
      </c>
    </row>
    <row r="12" spans="1:4" x14ac:dyDescent="0.25">
      <c r="A12" t="s">
        <v>1542</v>
      </c>
      <c r="B12" t="s">
        <v>3234</v>
      </c>
      <c r="C12">
        <v>36855445</v>
      </c>
      <c r="D12">
        <v>42726808</v>
      </c>
    </row>
    <row r="13" spans="1:4" x14ac:dyDescent="0.25">
      <c r="A13" t="s">
        <v>3075</v>
      </c>
      <c r="B13" t="s">
        <v>3075</v>
      </c>
    </row>
    <row r="14" spans="1:4" x14ac:dyDescent="0.25">
      <c r="A14" t="s">
        <v>1543</v>
      </c>
      <c r="B14" t="s">
        <v>3235</v>
      </c>
    </row>
    <row r="15" spans="1:4" x14ac:dyDescent="0.25">
      <c r="A15" t="s">
        <v>1226</v>
      </c>
      <c r="B15" t="s">
        <v>3236</v>
      </c>
      <c r="C15">
        <v>0</v>
      </c>
      <c r="D15">
        <v>0</v>
      </c>
    </row>
    <row r="16" spans="1:4" x14ac:dyDescent="0.25">
      <c r="A16" t="s">
        <v>1544</v>
      </c>
      <c r="B16" t="s">
        <v>3078</v>
      </c>
      <c r="C16">
        <v>10518</v>
      </c>
      <c r="D16">
        <v>156300</v>
      </c>
    </row>
    <row r="17" spans="1:4" x14ac:dyDescent="0.25">
      <c r="A17" t="s">
        <v>1545</v>
      </c>
      <c r="B17" t="s">
        <v>3079</v>
      </c>
      <c r="C17">
        <v>175672</v>
      </c>
      <c r="D17">
        <v>0</v>
      </c>
    </row>
    <row r="18" spans="1:4" x14ac:dyDescent="0.25">
      <c r="A18" t="s">
        <v>1546</v>
      </c>
      <c r="B18" t="s">
        <v>3080</v>
      </c>
    </row>
    <row r="19" spans="1:4" x14ac:dyDescent="0.25">
      <c r="A19" t="s">
        <v>1547</v>
      </c>
      <c r="B19" t="s">
        <v>3081</v>
      </c>
      <c r="C19">
        <v>0</v>
      </c>
      <c r="D19">
        <v>0</v>
      </c>
    </row>
    <row r="20" spans="1:4" x14ac:dyDescent="0.25">
      <c r="A20" t="s">
        <v>1548</v>
      </c>
      <c r="B20" t="s">
        <v>3082</v>
      </c>
    </row>
    <row r="21" spans="1:4" x14ac:dyDescent="0.25">
      <c r="A21" t="s">
        <v>1549</v>
      </c>
      <c r="B21" t="s">
        <v>3083</v>
      </c>
    </row>
    <row r="22" spans="1:4" x14ac:dyDescent="0.25">
      <c r="A22" t="s">
        <v>1490</v>
      </c>
      <c r="B22" t="s">
        <v>3084</v>
      </c>
    </row>
    <row r="23" spans="1:4" x14ac:dyDescent="0.25">
      <c r="A23" t="s">
        <v>1491</v>
      </c>
      <c r="B23" t="s">
        <v>3085</v>
      </c>
      <c r="C23">
        <v>0</v>
      </c>
      <c r="D23">
        <v>0</v>
      </c>
    </row>
    <row r="24" spans="1:4" x14ac:dyDescent="0.25">
      <c r="A24" t="s">
        <v>1492</v>
      </c>
      <c r="B24" t="s">
        <v>3237</v>
      </c>
    </row>
    <row r="25" spans="1:4" x14ac:dyDescent="0.25">
      <c r="A25" t="s">
        <v>1493</v>
      </c>
      <c r="B25" t="s">
        <v>3087</v>
      </c>
      <c r="C25">
        <v>0</v>
      </c>
      <c r="D25">
        <v>0</v>
      </c>
    </row>
    <row r="26" spans="1:4" x14ac:dyDescent="0.25">
      <c r="A26" t="s">
        <v>1494</v>
      </c>
      <c r="B26" t="s">
        <v>3088</v>
      </c>
      <c r="C26">
        <v>0</v>
      </c>
      <c r="D26">
        <v>0</v>
      </c>
    </row>
    <row r="27" spans="1:4" x14ac:dyDescent="0.25">
      <c r="A27" t="s">
        <v>1495</v>
      </c>
      <c r="B27" t="s">
        <v>3089</v>
      </c>
    </row>
    <row r="28" spans="1:4" x14ac:dyDescent="0.25">
      <c r="A28" t="s">
        <v>1496</v>
      </c>
      <c r="B28" t="s">
        <v>3090</v>
      </c>
      <c r="C28">
        <v>0</v>
      </c>
      <c r="D28">
        <v>0</v>
      </c>
    </row>
    <row r="29" spans="1:4" x14ac:dyDescent="0.25">
      <c r="A29" t="s">
        <v>1497</v>
      </c>
      <c r="B29" t="s">
        <v>3091</v>
      </c>
      <c r="C29">
        <v>0</v>
      </c>
      <c r="D29">
        <v>0</v>
      </c>
    </row>
    <row r="30" spans="1:4" x14ac:dyDescent="0.25">
      <c r="A30" t="s">
        <v>1498</v>
      </c>
      <c r="B30" t="s">
        <v>3092</v>
      </c>
      <c r="C30">
        <v>0</v>
      </c>
      <c r="D30">
        <v>0</v>
      </c>
    </row>
    <row r="31" spans="1:4" x14ac:dyDescent="0.25">
      <c r="A31" t="s">
        <v>1499</v>
      </c>
      <c r="B31" t="s">
        <v>3093</v>
      </c>
    </row>
    <row r="32" spans="1:4" x14ac:dyDescent="0.25">
      <c r="A32" t="s">
        <v>1487</v>
      </c>
      <c r="B32" t="s">
        <v>3094</v>
      </c>
      <c r="C32">
        <v>0</v>
      </c>
      <c r="D32">
        <v>0</v>
      </c>
    </row>
    <row r="33" spans="1:4" x14ac:dyDescent="0.25">
      <c r="A33" t="s">
        <v>1488</v>
      </c>
      <c r="B33" t="s">
        <v>3238</v>
      </c>
      <c r="C33">
        <v>190094</v>
      </c>
      <c r="D33">
        <v>285141</v>
      </c>
    </row>
    <row r="34" spans="1:4" x14ac:dyDescent="0.25">
      <c r="A34" t="s">
        <v>3239</v>
      </c>
      <c r="B34" t="s">
        <v>3240</v>
      </c>
      <c r="C34">
        <v>0</v>
      </c>
      <c r="D34">
        <v>0</v>
      </c>
    </row>
    <row r="35" spans="1:4" x14ac:dyDescent="0.25">
      <c r="A35" t="s">
        <v>1526</v>
      </c>
      <c r="B35" t="s">
        <v>223</v>
      </c>
      <c r="C35">
        <v>895002</v>
      </c>
      <c r="D35">
        <v>655430</v>
      </c>
    </row>
    <row r="36" spans="1:4" x14ac:dyDescent="0.25">
      <c r="A36" t="s">
        <v>1527</v>
      </c>
      <c r="B36" t="s">
        <v>3241</v>
      </c>
      <c r="C36">
        <v>1271286</v>
      </c>
      <c r="D36">
        <v>1096871</v>
      </c>
    </row>
    <row r="37" spans="1:4" x14ac:dyDescent="0.25">
      <c r="A37" t="s">
        <v>1528</v>
      </c>
      <c r="B37" t="s">
        <v>3242</v>
      </c>
      <c r="C37">
        <v>35584159</v>
      </c>
      <c r="D37">
        <v>41629937</v>
      </c>
    </row>
    <row r="38" spans="1:4" x14ac:dyDescent="0.25">
      <c r="A38" t="s">
        <v>3098</v>
      </c>
      <c r="B38" t="s">
        <v>3098</v>
      </c>
    </row>
    <row r="39" spans="1:4" x14ac:dyDescent="0.25">
      <c r="A39" t="s">
        <v>1531</v>
      </c>
      <c r="B39" t="s">
        <v>3099</v>
      </c>
      <c r="C39">
        <v>0</v>
      </c>
      <c r="D39">
        <v>0</v>
      </c>
    </row>
    <row r="40" spans="1:4" x14ac:dyDescent="0.25">
      <c r="A40" t="s">
        <v>1532</v>
      </c>
      <c r="B40" t="s">
        <v>3100</v>
      </c>
      <c r="C40">
        <v>0</v>
      </c>
      <c r="D40">
        <v>0</v>
      </c>
    </row>
    <row r="41" spans="1:4" x14ac:dyDescent="0.25">
      <c r="A41" t="s">
        <v>1533</v>
      </c>
      <c r="B41" t="s">
        <v>3101</v>
      </c>
      <c r="C41">
        <v>0</v>
      </c>
      <c r="D41">
        <v>0</v>
      </c>
    </row>
    <row r="42" spans="1:4" x14ac:dyDescent="0.25">
      <c r="A42" t="s">
        <v>1534</v>
      </c>
      <c r="B42" t="s">
        <v>3102</v>
      </c>
      <c r="C42">
        <v>0</v>
      </c>
      <c r="D42">
        <v>0</v>
      </c>
    </row>
    <row r="43" spans="1:4" x14ac:dyDescent="0.25">
      <c r="A43" t="s">
        <v>1535</v>
      </c>
      <c r="B43" t="s">
        <v>3103</v>
      </c>
    </row>
    <row r="44" spans="1:4" x14ac:dyDescent="0.25">
      <c r="A44" t="s">
        <v>1536</v>
      </c>
      <c r="B44" t="s">
        <v>3104</v>
      </c>
    </row>
    <row r="45" spans="1:4" x14ac:dyDescent="0.25">
      <c r="A45" t="s">
        <v>1537</v>
      </c>
      <c r="B45" t="s">
        <v>3243</v>
      </c>
      <c r="C45">
        <v>0</v>
      </c>
      <c r="D45">
        <v>0</v>
      </c>
    </row>
    <row r="46" spans="1:4" x14ac:dyDescent="0.25">
      <c r="A46" t="s">
        <v>3106</v>
      </c>
      <c r="B46" t="s">
        <v>3106</v>
      </c>
    </row>
    <row r="47" spans="1:4" x14ac:dyDescent="0.25">
      <c r="A47" t="s">
        <v>2594</v>
      </c>
      <c r="B47" t="s">
        <v>3107</v>
      </c>
      <c r="C47">
        <v>0</v>
      </c>
      <c r="D47">
        <v>0</v>
      </c>
    </row>
    <row r="48" spans="1:4" x14ac:dyDescent="0.25">
      <c r="A48" t="s">
        <v>2595</v>
      </c>
      <c r="B48" t="s">
        <v>3244</v>
      </c>
    </row>
    <row r="49" spans="1:4" x14ac:dyDescent="0.25">
      <c r="A49" t="s">
        <v>2596</v>
      </c>
      <c r="B49" t="s">
        <v>3109</v>
      </c>
    </row>
    <row r="50" spans="1:4" x14ac:dyDescent="0.25">
      <c r="A50" t="s">
        <v>3110</v>
      </c>
      <c r="B50" t="s">
        <v>3111</v>
      </c>
      <c r="C50">
        <v>0</v>
      </c>
      <c r="D50">
        <v>0</v>
      </c>
    </row>
    <row r="51" spans="1:4" x14ac:dyDescent="0.25">
      <c r="A51" t="s">
        <v>3112</v>
      </c>
      <c r="B51" t="s">
        <v>3245</v>
      </c>
      <c r="C51">
        <v>895002</v>
      </c>
      <c r="D51">
        <v>655430</v>
      </c>
    </row>
    <row r="52" spans="1:4" x14ac:dyDescent="0.25">
      <c r="A52" t="s">
        <v>3246</v>
      </c>
      <c r="B52" t="s">
        <v>3247</v>
      </c>
      <c r="C52">
        <v>895002</v>
      </c>
      <c r="D52">
        <v>655430</v>
      </c>
    </row>
    <row r="53" spans="1:4" x14ac:dyDescent="0.25">
      <c r="A53" t="s">
        <v>3248</v>
      </c>
      <c r="B53" t="s">
        <v>2231</v>
      </c>
      <c r="C53">
        <v>15777</v>
      </c>
      <c r="D53">
        <v>104200</v>
      </c>
    </row>
    <row r="54" spans="1:4" x14ac:dyDescent="0.25">
      <c r="A54" t="s">
        <v>3249</v>
      </c>
      <c r="B54" t="s">
        <v>3250</v>
      </c>
      <c r="C54">
        <v>0</v>
      </c>
      <c r="D54">
        <v>0</v>
      </c>
    </row>
    <row r="55" spans="1:4" x14ac:dyDescent="0.25">
      <c r="A55" t="s">
        <v>3251</v>
      </c>
      <c r="B55" t="s">
        <v>3252</v>
      </c>
      <c r="C55">
        <v>594084</v>
      </c>
      <c r="D55">
        <v>361136</v>
      </c>
    </row>
    <row r="56" spans="1:4" x14ac:dyDescent="0.25">
      <c r="A56" t="s">
        <v>3253</v>
      </c>
      <c r="B56" t="s">
        <v>3254</v>
      </c>
      <c r="C56">
        <v>285141</v>
      </c>
      <c r="D56">
        <v>190094</v>
      </c>
    </row>
    <row r="57" spans="1:4" x14ac:dyDescent="0.25">
      <c r="A57" t="s">
        <v>3255</v>
      </c>
      <c r="B57" t="s">
        <v>3256</v>
      </c>
      <c r="C57">
        <v>0</v>
      </c>
      <c r="D57">
        <v>0</v>
      </c>
    </row>
    <row r="58" spans="1:4" x14ac:dyDescent="0.25">
      <c r="A58" t="s">
        <v>3114</v>
      </c>
      <c r="B58" t="s">
        <v>235</v>
      </c>
      <c r="C58">
        <v>0</v>
      </c>
      <c r="D58">
        <v>0</v>
      </c>
    </row>
    <row r="59" spans="1:4" x14ac:dyDescent="0.25">
      <c r="A59" t="s">
        <v>3115</v>
      </c>
      <c r="B59" t="s">
        <v>3257</v>
      </c>
      <c r="C59">
        <v>895002</v>
      </c>
      <c r="D59">
        <v>655430</v>
      </c>
    </row>
    <row r="60" spans="1:4" x14ac:dyDescent="0.25">
      <c r="A60" t="s">
        <v>3117</v>
      </c>
      <c r="B60" t="s">
        <v>3258</v>
      </c>
      <c r="C60">
        <v>0</v>
      </c>
      <c r="D60">
        <v>0</v>
      </c>
    </row>
    <row r="61" spans="1:4" x14ac:dyDescent="0.25">
      <c r="A61" t="s">
        <v>3119</v>
      </c>
      <c r="B61" t="s">
        <v>3259</v>
      </c>
      <c r="C61">
        <v>35584159</v>
      </c>
      <c r="D61">
        <v>41629937</v>
      </c>
    </row>
    <row r="62" spans="1:4" x14ac:dyDescent="0.25">
      <c r="A62" t="s">
        <v>3121</v>
      </c>
      <c r="B62" t="s">
        <v>3121</v>
      </c>
    </row>
    <row r="63" spans="1:4" x14ac:dyDescent="0.25">
      <c r="A63" t="s">
        <v>3122</v>
      </c>
      <c r="B63" t="s">
        <v>3123</v>
      </c>
      <c r="C63">
        <v>12115630</v>
      </c>
      <c r="D63">
        <v>18797897</v>
      </c>
    </row>
    <row r="64" spans="1:4" x14ac:dyDescent="0.25">
      <c r="A64" t="s">
        <v>3124</v>
      </c>
      <c r="B64" t="s">
        <v>3125</v>
      </c>
      <c r="C64">
        <v>11727539</v>
      </c>
      <c r="D64">
        <v>10052176</v>
      </c>
    </row>
    <row r="65" spans="1:4" x14ac:dyDescent="0.25">
      <c r="A65" t="s">
        <v>3126</v>
      </c>
      <c r="B65" t="s">
        <v>3127</v>
      </c>
    </row>
    <row r="66" spans="1:4" x14ac:dyDescent="0.25">
      <c r="A66" t="s">
        <v>3128</v>
      </c>
      <c r="B66" t="s">
        <v>3129</v>
      </c>
    </row>
    <row r="67" spans="1:4" x14ac:dyDescent="0.25">
      <c r="A67" t="s">
        <v>3130</v>
      </c>
      <c r="B67" t="s">
        <v>3131</v>
      </c>
    </row>
    <row r="68" spans="1:4" x14ac:dyDescent="0.25">
      <c r="A68" t="s">
        <v>3132</v>
      </c>
      <c r="B68" t="s">
        <v>3260</v>
      </c>
      <c r="C68">
        <v>23843169</v>
      </c>
      <c r="D68">
        <v>28850073</v>
      </c>
    </row>
    <row r="69" spans="1:4" x14ac:dyDescent="0.25">
      <c r="A69" t="s">
        <v>3134</v>
      </c>
      <c r="B69" t="s">
        <v>3134</v>
      </c>
    </row>
    <row r="70" spans="1:4" x14ac:dyDescent="0.25">
      <c r="A70" t="s">
        <v>3135</v>
      </c>
      <c r="B70" t="s">
        <v>3136</v>
      </c>
      <c r="C70">
        <v>0</v>
      </c>
      <c r="D70">
        <v>0</v>
      </c>
    </row>
    <row r="71" spans="1:4" x14ac:dyDescent="0.25">
      <c r="A71" t="s">
        <v>3137</v>
      </c>
      <c r="B71" t="s">
        <v>3261</v>
      </c>
    </row>
    <row r="72" spans="1:4" x14ac:dyDescent="0.25">
      <c r="A72" t="s">
        <v>3139</v>
      </c>
      <c r="B72" t="s">
        <v>3262</v>
      </c>
      <c r="C72">
        <v>0</v>
      </c>
      <c r="D72">
        <v>0</v>
      </c>
    </row>
    <row r="73" spans="1:4" x14ac:dyDescent="0.25">
      <c r="A73" t="s">
        <v>3143</v>
      </c>
      <c r="B73" t="s">
        <v>3263</v>
      </c>
      <c r="C73">
        <v>58638</v>
      </c>
      <c r="D73">
        <v>45000</v>
      </c>
    </row>
    <row r="74" spans="1:4" x14ac:dyDescent="0.25">
      <c r="A74" t="s">
        <v>3145</v>
      </c>
      <c r="B74" t="s">
        <v>3146</v>
      </c>
      <c r="C74">
        <v>87958</v>
      </c>
      <c r="D74">
        <v>74184</v>
      </c>
    </row>
    <row r="75" spans="1:4" x14ac:dyDescent="0.25">
      <c r="A75" t="s">
        <v>3147</v>
      </c>
      <c r="B75" t="s">
        <v>3247</v>
      </c>
      <c r="C75">
        <v>87958</v>
      </c>
      <c r="D75">
        <v>74184</v>
      </c>
    </row>
    <row r="76" spans="1:4" x14ac:dyDescent="0.25">
      <c r="A76" t="s">
        <v>3264</v>
      </c>
      <c r="B76" t="s">
        <v>3265</v>
      </c>
      <c r="C76">
        <v>0</v>
      </c>
      <c r="D76">
        <v>0</v>
      </c>
    </row>
    <row r="77" spans="1:4" x14ac:dyDescent="0.25">
      <c r="A77" t="s">
        <v>3266</v>
      </c>
      <c r="B77" t="s">
        <v>3148</v>
      </c>
      <c r="C77">
        <v>0</v>
      </c>
      <c r="D77">
        <v>0</v>
      </c>
    </row>
    <row r="78" spans="1:4" x14ac:dyDescent="0.25">
      <c r="A78" t="s">
        <v>3267</v>
      </c>
      <c r="B78" t="s">
        <v>3268</v>
      </c>
      <c r="C78">
        <v>87958</v>
      </c>
      <c r="D78">
        <v>74184</v>
      </c>
    </row>
    <row r="79" spans="1:4" x14ac:dyDescent="0.25">
      <c r="A79" t="s">
        <v>3269</v>
      </c>
      <c r="B79" t="s">
        <v>3150</v>
      </c>
      <c r="C79">
        <v>0</v>
      </c>
      <c r="D79">
        <v>0</v>
      </c>
    </row>
    <row r="80" spans="1:4" x14ac:dyDescent="0.25">
      <c r="A80" t="s">
        <v>3270</v>
      </c>
      <c r="B80" t="s">
        <v>3271</v>
      </c>
      <c r="C80">
        <v>0</v>
      </c>
      <c r="D80">
        <v>0</v>
      </c>
    </row>
    <row r="81" spans="1:4" x14ac:dyDescent="0.25">
      <c r="A81" t="s">
        <v>3272</v>
      </c>
      <c r="B81" t="s">
        <v>2778</v>
      </c>
      <c r="C81">
        <v>0</v>
      </c>
      <c r="D81">
        <v>0</v>
      </c>
    </row>
    <row r="82" spans="1:4" x14ac:dyDescent="0.25">
      <c r="A82" t="s">
        <v>3154</v>
      </c>
      <c r="B82" t="s">
        <v>3273</v>
      </c>
      <c r="C82">
        <v>146596</v>
      </c>
      <c r="D82">
        <v>119184</v>
      </c>
    </row>
    <row r="83" spans="1:4" x14ac:dyDescent="0.25">
      <c r="A83" t="s">
        <v>3156</v>
      </c>
      <c r="B83" t="s">
        <v>3274</v>
      </c>
      <c r="C83">
        <v>23696573</v>
      </c>
      <c r="D83">
        <v>28730889</v>
      </c>
    </row>
    <row r="84" spans="1:4" x14ac:dyDescent="0.25">
      <c r="A84" t="s">
        <v>3158</v>
      </c>
      <c r="B84" t="s">
        <v>3275</v>
      </c>
      <c r="C84">
        <v>59280732</v>
      </c>
      <c r="D84">
        <v>70360826</v>
      </c>
    </row>
    <row r="85" spans="1:4" x14ac:dyDescent="0.25">
      <c r="A85" t="s">
        <v>3160</v>
      </c>
      <c r="B85" t="s">
        <v>3161</v>
      </c>
    </row>
    <row r="86" spans="1:4" x14ac:dyDescent="0.25">
      <c r="A86" t="s">
        <v>3162</v>
      </c>
      <c r="B86" t="s">
        <v>3276</v>
      </c>
      <c r="C86">
        <v>263507</v>
      </c>
      <c r="D86">
        <v>0</v>
      </c>
    </row>
    <row r="87" spans="1:4" x14ac:dyDescent="0.25">
      <c r="A87" t="s">
        <v>3164</v>
      </c>
      <c r="B87" t="s">
        <v>3163</v>
      </c>
      <c r="C87">
        <v>499019424</v>
      </c>
      <c r="D87">
        <v>538019710</v>
      </c>
    </row>
    <row r="88" spans="1:4" x14ac:dyDescent="0.25">
      <c r="A88" t="s">
        <v>3166</v>
      </c>
      <c r="B88" t="s">
        <v>3165</v>
      </c>
      <c r="C88">
        <v>499019424</v>
      </c>
      <c r="D88">
        <v>538019710</v>
      </c>
    </row>
    <row r="89" spans="1:4" x14ac:dyDescent="0.25">
      <c r="A89" t="s">
        <v>3277</v>
      </c>
      <c r="B89" t="s">
        <v>3167</v>
      </c>
      <c r="C89">
        <v>498877303</v>
      </c>
      <c r="D89">
        <v>537904938</v>
      </c>
    </row>
    <row r="90" spans="1:4" x14ac:dyDescent="0.25">
      <c r="A90" t="s">
        <v>3168</v>
      </c>
      <c r="B90" t="s">
        <v>3168</v>
      </c>
    </row>
    <row r="91" spans="1:4" x14ac:dyDescent="0.25">
      <c r="A91" t="s">
        <v>3169</v>
      </c>
      <c r="B91" t="s">
        <v>3278</v>
      </c>
      <c r="C91">
        <v>7</v>
      </c>
      <c r="D91">
        <v>8</v>
      </c>
    </row>
    <row r="92" spans="1:4" x14ac:dyDescent="0.25">
      <c r="A92" t="s">
        <v>3171</v>
      </c>
      <c r="B92" t="s">
        <v>3279</v>
      </c>
      <c r="C92">
        <v>7</v>
      </c>
      <c r="D92">
        <v>8</v>
      </c>
    </row>
    <row r="93" spans="1:4" x14ac:dyDescent="0.25">
      <c r="A93" t="s">
        <v>3173</v>
      </c>
      <c r="B93" t="s">
        <v>3280</v>
      </c>
      <c r="C93">
        <v>12</v>
      </c>
      <c r="D93">
        <v>13</v>
      </c>
    </row>
    <row r="94" spans="1:4" x14ac:dyDescent="0.25">
      <c r="A94" t="s">
        <v>3175</v>
      </c>
      <c r="B94" t="s">
        <v>3281</v>
      </c>
    </row>
    <row r="95" spans="1:4" x14ac:dyDescent="0.25">
      <c r="A95" t="s">
        <v>3177</v>
      </c>
      <c r="B95" t="s">
        <v>3178</v>
      </c>
    </row>
    <row r="96" spans="1:4" x14ac:dyDescent="0.25">
      <c r="A96" t="s">
        <v>3179</v>
      </c>
      <c r="B96" t="s">
        <v>3180</v>
      </c>
    </row>
    <row r="97" spans="1:4" x14ac:dyDescent="0.25">
      <c r="A97" t="s">
        <v>3181</v>
      </c>
      <c r="B97" t="s">
        <v>3282</v>
      </c>
    </row>
    <row r="98" spans="1:4" x14ac:dyDescent="0.25">
      <c r="A98" t="s">
        <v>3183</v>
      </c>
      <c r="B98" t="s">
        <v>3184</v>
      </c>
    </row>
    <row r="99" spans="1:4" x14ac:dyDescent="0.25">
      <c r="A99" t="s">
        <v>3185</v>
      </c>
      <c r="B99" t="s">
        <v>3185</v>
      </c>
    </row>
    <row r="100" spans="1:4" x14ac:dyDescent="0.25">
      <c r="A100" t="s">
        <v>3186</v>
      </c>
      <c r="B100" t="s">
        <v>3187</v>
      </c>
      <c r="C100">
        <v>5</v>
      </c>
      <c r="D100">
        <v>5</v>
      </c>
    </row>
    <row r="101" spans="1:4" x14ac:dyDescent="0.25">
      <c r="A101" t="s">
        <v>3188</v>
      </c>
      <c r="B101" t="s">
        <v>3189</v>
      </c>
      <c r="C101">
        <v>6</v>
      </c>
      <c r="D101">
        <v>6</v>
      </c>
    </row>
    <row r="102" spans="1:4" x14ac:dyDescent="0.25">
      <c r="A102" t="s">
        <v>3190</v>
      </c>
      <c r="B102" t="s">
        <v>3191</v>
      </c>
      <c r="C102">
        <v>10</v>
      </c>
      <c r="D102">
        <v>8</v>
      </c>
    </row>
    <row r="103" spans="1:4" x14ac:dyDescent="0.25">
      <c r="A103" t="s">
        <v>3283</v>
      </c>
      <c r="B103" t="s">
        <v>3283</v>
      </c>
    </row>
    <row r="104" spans="1:4" x14ac:dyDescent="0.25">
      <c r="A104" t="s">
        <v>3193</v>
      </c>
      <c r="B104" t="s">
        <v>3284</v>
      </c>
      <c r="C104">
        <v>277890</v>
      </c>
      <c r="D104">
        <v>741162</v>
      </c>
    </row>
    <row r="105" spans="1:4" x14ac:dyDescent="0.25">
      <c r="A105" t="s">
        <v>3195</v>
      </c>
      <c r="B105" t="s">
        <v>3285</v>
      </c>
      <c r="C105">
        <v>1195020</v>
      </c>
      <c r="D105">
        <v>1149430</v>
      </c>
    </row>
    <row r="106" spans="1:4" x14ac:dyDescent="0.25">
      <c r="A106" t="s">
        <v>3196</v>
      </c>
      <c r="B106" t="s">
        <v>3089</v>
      </c>
    </row>
    <row r="107" spans="1:4" x14ac:dyDescent="0.25">
      <c r="A107" t="s">
        <v>3197</v>
      </c>
      <c r="B107" t="s">
        <v>3090</v>
      </c>
      <c r="C107">
        <v>152366</v>
      </c>
      <c r="D107">
        <v>0</v>
      </c>
    </row>
    <row r="108" spans="1:4" x14ac:dyDescent="0.25">
      <c r="A108" t="s">
        <v>3198</v>
      </c>
      <c r="B108" t="s">
        <v>3198</v>
      </c>
    </row>
    <row r="109" spans="1:4" x14ac:dyDescent="0.25">
      <c r="A109" t="s">
        <v>3199</v>
      </c>
      <c r="B109" t="s">
        <v>3200</v>
      </c>
    </row>
    <row r="110" spans="1:4" x14ac:dyDescent="0.25">
      <c r="A110" t="s">
        <v>3201</v>
      </c>
      <c r="B110" t="s">
        <v>3202</v>
      </c>
    </row>
    <row r="111" spans="1:4" x14ac:dyDescent="0.25">
      <c r="A111" t="s">
        <v>3203</v>
      </c>
      <c r="B111" t="s">
        <v>3204</v>
      </c>
    </row>
    <row r="112" spans="1:4" x14ac:dyDescent="0.25">
      <c r="A112" t="s">
        <v>3205</v>
      </c>
      <c r="B112" t="s">
        <v>3206</v>
      </c>
    </row>
    <row r="113" spans="1:2" x14ac:dyDescent="0.25">
      <c r="A113" t="s">
        <v>3207</v>
      </c>
      <c r="B113" t="s">
        <v>3207</v>
      </c>
    </row>
    <row r="114" spans="1:2" x14ac:dyDescent="0.25">
      <c r="A114" t="s">
        <v>3208</v>
      </c>
      <c r="B114" t="s">
        <v>3209</v>
      </c>
    </row>
    <row r="115" spans="1:2" x14ac:dyDescent="0.25">
      <c r="A115" t="s">
        <v>3210</v>
      </c>
      <c r="B115" t="s">
        <v>3211</v>
      </c>
    </row>
    <row r="116" spans="1:2" x14ac:dyDescent="0.25">
      <c r="A116" t="s">
        <v>3212</v>
      </c>
      <c r="B116" t="s">
        <v>3213</v>
      </c>
    </row>
    <row r="117" spans="1:2" x14ac:dyDescent="0.25">
      <c r="A117" t="s">
        <v>3214</v>
      </c>
      <c r="B117" t="s">
        <v>3215</v>
      </c>
    </row>
    <row r="118" spans="1:2" x14ac:dyDescent="0.25">
      <c r="A118" t="s">
        <v>3216</v>
      </c>
      <c r="B118" t="s">
        <v>3217</v>
      </c>
    </row>
    <row r="119" spans="1:2" x14ac:dyDescent="0.25">
      <c r="A119" t="s">
        <v>3218</v>
      </c>
      <c r="B119" t="s">
        <v>3219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29E20-0C4E-4D0F-B5D5-54EEEC4B0FA8}">
  <dimension ref="A1:D18"/>
  <sheetViews>
    <sheetView workbookViewId="0">
      <selection activeCell="D31" sqref="D31"/>
    </sheetView>
  </sheetViews>
  <sheetFormatPr defaultRowHeight="15" x14ac:dyDescent="0.25"/>
  <cols>
    <col min="1" max="1" width="36.140625" bestFit="1" customWidth="1"/>
    <col min="2" max="2" width="8" bestFit="1" customWidth="1"/>
    <col min="3" max="4" width="7.28515625" bestFit="1" customWidth="1"/>
  </cols>
  <sheetData>
    <row r="1" spans="1:4" x14ac:dyDescent="0.25">
      <c r="A1" t="s">
        <v>3314</v>
      </c>
      <c r="B1" t="s">
        <v>2611</v>
      </c>
      <c r="C1" t="s">
        <v>2612</v>
      </c>
      <c r="D1" t="s">
        <v>2613</v>
      </c>
    </row>
    <row r="2" spans="1:4" x14ac:dyDescent="0.25">
      <c r="A2" t="s">
        <v>3316</v>
      </c>
      <c r="B2">
        <v>0.10532999999999999</v>
      </c>
      <c r="C2">
        <v>7.7100000000000002E-2</v>
      </c>
      <c r="D2">
        <v>6.9800000000000001E-2</v>
      </c>
    </row>
    <row r="3" spans="1:4" x14ac:dyDescent="0.25">
      <c r="A3" t="s">
        <v>3317</v>
      </c>
      <c r="B3">
        <v>0.10532999999999999</v>
      </c>
      <c r="C3">
        <v>7.7100000000000002E-2</v>
      </c>
      <c r="D3">
        <v>6.9800000000000001E-2</v>
      </c>
    </row>
    <row r="4" spans="1:4" x14ac:dyDescent="0.25">
      <c r="A4" t="s">
        <v>1140</v>
      </c>
      <c r="B4">
        <v>0.14717</v>
      </c>
      <c r="C4">
        <v>0.1336</v>
      </c>
      <c r="D4">
        <v>0.1173</v>
      </c>
    </row>
    <row r="5" spans="1:4" x14ac:dyDescent="0.25">
      <c r="A5" t="s">
        <v>3318</v>
      </c>
    </row>
    <row r="6" spans="1:4" x14ac:dyDescent="0.25">
      <c r="A6" t="s">
        <v>3319</v>
      </c>
      <c r="B6">
        <v>2.4209399999999999</v>
      </c>
      <c r="C6">
        <v>1.7318</v>
      </c>
      <c r="D6">
        <v>0.54930000000000001</v>
      </c>
    </row>
    <row r="7" spans="1:4" x14ac:dyDescent="0.25">
      <c r="A7" t="s">
        <v>3320</v>
      </c>
      <c r="B7">
        <v>3.3078599999999998</v>
      </c>
      <c r="C7">
        <v>4.4734999999999996</v>
      </c>
      <c r="D7">
        <v>0.82689999999999997</v>
      </c>
    </row>
    <row r="8" spans="1:4" x14ac:dyDescent="0.25">
      <c r="A8" t="s">
        <v>3321</v>
      </c>
      <c r="B8">
        <v>0.32521</v>
      </c>
      <c r="C8">
        <v>0.42370000000000002</v>
      </c>
      <c r="D8">
        <v>0.86060000000000003</v>
      </c>
    </row>
    <row r="9" spans="1:4" x14ac:dyDescent="0.25">
      <c r="A9" t="s">
        <v>1254</v>
      </c>
      <c r="B9">
        <v>1.52423</v>
      </c>
      <c r="C9">
        <v>2.0470999999999999</v>
      </c>
      <c r="D9">
        <v>2.7521</v>
      </c>
    </row>
    <row r="10" spans="1:4" x14ac:dyDescent="0.25">
      <c r="A10" t="s">
        <v>3330</v>
      </c>
      <c r="B10">
        <v>0.34011999999999998</v>
      </c>
      <c r="C10">
        <v>0.14030000000000001</v>
      </c>
      <c r="D10">
        <v>0.19839999999999999</v>
      </c>
    </row>
    <row r="11" spans="1:4" x14ac:dyDescent="0.25">
      <c r="A11" t="s">
        <v>1255</v>
      </c>
      <c r="B11">
        <v>2.16E-3</v>
      </c>
      <c r="C11">
        <v>4.3E-3</v>
      </c>
      <c r="D11">
        <v>5.8999999999999999E-3</v>
      </c>
    </row>
    <row r="12" spans="1:4" x14ac:dyDescent="0.25">
      <c r="A12" t="s">
        <v>1256</v>
      </c>
      <c r="B12">
        <v>0.14377000000000001</v>
      </c>
      <c r="C12">
        <v>0.22770000000000001</v>
      </c>
      <c r="D12">
        <v>0.1018</v>
      </c>
    </row>
    <row r="13" spans="1:4" x14ac:dyDescent="0.25">
      <c r="A13" t="s">
        <v>3322</v>
      </c>
    </row>
    <row r="14" spans="1:4" x14ac:dyDescent="0.25">
      <c r="A14" t="s">
        <v>3323</v>
      </c>
    </row>
    <row r="15" spans="1:4" x14ac:dyDescent="0.25">
      <c r="A15" t="s">
        <v>3324</v>
      </c>
    </row>
    <row r="16" spans="1:4" x14ac:dyDescent="0.25">
      <c r="A16" t="s">
        <v>3325</v>
      </c>
    </row>
    <row r="17" spans="1:1" x14ac:dyDescent="0.25">
      <c r="A17" t="s">
        <v>3326</v>
      </c>
    </row>
    <row r="18" spans="1:1" x14ac:dyDescent="0.25">
      <c r="A18" t="s">
        <v>3327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989C2-203C-4B09-AA11-D11A9AF94847}">
  <dimension ref="A1:G18"/>
  <sheetViews>
    <sheetView workbookViewId="0">
      <selection activeCell="I26" sqref="I26"/>
    </sheetView>
  </sheetViews>
  <sheetFormatPr defaultRowHeight="15" x14ac:dyDescent="0.25"/>
  <cols>
    <col min="1" max="1" width="36.140625" bestFit="1" customWidth="1"/>
    <col min="2" max="7" width="8" bestFit="1" customWidth="1"/>
  </cols>
  <sheetData>
    <row r="1" spans="1:7" x14ac:dyDescent="0.25">
      <c r="A1" t="s">
        <v>3314</v>
      </c>
      <c r="B1" t="s">
        <v>3315</v>
      </c>
      <c r="C1" t="s">
        <v>2597</v>
      </c>
      <c r="D1" t="s">
        <v>2599</v>
      </c>
      <c r="E1" t="s">
        <v>2609</v>
      </c>
      <c r="F1" t="s">
        <v>2608</v>
      </c>
      <c r="G1" t="s">
        <v>2610</v>
      </c>
    </row>
    <row r="2" spans="1:7" x14ac:dyDescent="0.25">
      <c r="A2" t="s">
        <v>3316</v>
      </c>
      <c r="B2">
        <v>0.10932</v>
      </c>
      <c r="C2">
        <v>9.1810000000000003E-2</v>
      </c>
      <c r="D2">
        <v>9.4149999999999998E-2</v>
      </c>
      <c r="E2">
        <v>0.11613</v>
      </c>
      <c r="F2">
        <v>0.11928</v>
      </c>
      <c r="G2">
        <v>0.10917</v>
      </c>
    </row>
    <row r="3" spans="1:7" x14ac:dyDescent="0.25">
      <c r="A3" t="s">
        <v>3317</v>
      </c>
      <c r="B3">
        <v>0.10932</v>
      </c>
      <c r="C3">
        <v>9.1810000000000003E-2</v>
      </c>
      <c r="D3">
        <v>9.4149999999999998E-2</v>
      </c>
      <c r="E3">
        <v>0.11613</v>
      </c>
      <c r="F3">
        <v>0.11928</v>
      </c>
      <c r="G3">
        <v>0.10917</v>
      </c>
    </row>
    <row r="4" spans="1:7" x14ac:dyDescent="0.25">
      <c r="A4" t="s">
        <v>1140</v>
      </c>
      <c r="B4">
        <v>0.13297999999999999</v>
      </c>
      <c r="C4">
        <v>0.14049</v>
      </c>
      <c r="D4">
        <v>0.12059</v>
      </c>
      <c r="E4">
        <v>0.14334</v>
      </c>
      <c r="F4">
        <v>0.15112999999999999</v>
      </c>
      <c r="G4">
        <v>0.15112999999999999</v>
      </c>
    </row>
    <row r="5" spans="1:7" x14ac:dyDescent="0.25">
      <c r="A5" t="s">
        <v>3318</v>
      </c>
    </row>
    <row r="6" spans="1:7" x14ac:dyDescent="0.25">
      <c r="A6" t="s">
        <v>3328</v>
      </c>
      <c r="D6">
        <v>7.7810000000000004E-2</v>
      </c>
      <c r="E6">
        <v>8.7919999999999998E-2</v>
      </c>
      <c r="F6">
        <v>9.8100000000000007E-2</v>
      </c>
      <c r="G6">
        <v>0.10551000000000001</v>
      </c>
    </row>
    <row r="7" spans="1:7" x14ac:dyDescent="0.25">
      <c r="A7" t="s">
        <v>3319</v>
      </c>
      <c r="B7">
        <v>0.94738999999999995</v>
      </c>
      <c r="C7">
        <v>1.0832999999999999</v>
      </c>
      <c r="D7">
        <v>0.47719</v>
      </c>
      <c r="E7">
        <v>0.83565999999999996</v>
      </c>
      <c r="F7">
        <v>1.21316</v>
      </c>
      <c r="G7">
        <v>0.73041</v>
      </c>
    </row>
    <row r="8" spans="1:7" x14ac:dyDescent="0.25">
      <c r="A8" t="s">
        <v>3320</v>
      </c>
      <c r="B8">
        <v>1.5831299999999999</v>
      </c>
      <c r="C8">
        <v>1.42807</v>
      </c>
      <c r="D8">
        <v>2.1944699999999999</v>
      </c>
      <c r="E8">
        <v>0.33194000000000001</v>
      </c>
      <c r="F8">
        <v>6.4809599999999996</v>
      </c>
      <c r="G8">
        <v>2.10697</v>
      </c>
    </row>
    <row r="9" spans="1:7" x14ac:dyDescent="0.25">
      <c r="A9" t="s">
        <v>3321</v>
      </c>
      <c r="B9">
        <v>0.46557999999999999</v>
      </c>
      <c r="C9">
        <v>0.41274</v>
      </c>
      <c r="D9">
        <v>0.40716999999999998</v>
      </c>
      <c r="E9">
        <v>0.31678000000000001</v>
      </c>
      <c r="F9">
        <v>0.29082999999999998</v>
      </c>
      <c r="G9">
        <v>0.33023999999999998</v>
      </c>
    </row>
    <row r="10" spans="1:7" x14ac:dyDescent="0.25">
      <c r="A10" t="s">
        <v>1254</v>
      </c>
      <c r="D10">
        <v>2.71888</v>
      </c>
      <c r="E10">
        <v>2.0877500000000002</v>
      </c>
      <c r="F10">
        <v>1.96346</v>
      </c>
      <c r="G10">
        <v>1.6833199999999999</v>
      </c>
    </row>
    <row r="11" spans="1:7" x14ac:dyDescent="0.25">
      <c r="A11" t="s">
        <v>1256</v>
      </c>
      <c r="D11">
        <v>0.15695999999999999</v>
      </c>
      <c r="E11">
        <v>0.15731000000000001</v>
      </c>
      <c r="F11">
        <v>0.15225</v>
      </c>
      <c r="G11">
        <v>0.14754</v>
      </c>
    </row>
    <row r="12" spans="1:7" x14ac:dyDescent="0.25">
      <c r="A12" t="s">
        <v>3322</v>
      </c>
    </row>
    <row r="13" spans="1:7" x14ac:dyDescent="0.25">
      <c r="A13" t="s">
        <v>3323</v>
      </c>
    </row>
    <row r="14" spans="1:7" x14ac:dyDescent="0.25">
      <c r="A14" t="s">
        <v>3324</v>
      </c>
    </row>
    <row r="15" spans="1:7" x14ac:dyDescent="0.25">
      <c r="A15" t="s">
        <v>3325</v>
      </c>
    </row>
    <row r="16" spans="1:7" x14ac:dyDescent="0.25">
      <c r="A16" t="s">
        <v>3326</v>
      </c>
    </row>
    <row r="17" spans="1:6" x14ac:dyDescent="0.25">
      <c r="A17" t="s">
        <v>3327</v>
      </c>
      <c r="D17">
        <v>0</v>
      </c>
      <c r="E17">
        <v>0</v>
      </c>
      <c r="F17">
        <v>0</v>
      </c>
    </row>
    <row r="18" spans="1:6" x14ac:dyDescent="0.25">
      <c r="A18" t="s">
        <v>3329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67BBD-690F-4BF2-AA2D-360AFC0453A6}">
  <dimension ref="A1:C195"/>
  <sheetViews>
    <sheetView workbookViewId="0">
      <selection activeCell="E17" sqref="E17"/>
    </sheetView>
  </sheetViews>
  <sheetFormatPr defaultRowHeight="15" x14ac:dyDescent="0.25"/>
  <cols>
    <col min="1" max="1" width="16.28515625" bestFit="1" customWidth="1"/>
    <col min="2" max="2" width="81.140625" bestFit="1" customWidth="1"/>
    <col min="3" max="4" width="9" bestFit="1" customWidth="1"/>
  </cols>
  <sheetData>
    <row r="1" spans="1:3" x14ac:dyDescent="0.25">
      <c r="A1" t="s">
        <v>1486</v>
      </c>
      <c r="B1" t="s">
        <v>2626</v>
      </c>
      <c r="C1" t="s">
        <v>2599</v>
      </c>
    </row>
    <row r="2" spans="1:3" x14ac:dyDescent="0.25">
      <c r="A2" t="s">
        <v>2627</v>
      </c>
      <c r="B2" t="s">
        <v>644</v>
      </c>
      <c r="C2">
        <v>76372718</v>
      </c>
    </row>
    <row r="3" spans="1:3" x14ac:dyDescent="0.25">
      <c r="A3" t="s">
        <v>2628</v>
      </c>
      <c r="B3" t="s">
        <v>645</v>
      </c>
      <c r="C3">
        <v>65318079</v>
      </c>
    </row>
    <row r="4" spans="1:3" x14ac:dyDescent="0.25">
      <c r="A4" t="s">
        <v>646</v>
      </c>
      <c r="B4" t="s">
        <v>647</v>
      </c>
      <c r="C4">
        <v>48011741</v>
      </c>
    </row>
    <row r="5" spans="1:3" x14ac:dyDescent="0.25">
      <c r="A5" t="s">
        <v>648</v>
      </c>
      <c r="B5" t="s">
        <v>649</v>
      </c>
      <c r="C5">
        <v>48011741</v>
      </c>
    </row>
    <row r="6" spans="1:3" x14ac:dyDescent="0.25">
      <c r="A6" t="s">
        <v>650</v>
      </c>
      <c r="B6" t="s">
        <v>2792</v>
      </c>
      <c r="C6">
        <v>0</v>
      </c>
    </row>
    <row r="7" spans="1:3" x14ac:dyDescent="0.25">
      <c r="A7" t="s">
        <v>2793</v>
      </c>
      <c r="B7" t="s">
        <v>2794</v>
      </c>
      <c r="C7">
        <v>0</v>
      </c>
    </row>
    <row r="8" spans="1:3" x14ac:dyDescent="0.25">
      <c r="A8" t="s">
        <v>652</v>
      </c>
      <c r="B8" t="s">
        <v>653</v>
      </c>
      <c r="C8">
        <v>0</v>
      </c>
    </row>
    <row r="9" spans="1:3" x14ac:dyDescent="0.25">
      <c r="A9" t="s">
        <v>654</v>
      </c>
      <c r="B9" t="s">
        <v>655</v>
      </c>
      <c r="C9">
        <v>0</v>
      </c>
    </row>
    <row r="10" spans="1:3" x14ac:dyDescent="0.25">
      <c r="A10" t="s">
        <v>656</v>
      </c>
      <c r="B10" t="s">
        <v>657</v>
      </c>
      <c r="C10">
        <v>0</v>
      </c>
    </row>
    <row r="11" spans="1:3" x14ac:dyDescent="0.25">
      <c r="A11" t="s">
        <v>658</v>
      </c>
      <c r="B11" t="s">
        <v>659</v>
      </c>
      <c r="C11">
        <v>0</v>
      </c>
    </row>
    <row r="12" spans="1:3" x14ac:dyDescent="0.25">
      <c r="A12" t="s">
        <v>660</v>
      </c>
      <c r="B12" t="s">
        <v>2795</v>
      </c>
      <c r="C12">
        <v>0</v>
      </c>
    </row>
    <row r="13" spans="1:3" x14ac:dyDescent="0.25">
      <c r="A13" t="s">
        <v>2796</v>
      </c>
      <c r="B13" t="s">
        <v>2797</v>
      </c>
      <c r="C13">
        <v>0</v>
      </c>
    </row>
    <row r="14" spans="1:3" x14ac:dyDescent="0.25">
      <c r="A14" t="s">
        <v>662</v>
      </c>
      <c r="B14" t="s">
        <v>663</v>
      </c>
      <c r="C14">
        <v>0</v>
      </c>
    </row>
    <row r="15" spans="1:3" x14ac:dyDescent="0.25">
      <c r="A15" t="s">
        <v>664</v>
      </c>
      <c r="B15" t="s">
        <v>665</v>
      </c>
      <c r="C15">
        <v>738407</v>
      </c>
    </row>
    <row r="16" spans="1:3" x14ac:dyDescent="0.25">
      <c r="A16" t="s">
        <v>666</v>
      </c>
      <c r="B16" t="s">
        <v>667</v>
      </c>
      <c r="C16">
        <v>0</v>
      </c>
    </row>
    <row r="17" spans="1:3" x14ac:dyDescent="0.25">
      <c r="A17" t="s">
        <v>668</v>
      </c>
      <c r="B17" t="s">
        <v>669</v>
      </c>
      <c r="C17">
        <v>3668381</v>
      </c>
    </row>
    <row r="18" spans="1:3" x14ac:dyDescent="0.25">
      <c r="A18" t="s">
        <v>2629</v>
      </c>
      <c r="B18" t="s">
        <v>2798</v>
      </c>
      <c r="C18">
        <v>0</v>
      </c>
    </row>
    <row r="19" spans="1:3" x14ac:dyDescent="0.25">
      <c r="A19" t="s">
        <v>2631</v>
      </c>
      <c r="B19" t="s">
        <v>2799</v>
      </c>
      <c r="C19">
        <v>0</v>
      </c>
    </row>
    <row r="20" spans="1:3" x14ac:dyDescent="0.25">
      <c r="A20" t="s">
        <v>2633</v>
      </c>
      <c r="B20" t="s">
        <v>2800</v>
      </c>
      <c r="C20">
        <v>0</v>
      </c>
    </row>
    <row r="21" spans="1:3" x14ac:dyDescent="0.25">
      <c r="A21" t="s">
        <v>2635</v>
      </c>
      <c r="B21" t="s">
        <v>2801</v>
      </c>
      <c r="C21">
        <v>0</v>
      </c>
    </row>
    <row r="22" spans="1:3" x14ac:dyDescent="0.25">
      <c r="A22" t="s">
        <v>2637</v>
      </c>
      <c r="B22" t="s">
        <v>2802</v>
      </c>
      <c r="C22">
        <v>0</v>
      </c>
    </row>
    <row r="23" spans="1:3" x14ac:dyDescent="0.25">
      <c r="A23" t="s">
        <v>2639</v>
      </c>
      <c r="B23" t="s">
        <v>2803</v>
      </c>
      <c r="C23">
        <v>0</v>
      </c>
    </row>
    <row r="24" spans="1:3" x14ac:dyDescent="0.25">
      <c r="A24" t="s">
        <v>2804</v>
      </c>
      <c r="B24" t="s">
        <v>2876</v>
      </c>
      <c r="C24">
        <v>0</v>
      </c>
    </row>
    <row r="25" spans="1:3" x14ac:dyDescent="0.25">
      <c r="A25" t="s">
        <v>2806</v>
      </c>
      <c r="B25" t="s">
        <v>2877</v>
      </c>
      <c r="C25">
        <v>0</v>
      </c>
    </row>
    <row r="26" spans="1:3" x14ac:dyDescent="0.25">
      <c r="A26" t="s">
        <v>2808</v>
      </c>
      <c r="B26" t="s">
        <v>2878</v>
      </c>
      <c r="C26">
        <v>0</v>
      </c>
    </row>
    <row r="27" spans="1:3" x14ac:dyDescent="0.25">
      <c r="A27" t="s">
        <v>2810</v>
      </c>
      <c r="B27" t="s">
        <v>2811</v>
      </c>
      <c r="C27">
        <v>0</v>
      </c>
    </row>
    <row r="28" spans="1:3" x14ac:dyDescent="0.25">
      <c r="A28" t="s">
        <v>2879</v>
      </c>
      <c r="B28" t="s">
        <v>2880</v>
      </c>
      <c r="C28">
        <v>0</v>
      </c>
    </row>
    <row r="29" spans="1:3" x14ac:dyDescent="0.25">
      <c r="A29" t="s">
        <v>2881</v>
      </c>
      <c r="B29" t="s">
        <v>2882</v>
      </c>
      <c r="C29">
        <v>0</v>
      </c>
    </row>
    <row r="30" spans="1:3" x14ac:dyDescent="0.25">
      <c r="A30" t="s">
        <v>2883</v>
      </c>
      <c r="B30" t="s">
        <v>2884</v>
      </c>
      <c r="C30">
        <v>0</v>
      </c>
    </row>
    <row r="31" spans="1:3" x14ac:dyDescent="0.25">
      <c r="A31" t="s">
        <v>2885</v>
      </c>
      <c r="B31" t="s">
        <v>2886</v>
      </c>
      <c r="C31">
        <v>0</v>
      </c>
    </row>
    <row r="32" spans="1:3" x14ac:dyDescent="0.25">
      <c r="A32" t="s">
        <v>670</v>
      </c>
      <c r="B32" t="s">
        <v>671</v>
      </c>
      <c r="C32">
        <v>12899550</v>
      </c>
    </row>
    <row r="33" spans="1:3" x14ac:dyDescent="0.25">
      <c r="A33" t="s">
        <v>2641</v>
      </c>
      <c r="B33" t="s">
        <v>2798</v>
      </c>
      <c r="C33">
        <v>367065</v>
      </c>
    </row>
    <row r="34" spans="1:3" x14ac:dyDescent="0.25">
      <c r="A34" t="s">
        <v>2642</v>
      </c>
      <c r="B34" t="s">
        <v>2799</v>
      </c>
      <c r="C34">
        <v>0</v>
      </c>
    </row>
    <row r="35" spans="1:3" x14ac:dyDescent="0.25">
      <c r="A35" t="s">
        <v>2643</v>
      </c>
      <c r="B35" t="s">
        <v>2800</v>
      </c>
      <c r="C35">
        <v>367065</v>
      </c>
    </row>
    <row r="36" spans="1:3" x14ac:dyDescent="0.25">
      <c r="A36" t="s">
        <v>2644</v>
      </c>
      <c r="B36" t="s">
        <v>2801</v>
      </c>
      <c r="C36">
        <v>0</v>
      </c>
    </row>
    <row r="37" spans="1:3" x14ac:dyDescent="0.25">
      <c r="A37" t="s">
        <v>2645</v>
      </c>
      <c r="B37" t="s">
        <v>2802</v>
      </c>
      <c r="C37">
        <v>0</v>
      </c>
    </row>
    <row r="38" spans="1:3" x14ac:dyDescent="0.25">
      <c r="A38" t="s">
        <v>2646</v>
      </c>
      <c r="B38" t="s">
        <v>2803</v>
      </c>
      <c r="C38">
        <v>0</v>
      </c>
    </row>
    <row r="39" spans="1:3" x14ac:dyDescent="0.25">
      <c r="A39" t="s">
        <v>2812</v>
      </c>
      <c r="B39" t="s">
        <v>2887</v>
      </c>
      <c r="C39">
        <v>0</v>
      </c>
    </row>
    <row r="40" spans="1:3" x14ac:dyDescent="0.25">
      <c r="A40" t="s">
        <v>2814</v>
      </c>
      <c r="B40" t="s">
        <v>2877</v>
      </c>
      <c r="C40">
        <v>17150</v>
      </c>
    </row>
    <row r="41" spans="1:3" x14ac:dyDescent="0.25">
      <c r="A41" t="s">
        <v>2815</v>
      </c>
      <c r="B41" t="s">
        <v>2878</v>
      </c>
      <c r="C41">
        <v>0</v>
      </c>
    </row>
    <row r="42" spans="1:3" x14ac:dyDescent="0.25">
      <c r="A42" t="s">
        <v>2816</v>
      </c>
      <c r="B42" t="s">
        <v>2811</v>
      </c>
      <c r="C42">
        <v>0</v>
      </c>
    </row>
    <row r="43" spans="1:3" x14ac:dyDescent="0.25">
      <c r="A43" t="s">
        <v>2888</v>
      </c>
      <c r="B43" t="s">
        <v>2880</v>
      </c>
      <c r="C43">
        <v>22596</v>
      </c>
    </row>
    <row r="44" spans="1:3" x14ac:dyDescent="0.25">
      <c r="A44" t="s">
        <v>2889</v>
      </c>
      <c r="B44" t="s">
        <v>2890</v>
      </c>
      <c r="C44">
        <v>5161706</v>
      </c>
    </row>
    <row r="45" spans="1:3" x14ac:dyDescent="0.25">
      <c r="A45" t="s">
        <v>2891</v>
      </c>
      <c r="B45" t="s">
        <v>2892</v>
      </c>
      <c r="C45">
        <v>12421088</v>
      </c>
    </row>
    <row r="46" spans="1:3" x14ac:dyDescent="0.25">
      <c r="A46" t="s">
        <v>2893</v>
      </c>
      <c r="B46" t="s">
        <v>2894</v>
      </c>
      <c r="C46">
        <v>7259382</v>
      </c>
    </row>
    <row r="47" spans="1:3" x14ac:dyDescent="0.25">
      <c r="A47" t="s">
        <v>2895</v>
      </c>
      <c r="B47" t="s">
        <v>2896</v>
      </c>
      <c r="C47">
        <v>0</v>
      </c>
    </row>
    <row r="48" spans="1:3" x14ac:dyDescent="0.25">
      <c r="A48" t="s">
        <v>2647</v>
      </c>
      <c r="B48" t="s">
        <v>672</v>
      </c>
      <c r="C48">
        <v>5689100</v>
      </c>
    </row>
    <row r="49" spans="1:3" x14ac:dyDescent="0.25">
      <c r="A49" t="s">
        <v>673</v>
      </c>
      <c r="B49" t="s">
        <v>602</v>
      </c>
      <c r="C49">
        <v>4409785</v>
      </c>
    </row>
    <row r="50" spans="1:3" x14ac:dyDescent="0.25">
      <c r="A50" t="s">
        <v>688</v>
      </c>
      <c r="B50" t="s">
        <v>689</v>
      </c>
      <c r="C50">
        <v>638452</v>
      </c>
    </row>
    <row r="51" spans="1:3" x14ac:dyDescent="0.25">
      <c r="A51" t="s">
        <v>690</v>
      </c>
      <c r="B51" t="s">
        <v>691</v>
      </c>
      <c r="C51">
        <v>0</v>
      </c>
    </row>
    <row r="52" spans="1:3" x14ac:dyDescent="0.25">
      <c r="A52" t="s">
        <v>692</v>
      </c>
      <c r="B52" t="s">
        <v>2817</v>
      </c>
      <c r="C52">
        <v>410485</v>
      </c>
    </row>
    <row r="53" spans="1:3" x14ac:dyDescent="0.25">
      <c r="A53" t="s">
        <v>2654</v>
      </c>
      <c r="B53" t="s">
        <v>2818</v>
      </c>
      <c r="C53">
        <v>0</v>
      </c>
    </row>
    <row r="54" spans="1:3" x14ac:dyDescent="0.25">
      <c r="A54" t="s">
        <v>2656</v>
      </c>
      <c r="B54" t="s">
        <v>2819</v>
      </c>
      <c r="C54">
        <v>410485</v>
      </c>
    </row>
    <row r="55" spans="1:3" x14ac:dyDescent="0.25">
      <c r="A55" t="s">
        <v>693</v>
      </c>
      <c r="B55" t="s">
        <v>1426</v>
      </c>
      <c r="C55">
        <v>0</v>
      </c>
    </row>
    <row r="56" spans="1:3" x14ac:dyDescent="0.25">
      <c r="A56" t="s">
        <v>695</v>
      </c>
      <c r="B56" t="s">
        <v>2820</v>
      </c>
      <c r="C56">
        <v>0</v>
      </c>
    </row>
    <row r="57" spans="1:3" x14ac:dyDescent="0.25">
      <c r="A57" t="s">
        <v>2821</v>
      </c>
      <c r="B57" t="s">
        <v>2822</v>
      </c>
      <c r="C57">
        <v>0</v>
      </c>
    </row>
    <row r="58" spans="1:3" x14ac:dyDescent="0.25">
      <c r="A58" t="s">
        <v>2823</v>
      </c>
      <c r="B58" t="s">
        <v>2824</v>
      </c>
      <c r="C58">
        <v>0</v>
      </c>
    </row>
    <row r="59" spans="1:3" x14ac:dyDescent="0.25">
      <c r="A59" t="s">
        <v>2825</v>
      </c>
      <c r="B59" t="s">
        <v>2826</v>
      </c>
      <c r="C59">
        <v>0</v>
      </c>
    </row>
    <row r="60" spans="1:3" x14ac:dyDescent="0.25">
      <c r="A60" t="s">
        <v>697</v>
      </c>
      <c r="B60" t="s">
        <v>700</v>
      </c>
      <c r="C60">
        <v>0</v>
      </c>
    </row>
    <row r="61" spans="1:3" x14ac:dyDescent="0.25">
      <c r="A61" t="s">
        <v>2827</v>
      </c>
      <c r="B61" t="s">
        <v>2798</v>
      </c>
      <c r="C61">
        <v>0</v>
      </c>
    </row>
    <row r="62" spans="1:3" x14ac:dyDescent="0.25">
      <c r="A62" t="s">
        <v>2828</v>
      </c>
      <c r="B62" t="s">
        <v>2799</v>
      </c>
      <c r="C62">
        <v>0</v>
      </c>
    </row>
    <row r="63" spans="1:3" x14ac:dyDescent="0.25">
      <c r="A63" t="s">
        <v>2829</v>
      </c>
      <c r="B63" t="s">
        <v>2800</v>
      </c>
      <c r="C63">
        <v>0</v>
      </c>
    </row>
    <row r="64" spans="1:3" x14ac:dyDescent="0.25">
      <c r="A64" t="s">
        <v>2830</v>
      </c>
      <c r="B64" t="s">
        <v>2801</v>
      </c>
      <c r="C64">
        <v>0</v>
      </c>
    </row>
    <row r="65" spans="1:3" x14ac:dyDescent="0.25">
      <c r="A65" t="s">
        <v>2831</v>
      </c>
      <c r="B65" t="s">
        <v>2802</v>
      </c>
      <c r="C65">
        <v>0</v>
      </c>
    </row>
    <row r="66" spans="1:3" x14ac:dyDescent="0.25">
      <c r="A66" t="s">
        <v>2832</v>
      </c>
      <c r="B66" t="s">
        <v>2803</v>
      </c>
      <c r="C66">
        <v>0</v>
      </c>
    </row>
    <row r="67" spans="1:3" x14ac:dyDescent="0.25">
      <c r="A67" t="s">
        <v>2833</v>
      </c>
      <c r="B67" t="s">
        <v>2887</v>
      </c>
      <c r="C67">
        <v>0</v>
      </c>
    </row>
    <row r="68" spans="1:3" x14ac:dyDescent="0.25">
      <c r="A68" t="s">
        <v>2834</v>
      </c>
      <c r="B68" t="s">
        <v>2877</v>
      </c>
      <c r="C68">
        <v>0</v>
      </c>
    </row>
    <row r="69" spans="1:3" x14ac:dyDescent="0.25">
      <c r="A69" t="s">
        <v>2835</v>
      </c>
      <c r="B69" t="s">
        <v>2878</v>
      </c>
      <c r="C69">
        <v>0</v>
      </c>
    </row>
    <row r="70" spans="1:3" x14ac:dyDescent="0.25">
      <c r="A70" t="s">
        <v>2836</v>
      </c>
      <c r="B70" t="s">
        <v>2811</v>
      </c>
      <c r="C70">
        <v>0</v>
      </c>
    </row>
    <row r="71" spans="1:3" x14ac:dyDescent="0.25">
      <c r="A71" t="s">
        <v>2897</v>
      </c>
      <c r="B71" t="s">
        <v>2880</v>
      </c>
      <c r="C71">
        <v>0</v>
      </c>
    </row>
    <row r="72" spans="1:3" x14ac:dyDescent="0.25">
      <c r="A72" t="s">
        <v>2898</v>
      </c>
      <c r="B72" t="s">
        <v>2890</v>
      </c>
      <c r="C72">
        <v>0</v>
      </c>
    </row>
    <row r="73" spans="1:3" x14ac:dyDescent="0.25">
      <c r="A73" t="s">
        <v>2899</v>
      </c>
      <c r="B73" t="s">
        <v>2892</v>
      </c>
      <c r="C73">
        <v>0</v>
      </c>
    </row>
    <row r="74" spans="1:3" x14ac:dyDescent="0.25">
      <c r="A74" t="s">
        <v>2900</v>
      </c>
      <c r="B74" t="s">
        <v>2894</v>
      </c>
      <c r="C74">
        <v>0</v>
      </c>
    </row>
    <row r="75" spans="1:3" x14ac:dyDescent="0.25">
      <c r="A75" t="s">
        <v>699</v>
      </c>
      <c r="B75" t="s">
        <v>702</v>
      </c>
      <c r="C75">
        <v>0</v>
      </c>
    </row>
    <row r="76" spans="1:3" x14ac:dyDescent="0.25">
      <c r="A76" t="s">
        <v>2669</v>
      </c>
      <c r="B76" t="s">
        <v>2798</v>
      </c>
      <c r="C76">
        <v>0</v>
      </c>
    </row>
    <row r="77" spans="1:3" x14ac:dyDescent="0.25">
      <c r="A77" t="s">
        <v>2670</v>
      </c>
      <c r="B77" t="s">
        <v>2799</v>
      </c>
      <c r="C77">
        <v>0</v>
      </c>
    </row>
    <row r="78" spans="1:3" x14ac:dyDescent="0.25">
      <c r="A78" t="s">
        <v>2671</v>
      </c>
      <c r="B78" t="s">
        <v>2800</v>
      </c>
      <c r="C78">
        <v>0</v>
      </c>
    </row>
    <row r="79" spans="1:3" x14ac:dyDescent="0.25">
      <c r="A79" t="s">
        <v>2672</v>
      </c>
      <c r="B79" t="s">
        <v>2801</v>
      </c>
      <c r="C79">
        <v>0</v>
      </c>
    </row>
    <row r="80" spans="1:3" x14ac:dyDescent="0.25">
      <c r="A80" t="s">
        <v>2673</v>
      </c>
      <c r="B80" t="s">
        <v>2802</v>
      </c>
      <c r="C80">
        <v>0</v>
      </c>
    </row>
    <row r="81" spans="1:3" x14ac:dyDescent="0.25">
      <c r="A81" t="s">
        <v>2674</v>
      </c>
      <c r="B81" t="s">
        <v>2803</v>
      </c>
      <c r="C81">
        <v>0</v>
      </c>
    </row>
    <row r="82" spans="1:3" x14ac:dyDescent="0.25">
      <c r="A82" t="s">
        <v>2837</v>
      </c>
      <c r="B82" t="s">
        <v>2887</v>
      </c>
      <c r="C82">
        <v>0</v>
      </c>
    </row>
    <row r="83" spans="1:3" x14ac:dyDescent="0.25">
      <c r="A83" t="s">
        <v>2838</v>
      </c>
      <c r="B83" t="s">
        <v>2877</v>
      </c>
      <c r="C83">
        <v>0</v>
      </c>
    </row>
    <row r="84" spans="1:3" x14ac:dyDescent="0.25">
      <c r="A84" t="s">
        <v>2839</v>
      </c>
      <c r="B84" t="s">
        <v>2878</v>
      </c>
      <c r="C84">
        <v>0</v>
      </c>
    </row>
    <row r="85" spans="1:3" x14ac:dyDescent="0.25">
      <c r="A85" t="s">
        <v>2840</v>
      </c>
      <c r="B85" t="s">
        <v>2811</v>
      </c>
      <c r="C85">
        <v>0</v>
      </c>
    </row>
    <row r="86" spans="1:3" x14ac:dyDescent="0.25">
      <c r="A86" t="s">
        <v>2901</v>
      </c>
      <c r="B86" t="s">
        <v>2880</v>
      </c>
      <c r="C86">
        <v>0</v>
      </c>
    </row>
    <row r="87" spans="1:3" x14ac:dyDescent="0.25">
      <c r="A87" t="s">
        <v>2902</v>
      </c>
      <c r="B87" t="s">
        <v>2882</v>
      </c>
      <c r="C87">
        <v>0</v>
      </c>
    </row>
    <row r="88" spans="1:3" x14ac:dyDescent="0.25">
      <c r="A88" t="s">
        <v>2903</v>
      </c>
      <c r="B88" t="s">
        <v>2884</v>
      </c>
      <c r="C88">
        <v>0</v>
      </c>
    </row>
    <row r="89" spans="1:3" x14ac:dyDescent="0.25">
      <c r="A89" t="s">
        <v>2904</v>
      </c>
      <c r="B89" t="s">
        <v>2886</v>
      </c>
      <c r="C89">
        <v>0</v>
      </c>
    </row>
    <row r="90" spans="1:3" x14ac:dyDescent="0.25">
      <c r="A90" t="s">
        <v>701</v>
      </c>
      <c r="B90" t="s">
        <v>675</v>
      </c>
      <c r="C90">
        <v>6180</v>
      </c>
    </row>
    <row r="91" spans="1:3" x14ac:dyDescent="0.25">
      <c r="A91" t="s">
        <v>1421</v>
      </c>
      <c r="B91" t="s">
        <v>1420</v>
      </c>
      <c r="C91">
        <v>6180</v>
      </c>
    </row>
    <row r="92" spans="1:3" x14ac:dyDescent="0.25">
      <c r="A92" t="s">
        <v>1419</v>
      </c>
      <c r="B92" t="s">
        <v>677</v>
      </c>
      <c r="C92">
        <v>0</v>
      </c>
    </row>
    <row r="93" spans="1:3" x14ac:dyDescent="0.25">
      <c r="A93" t="s">
        <v>1422</v>
      </c>
      <c r="B93" t="s">
        <v>679</v>
      </c>
      <c r="C93">
        <v>0</v>
      </c>
    </row>
    <row r="94" spans="1:3" x14ac:dyDescent="0.25">
      <c r="A94" t="s">
        <v>1423</v>
      </c>
      <c r="B94" t="s">
        <v>681</v>
      </c>
      <c r="C94">
        <v>0</v>
      </c>
    </row>
    <row r="95" spans="1:3" x14ac:dyDescent="0.25">
      <c r="A95" t="s">
        <v>674</v>
      </c>
      <c r="B95" t="s">
        <v>223</v>
      </c>
      <c r="C95">
        <v>0</v>
      </c>
    </row>
    <row r="96" spans="1:3" x14ac:dyDescent="0.25">
      <c r="A96" t="s">
        <v>682</v>
      </c>
      <c r="B96" t="s">
        <v>2841</v>
      </c>
      <c r="C96">
        <v>224198</v>
      </c>
    </row>
    <row r="97" spans="1:3" x14ac:dyDescent="0.25">
      <c r="A97" t="s">
        <v>683</v>
      </c>
      <c r="B97" t="s">
        <v>1424</v>
      </c>
      <c r="C97">
        <v>0</v>
      </c>
    </row>
    <row r="98" spans="1:3" x14ac:dyDescent="0.25">
      <c r="A98" t="s">
        <v>2689</v>
      </c>
      <c r="B98" t="s">
        <v>703</v>
      </c>
      <c r="C98">
        <v>59628979</v>
      </c>
    </row>
    <row r="99" spans="1:3" x14ac:dyDescent="0.25">
      <c r="A99" t="s">
        <v>2690</v>
      </c>
      <c r="B99" t="s">
        <v>704</v>
      </c>
      <c r="C99">
        <v>0</v>
      </c>
    </row>
    <row r="100" spans="1:3" x14ac:dyDescent="0.25">
      <c r="A100" t="s">
        <v>705</v>
      </c>
      <c r="B100" t="s">
        <v>706</v>
      </c>
      <c r="C100">
        <v>0</v>
      </c>
    </row>
    <row r="101" spans="1:3" x14ac:dyDescent="0.25">
      <c r="A101" t="s">
        <v>707</v>
      </c>
      <c r="B101" t="s">
        <v>2691</v>
      </c>
      <c r="C101">
        <v>0</v>
      </c>
    </row>
    <row r="102" spans="1:3" x14ac:dyDescent="0.25">
      <c r="A102" t="s">
        <v>709</v>
      </c>
      <c r="B102" t="s">
        <v>32</v>
      </c>
      <c r="C102">
        <v>0</v>
      </c>
    </row>
    <row r="103" spans="1:3" x14ac:dyDescent="0.25">
      <c r="A103" t="s">
        <v>710</v>
      </c>
      <c r="B103" t="s">
        <v>232</v>
      </c>
      <c r="C103">
        <v>0</v>
      </c>
    </row>
    <row r="104" spans="1:3" x14ac:dyDescent="0.25">
      <c r="A104" t="s">
        <v>711</v>
      </c>
      <c r="B104" t="s">
        <v>1063</v>
      </c>
      <c r="C104">
        <v>0</v>
      </c>
    </row>
    <row r="105" spans="1:3" x14ac:dyDescent="0.25">
      <c r="A105" t="s">
        <v>2692</v>
      </c>
      <c r="B105" t="s">
        <v>2693</v>
      </c>
      <c r="C105">
        <v>0</v>
      </c>
    </row>
    <row r="106" spans="1:3" x14ac:dyDescent="0.25">
      <c r="A106" t="s">
        <v>2905</v>
      </c>
      <c r="B106" t="s">
        <v>2906</v>
      </c>
      <c r="C106">
        <v>0</v>
      </c>
    </row>
    <row r="107" spans="1:3" x14ac:dyDescent="0.25">
      <c r="A107" t="s">
        <v>2694</v>
      </c>
      <c r="B107" t="s">
        <v>712</v>
      </c>
      <c r="C107">
        <v>0</v>
      </c>
    </row>
    <row r="108" spans="1:3" x14ac:dyDescent="0.25">
      <c r="A108" t="s">
        <v>610</v>
      </c>
      <c r="B108" t="s">
        <v>1430</v>
      </c>
      <c r="C108">
        <v>0</v>
      </c>
    </row>
    <row r="109" spans="1:3" x14ac:dyDescent="0.25">
      <c r="A109" t="s">
        <v>641</v>
      </c>
      <c r="B109" t="s">
        <v>1427</v>
      </c>
      <c r="C109">
        <v>0</v>
      </c>
    </row>
    <row r="110" spans="1:3" x14ac:dyDescent="0.25">
      <c r="A110" t="s">
        <v>642</v>
      </c>
      <c r="B110" t="s">
        <v>1431</v>
      </c>
      <c r="C110">
        <v>0</v>
      </c>
    </row>
    <row r="111" spans="1:3" x14ac:dyDescent="0.25">
      <c r="A111" t="s">
        <v>2707</v>
      </c>
      <c r="B111" t="s">
        <v>1420</v>
      </c>
      <c r="C111">
        <v>0</v>
      </c>
    </row>
    <row r="112" spans="1:3" x14ac:dyDescent="0.25">
      <c r="A112" t="s">
        <v>2708</v>
      </c>
      <c r="B112" t="s">
        <v>2842</v>
      </c>
      <c r="C112">
        <v>0</v>
      </c>
    </row>
    <row r="113" spans="1:3" x14ac:dyDescent="0.25">
      <c r="A113" t="s">
        <v>2712</v>
      </c>
      <c r="B113" t="s">
        <v>2843</v>
      </c>
      <c r="C113">
        <v>0</v>
      </c>
    </row>
    <row r="114" spans="1:3" x14ac:dyDescent="0.25">
      <c r="A114" t="s">
        <v>716</v>
      </c>
      <c r="B114" t="s">
        <v>1432</v>
      </c>
      <c r="C114">
        <v>0</v>
      </c>
    </row>
    <row r="115" spans="1:3" x14ac:dyDescent="0.25">
      <c r="A115" t="s">
        <v>2844</v>
      </c>
      <c r="B115" t="s">
        <v>1420</v>
      </c>
      <c r="C115">
        <v>0</v>
      </c>
    </row>
    <row r="116" spans="1:3" x14ac:dyDescent="0.25">
      <c r="A116" t="s">
        <v>2845</v>
      </c>
      <c r="B116" t="s">
        <v>2709</v>
      </c>
      <c r="C116">
        <v>0</v>
      </c>
    </row>
    <row r="117" spans="1:3" x14ac:dyDescent="0.25">
      <c r="A117" t="s">
        <v>2846</v>
      </c>
      <c r="B117" t="s">
        <v>2711</v>
      </c>
      <c r="C117">
        <v>0</v>
      </c>
    </row>
    <row r="118" spans="1:3" x14ac:dyDescent="0.25">
      <c r="A118" t="s">
        <v>2847</v>
      </c>
      <c r="B118" t="s">
        <v>2713</v>
      </c>
      <c r="C118">
        <v>0</v>
      </c>
    </row>
    <row r="119" spans="1:3" x14ac:dyDescent="0.25">
      <c r="A119" t="s">
        <v>2848</v>
      </c>
      <c r="B119" t="s">
        <v>2711</v>
      </c>
      <c r="C119">
        <v>0</v>
      </c>
    </row>
    <row r="120" spans="1:3" x14ac:dyDescent="0.25">
      <c r="A120" t="s">
        <v>717</v>
      </c>
      <c r="B120" t="s">
        <v>235</v>
      </c>
      <c r="C120">
        <v>0</v>
      </c>
    </row>
    <row r="121" spans="1:3" x14ac:dyDescent="0.25">
      <c r="A121" t="s">
        <v>719</v>
      </c>
      <c r="B121" t="s">
        <v>2849</v>
      </c>
      <c r="C121">
        <v>0</v>
      </c>
    </row>
    <row r="122" spans="1:3" x14ac:dyDescent="0.25">
      <c r="A122" t="s">
        <v>2726</v>
      </c>
      <c r="B122" t="s">
        <v>723</v>
      </c>
      <c r="C122">
        <v>0</v>
      </c>
    </row>
    <row r="123" spans="1:3" x14ac:dyDescent="0.25">
      <c r="A123" t="s">
        <v>2727</v>
      </c>
      <c r="B123" t="s">
        <v>621</v>
      </c>
      <c r="C123">
        <v>59628979</v>
      </c>
    </row>
    <row r="124" spans="1:3" x14ac:dyDescent="0.25">
      <c r="A124" t="s">
        <v>2728</v>
      </c>
      <c r="B124" t="s">
        <v>724</v>
      </c>
      <c r="C124">
        <v>16743739</v>
      </c>
    </row>
    <row r="125" spans="1:3" x14ac:dyDescent="0.25">
      <c r="A125" t="s">
        <v>725</v>
      </c>
      <c r="B125" t="s">
        <v>706</v>
      </c>
      <c r="C125">
        <v>0</v>
      </c>
    </row>
    <row r="126" spans="1:3" x14ac:dyDescent="0.25">
      <c r="A126" t="s">
        <v>791</v>
      </c>
      <c r="B126" t="s">
        <v>2729</v>
      </c>
      <c r="C126">
        <v>0</v>
      </c>
    </row>
    <row r="127" spans="1:3" x14ac:dyDescent="0.25">
      <c r="A127" t="s">
        <v>792</v>
      </c>
      <c r="B127" t="s">
        <v>2730</v>
      </c>
      <c r="C127">
        <v>0</v>
      </c>
    </row>
    <row r="128" spans="1:3" x14ac:dyDescent="0.25">
      <c r="A128" t="s">
        <v>726</v>
      </c>
      <c r="B128" t="s">
        <v>2850</v>
      </c>
      <c r="C128">
        <v>3655</v>
      </c>
    </row>
    <row r="129" spans="1:3" x14ac:dyDescent="0.25">
      <c r="A129" t="s">
        <v>728</v>
      </c>
      <c r="B129" t="s">
        <v>2851</v>
      </c>
      <c r="C129">
        <v>0</v>
      </c>
    </row>
    <row r="130" spans="1:3" x14ac:dyDescent="0.25">
      <c r="A130" t="s">
        <v>2852</v>
      </c>
      <c r="B130" t="s">
        <v>2853</v>
      </c>
      <c r="C130">
        <v>0</v>
      </c>
    </row>
    <row r="131" spans="1:3" x14ac:dyDescent="0.25">
      <c r="A131" t="s">
        <v>730</v>
      </c>
      <c r="B131" t="s">
        <v>1428</v>
      </c>
      <c r="C131">
        <v>0</v>
      </c>
    </row>
    <row r="132" spans="1:3" x14ac:dyDescent="0.25">
      <c r="A132" t="s">
        <v>731</v>
      </c>
      <c r="B132" t="s">
        <v>732</v>
      </c>
      <c r="C132">
        <v>4344622</v>
      </c>
    </row>
    <row r="133" spans="1:3" x14ac:dyDescent="0.25">
      <c r="A133" t="s">
        <v>2733</v>
      </c>
      <c r="B133" t="s">
        <v>2798</v>
      </c>
      <c r="C133">
        <v>0</v>
      </c>
    </row>
    <row r="134" spans="1:3" x14ac:dyDescent="0.25">
      <c r="A134" t="s">
        <v>2734</v>
      </c>
      <c r="B134" t="s">
        <v>2799</v>
      </c>
      <c r="C134">
        <v>0</v>
      </c>
    </row>
    <row r="135" spans="1:3" x14ac:dyDescent="0.25">
      <c r="A135" t="s">
        <v>2735</v>
      </c>
      <c r="B135" t="s">
        <v>2800</v>
      </c>
      <c r="C135">
        <v>0</v>
      </c>
    </row>
    <row r="136" spans="1:3" x14ac:dyDescent="0.25">
      <c r="A136" t="s">
        <v>2736</v>
      </c>
      <c r="B136" t="s">
        <v>2801</v>
      </c>
      <c r="C136">
        <v>0</v>
      </c>
    </row>
    <row r="137" spans="1:3" x14ac:dyDescent="0.25">
      <c r="A137" t="s">
        <v>2737</v>
      </c>
      <c r="B137" t="s">
        <v>2802</v>
      </c>
      <c r="C137">
        <v>0</v>
      </c>
    </row>
    <row r="138" spans="1:3" x14ac:dyDescent="0.25">
      <c r="A138" t="s">
        <v>2738</v>
      </c>
      <c r="B138" t="s">
        <v>2803</v>
      </c>
      <c r="C138">
        <v>0</v>
      </c>
    </row>
    <row r="139" spans="1:3" x14ac:dyDescent="0.25">
      <c r="A139" t="s">
        <v>2854</v>
      </c>
      <c r="B139" t="s">
        <v>2887</v>
      </c>
      <c r="C139">
        <v>0</v>
      </c>
    </row>
    <row r="140" spans="1:3" x14ac:dyDescent="0.25">
      <c r="A140" t="s">
        <v>2855</v>
      </c>
      <c r="B140" t="s">
        <v>2877</v>
      </c>
      <c r="C140">
        <v>0</v>
      </c>
    </row>
    <row r="141" spans="1:3" x14ac:dyDescent="0.25">
      <c r="A141" t="s">
        <v>2856</v>
      </c>
      <c r="B141" t="s">
        <v>2878</v>
      </c>
      <c r="C141">
        <v>0</v>
      </c>
    </row>
    <row r="142" spans="1:3" x14ac:dyDescent="0.25">
      <c r="A142" t="s">
        <v>2857</v>
      </c>
      <c r="B142" t="s">
        <v>2811</v>
      </c>
      <c r="C142">
        <v>0</v>
      </c>
    </row>
    <row r="143" spans="1:3" x14ac:dyDescent="0.25">
      <c r="A143" t="s">
        <v>2907</v>
      </c>
      <c r="B143" t="s">
        <v>2880</v>
      </c>
      <c r="C143">
        <v>661899</v>
      </c>
    </row>
    <row r="144" spans="1:3" x14ac:dyDescent="0.25">
      <c r="A144" t="s">
        <v>2908</v>
      </c>
      <c r="B144" t="s">
        <v>2882</v>
      </c>
      <c r="C144">
        <v>651969</v>
      </c>
    </row>
    <row r="145" spans="1:3" x14ac:dyDescent="0.25">
      <c r="A145" t="s">
        <v>2909</v>
      </c>
      <c r="B145" t="s">
        <v>2910</v>
      </c>
      <c r="C145">
        <v>1507417</v>
      </c>
    </row>
    <row r="146" spans="1:3" x14ac:dyDescent="0.25">
      <c r="A146" t="s">
        <v>2911</v>
      </c>
      <c r="B146" t="s">
        <v>2912</v>
      </c>
      <c r="C146">
        <v>855448</v>
      </c>
    </row>
    <row r="147" spans="1:3" x14ac:dyDescent="0.25">
      <c r="A147" t="s">
        <v>733</v>
      </c>
      <c r="B147" t="s">
        <v>734</v>
      </c>
      <c r="C147">
        <v>0</v>
      </c>
    </row>
    <row r="148" spans="1:3" x14ac:dyDescent="0.25">
      <c r="A148" t="s">
        <v>2739</v>
      </c>
      <c r="B148" t="s">
        <v>2798</v>
      </c>
      <c r="C148">
        <v>0</v>
      </c>
    </row>
    <row r="149" spans="1:3" x14ac:dyDescent="0.25">
      <c r="A149" t="s">
        <v>2740</v>
      </c>
      <c r="B149" t="s">
        <v>2799</v>
      </c>
      <c r="C149">
        <v>0</v>
      </c>
    </row>
    <row r="150" spans="1:3" x14ac:dyDescent="0.25">
      <c r="A150" t="s">
        <v>2741</v>
      </c>
      <c r="B150" t="s">
        <v>2800</v>
      </c>
      <c r="C150">
        <v>0</v>
      </c>
    </row>
    <row r="151" spans="1:3" x14ac:dyDescent="0.25">
      <c r="A151" t="s">
        <v>2742</v>
      </c>
      <c r="B151" t="s">
        <v>2801</v>
      </c>
      <c r="C151">
        <v>0</v>
      </c>
    </row>
    <row r="152" spans="1:3" x14ac:dyDescent="0.25">
      <c r="A152" t="s">
        <v>2743</v>
      </c>
      <c r="B152" t="s">
        <v>2802</v>
      </c>
      <c r="C152">
        <v>0</v>
      </c>
    </row>
    <row r="153" spans="1:3" x14ac:dyDescent="0.25">
      <c r="A153" t="s">
        <v>2744</v>
      </c>
      <c r="B153" t="s">
        <v>2803</v>
      </c>
      <c r="C153">
        <v>0</v>
      </c>
    </row>
    <row r="154" spans="1:3" x14ac:dyDescent="0.25">
      <c r="A154" t="s">
        <v>2858</v>
      </c>
      <c r="B154" t="s">
        <v>2887</v>
      </c>
      <c r="C154">
        <v>0</v>
      </c>
    </row>
    <row r="155" spans="1:3" x14ac:dyDescent="0.25">
      <c r="A155" t="s">
        <v>2859</v>
      </c>
      <c r="B155" t="s">
        <v>2877</v>
      </c>
      <c r="C155">
        <v>0</v>
      </c>
    </row>
    <row r="156" spans="1:3" x14ac:dyDescent="0.25">
      <c r="A156" t="s">
        <v>2860</v>
      </c>
      <c r="B156" t="s">
        <v>2878</v>
      </c>
      <c r="C156">
        <v>0</v>
      </c>
    </row>
    <row r="157" spans="1:3" x14ac:dyDescent="0.25">
      <c r="A157" t="s">
        <v>2861</v>
      </c>
      <c r="B157" t="s">
        <v>2811</v>
      </c>
      <c r="C157">
        <v>0</v>
      </c>
    </row>
    <row r="158" spans="1:3" x14ac:dyDescent="0.25">
      <c r="A158" t="s">
        <v>2913</v>
      </c>
      <c r="B158" t="s">
        <v>2880</v>
      </c>
      <c r="C158">
        <v>0</v>
      </c>
    </row>
    <row r="159" spans="1:3" x14ac:dyDescent="0.25">
      <c r="A159" t="s">
        <v>2914</v>
      </c>
      <c r="B159" t="s">
        <v>2890</v>
      </c>
      <c r="C159">
        <v>0</v>
      </c>
    </row>
    <row r="160" spans="1:3" x14ac:dyDescent="0.25">
      <c r="A160" t="s">
        <v>2915</v>
      </c>
      <c r="B160" t="s">
        <v>2892</v>
      </c>
      <c r="C160">
        <v>0</v>
      </c>
    </row>
    <row r="161" spans="1:3" x14ac:dyDescent="0.25">
      <c r="A161" t="s">
        <v>2916</v>
      </c>
      <c r="B161" t="s">
        <v>2894</v>
      </c>
      <c r="C161">
        <v>0</v>
      </c>
    </row>
    <row r="162" spans="1:3" x14ac:dyDescent="0.25">
      <c r="A162" t="s">
        <v>735</v>
      </c>
      <c r="B162" t="s">
        <v>2862</v>
      </c>
      <c r="C162">
        <v>12391737</v>
      </c>
    </row>
    <row r="163" spans="1:3" x14ac:dyDescent="0.25">
      <c r="A163" t="s">
        <v>737</v>
      </c>
      <c r="B163" t="s">
        <v>1067</v>
      </c>
      <c r="C163">
        <v>0</v>
      </c>
    </row>
    <row r="164" spans="1:3" x14ac:dyDescent="0.25">
      <c r="A164" t="s">
        <v>738</v>
      </c>
      <c r="B164" t="s">
        <v>2863</v>
      </c>
      <c r="C164">
        <v>1131762</v>
      </c>
    </row>
    <row r="165" spans="1:3" x14ac:dyDescent="0.25">
      <c r="A165" t="s">
        <v>2864</v>
      </c>
      <c r="B165" t="s">
        <v>1066</v>
      </c>
      <c r="C165">
        <v>0</v>
      </c>
    </row>
    <row r="166" spans="1:3" x14ac:dyDescent="0.25">
      <c r="A166" t="s">
        <v>2917</v>
      </c>
      <c r="B166" t="s">
        <v>2918</v>
      </c>
      <c r="C166">
        <v>0</v>
      </c>
    </row>
    <row r="167" spans="1:3" x14ac:dyDescent="0.25">
      <c r="A167" t="s">
        <v>739</v>
      </c>
      <c r="B167" t="s">
        <v>2865</v>
      </c>
      <c r="C167">
        <v>3725</v>
      </c>
    </row>
    <row r="168" spans="1:3" x14ac:dyDescent="0.25">
      <c r="A168" t="s">
        <v>2866</v>
      </c>
      <c r="B168" t="s">
        <v>2867</v>
      </c>
      <c r="C168">
        <v>0</v>
      </c>
    </row>
    <row r="169" spans="1:3" x14ac:dyDescent="0.25">
      <c r="A169" t="s">
        <v>740</v>
      </c>
      <c r="B169" t="s">
        <v>1429</v>
      </c>
      <c r="C169">
        <v>0</v>
      </c>
    </row>
    <row r="170" spans="1:3" x14ac:dyDescent="0.25">
      <c r="A170" t="s">
        <v>2919</v>
      </c>
      <c r="B170" t="s">
        <v>2920</v>
      </c>
      <c r="C170">
        <v>0</v>
      </c>
    </row>
    <row r="171" spans="1:3" x14ac:dyDescent="0.25">
      <c r="A171" t="s">
        <v>2747</v>
      </c>
      <c r="B171" t="s">
        <v>742</v>
      </c>
      <c r="C171">
        <v>0</v>
      </c>
    </row>
    <row r="172" spans="1:3" x14ac:dyDescent="0.25">
      <c r="A172" t="s">
        <v>743</v>
      </c>
      <c r="B172" t="s">
        <v>1430</v>
      </c>
      <c r="C172">
        <v>0</v>
      </c>
    </row>
    <row r="173" spans="1:3" x14ac:dyDescent="0.25">
      <c r="A173" t="s">
        <v>744</v>
      </c>
      <c r="B173" t="s">
        <v>1427</v>
      </c>
      <c r="C173">
        <v>0</v>
      </c>
    </row>
    <row r="174" spans="1:3" x14ac:dyDescent="0.25">
      <c r="A174" t="s">
        <v>745</v>
      </c>
      <c r="B174" t="s">
        <v>1431</v>
      </c>
      <c r="C174">
        <v>0</v>
      </c>
    </row>
    <row r="175" spans="1:3" x14ac:dyDescent="0.25">
      <c r="A175" t="s">
        <v>2758</v>
      </c>
      <c r="B175" t="s">
        <v>1420</v>
      </c>
      <c r="C175">
        <v>0</v>
      </c>
    </row>
    <row r="176" spans="1:3" x14ac:dyDescent="0.25">
      <c r="A176" t="s">
        <v>2759</v>
      </c>
      <c r="B176" t="s">
        <v>2842</v>
      </c>
      <c r="C176">
        <v>0</v>
      </c>
    </row>
    <row r="177" spans="1:3" x14ac:dyDescent="0.25">
      <c r="A177" t="s">
        <v>2761</v>
      </c>
      <c r="B177" t="s">
        <v>2843</v>
      </c>
      <c r="C177">
        <v>0</v>
      </c>
    </row>
    <row r="178" spans="1:3" x14ac:dyDescent="0.25">
      <c r="A178" t="s">
        <v>746</v>
      </c>
      <c r="B178" t="s">
        <v>1432</v>
      </c>
      <c r="C178">
        <v>0</v>
      </c>
    </row>
    <row r="179" spans="1:3" x14ac:dyDescent="0.25">
      <c r="A179" t="s">
        <v>2868</v>
      </c>
      <c r="B179" t="s">
        <v>1420</v>
      </c>
      <c r="C179">
        <v>0</v>
      </c>
    </row>
    <row r="180" spans="1:3" x14ac:dyDescent="0.25">
      <c r="A180" t="s">
        <v>2869</v>
      </c>
      <c r="B180" t="s">
        <v>2709</v>
      </c>
      <c r="C180">
        <v>0</v>
      </c>
    </row>
    <row r="181" spans="1:3" x14ac:dyDescent="0.25">
      <c r="A181" t="s">
        <v>2870</v>
      </c>
      <c r="B181" t="s">
        <v>2711</v>
      </c>
      <c r="C181">
        <v>0</v>
      </c>
    </row>
    <row r="182" spans="1:3" x14ac:dyDescent="0.25">
      <c r="A182" t="s">
        <v>2871</v>
      </c>
      <c r="B182" t="s">
        <v>2713</v>
      </c>
      <c r="C182">
        <v>0</v>
      </c>
    </row>
    <row r="183" spans="1:3" x14ac:dyDescent="0.25">
      <c r="A183" t="s">
        <v>2872</v>
      </c>
      <c r="B183" t="s">
        <v>2711</v>
      </c>
      <c r="C183">
        <v>0</v>
      </c>
    </row>
    <row r="184" spans="1:3" x14ac:dyDescent="0.25">
      <c r="A184" t="s">
        <v>748</v>
      </c>
      <c r="B184" t="s">
        <v>1433</v>
      </c>
      <c r="C184">
        <v>0</v>
      </c>
    </row>
    <row r="185" spans="1:3" x14ac:dyDescent="0.25">
      <c r="A185" t="s">
        <v>750</v>
      </c>
      <c r="B185" t="s">
        <v>2873</v>
      </c>
      <c r="C185">
        <v>0</v>
      </c>
    </row>
    <row r="186" spans="1:3" x14ac:dyDescent="0.25">
      <c r="A186" t="s">
        <v>751</v>
      </c>
      <c r="B186" t="s">
        <v>2921</v>
      </c>
      <c r="C186">
        <v>0</v>
      </c>
    </row>
    <row r="187" spans="1:3" x14ac:dyDescent="0.25">
      <c r="A187" t="s">
        <v>2765</v>
      </c>
      <c r="B187" t="s">
        <v>2922</v>
      </c>
      <c r="C187">
        <v>0</v>
      </c>
    </row>
    <row r="188" spans="1:3" x14ac:dyDescent="0.25">
      <c r="A188" t="s">
        <v>2767</v>
      </c>
      <c r="B188" t="s">
        <v>2923</v>
      </c>
      <c r="C188">
        <v>0</v>
      </c>
    </row>
    <row r="189" spans="1:3" x14ac:dyDescent="0.25">
      <c r="A189" t="s">
        <v>2924</v>
      </c>
      <c r="B189" t="s">
        <v>637</v>
      </c>
      <c r="C189">
        <v>76372718</v>
      </c>
    </row>
    <row r="190" spans="1:3" x14ac:dyDescent="0.25">
      <c r="A190" t="s">
        <v>2779</v>
      </c>
      <c r="B190" t="s">
        <v>2874</v>
      </c>
      <c r="C190">
        <v>0</v>
      </c>
    </row>
    <row r="191" spans="1:3" x14ac:dyDescent="0.25">
      <c r="A191" t="s">
        <v>753</v>
      </c>
      <c r="B191" t="s">
        <v>635</v>
      </c>
      <c r="C191">
        <v>0</v>
      </c>
    </row>
    <row r="192" spans="1:3" x14ac:dyDescent="0.25">
      <c r="A192" t="s">
        <v>754</v>
      </c>
      <c r="B192" t="s">
        <v>1435</v>
      </c>
      <c r="C192">
        <v>0</v>
      </c>
    </row>
    <row r="193" spans="1:3" x14ac:dyDescent="0.25">
      <c r="A193" t="s">
        <v>755</v>
      </c>
      <c r="B193" t="s">
        <v>2925</v>
      </c>
      <c r="C193">
        <v>0</v>
      </c>
    </row>
    <row r="194" spans="1:3" x14ac:dyDescent="0.25">
      <c r="A194" t="s">
        <v>2782</v>
      </c>
      <c r="B194" t="s">
        <v>2875</v>
      </c>
      <c r="C194">
        <v>20796174</v>
      </c>
    </row>
    <row r="195" spans="1:3" x14ac:dyDescent="0.25">
      <c r="A195" t="s">
        <v>2790</v>
      </c>
      <c r="B195" t="s">
        <v>632</v>
      </c>
      <c r="C195">
        <v>16743739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C03A7-8DAB-437C-9609-C7228FFF952A}">
  <dimension ref="A1:C164"/>
  <sheetViews>
    <sheetView topLeftCell="A58" workbookViewId="0">
      <selection activeCell="B73" sqref="B73"/>
    </sheetView>
  </sheetViews>
  <sheetFormatPr defaultRowHeight="15" x14ac:dyDescent="0.25"/>
  <cols>
    <col min="1" max="1" width="16.28515625" bestFit="1" customWidth="1"/>
    <col min="2" max="2" width="81.140625" bestFit="1" customWidth="1"/>
    <col min="3" max="3" width="9" bestFit="1" customWidth="1"/>
  </cols>
  <sheetData>
    <row r="1" spans="1:3" x14ac:dyDescent="0.25">
      <c r="A1" t="s">
        <v>1486</v>
      </c>
      <c r="B1" t="s">
        <v>2626</v>
      </c>
      <c r="C1" t="s">
        <v>2609</v>
      </c>
    </row>
    <row r="2" spans="1:3" x14ac:dyDescent="0.25">
      <c r="A2" t="s">
        <v>2627</v>
      </c>
      <c r="B2" t="s">
        <v>644</v>
      </c>
      <c r="C2">
        <v>75168165</v>
      </c>
    </row>
    <row r="3" spans="1:3" x14ac:dyDescent="0.25">
      <c r="A3" t="s">
        <v>2628</v>
      </c>
      <c r="B3" t="s">
        <v>645</v>
      </c>
      <c r="C3">
        <v>66788831</v>
      </c>
    </row>
    <row r="4" spans="1:3" x14ac:dyDescent="0.25">
      <c r="A4" t="s">
        <v>646</v>
      </c>
      <c r="B4" t="s">
        <v>647</v>
      </c>
      <c r="C4">
        <v>48011741</v>
      </c>
    </row>
    <row r="5" spans="1:3" x14ac:dyDescent="0.25">
      <c r="A5" t="s">
        <v>648</v>
      </c>
      <c r="B5" t="s">
        <v>649</v>
      </c>
      <c r="C5">
        <v>48011741</v>
      </c>
    </row>
    <row r="6" spans="1:3" x14ac:dyDescent="0.25">
      <c r="A6" t="s">
        <v>650</v>
      </c>
      <c r="B6" t="s">
        <v>2792</v>
      </c>
      <c r="C6">
        <v>0</v>
      </c>
    </row>
    <row r="7" spans="1:3" x14ac:dyDescent="0.25">
      <c r="A7" t="s">
        <v>2793</v>
      </c>
      <c r="B7" t="s">
        <v>2794</v>
      </c>
      <c r="C7">
        <v>0</v>
      </c>
    </row>
    <row r="8" spans="1:3" x14ac:dyDescent="0.25">
      <c r="A8" t="s">
        <v>652</v>
      </c>
      <c r="B8" t="s">
        <v>653</v>
      </c>
      <c r="C8">
        <v>0</v>
      </c>
    </row>
    <row r="9" spans="1:3" x14ac:dyDescent="0.25">
      <c r="A9" t="s">
        <v>654</v>
      </c>
      <c r="B9" t="s">
        <v>655</v>
      </c>
      <c r="C9">
        <v>0</v>
      </c>
    </row>
    <row r="10" spans="1:3" x14ac:dyDescent="0.25">
      <c r="A10" t="s">
        <v>656</v>
      </c>
      <c r="B10" t="s">
        <v>657</v>
      </c>
      <c r="C10">
        <v>0</v>
      </c>
    </row>
    <row r="11" spans="1:3" x14ac:dyDescent="0.25">
      <c r="A11" t="s">
        <v>658</v>
      </c>
      <c r="B11" t="s">
        <v>659</v>
      </c>
      <c r="C11">
        <v>0</v>
      </c>
    </row>
    <row r="12" spans="1:3" x14ac:dyDescent="0.25">
      <c r="A12" t="s">
        <v>660</v>
      </c>
      <c r="B12" t="s">
        <v>2795</v>
      </c>
      <c r="C12">
        <v>0</v>
      </c>
    </row>
    <row r="13" spans="1:3" x14ac:dyDescent="0.25">
      <c r="A13" t="s">
        <v>2796</v>
      </c>
      <c r="B13" t="s">
        <v>2797</v>
      </c>
      <c r="C13">
        <v>0</v>
      </c>
    </row>
    <row r="14" spans="1:3" x14ac:dyDescent="0.25">
      <c r="A14" t="s">
        <v>662</v>
      </c>
      <c r="B14" t="s">
        <v>663</v>
      </c>
      <c r="C14">
        <v>0</v>
      </c>
    </row>
    <row r="15" spans="1:3" x14ac:dyDescent="0.25">
      <c r="A15" t="s">
        <v>664</v>
      </c>
      <c r="B15" t="s">
        <v>665</v>
      </c>
      <c r="C15">
        <v>520535</v>
      </c>
    </row>
    <row r="16" spans="1:3" x14ac:dyDescent="0.25">
      <c r="A16" t="s">
        <v>666</v>
      </c>
      <c r="B16" t="s">
        <v>667</v>
      </c>
      <c r="C16">
        <v>0</v>
      </c>
    </row>
    <row r="17" spans="1:3" x14ac:dyDescent="0.25">
      <c r="A17" t="s">
        <v>668</v>
      </c>
      <c r="B17" t="s">
        <v>669</v>
      </c>
      <c r="C17">
        <v>2515723</v>
      </c>
    </row>
    <row r="18" spans="1:3" x14ac:dyDescent="0.25">
      <c r="A18" t="s">
        <v>2629</v>
      </c>
      <c r="B18" t="s">
        <v>2798</v>
      </c>
      <c r="C18">
        <v>0</v>
      </c>
    </row>
    <row r="19" spans="1:3" x14ac:dyDescent="0.25">
      <c r="A19" t="s">
        <v>2631</v>
      </c>
      <c r="B19" t="s">
        <v>2799</v>
      </c>
      <c r="C19">
        <v>0</v>
      </c>
    </row>
    <row r="20" spans="1:3" x14ac:dyDescent="0.25">
      <c r="A20" t="s">
        <v>2633</v>
      </c>
      <c r="B20" t="s">
        <v>2800</v>
      </c>
      <c r="C20">
        <v>0</v>
      </c>
    </row>
    <row r="21" spans="1:3" x14ac:dyDescent="0.25">
      <c r="A21" t="s">
        <v>2635</v>
      </c>
      <c r="B21" t="s">
        <v>2801</v>
      </c>
      <c r="C21">
        <v>0</v>
      </c>
    </row>
    <row r="22" spans="1:3" x14ac:dyDescent="0.25">
      <c r="A22" t="s">
        <v>2637</v>
      </c>
      <c r="B22" t="s">
        <v>2802</v>
      </c>
      <c r="C22">
        <v>0</v>
      </c>
    </row>
    <row r="23" spans="1:3" x14ac:dyDescent="0.25">
      <c r="A23" t="s">
        <v>2639</v>
      </c>
      <c r="B23" t="s">
        <v>2803</v>
      </c>
      <c r="C23">
        <v>0</v>
      </c>
    </row>
    <row r="24" spans="1:3" x14ac:dyDescent="0.25">
      <c r="A24" t="s">
        <v>2804</v>
      </c>
      <c r="B24" t="s">
        <v>2805</v>
      </c>
      <c r="C24">
        <v>0</v>
      </c>
    </row>
    <row r="25" spans="1:3" x14ac:dyDescent="0.25">
      <c r="A25" t="s">
        <v>2806</v>
      </c>
      <c r="B25" t="s">
        <v>2807</v>
      </c>
      <c r="C25">
        <v>0</v>
      </c>
    </row>
    <row r="26" spans="1:3" x14ac:dyDescent="0.25">
      <c r="A26" t="s">
        <v>2808</v>
      </c>
      <c r="B26" t="s">
        <v>2809</v>
      </c>
      <c r="C26">
        <v>0</v>
      </c>
    </row>
    <row r="27" spans="1:3" x14ac:dyDescent="0.25">
      <c r="A27" t="s">
        <v>2810</v>
      </c>
      <c r="B27" t="s">
        <v>2811</v>
      </c>
      <c r="C27">
        <v>0</v>
      </c>
    </row>
    <row r="28" spans="1:3" x14ac:dyDescent="0.25">
      <c r="A28" t="s">
        <v>670</v>
      </c>
      <c r="B28" t="s">
        <v>671</v>
      </c>
      <c r="C28">
        <v>15740832</v>
      </c>
    </row>
    <row r="29" spans="1:3" x14ac:dyDescent="0.25">
      <c r="A29" t="s">
        <v>2641</v>
      </c>
      <c r="B29" t="s">
        <v>2798</v>
      </c>
      <c r="C29">
        <v>367065</v>
      </c>
    </row>
    <row r="30" spans="1:3" x14ac:dyDescent="0.25">
      <c r="A30" t="s">
        <v>2642</v>
      </c>
      <c r="B30" t="s">
        <v>2799</v>
      </c>
      <c r="C30">
        <v>0</v>
      </c>
    </row>
    <row r="31" spans="1:3" x14ac:dyDescent="0.25">
      <c r="A31" t="s">
        <v>2643</v>
      </c>
      <c r="B31" t="s">
        <v>2800</v>
      </c>
      <c r="C31">
        <v>367065</v>
      </c>
    </row>
    <row r="32" spans="1:3" x14ac:dyDescent="0.25">
      <c r="A32" t="s">
        <v>2644</v>
      </c>
      <c r="B32" t="s">
        <v>2801</v>
      </c>
      <c r="C32">
        <v>0</v>
      </c>
    </row>
    <row r="33" spans="1:3" x14ac:dyDescent="0.25">
      <c r="A33" t="s">
        <v>2645</v>
      </c>
      <c r="B33" t="s">
        <v>2802</v>
      </c>
      <c r="C33">
        <v>0</v>
      </c>
    </row>
    <row r="34" spans="1:3" x14ac:dyDescent="0.25">
      <c r="A34" t="s">
        <v>2646</v>
      </c>
      <c r="B34" t="s">
        <v>2803</v>
      </c>
      <c r="C34">
        <v>0</v>
      </c>
    </row>
    <row r="35" spans="1:3" x14ac:dyDescent="0.25">
      <c r="A35" t="s">
        <v>2812</v>
      </c>
      <c r="B35" t="s">
        <v>2813</v>
      </c>
      <c r="C35">
        <v>0</v>
      </c>
    </row>
    <row r="36" spans="1:3" x14ac:dyDescent="0.25">
      <c r="A36" t="s">
        <v>2814</v>
      </c>
      <c r="B36" t="s">
        <v>2807</v>
      </c>
      <c r="C36">
        <v>17150</v>
      </c>
    </row>
    <row r="37" spans="1:3" x14ac:dyDescent="0.25">
      <c r="A37" t="s">
        <v>2815</v>
      </c>
      <c r="B37" t="s">
        <v>2809</v>
      </c>
      <c r="C37">
        <v>0</v>
      </c>
    </row>
    <row r="38" spans="1:3" x14ac:dyDescent="0.25">
      <c r="A38" t="s">
        <v>2816</v>
      </c>
      <c r="B38" t="s">
        <v>2811</v>
      </c>
      <c r="C38">
        <v>0</v>
      </c>
    </row>
    <row r="39" spans="1:3" x14ac:dyDescent="0.25">
      <c r="A39" t="s">
        <v>2647</v>
      </c>
      <c r="B39" t="s">
        <v>672</v>
      </c>
      <c r="C39">
        <v>5887874</v>
      </c>
    </row>
    <row r="40" spans="1:3" x14ac:dyDescent="0.25">
      <c r="A40" t="s">
        <v>673</v>
      </c>
      <c r="B40" t="s">
        <v>602</v>
      </c>
      <c r="C40">
        <v>3037328</v>
      </c>
    </row>
    <row r="41" spans="1:3" x14ac:dyDescent="0.25">
      <c r="A41" t="s">
        <v>688</v>
      </c>
      <c r="B41" t="s">
        <v>689</v>
      </c>
      <c r="C41">
        <v>1015794</v>
      </c>
    </row>
    <row r="42" spans="1:3" x14ac:dyDescent="0.25">
      <c r="A42" t="s">
        <v>690</v>
      </c>
      <c r="B42" t="s">
        <v>691</v>
      </c>
      <c r="C42">
        <v>0</v>
      </c>
    </row>
    <row r="43" spans="1:3" x14ac:dyDescent="0.25">
      <c r="A43" t="s">
        <v>692</v>
      </c>
      <c r="B43" t="s">
        <v>2817</v>
      </c>
      <c r="C43">
        <v>397695</v>
      </c>
    </row>
    <row r="44" spans="1:3" x14ac:dyDescent="0.25">
      <c r="A44" t="s">
        <v>2654</v>
      </c>
      <c r="B44" t="s">
        <v>2818</v>
      </c>
      <c r="C44">
        <v>0</v>
      </c>
    </row>
    <row r="45" spans="1:3" x14ac:dyDescent="0.25">
      <c r="A45" t="s">
        <v>2656</v>
      </c>
      <c r="B45" t="s">
        <v>2819</v>
      </c>
      <c r="C45">
        <v>397695</v>
      </c>
    </row>
    <row r="46" spans="1:3" x14ac:dyDescent="0.25">
      <c r="A46" t="s">
        <v>693</v>
      </c>
      <c r="B46" t="s">
        <v>1426</v>
      </c>
      <c r="C46">
        <v>0</v>
      </c>
    </row>
    <row r="47" spans="1:3" x14ac:dyDescent="0.25">
      <c r="A47" t="s">
        <v>695</v>
      </c>
      <c r="B47" t="s">
        <v>2820</v>
      </c>
      <c r="C47">
        <v>0</v>
      </c>
    </row>
    <row r="48" spans="1:3" x14ac:dyDescent="0.25">
      <c r="A48" t="s">
        <v>2821</v>
      </c>
      <c r="B48" t="s">
        <v>2822</v>
      </c>
      <c r="C48">
        <v>0</v>
      </c>
    </row>
    <row r="49" spans="1:3" x14ac:dyDescent="0.25">
      <c r="A49" t="s">
        <v>2823</v>
      </c>
      <c r="B49" t="s">
        <v>2824</v>
      </c>
      <c r="C49">
        <v>0</v>
      </c>
    </row>
    <row r="50" spans="1:3" x14ac:dyDescent="0.25">
      <c r="A50" t="s">
        <v>2825</v>
      </c>
      <c r="B50" t="s">
        <v>2826</v>
      </c>
      <c r="C50">
        <v>0</v>
      </c>
    </row>
    <row r="51" spans="1:3" x14ac:dyDescent="0.25">
      <c r="A51" t="s">
        <v>697</v>
      </c>
      <c r="B51" t="s">
        <v>700</v>
      </c>
      <c r="C51">
        <v>0</v>
      </c>
    </row>
    <row r="52" spans="1:3" x14ac:dyDescent="0.25">
      <c r="A52" t="s">
        <v>2827</v>
      </c>
      <c r="B52" t="s">
        <v>2798</v>
      </c>
      <c r="C52">
        <v>0</v>
      </c>
    </row>
    <row r="53" spans="1:3" x14ac:dyDescent="0.25">
      <c r="A53" t="s">
        <v>2828</v>
      </c>
      <c r="B53" t="s">
        <v>2799</v>
      </c>
      <c r="C53">
        <v>0</v>
      </c>
    </row>
    <row r="54" spans="1:3" x14ac:dyDescent="0.25">
      <c r="A54" t="s">
        <v>2829</v>
      </c>
      <c r="B54" t="s">
        <v>2800</v>
      </c>
      <c r="C54">
        <v>0</v>
      </c>
    </row>
    <row r="55" spans="1:3" x14ac:dyDescent="0.25">
      <c r="A55" t="s">
        <v>2830</v>
      </c>
      <c r="B55" t="s">
        <v>2801</v>
      </c>
      <c r="C55">
        <v>0</v>
      </c>
    </row>
    <row r="56" spans="1:3" x14ac:dyDescent="0.25">
      <c r="A56" t="s">
        <v>2831</v>
      </c>
      <c r="B56" t="s">
        <v>2802</v>
      </c>
      <c r="C56">
        <v>0</v>
      </c>
    </row>
    <row r="57" spans="1:3" x14ac:dyDescent="0.25">
      <c r="A57" t="s">
        <v>2832</v>
      </c>
      <c r="B57" t="s">
        <v>2803</v>
      </c>
      <c r="C57">
        <v>0</v>
      </c>
    </row>
    <row r="58" spans="1:3" x14ac:dyDescent="0.25">
      <c r="A58" t="s">
        <v>2833</v>
      </c>
      <c r="B58" t="s">
        <v>2813</v>
      </c>
      <c r="C58">
        <v>0</v>
      </c>
    </row>
    <row r="59" spans="1:3" x14ac:dyDescent="0.25">
      <c r="A59" t="s">
        <v>2834</v>
      </c>
      <c r="B59" t="s">
        <v>2807</v>
      </c>
      <c r="C59">
        <v>0</v>
      </c>
    </row>
    <row r="60" spans="1:3" x14ac:dyDescent="0.25">
      <c r="A60" t="s">
        <v>2835</v>
      </c>
      <c r="B60" t="s">
        <v>2809</v>
      </c>
      <c r="C60">
        <v>0</v>
      </c>
    </row>
    <row r="61" spans="1:3" x14ac:dyDescent="0.25">
      <c r="A61" t="s">
        <v>2836</v>
      </c>
      <c r="B61" t="s">
        <v>2811</v>
      </c>
      <c r="C61">
        <v>0</v>
      </c>
    </row>
    <row r="62" spans="1:3" x14ac:dyDescent="0.25">
      <c r="A62" t="s">
        <v>699</v>
      </c>
      <c r="B62" t="s">
        <v>702</v>
      </c>
      <c r="C62">
        <v>1206679</v>
      </c>
    </row>
    <row r="63" spans="1:3" x14ac:dyDescent="0.25">
      <c r="A63" t="s">
        <v>2669</v>
      </c>
      <c r="B63" t="s">
        <v>2798</v>
      </c>
      <c r="C63">
        <v>0</v>
      </c>
    </row>
    <row r="64" spans="1:3" x14ac:dyDescent="0.25">
      <c r="A64" t="s">
        <v>2670</v>
      </c>
      <c r="B64" t="s">
        <v>2799</v>
      </c>
      <c r="C64">
        <v>0</v>
      </c>
    </row>
    <row r="65" spans="1:3" x14ac:dyDescent="0.25">
      <c r="A65" t="s">
        <v>2671</v>
      </c>
      <c r="B65" t="s">
        <v>2800</v>
      </c>
      <c r="C65">
        <v>0</v>
      </c>
    </row>
    <row r="66" spans="1:3" x14ac:dyDescent="0.25">
      <c r="A66" t="s">
        <v>2672</v>
      </c>
      <c r="B66" t="s">
        <v>2801</v>
      </c>
      <c r="C66">
        <v>0</v>
      </c>
    </row>
    <row r="67" spans="1:3" x14ac:dyDescent="0.25">
      <c r="A67" t="s">
        <v>2673</v>
      </c>
      <c r="B67" t="s">
        <v>2802</v>
      </c>
      <c r="C67">
        <v>0</v>
      </c>
    </row>
    <row r="68" spans="1:3" x14ac:dyDescent="0.25">
      <c r="A68" t="s">
        <v>2674</v>
      </c>
      <c r="B68" t="s">
        <v>2803</v>
      </c>
      <c r="C68">
        <v>0</v>
      </c>
    </row>
    <row r="69" spans="1:3" x14ac:dyDescent="0.25">
      <c r="A69" t="s">
        <v>2837</v>
      </c>
      <c r="B69" t="s">
        <v>2813</v>
      </c>
      <c r="C69">
        <v>0</v>
      </c>
    </row>
    <row r="70" spans="1:3" x14ac:dyDescent="0.25">
      <c r="A70" t="s">
        <v>2838</v>
      </c>
      <c r="B70" t="s">
        <v>2807</v>
      </c>
      <c r="C70">
        <v>0</v>
      </c>
    </row>
    <row r="71" spans="1:3" x14ac:dyDescent="0.25">
      <c r="A71" t="s">
        <v>2839</v>
      </c>
      <c r="B71" t="s">
        <v>2809</v>
      </c>
      <c r="C71">
        <v>0</v>
      </c>
    </row>
    <row r="72" spans="1:3" x14ac:dyDescent="0.25">
      <c r="A72" t="s">
        <v>2840</v>
      </c>
      <c r="B72" t="s">
        <v>2811</v>
      </c>
      <c r="C72">
        <v>0</v>
      </c>
    </row>
    <row r="73" spans="1:3" x14ac:dyDescent="0.25">
      <c r="A73" t="s">
        <v>701</v>
      </c>
      <c r="B73" t="s">
        <v>675</v>
      </c>
      <c r="C73">
        <v>6180</v>
      </c>
    </row>
    <row r="74" spans="1:3" x14ac:dyDescent="0.25">
      <c r="A74" t="s">
        <v>1421</v>
      </c>
      <c r="B74" t="s">
        <v>1420</v>
      </c>
      <c r="C74">
        <v>6180</v>
      </c>
    </row>
    <row r="75" spans="1:3" x14ac:dyDescent="0.25">
      <c r="A75" t="s">
        <v>1419</v>
      </c>
      <c r="B75" t="s">
        <v>677</v>
      </c>
      <c r="C75">
        <v>0</v>
      </c>
    </row>
    <row r="76" spans="1:3" x14ac:dyDescent="0.25">
      <c r="A76" t="s">
        <v>1422</v>
      </c>
      <c r="B76" t="s">
        <v>679</v>
      </c>
      <c r="C76">
        <v>0</v>
      </c>
    </row>
    <row r="77" spans="1:3" x14ac:dyDescent="0.25">
      <c r="A77" t="s">
        <v>1423</v>
      </c>
      <c r="B77" t="s">
        <v>681</v>
      </c>
      <c r="C77">
        <v>0</v>
      </c>
    </row>
    <row r="78" spans="1:3" x14ac:dyDescent="0.25">
      <c r="A78" t="s">
        <v>674</v>
      </c>
      <c r="B78" t="s">
        <v>223</v>
      </c>
      <c r="C78">
        <v>0</v>
      </c>
    </row>
    <row r="79" spans="1:3" x14ac:dyDescent="0.25">
      <c r="A79" t="s">
        <v>682</v>
      </c>
      <c r="B79" t="s">
        <v>2841</v>
      </c>
      <c r="C79">
        <v>224198</v>
      </c>
    </row>
    <row r="80" spans="1:3" x14ac:dyDescent="0.25">
      <c r="A80" t="s">
        <v>683</v>
      </c>
      <c r="B80" t="s">
        <v>1424</v>
      </c>
      <c r="C80">
        <v>0</v>
      </c>
    </row>
    <row r="81" spans="1:3" x14ac:dyDescent="0.25">
      <c r="A81" t="s">
        <v>2689</v>
      </c>
      <c r="B81" t="s">
        <v>703</v>
      </c>
      <c r="C81">
        <v>60900957</v>
      </c>
    </row>
    <row r="82" spans="1:3" x14ac:dyDescent="0.25">
      <c r="A82" t="s">
        <v>2690</v>
      </c>
      <c r="B82" t="s">
        <v>704</v>
      </c>
      <c r="C82">
        <v>0</v>
      </c>
    </row>
    <row r="83" spans="1:3" x14ac:dyDescent="0.25">
      <c r="A83" t="s">
        <v>705</v>
      </c>
      <c r="B83" t="s">
        <v>706</v>
      </c>
      <c r="C83">
        <v>0</v>
      </c>
    </row>
    <row r="84" spans="1:3" x14ac:dyDescent="0.25">
      <c r="A84" t="s">
        <v>707</v>
      </c>
      <c r="B84" t="s">
        <v>2691</v>
      </c>
      <c r="C84">
        <v>0</v>
      </c>
    </row>
    <row r="85" spans="1:3" x14ac:dyDescent="0.25">
      <c r="A85" t="s">
        <v>709</v>
      </c>
      <c r="B85" t="s">
        <v>32</v>
      </c>
      <c r="C85">
        <v>0</v>
      </c>
    </row>
    <row r="86" spans="1:3" x14ac:dyDescent="0.25">
      <c r="A86" t="s">
        <v>710</v>
      </c>
      <c r="B86" t="s">
        <v>232</v>
      </c>
      <c r="C86">
        <v>0</v>
      </c>
    </row>
    <row r="87" spans="1:3" x14ac:dyDescent="0.25">
      <c r="A87" t="s">
        <v>711</v>
      </c>
      <c r="B87" t="s">
        <v>1063</v>
      </c>
      <c r="C87">
        <v>0</v>
      </c>
    </row>
    <row r="88" spans="1:3" x14ac:dyDescent="0.25">
      <c r="A88" t="s">
        <v>2692</v>
      </c>
      <c r="B88" t="s">
        <v>2693</v>
      </c>
      <c r="C88">
        <v>0</v>
      </c>
    </row>
    <row r="89" spans="1:3" x14ac:dyDescent="0.25">
      <c r="A89" t="s">
        <v>2694</v>
      </c>
      <c r="B89" t="s">
        <v>712</v>
      </c>
      <c r="C89">
        <v>0</v>
      </c>
    </row>
    <row r="90" spans="1:3" x14ac:dyDescent="0.25">
      <c r="A90" t="s">
        <v>610</v>
      </c>
      <c r="B90" t="s">
        <v>1430</v>
      </c>
      <c r="C90">
        <v>0</v>
      </c>
    </row>
    <row r="91" spans="1:3" x14ac:dyDescent="0.25">
      <c r="A91" t="s">
        <v>641</v>
      </c>
      <c r="B91" t="s">
        <v>1427</v>
      </c>
      <c r="C91">
        <v>0</v>
      </c>
    </row>
    <row r="92" spans="1:3" x14ac:dyDescent="0.25">
      <c r="A92" t="s">
        <v>642</v>
      </c>
      <c r="B92" t="s">
        <v>1431</v>
      </c>
      <c r="C92">
        <v>0</v>
      </c>
    </row>
    <row r="93" spans="1:3" x14ac:dyDescent="0.25">
      <c r="A93" t="s">
        <v>2707</v>
      </c>
      <c r="B93" t="s">
        <v>1420</v>
      </c>
      <c r="C93">
        <v>0</v>
      </c>
    </row>
    <row r="94" spans="1:3" x14ac:dyDescent="0.25">
      <c r="A94" t="s">
        <v>2708</v>
      </c>
      <c r="B94" t="s">
        <v>2842</v>
      </c>
      <c r="C94">
        <v>0</v>
      </c>
    </row>
    <row r="95" spans="1:3" x14ac:dyDescent="0.25">
      <c r="A95" t="s">
        <v>2712</v>
      </c>
      <c r="B95" t="s">
        <v>2843</v>
      </c>
      <c r="C95">
        <v>0</v>
      </c>
    </row>
    <row r="96" spans="1:3" x14ac:dyDescent="0.25">
      <c r="A96" t="s">
        <v>716</v>
      </c>
      <c r="B96" t="s">
        <v>1432</v>
      </c>
      <c r="C96">
        <v>0</v>
      </c>
    </row>
    <row r="97" spans="1:3" x14ac:dyDescent="0.25">
      <c r="A97" t="s">
        <v>2844</v>
      </c>
      <c r="B97" t="s">
        <v>1420</v>
      </c>
      <c r="C97">
        <v>0</v>
      </c>
    </row>
    <row r="98" spans="1:3" x14ac:dyDescent="0.25">
      <c r="A98" t="s">
        <v>2845</v>
      </c>
      <c r="B98" t="s">
        <v>2709</v>
      </c>
      <c r="C98">
        <v>0</v>
      </c>
    </row>
    <row r="99" spans="1:3" x14ac:dyDescent="0.25">
      <c r="A99" t="s">
        <v>2846</v>
      </c>
      <c r="B99" t="s">
        <v>2711</v>
      </c>
      <c r="C99">
        <v>0</v>
      </c>
    </row>
    <row r="100" spans="1:3" x14ac:dyDescent="0.25">
      <c r="A100" t="s">
        <v>2847</v>
      </c>
      <c r="B100" t="s">
        <v>2713</v>
      </c>
      <c r="C100">
        <v>0</v>
      </c>
    </row>
    <row r="101" spans="1:3" x14ac:dyDescent="0.25">
      <c r="A101" t="s">
        <v>2848</v>
      </c>
      <c r="B101" t="s">
        <v>2711</v>
      </c>
      <c r="C101">
        <v>0</v>
      </c>
    </row>
    <row r="102" spans="1:3" x14ac:dyDescent="0.25">
      <c r="A102" t="s">
        <v>717</v>
      </c>
      <c r="B102" t="s">
        <v>235</v>
      </c>
      <c r="C102">
        <v>0</v>
      </c>
    </row>
    <row r="103" spans="1:3" x14ac:dyDescent="0.25">
      <c r="A103" t="s">
        <v>719</v>
      </c>
      <c r="B103" t="s">
        <v>2849</v>
      </c>
      <c r="C103">
        <v>0</v>
      </c>
    </row>
    <row r="104" spans="1:3" x14ac:dyDescent="0.25">
      <c r="A104" t="s">
        <v>2726</v>
      </c>
      <c r="B104" t="s">
        <v>723</v>
      </c>
      <c r="C104">
        <v>0</v>
      </c>
    </row>
    <row r="105" spans="1:3" x14ac:dyDescent="0.25">
      <c r="A105" t="s">
        <v>2727</v>
      </c>
      <c r="B105" t="s">
        <v>621</v>
      </c>
      <c r="C105">
        <v>60900957</v>
      </c>
    </row>
    <row r="106" spans="1:3" x14ac:dyDescent="0.25">
      <c r="A106" t="s">
        <v>2728</v>
      </c>
      <c r="B106" t="s">
        <v>724</v>
      </c>
      <c r="C106">
        <v>14267208</v>
      </c>
    </row>
    <row r="107" spans="1:3" x14ac:dyDescent="0.25">
      <c r="A107" t="s">
        <v>725</v>
      </c>
      <c r="B107" t="s">
        <v>706</v>
      </c>
      <c r="C107">
        <v>0</v>
      </c>
    </row>
    <row r="108" spans="1:3" x14ac:dyDescent="0.25">
      <c r="A108" t="s">
        <v>791</v>
      </c>
      <c r="B108" t="s">
        <v>2729</v>
      </c>
      <c r="C108">
        <v>0</v>
      </c>
    </row>
    <row r="109" spans="1:3" x14ac:dyDescent="0.25">
      <c r="A109" t="s">
        <v>792</v>
      </c>
      <c r="B109" t="s">
        <v>2730</v>
      </c>
      <c r="C109">
        <v>0</v>
      </c>
    </row>
    <row r="110" spans="1:3" x14ac:dyDescent="0.25">
      <c r="A110" t="s">
        <v>726</v>
      </c>
      <c r="B110" t="s">
        <v>2850</v>
      </c>
      <c r="C110">
        <v>3655</v>
      </c>
    </row>
    <row r="111" spans="1:3" x14ac:dyDescent="0.25">
      <c r="A111" t="s">
        <v>728</v>
      </c>
      <c r="B111" t="s">
        <v>2851</v>
      </c>
      <c r="C111">
        <v>0</v>
      </c>
    </row>
    <row r="112" spans="1:3" x14ac:dyDescent="0.25">
      <c r="A112" t="s">
        <v>2852</v>
      </c>
      <c r="B112" t="s">
        <v>2853</v>
      </c>
      <c r="C112">
        <v>0</v>
      </c>
    </row>
    <row r="113" spans="1:3" x14ac:dyDescent="0.25">
      <c r="A113" t="s">
        <v>730</v>
      </c>
      <c r="B113" t="s">
        <v>1428</v>
      </c>
      <c r="C113">
        <v>0</v>
      </c>
    </row>
    <row r="114" spans="1:3" x14ac:dyDescent="0.25">
      <c r="A114" t="s">
        <v>731</v>
      </c>
      <c r="B114" t="s">
        <v>732</v>
      </c>
      <c r="C114">
        <v>0</v>
      </c>
    </row>
    <row r="115" spans="1:3" x14ac:dyDescent="0.25">
      <c r="A115" t="s">
        <v>2733</v>
      </c>
      <c r="B115" t="s">
        <v>2798</v>
      </c>
      <c r="C115">
        <v>0</v>
      </c>
    </row>
    <row r="116" spans="1:3" x14ac:dyDescent="0.25">
      <c r="A116" t="s">
        <v>2734</v>
      </c>
      <c r="B116" t="s">
        <v>2799</v>
      </c>
      <c r="C116">
        <v>0</v>
      </c>
    </row>
    <row r="117" spans="1:3" x14ac:dyDescent="0.25">
      <c r="A117" t="s">
        <v>2735</v>
      </c>
      <c r="B117" t="s">
        <v>2800</v>
      </c>
      <c r="C117">
        <v>0</v>
      </c>
    </row>
    <row r="118" spans="1:3" x14ac:dyDescent="0.25">
      <c r="A118" t="s">
        <v>2736</v>
      </c>
      <c r="B118" t="s">
        <v>2801</v>
      </c>
      <c r="C118">
        <v>0</v>
      </c>
    </row>
    <row r="119" spans="1:3" x14ac:dyDescent="0.25">
      <c r="A119" t="s">
        <v>2737</v>
      </c>
      <c r="B119" t="s">
        <v>2802</v>
      </c>
      <c r="C119">
        <v>0</v>
      </c>
    </row>
    <row r="120" spans="1:3" x14ac:dyDescent="0.25">
      <c r="A120" t="s">
        <v>2738</v>
      </c>
      <c r="B120" t="s">
        <v>2803</v>
      </c>
      <c r="C120">
        <v>0</v>
      </c>
    </row>
    <row r="121" spans="1:3" x14ac:dyDescent="0.25">
      <c r="A121" t="s">
        <v>2854</v>
      </c>
      <c r="B121" t="s">
        <v>2813</v>
      </c>
      <c r="C121">
        <v>0</v>
      </c>
    </row>
    <row r="122" spans="1:3" x14ac:dyDescent="0.25">
      <c r="A122" t="s">
        <v>2855</v>
      </c>
      <c r="B122" t="s">
        <v>2807</v>
      </c>
      <c r="C122">
        <v>0</v>
      </c>
    </row>
    <row r="123" spans="1:3" x14ac:dyDescent="0.25">
      <c r="A123" t="s">
        <v>2856</v>
      </c>
      <c r="B123" t="s">
        <v>2809</v>
      </c>
      <c r="C123">
        <v>0</v>
      </c>
    </row>
    <row r="124" spans="1:3" x14ac:dyDescent="0.25">
      <c r="A124" t="s">
        <v>2857</v>
      </c>
      <c r="B124" t="s">
        <v>2811</v>
      </c>
      <c r="C124">
        <v>0</v>
      </c>
    </row>
    <row r="125" spans="1:3" x14ac:dyDescent="0.25">
      <c r="A125" t="s">
        <v>733</v>
      </c>
      <c r="B125" t="s">
        <v>734</v>
      </c>
      <c r="C125">
        <v>0</v>
      </c>
    </row>
    <row r="126" spans="1:3" x14ac:dyDescent="0.25">
      <c r="A126" t="s">
        <v>2739</v>
      </c>
      <c r="B126" t="s">
        <v>2798</v>
      </c>
      <c r="C126">
        <v>0</v>
      </c>
    </row>
    <row r="127" spans="1:3" x14ac:dyDescent="0.25">
      <c r="A127" t="s">
        <v>2740</v>
      </c>
      <c r="B127" t="s">
        <v>2799</v>
      </c>
      <c r="C127">
        <v>0</v>
      </c>
    </row>
    <row r="128" spans="1:3" x14ac:dyDescent="0.25">
      <c r="A128" t="s">
        <v>2741</v>
      </c>
      <c r="B128" t="s">
        <v>2800</v>
      </c>
      <c r="C128">
        <v>0</v>
      </c>
    </row>
    <row r="129" spans="1:3" x14ac:dyDescent="0.25">
      <c r="A129" t="s">
        <v>2742</v>
      </c>
      <c r="B129" t="s">
        <v>2801</v>
      </c>
      <c r="C129">
        <v>0</v>
      </c>
    </row>
    <row r="130" spans="1:3" x14ac:dyDescent="0.25">
      <c r="A130" t="s">
        <v>2743</v>
      </c>
      <c r="B130" t="s">
        <v>2802</v>
      </c>
      <c r="C130">
        <v>0</v>
      </c>
    </row>
    <row r="131" spans="1:3" x14ac:dyDescent="0.25">
      <c r="A131" t="s">
        <v>2744</v>
      </c>
      <c r="B131" t="s">
        <v>2803</v>
      </c>
      <c r="C131">
        <v>0</v>
      </c>
    </row>
    <row r="132" spans="1:3" x14ac:dyDescent="0.25">
      <c r="A132" t="s">
        <v>2858</v>
      </c>
      <c r="B132" t="s">
        <v>2813</v>
      </c>
      <c r="C132">
        <v>0</v>
      </c>
    </row>
    <row r="133" spans="1:3" x14ac:dyDescent="0.25">
      <c r="A133" t="s">
        <v>2859</v>
      </c>
      <c r="B133" t="s">
        <v>2807</v>
      </c>
      <c r="C133">
        <v>0</v>
      </c>
    </row>
    <row r="134" spans="1:3" x14ac:dyDescent="0.25">
      <c r="A134" t="s">
        <v>2860</v>
      </c>
      <c r="B134" t="s">
        <v>2809</v>
      </c>
      <c r="C134">
        <v>0</v>
      </c>
    </row>
    <row r="135" spans="1:3" x14ac:dyDescent="0.25">
      <c r="A135" t="s">
        <v>2861</v>
      </c>
      <c r="B135" t="s">
        <v>2811</v>
      </c>
      <c r="C135">
        <v>0</v>
      </c>
    </row>
    <row r="136" spans="1:3" x14ac:dyDescent="0.25">
      <c r="A136" t="s">
        <v>735</v>
      </c>
      <c r="B136" t="s">
        <v>2862</v>
      </c>
      <c r="C136">
        <v>14259828</v>
      </c>
    </row>
    <row r="137" spans="1:3" x14ac:dyDescent="0.25">
      <c r="A137" t="s">
        <v>737</v>
      </c>
      <c r="B137" t="s">
        <v>1067</v>
      </c>
      <c r="C137">
        <v>0</v>
      </c>
    </row>
    <row r="138" spans="1:3" x14ac:dyDescent="0.25">
      <c r="A138" t="s">
        <v>738</v>
      </c>
      <c r="B138" t="s">
        <v>2863</v>
      </c>
      <c r="C138">
        <v>2515553</v>
      </c>
    </row>
    <row r="139" spans="1:3" x14ac:dyDescent="0.25">
      <c r="A139" t="s">
        <v>2864</v>
      </c>
      <c r="B139" t="s">
        <v>1066</v>
      </c>
      <c r="C139">
        <v>0</v>
      </c>
    </row>
    <row r="140" spans="1:3" x14ac:dyDescent="0.25">
      <c r="A140" t="s">
        <v>739</v>
      </c>
      <c r="B140" t="s">
        <v>2865</v>
      </c>
      <c r="C140">
        <v>3725</v>
      </c>
    </row>
    <row r="141" spans="1:3" x14ac:dyDescent="0.25">
      <c r="A141" t="s">
        <v>2866</v>
      </c>
      <c r="B141" t="s">
        <v>2867</v>
      </c>
      <c r="C141">
        <v>0</v>
      </c>
    </row>
    <row r="142" spans="1:3" x14ac:dyDescent="0.25">
      <c r="A142" t="s">
        <v>740</v>
      </c>
      <c r="B142" t="s">
        <v>1429</v>
      </c>
      <c r="C142">
        <v>0</v>
      </c>
    </row>
    <row r="143" spans="1:3" x14ac:dyDescent="0.25">
      <c r="A143" t="s">
        <v>2747</v>
      </c>
      <c r="B143" t="s">
        <v>742</v>
      </c>
      <c r="C143">
        <v>0</v>
      </c>
    </row>
    <row r="144" spans="1:3" x14ac:dyDescent="0.25">
      <c r="A144" t="s">
        <v>743</v>
      </c>
      <c r="B144" t="s">
        <v>1430</v>
      </c>
      <c r="C144">
        <v>0</v>
      </c>
    </row>
    <row r="145" spans="1:3" x14ac:dyDescent="0.25">
      <c r="A145" t="s">
        <v>744</v>
      </c>
      <c r="B145" t="s">
        <v>1427</v>
      </c>
      <c r="C145">
        <v>0</v>
      </c>
    </row>
    <row r="146" spans="1:3" x14ac:dyDescent="0.25">
      <c r="A146" t="s">
        <v>745</v>
      </c>
      <c r="B146" t="s">
        <v>1431</v>
      </c>
      <c r="C146">
        <v>0</v>
      </c>
    </row>
    <row r="147" spans="1:3" x14ac:dyDescent="0.25">
      <c r="A147" t="s">
        <v>2758</v>
      </c>
      <c r="B147" t="s">
        <v>1420</v>
      </c>
      <c r="C147">
        <v>0</v>
      </c>
    </row>
    <row r="148" spans="1:3" x14ac:dyDescent="0.25">
      <c r="A148" t="s">
        <v>2759</v>
      </c>
      <c r="B148" t="s">
        <v>2842</v>
      </c>
      <c r="C148">
        <v>0</v>
      </c>
    </row>
    <row r="149" spans="1:3" x14ac:dyDescent="0.25">
      <c r="A149" t="s">
        <v>2761</v>
      </c>
      <c r="B149" t="s">
        <v>2843</v>
      </c>
      <c r="C149">
        <v>0</v>
      </c>
    </row>
    <row r="150" spans="1:3" x14ac:dyDescent="0.25">
      <c r="A150" t="s">
        <v>746</v>
      </c>
      <c r="B150" t="s">
        <v>1432</v>
      </c>
      <c r="C150">
        <v>0</v>
      </c>
    </row>
    <row r="151" spans="1:3" x14ac:dyDescent="0.25">
      <c r="A151" t="s">
        <v>2868</v>
      </c>
      <c r="B151" t="s">
        <v>1420</v>
      </c>
      <c r="C151">
        <v>0</v>
      </c>
    </row>
    <row r="152" spans="1:3" x14ac:dyDescent="0.25">
      <c r="A152" t="s">
        <v>2869</v>
      </c>
      <c r="B152" t="s">
        <v>2709</v>
      </c>
      <c r="C152">
        <v>0</v>
      </c>
    </row>
    <row r="153" spans="1:3" x14ac:dyDescent="0.25">
      <c r="A153" t="s">
        <v>2870</v>
      </c>
      <c r="B153" t="s">
        <v>2711</v>
      </c>
      <c r="C153">
        <v>0</v>
      </c>
    </row>
    <row r="154" spans="1:3" x14ac:dyDescent="0.25">
      <c r="A154" t="s">
        <v>2871</v>
      </c>
      <c r="B154" t="s">
        <v>2713</v>
      </c>
      <c r="C154">
        <v>0</v>
      </c>
    </row>
    <row r="155" spans="1:3" x14ac:dyDescent="0.25">
      <c r="A155" t="s">
        <v>2872</v>
      </c>
      <c r="B155" t="s">
        <v>2711</v>
      </c>
      <c r="C155">
        <v>0</v>
      </c>
    </row>
    <row r="156" spans="1:3" x14ac:dyDescent="0.25">
      <c r="A156" t="s">
        <v>748</v>
      </c>
      <c r="B156" t="s">
        <v>1433</v>
      </c>
      <c r="C156">
        <v>0</v>
      </c>
    </row>
    <row r="157" spans="1:3" x14ac:dyDescent="0.25">
      <c r="A157" t="s">
        <v>750</v>
      </c>
      <c r="B157" t="s">
        <v>2873</v>
      </c>
      <c r="C157">
        <v>0</v>
      </c>
    </row>
    <row r="158" spans="1:3" x14ac:dyDescent="0.25">
      <c r="A158" t="s">
        <v>751</v>
      </c>
      <c r="B158" t="s">
        <v>637</v>
      </c>
      <c r="C158">
        <v>75168165</v>
      </c>
    </row>
    <row r="159" spans="1:3" x14ac:dyDescent="0.25">
      <c r="A159" t="s">
        <v>2779</v>
      </c>
      <c r="B159" t="s">
        <v>2874</v>
      </c>
      <c r="C159">
        <v>0</v>
      </c>
    </row>
    <row r="160" spans="1:3" x14ac:dyDescent="0.25">
      <c r="A160" t="s">
        <v>753</v>
      </c>
      <c r="B160" t="s">
        <v>635</v>
      </c>
      <c r="C160">
        <v>0</v>
      </c>
    </row>
    <row r="161" spans="1:3" x14ac:dyDescent="0.25">
      <c r="A161" t="s">
        <v>754</v>
      </c>
      <c r="B161" t="s">
        <v>1435</v>
      </c>
      <c r="C161">
        <v>0</v>
      </c>
    </row>
    <row r="162" spans="1:3" x14ac:dyDescent="0.25">
      <c r="A162" t="s">
        <v>755</v>
      </c>
      <c r="B162" t="s">
        <v>1436</v>
      </c>
      <c r="C162">
        <v>0</v>
      </c>
    </row>
    <row r="163" spans="1:3" x14ac:dyDescent="0.25">
      <c r="A163" t="s">
        <v>2782</v>
      </c>
      <c r="B163" t="s">
        <v>2875</v>
      </c>
      <c r="C163">
        <v>10143136</v>
      </c>
    </row>
    <row r="164" spans="1:3" x14ac:dyDescent="0.25">
      <c r="A164" t="s">
        <v>2790</v>
      </c>
      <c r="B164" t="s">
        <v>632</v>
      </c>
      <c r="C164">
        <v>14267208</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FA8A8-A8DF-45FD-9468-CCB8E1880F9D}">
  <dimension ref="A1:C164"/>
  <sheetViews>
    <sheetView topLeftCell="A127" workbookViewId="0">
      <selection activeCell="B145" sqref="B145"/>
    </sheetView>
  </sheetViews>
  <sheetFormatPr defaultRowHeight="15" x14ac:dyDescent="0.25"/>
  <cols>
    <col min="1" max="1" width="16.28515625" bestFit="1" customWidth="1"/>
    <col min="2" max="2" width="81.140625" bestFit="1" customWidth="1"/>
    <col min="3" max="3" width="9" bestFit="1" customWidth="1"/>
  </cols>
  <sheetData>
    <row r="1" spans="1:3" x14ac:dyDescent="0.25">
      <c r="A1" t="s">
        <v>1486</v>
      </c>
      <c r="B1" t="s">
        <v>2626</v>
      </c>
      <c r="C1" t="s">
        <v>2608</v>
      </c>
    </row>
    <row r="2" spans="1:3" x14ac:dyDescent="0.25">
      <c r="A2" t="s">
        <v>2627</v>
      </c>
      <c r="B2" t="s">
        <v>644</v>
      </c>
      <c r="C2">
        <v>78209997</v>
      </c>
    </row>
    <row r="3" spans="1:3" x14ac:dyDescent="0.25">
      <c r="A3" t="s">
        <v>2628</v>
      </c>
      <c r="B3" t="s">
        <v>645</v>
      </c>
      <c r="C3">
        <v>65414843</v>
      </c>
    </row>
    <row r="4" spans="1:3" x14ac:dyDescent="0.25">
      <c r="A4" t="s">
        <v>646</v>
      </c>
      <c r="B4" t="s">
        <v>647</v>
      </c>
      <c r="C4">
        <v>48011741</v>
      </c>
    </row>
    <row r="5" spans="1:3" x14ac:dyDescent="0.25">
      <c r="A5" t="s">
        <v>648</v>
      </c>
      <c r="B5" t="s">
        <v>649</v>
      </c>
      <c r="C5">
        <v>48011741</v>
      </c>
    </row>
    <row r="6" spans="1:3" x14ac:dyDescent="0.25">
      <c r="A6" t="s">
        <v>650</v>
      </c>
      <c r="B6" t="s">
        <v>2792</v>
      </c>
      <c r="C6">
        <v>0</v>
      </c>
    </row>
    <row r="7" spans="1:3" x14ac:dyDescent="0.25">
      <c r="A7" t="s">
        <v>2793</v>
      </c>
      <c r="B7" t="s">
        <v>2794</v>
      </c>
      <c r="C7">
        <v>0</v>
      </c>
    </row>
    <row r="8" spans="1:3" x14ac:dyDescent="0.25">
      <c r="A8" t="s">
        <v>652</v>
      </c>
      <c r="B8" t="s">
        <v>653</v>
      </c>
      <c r="C8">
        <v>0</v>
      </c>
    </row>
    <row r="9" spans="1:3" x14ac:dyDescent="0.25">
      <c r="A9" t="s">
        <v>654</v>
      </c>
      <c r="B9" t="s">
        <v>655</v>
      </c>
      <c r="C9">
        <v>0</v>
      </c>
    </row>
    <row r="10" spans="1:3" x14ac:dyDescent="0.25">
      <c r="A10" t="s">
        <v>656</v>
      </c>
      <c r="B10" t="s">
        <v>657</v>
      </c>
      <c r="C10">
        <v>0</v>
      </c>
    </row>
    <row r="11" spans="1:3" x14ac:dyDescent="0.25">
      <c r="A11" t="s">
        <v>658</v>
      </c>
      <c r="B11" t="s">
        <v>659</v>
      </c>
      <c r="C11">
        <v>0</v>
      </c>
    </row>
    <row r="12" spans="1:3" x14ac:dyDescent="0.25">
      <c r="A12" t="s">
        <v>660</v>
      </c>
      <c r="B12" t="s">
        <v>2795</v>
      </c>
      <c r="C12">
        <v>0</v>
      </c>
    </row>
    <row r="13" spans="1:3" x14ac:dyDescent="0.25">
      <c r="A13" t="s">
        <v>2796</v>
      </c>
      <c r="B13" t="s">
        <v>2797</v>
      </c>
      <c r="C13">
        <v>0</v>
      </c>
    </row>
    <row r="14" spans="1:3" x14ac:dyDescent="0.25">
      <c r="A14" t="s">
        <v>662</v>
      </c>
      <c r="B14" t="s">
        <v>663</v>
      </c>
      <c r="C14">
        <v>0</v>
      </c>
    </row>
    <row r="15" spans="1:3" x14ac:dyDescent="0.25">
      <c r="A15" t="s">
        <v>664</v>
      </c>
      <c r="B15" t="s">
        <v>665</v>
      </c>
      <c r="C15">
        <v>207894</v>
      </c>
    </row>
    <row r="16" spans="1:3" x14ac:dyDescent="0.25">
      <c r="A16" t="s">
        <v>666</v>
      </c>
      <c r="B16" t="s">
        <v>667</v>
      </c>
      <c r="C16">
        <v>0</v>
      </c>
    </row>
    <row r="17" spans="1:3" x14ac:dyDescent="0.25">
      <c r="A17" t="s">
        <v>668</v>
      </c>
      <c r="B17" t="s">
        <v>669</v>
      </c>
      <c r="C17">
        <v>11192568</v>
      </c>
    </row>
    <row r="18" spans="1:3" x14ac:dyDescent="0.25">
      <c r="A18" t="s">
        <v>2629</v>
      </c>
      <c r="B18" t="s">
        <v>2798</v>
      </c>
      <c r="C18">
        <v>0</v>
      </c>
    </row>
    <row r="19" spans="1:3" x14ac:dyDescent="0.25">
      <c r="A19" t="s">
        <v>2631</v>
      </c>
      <c r="B19" t="s">
        <v>2799</v>
      </c>
      <c r="C19">
        <v>0</v>
      </c>
    </row>
    <row r="20" spans="1:3" x14ac:dyDescent="0.25">
      <c r="A20" t="s">
        <v>2633</v>
      </c>
      <c r="B20" t="s">
        <v>2800</v>
      </c>
      <c r="C20">
        <v>0</v>
      </c>
    </row>
    <row r="21" spans="1:3" x14ac:dyDescent="0.25">
      <c r="A21" t="s">
        <v>2635</v>
      </c>
      <c r="B21" t="s">
        <v>2801</v>
      </c>
      <c r="C21">
        <v>0</v>
      </c>
    </row>
    <row r="22" spans="1:3" x14ac:dyDescent="0.25">
      <c r="A22" t="s">
        <v>2637</v>
      </c>
      <c r="B22" t="s">
        <v>2802</v>
      </c>
      <c r="C22">
        <v>0</v>
      </c>
    </row>
    <row r="23" spans="1:3" x14ac:dyDescent="0.25">
      <c r="A23" t="s">
        <v>2639</v>
      </c>
      <c r="B23" t="s">
        <v>2803</v>
      </c>
      <c r="C23">
        <v>0</v>
      </c>
    </row>
    <row r="24" spans="1:3" x14ac:dyDescent="0.25">
      <c r="A24" t="s">
        <v>2804</v>
      </c>
      <c r="B24" t="s">
        <v>2805</v>
      </c>
      <c r="C24">
        <v>0</v>
      </c>
    </row>
    <row r="25" spans="1:3" x14ac:dyDescent="0.25">
      <c r="A25" t="s">
        <v>2806</v>
      </c>
      <c r="B25" t="s">
        <v>2807</v>
      </c>
      <c r="C25">
        <v>0</v>
      </c>
    </row>
    <row r="26" spans="1:3" x14ac:dyDescent="0.25">
      <c r="A26" t="s">
        <v>2808</v>
      </c>
      <c r="B26" t="s">
        <v>2809</v>
      </c>
      <c r="C26">
        <v>0</v>
      </c>
    </row>
    <row r="27" spans="1:3" x14ac:dyDescent="0.25">
      <c r="A27" t="s">
        <v>2810</v>
      </c>
      <c r="B27" t="s">
        <v>2811</v>
      </c>
      <c r="C27">
        <v>0</v>
      </c>
    </row>
    <row r="28" spans="1:3" x14ac:dyDescent="0.25">
      <c r="A28" t="s">
        <v>670</v>
      </c>
      <c r="B28" t="s">
        <v>671</v>
      </c>
      <c r="C28">
        <v>6002640</v>
      </c>
    </row>
    <row r="29" spans="1:3" x14ac:dyDescent="0.25">
      <c r="A29" t="s">
        <v>2641</v>
      </c>
      <c r="B29" t="s">
        <v>2798</v>
      </c>
      <c r="C29">
        <v>0</v>
      </c>
    </row>
    <row r="30" spans="1:3" x14ac:dyDescent="0.25">
      <c r="A30" t="s">
        <v>2642</v>
      </c>
      <c r="B30" t="s">
        <v>2799</v>
      </c>
      <c r="C30">
        <v>0</v>
      </c>
    </row>
    <row r="31" spans="1:3" x14ac:dyDescent="0.25">
      <c r="A31" t="s">
        <v>2643</v>
      </c>
      <c r="B31" t="s">
        <v>2800</v>
      </c>
      <c r="C31">
        <v>0</v>
      </c>
    </row>
    <row r="32" spans="1:3" x14ac:dyDescent="0.25">
      <c r="A32" t="s">
        <v>2644</v>
      </c>
      <c r="B32" t="s">
        <v>2801</v>
      </c>
      <c r="C32">
        <v>0</v>
      </c>
    </row>
    <row r="33" spans="1:3" x14ac:dyDescent="0.25">
      <c r="A33" t="s">
        <v>2645</v>
      </c>
      <c r="B33" t="s">
        <v>2802</v>
      </c>
      <c r="C33">
        <v>0</v>
      </c>
    </row>
    <row r="34" spans="1:3" x14ac:dyDescent="0.25">
      <c r="A34" t="s">
        <v>2646</v>
      </c>
      <c r="B34" t="s">
        <v>2803</v>
      </c>
      <c r="C34">
        <v>0</v>
      </c>
    </row>
    <row r="35" spans="1:3" x14ac:dyDescent="0.25">
      <c r="A35" t="s">
        <v>2812</v>
      </c>
      <c r="B35" t="s">
        <v>2813</v>
      </c>
      <c r="C35">
        <v>0</v>
      </c>
    </row>
    <row r="36" spans="1:3" x14ac:dyDescent="0.25">
      <c r="A36" t="s">
        <v>2814</v>
      </c>
      <c r="B36" t="s">
        <v>2807</v>
      </c>
      <c r="C36">
        <v>17150</v>
      </c>
    </row>
    <row r="37" spans="1:3" x14ac:dyDescent="0.25">
      <c r="A37" t="s">
        <v>2815</v>
      </c>
      <c r="B37" t="s">
        <v>2809</v>
      </c>
      <c r="C37">
        <v>0</v>
      </c>
    </row>
    <row r="38" spans="1:3" x14ac:dyDescent="0.25">
      <c r="A38" t="s">
        <v>2816</v>
      </c>
      <c r="B38" t="s">
        <v>2811</v>
      </c>
      <c r="C38">
        <v>0</v>
      </c>
    </row>
    <row r="39" spans="1:3" x14ac:dyDescent="0.25">
      <c r="A39" t="s">
        <v>2647</v>
      </c>
      <c r="B39" t="s">
        <v>672</v>
      </c>
      <c r="C39">
        <v>3558246</v>
      </c>
    </row>
    <row r="40" spans="1:3" x14ac:dyDescent="0.25">
      <c r="A40" t="s">
        <v>673</v>
      </c>
      <c r="B40" t="s">
        <v>602</v>
      </c>
      <c r="C40">
        <v>1783192</v>
      </c>
    </row>
    <row r="41" spans="1:3" x14ac:dyDescent="0.25">
      <c r="A41" t="s">
        <v>688</v>
      </c>
      <c r="B41" t="s">
        <v>689</v>
      </c>
      <c r="C41">
        <v>1167346</v>
      </c>
    </row>
    <row r="42" spans="1:3" x14ac:dyDescent="0.25">
      <c r="A42" t="s">
        <v>690</v>
      </c>
      <c r="B42" t="s">
        <v>691</v>
      </c>
      <c r="C42">
        <v>0</v>
      </c>
    </row>
    <row r="43" spans="1:3" x14ac:dyDescent="0.25">
      <c r="A43" t="s">
        <v>692</v>
      </c>
      <c r="B43" t="s">
        <v>2817</v>
      </c>
      <c r="C43">
        <v>377330</v>
      </c>
    </row>
    <row r="44" spans="1:3" x14ac:dyDescent="0.25">
      <c r="A44" t="s">
        <v>2654</v>
      </c>
      <c r="B44" t="s">
        <v>2818</v>
      </c>
      <c r="C44">
        <v>0</v>
      </c>
    </row>
    <row r="45" spans="1:3" x14ac:dyDescent="0.25">
      <c r="A45" t="s">
        <v>2656</v>
      </c>
      <c r="B45" t="s">
        <v>2819</v>
      </c>
      <c r="C45">
        <v>377330</v>
      </c>
    </row>
    <row r="46" spans="1:3" x14ac:dyDescent="0.25">
      <c r="A46" t="s">
        <v>693</v>
      </c>
      <c r="B46" t="s">
        <v>1426</v>
      </c>
      <c r="C46">
        <v>0</v>
      </c>
    </row>
    <row r="47" spans="1:3" x14ac:dyDescent="0.25">
      <c r="A47" t="s">
        <v>695</v>
      </c>
      <c r="B47" t="s">
        <v>2820</v>
      </c>
      <c r="C47">
        <v>0</v>
      </c>
    </row>
    <row r="48" spans="1:3" x14ac:dyDescent="0.25">
      <c r="A48" t="s">
        <v>2821</v>
      </c>
      <c r="B48" t="s">
        <v>2822</v>
      </c>
      <c r="C48">
        <v>0</v>
      </c>
    </row>
    <row r="49" spans="1:3" x14ac:dyDescent="0.25">
      <c r="A49" t="s">
        <v>2823</v>
      </c>
      <c r="B49" t="s">
        <v>2824</v>
      </c>
      <c r="C49">
        <v>0</v>
      </c>
    </row>
    <row r="50" spans="1:3" x14ac:dyDescent="0.25">
      <c r="A50" t="s">
        <v>2825</v>
      </c>
      <c r="B50" t="s">
        <v>2826</v>
      </c>
      <c r="C50">
        <v>0</v>
      </c>
    </row>
    <row r="51" spans="1:3" x14ac:dyDescent="0.25">
      <c r="A51" t="s">
        <v>697</v>
      </c>
      <c r="B51" t="s">
        <v>700</v>
      </c>
      <c r="C51">
        <v>0</v>
      </c>
    </row>
    <row r="52" spans="1:3" x14ac:dyDescent="0.25">
      <c r="A52" t="s">
        <v>2827</v>
      </c>
      <c r="B52" t="s">
        <v>2798</v>
      </c>
      <c r="C52">
        <v>0</v>
      </c>
    </row>
    <row r="53" spans="1:3" x14ac:dyDescent="0.25">
      <c r="A53" t="s">
        <v>2828</v>
      </c>
      <c r="B53" t="s">
        <v>2799</v>
      </c>
      <c r="C53">
        <v>0</v>
      </c>
    </row>
    <row r="54" spans="1:3" x14ac:dyDescent="0.25">
      <c r="A54" t="s">
        <v>2829</v>
      </c>
      <c r="B54" t="s">
        <v>2800</v>
      </c>
      <c r="C54">
        <v>0</v>
      </c>
    </row>
    <row r="55" spans="1:3" x14ac:dyDescent="0.25">
      <c r="A55" t="s">
        <v>2830</v>
      </c>
      <c r="B55" t="s">
        <v>2801</v>
      </c>
      <c r="C55">
        <v>0</v>
      </c>
    </row>
    <row r="56" spans="1:3" x14ac:dyDescent="0.25">
      <c r="A56" t="s">
        <v>2831</v>
      </c>
      <c r="B56" t="s">
        <v>2802</v>
      </c>
      <c r="C56">
        <v>0</v>
      </c>
    </row>
    <row r="57" spans="1:3" x14ac:dyDescent="0.25">
      <c r="A57" t="s">
        <v>2832</v>
      </c>
      <c r="B57" t="s">
        <v>2803</v>
      </c>
      <c r="C57">
        <v>0</v>
      </c>
    </row>
    <row r="58" spans="1:3" x14ac:dyDescent="0.25">
      <c r="A58" t="s">
        <v>2833</v>
      </c>
      <c r="B58" t="s">
        <v>2813</v>
      </c>
      <c r="C58">
        <v>0</v>
      </c>
    </row>
    <row r="59" spans="1:3" x14ac:dyDescent="0.25">
      <c r="A59" t="s">
        <v>2834</v>
      </c>
      <c r="B59" t="s">
        <v>2807</v>
      </c>
      <c r="C59">
        <v>0</v>
      </c>
    </row>
    <row r="60" spans="1:3" x14ac:dyDescent="0.25">
      <c r="A60" t="s">
        <v>2835</v>
      </c>
      <c r="B60" t="s">
        <v>2809</v>
      </c>
      <c r="C60">
        <v>0</v>
      </c>
    </row>
    <row r="61" spans="1:3" x14ac:dyDescent="0.25">
      <c r="A61" t="s">
        <v>2836</v>
      </c>
      <c r="B61" t="s">
        <v>2811</v>
      </c>
      <c r="C61">
        <v>0</v>
      </c>
    </row>
    <row r="62" spans="1:3" x14ac:dyDescent="0.25">
      <c r="A62" t="s">
        <v>699</v>
      </c>
      <c r="B62" t="s">
        <v>702</v>
      </c>
      <c r="C62">
        <v>0</v>
      </c>
    </row>
    <row r="63" spans="1:3" x14ac:dyDescent="0.25">
      <c r="A63" t="s">
        <v>2669</v>
      </c>
      <c r="B63" t="s">
        <v>2798</v>
      </c>
      <c r="C63">
        <v>0</v>
      </c>
    </row>
    <row r="64" spans="1:3" x14ac:dyDescent="0.25">
      <c r="A64" t="s">
        <v>2670</v>
      </c>
      <c r="B64" t="s">
        <v>2799</v>
      </c>
      <c r="C64">
        <v>0</v>
      </c>
    </row>
    <row r="65" spans="1:3" x14ac:dyDescent="0.25">
      <c r="A65" t="s">
        <v>2671</v>
      </c>
      <c r="B65" t="s">
        <v>2800</v>
      </c>
      <c r="C65">
        <v>0</v>
      </c>
    </row>
    <row r="66" spans="1:3" x14ac:dyDescent="0.25">
      <c r="A66" t="s">
        <v>2672</v>
      </c>
      <c r="B66" t="s">
        <v>2801</v>
      </c>
      <c r="C66">
        <v>0</v>
      </c>
    </row>
    <row r="67" spans="1:3" x14ac:dyDescent="0.25">
      <c r="A67" t="s">
        <v>2673</v>
      </c>
      <c r="B67" t="s">
        <v>2802</v>
      </c>
      <c r="C67">
        <v>0</v>
      </c>
    </row>
    <row r="68" spans="1:3" x14ac:dyDescent="0.25">
      <c r="A68" t="s">
        <v>2674</v>
      </c>
      <c r="B68" t="s">
        <v>2803</v>
      </c>
      <c r="C68">
        <v>0</v>
      </c>
    </row>
    <row r="69" spans="1:3" x14ac:dyDescent="0.25">
      <c r="A69" t="s">
        <v>2837</v>
      </c>
      <c r="B69" t="s">
        <v>2813</v>
      </c>
      <c r="C69">
        <v>0</v>
      </c>
    </row>
    <row r="70" spans="1:3" x14ac:dyDescent="0.25">
      <c r="A70" t="s">
        <v>2838</v>
      </c>
      <c r="B70" t="s">
        <v>2807</v>
      </c>
      <c r="C70">
        <v>0</v>
      </c>
    </row>
    <row r="71" spans="1:3" x14ac:dyDescent="0.25">
      <c r="A71" t="s">
        <v>2839</v>
      </c>
      <c r="B71" t="s">
        <v>2809</v>
      </c>
      <c r="C71">
        <v>0</v>
      </c>
    </row>
    <row r="72" spans="1:3" x14ac:dyDescent="0.25">
      <c r="A72" t="s">
        <v>2840</v>
      </c>
      <c r="B72" t="s">
        <v>2811</v>
      </c>
      <c r="C72">
        <v>0</v>
      </c>
    </row>
    <row r="73" spans="1:3" x14ac:dyDescent="0.25">
      <c r="A73" t="s">
        <v>701</v>
      </c>
      <c r="B73" t="s">
        <v>675</v>
      </c>
      <c r="C73">
        <v>6180</v>
      </c>
    </row>
    <row r="74" spans="1:3" x14ac:dyDescent="0.25">
      <c r="A74" t="s">
        <v>1421</v>
      </c>
      <c r="B74" t="s">
        <v>1420</v>
      </c>
      <c r="C74">
        <v>6180</v>
      </c>
    </row>
    <row r="75" spans="1:3" x14ac:dyDescent="0.25">
      <c r="A75" t="s">
        <v>1419</v>
      </c>
      <c r="B75" t="s">
        <v>677</v>
      </c>
      <c r="C75">
        <v>0</v>
      </c>
    </row>
    <row r="76" spans="1:3" x14ac:dyDescent="0.25">
      <c r="A76" t="s">
        <v>1422</v>
      </c>
      <c r="B76" t="s">
        <v>679</v>
      </c>
      <c r="C76">
        <v>0</v>
      </c>
    </row>
    <row r="77" spans="1:3" x14ac:dyDescent="0.25">
      <c r="A77" t="s">
        <v>1423</v>
      </c>
      <c r="B77" t="s">
        <v>681</v>
      </c>
      <c r="C77">
        <v>0</v>
      </c>
    </row>
    <row r="78" spans="1:3" x14ac:dyDescent="0.25">
      <c r="A78" t="s">
        <v>674</v>
      </c>
      <c r="B78" t="s">
        <v>223</v>
      </c>
      <c r="C78">
        <v>0</v>
      </c>
    </row>
    <row r="79" spans="1:3" x14ac:dyDescent="0.25">
      <c r="A79" t="s">
        <v>682</v>
      </c>
      <c r="B79" t="s">
        <v>2841</v>
      </c>
      <c r="C79">
        <v>224198</v>
      </c>
    </row>
    <row r="80" spans="1:3" x14ac:dyDescent="0.25">
      <c r="A80" t="s">
        <v>683</v>
      </c>
      <c r="B80" t="s">
        <v>1424</v>
      </c>
      <c r="C80">
        <v>0</v>
      </c>
    </row>
    <row r="81" spans="1:3" x14ac:dyDescent="0.25">
      <c r="A81" t="s">
        <v>2689</v>
      </c>
      <c r="B81" t="s">
        <v>703</v>
      </c>
      <c r="C81">
        <v>61856597</v>
      </c>
    </row>
    <row r="82" spans="1:3" x14ac:dyDescent="0.25">
      <c r="A82" t="s">
        <v>2690</v>
      </c>
      <c r="B82" t="s">
        <v>704</v>
      </c>
      <c r="C82">
        <v>0</v>
      </c>
    </row>
    <row r="83" spans="1:3" x14ac:dyDescent="0.25">
      <c r="A83" t="s">
        <v>705</v>
      </c>
      <c r="B83" t="s">
        <v>706</v>
      </c>
      <c r="C83">
        <v>0</v>
      </c>
    </row>
    <row r="84" spans="1:3" x14ac:dyDescent="0.25">
      <c r="A84" t="s">
        <v>707</v>
      </c>
      <c r="B84" t="s">
        <v>2691</v>
      </c>
      <c r="C84">
        <v>0</v>
      </c>
    </row>
    <row r="85" spans="1:3" x14ac:dyDescent="0.25">
      <c r="A85" t="s">
        <v>709</v>
      </c>
      <c r="B85" t="s">
        <v>32</v>
      </c>
      <c r="C85">
        <v>0</v>
      </c>
    </row>
    <row r="86" spans="1:3" x14ac:dyDescent="0.25">
      <c r="A86" t="s">
        <v>710</v>
      </c>
      <c r="B86" t="s">
        <v>232</v>
      </c>
      <c r="C86">
        <v>0</v>
      </c>
    </row>
    <row r="87" spans="1:3" x14ac:dyDescent="0.25">
      <c r="A87" t="s">
        <v>711</v>
      </c>
      <c r="B87" t="s">
        <v>1063</v>
      </c>
      <c r="C87">
        <v>0</v>
      </c>
    </row>
    <row r="88" spans="1:3" x14ac:dyDescent="0.25">
      <c r="A88" t="s">
        <v>2692</v>
      </c>
      <c r="B88" t="s">
        <v>2693</v>
      </c>
      <c r="C88">
        <v>0</v>
      </c>
    </row>
    <row r="89" spans="1:3" x14ac:dyDescent="0.25">
      <c r="A89" t="s">
        <v>2694</v>
      </c>
      <c r="B89" t="s">
        <v>712</v>
      </c>
      <c r="C89">
        <v>0</v>
      </c>
    </row>
    <row r="90" spans="1:3" x14ac:dyDescent="0.25">
      <c r="A90" t="s">
        <v>610</v>
      </c>
      <c r="B90" t="s">
        <v>1430</v>
      </c>
      <c r="C90">
        <v>0</v>
      </c>
    </row>
    <row r="91" spans="1:3" x14ac:dyDescent="0.25">
      <c r="A91" t="s">
        <v>641</v>
      </c>
      <c r="B91" t="s">
        <v>1427</v>
      </c>
      <c r="C91">
        <v>0</v>
      </c>
    </row>
    <row r="92" spans="1:3" x14ac:dyDescent="0.25">
      <c r="A92" t="s">
        <v>642</v>
      </c>
      <c r="B92" t="s">
        <v>1431</v>
      </c>
      <c r="C92">
        <v>0</v>
      </c>
    </row>
    <row r="93" spans="1:3" x14ac:dyDescent="0.25">
      <c r="A93" t="s">
        <v>2707</v>
      </c>
      <c r="B93" t="s">
        <v>1420</v>
      </c>
      <c r="C93">
        <v>0</v>
      </c>
    </row>
    <row r="94" spans="1:3" x14ac:dyDescent="0.25">
      <c r="A94" t="s">
        <v>2708</v>
      </c>
      <c r="B94" t="s">
        <v>2842</v>
      </c>
      <c r="C94">
        <v>0</v>
      </c>
    </row>
    <row r="95" spans="1:3" x14ac:dyDescent="0.25">
      <c r="A95" t="s">
        <v>2712</v>
      </c>
      <c r="B95" t="s">
        <v>2843</v>
      </c>
      <c r="C95">
        <v>0</v>
      </c>
    </row>
    <row r="96" spans="1:3" x14ac:dyDescent="0.25">
      <c r="A96" t="s">
        <v>716</v>
      </c>
      <c r="B96" t="s">
        <v>1432</v>
      </c>
      <c r="C96">
        <v>0</v>
      </c>
    </row>
    <row r="97" spans="1:3" x14ac:dyDescent="0.25">
      <c r="A97" t="s">
        <v>2844</v>
      </c>
      <c r="B97" t="s">
        <v>1420</v>
      </c>
      <c r="C97">
        <v>0</v>
      </c>
    </row>
    <row r="98" spans="1:3" x14ac:dyDescent="0.25">
      <c r="A98" t="s">
        <v>2845</v>
      </c>
      <c r="B98" t="s">
        <v>2709</v>
      </c>
      <c r="C98">
        <v>0</v>
      </c>
    </row>
    <row r="99" spans="1:3" x14ac:dyDescent="0.25">
      <c r="A99" t="s">
        <v>2846</v>
      </c>
      <c r="B99" t="s">
        <v>2711</v>
      </c>
      <c r="C99">
        <v>0</v>
      </c>
    </row>
    <row r="100" spans="1:3" x14ac:dyDescent="0.25">
      <c r="A100" t="s">
        <v>2847</v>
      </c>
      <c r="B100" t="s">
        <v>2713</v>
      </c>
      <c r="C100">
        <v>0</v>
      </c>
    </row>
    <row r="101" spans="1:3" x14ac:dyDescent="0.25">
      <c r="A101" t="s">
        <v>2848</v>
      </c>
      <c r="B101" t="s">
        <v>2711</v>
      </c>
      <c r="C101">
        <v>0</v>
      </c>
    </row>
    <row r="102" spans="1:3" x14ac:dyDescent="0.25">
      <c r="A102" t="s">
        <v>717</v>
      </c>
      <c r="B102" t="s">
        <v>235</v>
      </c>
      <c r="C102">
        <v>0</v>
      </c>
    </row>
    <row r="103" spans="1:3" x14ac:dyDescent="0.25">
      <c r="A103" t="s">
        <v>719</v>
      </c>
      <c r="B103" t="s">
        <v>2849</v>
      </c>
      <c r="C103">
        <v>0</v>
      </c>
    </row>
    <row r="104" spans="1:3" x14ac:dyDescent="0.25">
      <c r="A104" t="s">
        <v>2726</v>
      </c>
      <c r="B104" t="s">
        <v>723</v>
      </c>
      <c r="C104">
        <v>0</v>
      </c>
    </row>
    <row r="105" spans="1:3" x14ac:dyDescent="0.25">
      <c r="A105" t="s">
        <v>2727</v>
      </c>
      <c r="B105" t="s">
        <v>621</v>
      </c>
      <c r="C105">
        <v>61856597</v>
      </c>
    </row>
    <row r="106" spans="1:3" x14ac:dyDescent="0.25">
      <c r="A106" t="s">
        <v>2728</v>
      </c>
      <c r="B106" t="s">
        <v>724</v>
      </c>
      <c r="C106">
        <v>16353400</v>
      </c>
    </row>
    <row r="107" spans="1:3" x14ac:dyDescent="0.25">
      <c r="A107" t="s">
        <v>725</v>
      </c>
      <c r="B107" t="s">
        <v>706</v>
      </c>
      <c r="C107">
        <v>0</v>
      </c>
    </row>
    <row r="108" spans="1:3" x14ac:dyDescent="0.25">
      <c r="A108" t="s">
        <v>791</v>
      </c>
      <c r="B108" t="s">
        <v>2729</v>
      </c>
      <c r="C108">
        <v>0</v>
      </c>
    </row>
    <row r="109" spans="1:3" x14ac:dyDescent="0.25">
      <c r="A109" t="s">
        <v>792</v>
      </c>
      <c r="B109" t="s">
        <v>2730</v>
      </c>
      <c r="C109">
        <v>0</v>
      </c>
    </row>
    <row r="110" spans="1:3" x14ac:dyDescent="0.25">
      <c r="A110" t="s">
        <v>726</v>
      </c>
      <c r="B110" t="s">
        <v>2850</v>
      </c>
      <c r="C110">
        <v>3655</v>
      </c>
    </row>
    <row r="111" spans="1:3" x14ac:dyDescent="0.25">
      <c r="A111" t="s">
        <v>728</v>
      </c>
      <c r="B111" t="s">
        <v>2851</v>
      </c>
      <c r="C111">
        <v>0</v>
      </c>
    </row>
    <row r="112" spans="1:3" x14ac:dyDescent="0.25">
      <c r="A112" t="s">
        <v>2852</v>
      </c>
      <c r="B112" t="s">
        <v>2853</v>
      </c>
      <c r="C112">
        <v>0</v>
      </c>
    </row>
    <row r="113" spans="1:3" x14ac:dyDescent="0.25">
      <c r="A113" t="s">
        <v>730</v>
      </c>
      <c r="B113" t="s">
        <v>1428</v>
      </c>
      <c r="C113">
        <v>0</v>
      </c>
    </row>
    <row r="114" spans="1:3" x14ac:dyDescent="0.25">
      <c r="A114" t="s">
        <v>731</v>
      </c>
      <c r="B114" t="s">
        <v>732</v>
      </c>
      <c r="C114">
        <v>1156624</v>
      </c>
    </row>
    <row r="115" spans="1:3" x14ac:dyDescent="0.25">
      <c r="A115" t="s">
        <v>2733</v>
      </c>
      <c r="B115" t="s">
        <v>2798</v>
      </c>
      <c r="C115">
        <v>1071598</v>
      </c>
    </row>
    <row r="116" spans="1:3" x14ac:dyDescent="0.25">
      <c r="A116" t="s">
        <v>2734</v>
      </c>
      <c r="B116" t="s">
        <v>2799</v>
      </c>
      <c r="C116">
        <v>0</v>
      </c>
    </row>
    <row r="117" spans="1:3" x14ac:dyDescent="0.25">
      <c r="A117" t="s">
        <v>2735</v>
      </c>
      <c r="B117" t="s">
        <v>2800</v>
      </c>
      <c r="C117">
        <v>1071598</v>
      </c>
    </row>
    <row r="118" spans="1:3" x14ac:dyDescent="0.25">
      <c r="A118" t="s">
        <v>2736</v>
      </c>
      <c r="B118" t="s">
        <v>2801</v>
      </c>
      <c r="C118">
        <v>0</v>
      </c>
    </row>
    <row r="119" spans="1:3" x14ac:dyDescent="0.25">
      <c r="A119" t="s">
        <v>2737</v>
      </c>
      <c r="B119" t="s">
        <v>2802</v>
      </c>
      <c r="C119">
        <v>0</v>
      </c>
    </row>
    <row r="120" spans="1:3" x14ac:dyDescent="0.25">
      <c r="A120" t="s">
        <v>2738</v>
      </c>
      <c r="B120" t="s">
        <v>2803</v>
      </c>
      <c r="C120">
        <v>0</v>
      </c>
    </row>
    <row r="121" spans="1:3" x14ac:dyDescent="0.25">
      <c r="A121" t="s">
        <v>2854</v>
      </c>
      <c r="B121" t="s">
        <v>2813</v>
      </c>
      <c r="C121">
        <v>0</v>
      </c>
    </row>
    <row r="122" spans="1:3" x14ac:dyDescent="0.25">
      <c r="A122" t="s">
        <v>2855</v>
      </c>
      <c r="B122" t="s">
        <v>2807</v>
      </c>
      <c r="C122">
        <v>0</v>
      </c>
    </row>
    <row r="123" spans="1:3" x14ac:dyDescent="0.25">
      <c r="A123" t="s">
        <v>2856</v>
      </c>
      <c r="B123" t="s">
        <v>2809</v>
      </c>
      <c r="C123">
        <v>0</v>
      </c>
    </row>
    <row r="124" spans="1:3" x14ac:dyDescent="0.25">
      <c r="A124" t="s">
        <v>2857</v>
      </c>
      <c r="B124" t="s">
        <v>2811</v>
      </c>
      <c r="C124">
        <v>0</v>
      </c>
    </row>
    <row r="125" spans="1:3" x14ac:dyDescent="0.25">
      <c r="A125" t="s">
        <v>733</v>
      </c>
      <c r="B125" t="s">
        <v>734</v>
      </c>
      <c r="C125">
        <v>0</v>
      </c>
    </row>
    <row r="126" spans="1:3" x14ac:dyDescent="0.25">
      <c r="A126" t="s">
        <v>2739</v>
      </c>
      <c r="B126" t="s">
        <v>2798</v>
      </c>
      <c r="C126">
        <v>0</v>
      </c>
    </row>
    <row r="127" spans="1:3" x14ac:dyDescent="0.25">
      <c r="A127" t="s">
        <v>2740</v>
      </c>
      <c r="B127" t="s">
        <v>2799</v>
      </c>
      <c r="C127">
        <v>0</v>
      </c>
    </row>
    <row r="128" spans="1:3" x14ac:dyDescent="0.25">
      <c r="A128" t="s">
        <v>2741</v>
      </c>
      <c r="B128" t="s">
        <v>2800</v>
      </c>
      <c r="C128">
        <v>0</v>
      </c>
    </row>
    <row r="129" spans="1:3" x14ac:dyDescent="0.25">
      <c r="A129" t="s">
        <v>2742</v>
      </c>
      <c r="B129" t="s">
        <v>2801</v>
      </c>
      <c r="C129">
        <v>0</v>
      </c>
    </row>
    <row r="130" spans="1:3" x14ac:dyDescent="0.25">
      <c r="A130" t="s">
        <v>2743</v>
      </c>
      <c r="B130" t="s">
        <v>2802</v>
      </c>
      <c r="C130">
        <v>0</v>
      </c>
    </row>
    <row r="131" spans="1:3" x14ac:dyDescent="0.25">
      <c r="A131" t="s">
        <v>2744</v>
      </c>
      <c r="B131" t="s">
        <v>2803</v>
      </c>
      <c r="C131">
        <v>0</v>
      </c>
    </row>
    <row r="132" spans="1:3" x14ac:dyDescent="0.25">
      <c r="A132" t="s">
        <v>2858</v>
      </c>
      <c r="B132" t="s">
        <v>2813</v>
      </c>
      <c r="C132">
        <v>0</v>
      </c>
    </row>
    <row r="133" spans="1:3" x14ac:dyDescent="0.25">
      <c r="A133" t="s">
        <v>2859</v>
      </c>
      <c r="B133" t="s">
        <v>2807</v>
      </c>
      <c r="C133">
        <v>0</v>
      </c>
    </row>
    <row r="134" spans="1:3" x14ac:dyDescent="0.25">
      <c r="A134" t="s">
        <v>2860</v>
      </c>
      <c r="B134" t="s">
        <v>2809</v>
      </c>
      <c r="C134">
        <v>0</v>
      </c>
    </row>
    <row r="135" spans="1:3" x14ac:dyDescent="0.25">
      <c r="A135" t="s">
        <v>2861</v>
      </c>
      <c r="B135" t="s">
        <v>2811</v>
      </c>
      <c r="C135">
        <v>0</v>
      </c>
    </row>
    <row r="136" spans="1:3" x14ac:dyDescent="0.25">
      <c r="A136" t="s">
        <v>735</v>
      </c>
      <c r="B136" t="s">
        <v>2862</v>
      </c>
      <c r="C136">
        <v>15188958</v>
      </c>
    </row>
    <row r="137" spans="1:3" x14ac:dyDescent="0.25">
      <c r="A137" t="s">
        <v>737</v>
      </c>
      <c r="B137" t="s">
        <v>1067</v>
      </c>
      <c r="C137">
        <v>0</v>
      </c>
    </row>
    <row r="138" spans="1:3" x14ac:dyDescent="0.25">
      <c r="A138" t="s">
        <v>738</v>
      </c>
      <c r="B138" t="s">
        <v>2863</v>
      </c>
      <c r="C138">
        <v>3081458</v>
      </c>
    </row>
    <row r="139" spans="1:3" x14ac:dyDescent="0.25">
      <c r="A139" t="s">
        <v>2864</v>
      </c>
      <c r="B139" t="s">
        <v>1066</v>
      </c>
      <c r="C139">
        <v>0</v>
      </c>
    </row>
    <row r="140" spans="1:3" x14ac:dyDescent="0.25">
      <c r="A140" t="s">
        <v>739</v>
      </c>
      <c r="B140" t="s">
        <v>2865</v>
      </c>
      <c r="C140">
        <v>4163</v>
      </c>
    </row>
    <row r="141" spans="1:3" x14ac:dyDescent="0.25">
      <c r="A141" t="s">
        <v>2866</v>
      </c>
      <c r="B141" t="s">
        <v>2867</v>
      </c>
      <c r="C141">
        <v>0</v>
      </c>
    </row>
    <row r="142" spans="1:3" x14ac:dyDescent="0.25">
      <c r="A142" t="s">
        <v>740</v>
      </c>
      <c r="B142" t="s">
        <v>1429</v>
      </c>
      <c r="C142">
        <v>0</v>
      </c>
    </row>
    <row r="143" spans="1:3" x14ac:dyDescent="0.25">
      <c r="A143" t="s">
        <v>2747</v>
      </c>
      <c r="B143" t="s">
        <v>742</v>
      </c>
      <c r="C143">
        <v>0</v>
      </c>
    </row>
    <row r="144" spans="1:3" x14ac:dyDescent="0.25">
      <c r="A144" t="s">
        <v>743</v>
      </c>
      <c r="B144" t="s">
        <v>1430</v>
      </c>
      <c r="C144">
        <v>0</v>
      </c>
    </row>
    <row r="145" spans="1:3" x14ac:dyDescent="0.25">
      <c r="A145" t="s">
        <v>744</v>
      </c>
      <c r="B145" t="s">
        <v>1427</v>
      </c>
      <c r="C145">
        <v>0</v>
      </c>
    </row>
    <row r="146" spans="1:3" x14ac:dyDescent="0.25">
      <c r="A146" t="s">
        <v>745</v>
      </c>
      <c r="B146" t="s">
        <v>1431</v>
      </c>
      <c r="C146">
        <v>0</v>
      </c>
    </row>
    <row r="147" spans="1:3" x14ac:dyDescent="0.25">
      <c r="A147" t="s">
        <v>2758</v>
      </c>
      <c r="B147" t="s">
        <v>1420</v>
      </c>
      <c r="C147">
        <v>0</v>
      </c>
    </row>
    <row r="148" spans="1:3" x14ac:dyDescent="0.25">
      <c r="A148" t="s">
        <v>2759</v>
      </c>
      <c r="B148" t="s">
        <v>2842</v>
      </c>
      <c r="C148">
        <v>0</v>
      </c>
    </row>
    <row r="149" spans="1:3" x14ac:dyDescent="0.25">
      <c r="A149" t="s">
        <v>2761</v>
      </c>
      <c r="B149" t="s">
        <v>2843</v>
      </c>
      <c r="C149">
        <v>0</v>
      </c>
    </row>
    <row r="150" spans="1:3" x14ac:dyDescent="0.25">
      <c r="A150" t="s">
        <v>746</v>
      </c>
      <c r="B150" t="s">
        <v>1432</v>
      </c>
      <c r="C150">
        <v>0</v>
      </c>
    </row>
    <row r="151" spans="1:3" x14ac:dyDescent="0.25">
      <c r="A151" t="s">
        <v>2868</v>
      </c>
      <c r="B151" t="s">
        <v>1420</v>
      </c>
      <c r="C151">
        <v>0</v>
      </c>
    </row>
    <row r="152" spans="1:3" x14ac:dyDescent="0.25">
      <c r="A152" t="s">
        <v>2869</v>
      </c>
      <c r="B152" t="s">
        <v>2709</v>
      </c>
      <c r="C152">
        <v>0</v>
      </c>
    </row>
    <row r="153" spans="1:3" x14ac:dyDescent="0.25">
      <c r="A153" t="s">
        <v>2870</v>
      </c>
      <c r="B153" t="s">
        <v>2711</v>
      </c>
      <c r="C153">
        <v>0</v>
      </c>
    </row>
    <row r="154" spans="1:3" x14ac:dyDescent="0.25">
      <c r="A154" t="s">
        <v>2871</v>
      </c>
      <c r="B154" t="s">
        <v>2713</v>
      </c>
      <c r="C154">
        <v>0</v>
      </c>
    </row>
    <row r="155" spans="1:3" x14ac:dyDescent="0.25">
      <c r="A155" t="s">
        <v>2872</v>
      </c>
      <c r="B155" t="s">
        <v>2711</v>
      </c>
      <c r="C155">
        <v>0</v>
      </c>
    </row>
    <row r="156" spans="1:3" x14ac:dyDescent="0.25">
      <c r="A156" t="s">
        <v>748</v>
      </c>
      <c r="B156" t="s">
        <v>1433</v>
      </c>
      <c r="C156">
        <v>0</v>
      </c>
    </row>
    <row r="157" spans="1:3" x14ac:dyDescent="0.25">
      <c r="A157" t="s">
        <v>750</v>
      </c>
      <c r="B157" t="s">
        <v>2873</v>
      </c>
      <c r="C157">
        <v>0</v>
      </c>
    </row>
    <row r="158" spans="1:3" x14ac:dyDescent="0.25">
      <c r="A158" t="s">
        <v>751</v>
      </c>
      <c r="B158" t="s">
        <v>637</v>
      </c>
      <c r="C158">
        <v>78209997</v>
      </c>
    </row>
    <row r="159" spans="1:3" x14ac:dyDescent="0.25">
      <c r="A159" t="s">
        <v>2779</v>
      </c>
      <c r="B159" t="s">
        <v>2874</v>
      </c>
      <c r="C159">
        <v>0</v>
      </c>
    </row>
    <row r="160" spans="1:3" x14ac:dyDescent="0.25">
      <c r="A160" t="s">
        <v>753</v>
      </c>
      <c r="B160" t="s">
        <v>635</v>
      </c>
      <c r="C160">
        <v>0</v>
      </c>
    </row>
    <row r="161" spans="1:3" x14ac:dyDescent="0.25">
      <c r="A161" t="s">
        <v>754</v>
      </c>
      <c r="B161" t="s">
        <v>1435</v>
      </c>
      <c r="C161">
        <v>0</v>
      </c>
    </row>
    <row r="162" spans="1:3" x14ac:dyDescent="0.25">
      <c r="A162" t="s">
        <v>755</v>
      </c>
      <c r="B162" t="s">
        <v>1436</v>
      </c>
      <c r="C162">
        <v>0</v>
      </c>
    </row>
    <row r="163" spans="1:3" x14ac:dyDescent="0.25">
      <c r="A163" t="s">
        <v>2782</v>
      </c>
      <c r="B163" t="s">
        <v>2875</v>
      </c>
      <c r="C163">
        <v>11953751</v>
      </c>
    </row>
    <row r="164" spans="1:3" x14ac:dyDescent="0.25">
      <c r="A164" t="s">
        <v>2790</v>
      </c>
      <c r="B164" t="s">
        <v>632</v>
      </c>
      <c r="C164">
        <v>16353400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4D853-C68B-48F2-B1FA-99AEC753FF63}">
  <dimension ref="A1:C174"/>
  <sheetViews>
    <sheetView topLeftCell="A130" workbookViewId="0">
      <selection activeCell="B144" sqref="B144"/>
    </sheetView>
  </sheetViews>
  <sheetFormatPr defaultRowHeight="15" x14ac:dyDescent="0.25"/>
  <cols>
    <col min="1" max="1" width="16.28515625" bestFit="1" customWidth="1"/>
    <col min="2" max="2" width="81.140625" bestFit="1" customWidth="1"/>
    <col min="3" max="4" width="9" bestFit="1" customWidth="1"/>
  </cols>
  <sheetData>
    <row r="1" spans="1:3" x14ac:dyDescent="0.25">
      <c r="A1" t="s">
        <v>1486</v>
      </c>
      <c r="B1" t="s">
        <v>2626</v>
      </c>
      <c r="C1" t="s">
        <v>2610</v>
      </c>
    </row>
    <row r="2" spans="1:3" x14ac:dyDescent="0.25">
      <c r="A2" t="s">
        <v>2627</v>
      </c>
      <c r="B2" t="s">
        <v>644</v>
      </c>
      <c r="C2">
        <v>79008228</v>
      </c>
    </row>
    <row r="3" spans="1:3" x14ac:dyDescent="0.25">
      <c r="A3" t="s">
        <v>2628</v>
      </c>
      <c r="B3" t="s">
        <v>645</v>
      </c>
      <c r="C3">
        <v>58419021</v>
      </c>
    </row>
    <row r="4" spans="1:3" x14ac:dyDescent="0.25">
      <c r="A4" t="s">
        <v>646</v>
      </c>
      <c r="B4" t="s">
        <v>647</v>
      </c>
      <c r="C4">
        <v>48011741</v>
      </c>
    </row>
    <row r="5" spans="1:3" x14ac:dyDescent="0.25">
      <c r="A5" t="s">
        <v>648</v>
      </c>
      <c r="B5" t="s">
        <v>649</v>
      </c>
      <c r="C5">
        <v>48011741</v>
      </c>
    </row>
    <row r="6" spans="1:3" x14ac:dyDescent="0.25">
      <c r="A6" t="s">
        <v>650</v>
      </c>
      <c r="B6" t="s">
        <v>651</v>
      </c>
      <c r="C6">
        <v>0</v>
      </c>
    </row>
    <row r="7" spans="1:3" x14ac:dyDescent="0.25">
      <c r="A7" t="s">
        <v>652</v>
      </c>
      <c r="B7" t="s">
        <v>653</v>
      </c>
      <c r="C7">
        <v>0</v>
      </c>
    </row>
    <row r="8" spans="1:3" x14ac:dyDescent="0.25">
      <c r="A8" t="s">
        <v>654</v>
      </c>
      <c r="B8" t="s">
        <v>655</v>
      </c>
      <c r="C8">
        <v>0</v>
      </c>
    </row>
    <row r="9" spans="1:3" x14ac:dyDescent="0.25">
      <c r="A9" t="s">
        <v>656</v>
      </c>
      <c r="B9" t="s">
        <v>657</v>
      </c>
      <c r="C9">
        <v>0</v>
      </c>
    </row>
    <row r="10" spans="1:3" x14ac:dyDescent="0.25">
      <c r="A10" t="s">
        <v>658</v>
      </c>
      <c r="B10" t="s">
        <v>659</v>
      </c>
      <c r="C10">
        <v>0</v>
      </c>
    </row>
    <row r="11" spans="1:3" x14ac:dyDescent="0.25">
      <c r="A11" t="s">
        <v>660</v>
      </c>
      <c r="B11" t="s">
        <v>661</v>
      </c>
      <c r="C11">
        <v>0</v>
      </c>
    </row>
    <row r="12" spans="1:3" x14ac:dyDescent="0.25">
      <c r="A12" t="s">
        <v>662</v>
      </c>
      <c r="B12" t="s">
        <v>663</v>
      </c>
      <c r="C12">
        <v>0</v>
      </c>
    </row>
    <row r="13" spans="1:3" x14ac:dyDescent="0.25">
      <c r="A13" t="s">
        <v>664</v>
      </c>
      <c r="B13" t="s">
        <v>665</v>
      </c>
      <c r="C13">
        <v>72364</v>
      </c>
    </row>
    <row r="14" spans="1:3" x14ac:dyDescent="0.25">
      <c r="A14" t="s">
        <v>666</v>
      </c>
      <c r="B14" t="s">
        <v>667</v>
      </c>
      <c r="C14">
        <v>0</v>
      </c>
    </row>
    <row r="15" spans="1:3" x14ac:dyDescent="0.25">
      <c r="A15" t="s">
        <v>668</v>
      </c>
      <c r="B15" t="s">
        <v>669</v>
      </c>
      <c r="C15">
        <v>8154267</v>
      </c>
    </row>
    <row r="16" spans="1:3" x14ac:dyDescent="0.25">
      <c r="A16" t="s">
        <v>2629</v>
      </c>
      <c r="B16" t="s">
        <v>2630</v>
      </c>
      <c r="C16">
        <v>0</v>
      </c>
    </row>
    <row r="17" spans="1:3" x14ac:dyDescent="0.25">
      <c r="A17" t="s">
        <v>2631</v>
      </c>
      <c r="B17" t="s">
        <v>2791</v>
      </c>
      <c r="C17">
        <v>0</v>
      </c>
    </row>
    <row r="18" spans="1:3" x14ac:dyDescent="0.25">
      <c r="A18" t="s">
        <v>2633</v>
      </c>
      <c r="B18" t="s">
        <v>2634</v>
      </c>
      <c r="C18">
        <v>0</v>
      </c>
    </row>
    <row r="19" spans="1:3" x14ac:dyDescent="0.25">
      <c r="A19" t="s">
        <v>2635</v>
      </c>
      <c r="B19" t="s">
        <v>2636</v>
      </c>
      <c r="C19">
        <v>0</v>
      </c>
    </row>
    <row r="20" spans="1:3" x14ac:dyDescent="0.25">
      <c r="A20" t="s">
        <v>2637</v>
      </c>
      <c r="B20" t="s">
        <v>2638</v>
      </c>
      <c r="C20">
        <v>0</v>
      </c>
    </row>
    <row r="21" spans="1:3" x14ac:dyDescent="0.25">
      <c r="A21" t="s">
        <v>2639</v>
      </c>
      <c r="B21" t="s">
        <v>2640</v>
      </c>
      <c r="C21">
        <v>1044509</v>
      </c>
    </row>
    <row r="22" spans="1:3" x14ac:dyDescent="0.25">
      <c r="A22" t="s">
        <v>670</v>
      </c>
      <c r="B22" t="s">
        <v>671</v>
      </c>
      <c r="C22">
        <v>2180649</v>
      </c>
    </row>
    <row r="23" spans="1:3" x14ac:dyDescent="0.25">
      <c r="A23" t="s">
        <v>2641</v>
      </c>
      <c r="B23" t="s">
        <v>2630</v>
      </c>
      <c r="C23">
        <v>0</v>
      </c>
    </row>
    <row r="24" spans="1:3" x14ac:dyDescent="0.25">
      <c r="A24" t="s">
        <v>2642</v>
      </c>
      <c r="B24" t="s">
        <v>2791</v>
      </c>
      <c r="C24">
        <v>0</v>
      </c>
    </row>
    <row r="25" spans="1:3" x14ac:dyDescent="0.25">
      <c r="A25" t="s">
        <v>2643</v>
      </c>
      <c r="B25" t="s">
        <v>2634</v>
      </c>
      <c r="C25">
        <v>0</v>
      </c>
    </row>
    <row r="26" spans="1:3" x14ac:dyDescent="0.25">
      <c r="A26" t="s">
        <v>2644</v>
      </c>
      <c r="B26" t="s">
        <v>2636</v>
      </c>
      <c r="C26">
        <v>0</v>
      </c>
    </row>
    <row r="27" spans="1:3" x14ac:dyDescent="0.25">
      <c r="A27" t="s">
        <v>2645</v>
      </c>
      <c r="B27" t="s">
        <v>2638</v>
      </c>
      <c r="C27">
        <v>0</v>
      </c>
    </row>
    <row r="28" spans="1:3" x14ac:dyDescent="0.25">
      <c r="A28" t="s">
        <v>2646</v>
      </c>
      <c r="B28" t="s">
        <v>2640</v>
      </c>
      <c r="C28">
        <v>0</v>
      </c>
    </row>
    <row r="29" spans="1:3" x14ac:dyDescent="0.25">
      <c r="A29" t="s">
        <v>2647</v>
      </c>
      <c r="B29" t="s">
        <v>672</v>
      </c>
      <c r="C29">
        <v>1345120</v>
      </c>
    </row>
    <row r="30" spans="1:3" x14ac:dyDescent="0.25">
      <c r="A30" t="s">
        <v>673</v>
      </c>
      <c r="B30" t="s">
        <v>2648</v>
      </c>
      <c r="C30">
        <v>742641</v>
      </c>
    </row>
    <row r="31" spans="1:3" x14ac:dyDescent="0.25">
      <c r="A31" t="s">
        <v>2649</v>
      </c>
      <c r="B31" t="s">
        <v>2650</v>
      </c>
      <c r="C31">
        <v>0</v>
      </c>
    </row>
    <row r="32" spans="1:3" x14ac:dyDescent="0.25">
      <c r="A32" t="s">
        <v>2651</v>
      </c>
      <c r="B32" t="s">
        <v>2652</v>
      </c>
      <c r="C32">
        <v>0</v>
      </c>
    </row>
    <row r="33" spans="1:3" x14ac:dyDescent="0.25">
      <c r="A33" t="s">
        <v>688</v>
      </c>
      <c r="B33" t="s">
        <v>689</v>
      </c>
      <c r="C33">
        <v>0</v>
      </c>
    </row>
    <row r="34" spans="1:3" x14ac:dyDescent="0.25">
      <c r="A34" t="s">
        <v>690</v>
      </c>
      <c r="B34" t="s">
        <v>691</v>
      </c>
      <c r="C34">
        <v>0</v>
      </c>
    </row>
    <row r="35" spans="1:3" x14ac:dyDescent="0.25">
      <c r="A35" t="s">
        <v>692</v>
      </c>
      <c r="B35" t="s">
        <v>2653</v>
      </c>
      <c r="C35">
        <v>378281</v>
      </c>
    </row>
    <row r="36" spans="1:3" x14ac:dyDescent="0.25">
      <c r="A36" t="s">
        <v>2654</v>
      </c>
      <c r="B36" t="s">
        <v>2655</v>
      </c>
      <c r="C36">
        <v>0</v>
      </c>
    </row>
    <row r="37" spans="1:3" x14ac:dyDescent="0.25">
      <c r="A37" t="s">
        <v>2656</v>
      </c>
      <c r="B37" t="s">
        <v>2657</v>
      </c>
      <c r="C37">
        <v>0</v>
      </c>
    </row>
    <row r="38" spans="1:3" x14ac:dyDescent="0.25">
      <c r="A38" t="s">
        <v>2658</v>
      </c>
      <c r="B38" t="s">
        <v>2659</v>
      </c>
      <c r="C38">
        <v>0</v>
      </c>
    </row>
    <row r="39" spans="1:3" x14ac:dyDescent="0.25">
      <c r="A39" t="s">
        <v>2660</v>
      </c>
      <c r="B39" t="s">
        <v>2661</v>
      </c>
      <c r="C39">
        <v>0</v>
      </c>
    </row>
    <row r="40" spans="1:3" x14ac:dyDescent="0.25">
      <c r="A40" t="s">
        <v>2662</v>
      </c>
      <c r="B40" t="s">
        <v>2663</v>
      </c>
      <c r="C40">
        <v>378281</v>
      </c>
    </row>
    <row r="41" spans="1:3" x14ac:dyDescent="0.25">
      <c r="A41" t="s">
        <v>693</v>
      </c>
      <c r="B41" t="s">
        <v>694</v>
      </c>
      <c r="C41">
        <v>0</v>
      </c>
    </row>
    <row r="42" spans="1:3" x14ac:dyDescent="0.25">
      <c r="A42" t="s">
        <v>2664</v>
      </c>
      <c r="B42" t="s">
        <v>2665</v>
      </c>
      <c r="C42">
        <v>0</v>
      </c>
    </row>
    <row r="43" spans="1:3" x14ac:dyDescent="0.25">
      <c r="A43" t="s">
        <v>2666</v>
      </c>
      <c r="B43" t="s">
        <v>2667</v>
      </c>
      <c r="C43">
        <v>0</v>
      </c>
    </row>
    <row r="44" spans="1:3" x14ac:dyDescent="0.25">
      <c r="A44" t="s">
        <v>2668</v>
      </c>
      <c r="B44" t="s">
        <v>2661</v>
      </c>
      <c r="C44">
        <v>0</v>
      </c>
    </row>
    <row r="45" spans="1:3" x14ac:dyDescent="0.25">
      <c r="A45" t="s">
        <v>695</v>
      </c>
      <c r="B45" t="s">
        <v>696</v>
      </c>
      <c r="C45">
        <v>0</v>
      </c>
    </row>
    <row r="46" spans="1:3" x14ac:dyDescent="0.25">
      <c r="A46" t="s">
        <v>697</v>
      </c>
      <c r="B46" t="s">
        <v>698</v>
      </c>
      <c r="C46">
        <v>0</v>
      </c>
    </row>
    <row r="47" spans="1:3" x14ac:dyDescent="0.25">
      <c r="A47" t="s">
        <v>699</v>
      </c>
      <c r="B47" t="s">
        <v>700</v>
      </c>
      <c r="C47">
        <v>0</v>
      </c>
    </row>
    <row r="48" spans="1:3" x14ac:dyDescent="0.25">
      <c r="A48" t="s">
        <v>2669</v>
      </c>
      <c r="B48" t="s">
        <v>2630</v>
      </c>
      <c r="C48">
        <v>0</v>
      </c>
    </row>
    <row r="49" spans="1:3" x14ac:dyDescent="0.25">
      <c r="A49" t="s">
        <v>2670</v>
      </c>
      <c r="B49" t="s">
        <v>2791</v>
      </c>
      <c r="C49">
        <v>0</v>
      </c>
    </row>
    <row r="50" spans="1:3" x14ac:dyDescent="0.25">
      <c r="A50" t="s">
        <v>2671</v>
      </c>
      <c r="B50" t="s">
        <v>2634</v>
      </c>
      <c r="C50">
        <v>0</v>
      </c>
    </row>
    <row r="51" spans="1:3" x14ac:dyDescent="0.25">
      <c r="A51" t="s">
        <v>2672</v>
      </c>
      <c r="B51" t="s">
        <v>2636</v>
      </c>
      <c r="C51">
        <v>0</v>
      </c>
    </row>
    <row r="52" spans="1:3" x14ac:dyDescent="0.25">
      <c r="A52" t="s">
        <v>2673</v>
      </c>
      <c r="B52" t="s">
        <v>2638</v>
      </c>
      <c r="C52">
        <v>0</v>
      </c>
    </row>
    <row r="53" spans="1:3" x14ac:dyDescent="0.25">
      <c r="A53" t="s">
        <v>2674</v>
      </c>
      <c r="B53" t="s">
        <v>2640</v>
      </c>
      <c r="C53">
        <v>0</v>
      </c>
    </row>
    <row r="54" spans="1:3" x14ac:dyDescent="0.25">
      <c r="A54" t="s">
        <v>701</v>
      </c>
      <c r="B54" t="s">
        <v>702</v>
      </c>
      <c r="C54">
        <v>0</v>
      </c>
    </row>
    <row r="55" spans="1:3" x14ac:dyDescent="0.25">
      <c r="A55" t="s">
        <v>1421</v>
      </c>
      <c r="B55" t="s">
        <v>2630</v>
      </c>
      <c r="C55">
        <v>0</v>
      </c>
    </row>
    <row r="56" spans="1:3" x14ac:dyDescent="0.25">
      <c r="A56" t="s">
        <v>2675</v>
      </c>
      <c r="B56" t="s">
        <v>2791</v>
      </c>
      <c r="C56">
        <v>0</v>
      </c>
    </row>
    <row r="57" spans="1:3" x14ac:dyDescent="0.25">
      <c r="A57" t="s">
        <v>2676</v>
      </c>
      <c r="B57" t="s">
        <v>2634</v>
      </c>
      <c r="C57">
        <v>0</v>
      </c>
    </row>
    <row r="58" spans="1:3" x14ac:dyDescent="0.25">
      <c r="A58" t="s">
        <v>2677</v>
      </c>
      <c r="B58" t="s">
        <v>2636</v>
      </c>
      <c r="C58">
        <v>0</v>
      </c>
    </row>
    <row r="59" spans="1:3" x14ac:dyDescent="0.25">
      <c r="A59" t="s">
        <v>2678</v>
      </c>
      <c r="B59" t="s">
        <v>2638</v>
      </c>
      <c r="C59">
        <v>0</v>
      </c>
    </row>
    <row r="60" spans="1:3" x14ac:dyDescent="0.25">
      <c r="A60" t="s">
        <v>1419</v>
      </c>
      <c r="B60" t="s">
        <v>2640</v>
      </c>
      <c r="C60">
        <v>0</v>
      </c>
    </row>
    <row r="61" spans="1:3" x14ac:dyDescent="0.25">
      <c r="A61" t="s">
        <v>674</v>
      </c>
      <c r="B61" t="s">
        <v>675</v>
      </c>
      <c r="C61">
        <v>0</v>
      </c>
    </row>
    <row r="62" spans="1:3" x14ac:dyDescent="0.25">
      <c r="A62" t="s">
        <v>676</v>
      </c>
      <c r="B62" t="s">
        <v>1420</v>
      </c>
      <c r="C62">
        <v>0</v>
      </c>
    </row>
    <row r="63" spans="1:3" x14ac:dyDescent="0.25">
      <c r="A63" t="s">
        <v>678</v>
      </c>
      <c r="B63" t="s">
        <v>677</v>
      </c>
      <c r="C63">
        <v>0</v>
      </c>
    </row>
    <row r="64" spans="1:3" x14ac:dyDescent="0.25">
      <c r="A64" t="s">
        <v>680</v>
      </c>
      <c r="B64" t="s">
        <v>679</v>
      </c>
      <c r="C64">
        <v>0</v>
      </c>
    </row>
    <row r="65" spans="1:3" x14ac:dyDescent="0.25">
      <c r="A65" t="s">
        <v>2679</v>
      </c>
      <c r="B65" t="s">
        <v>681</v>
      </c>
      <c r="C65">
        <v>0</v>
      </c>
    </row>
    <row r="66" spans="1:3" x14ac:dyDescent="0.25">
      <c r="A66" t="s">
        <v>682</v>
      </c>
      <c r="B66" t="s">
        <v>223</v>
      </c>
      <c r="C66">
        <v>0</v>
      </c>
    </row>
    <row r="67" spans="1:3" x14ac:dyDescent="0.25">
      <c r="A67" t="s">
        <v>683</v>
      </c>
      <c r="B67" t="s">
        <v>684</v>
      </c>
      <c r="C67">
        <v>224198</v>
      </c>
    </row>
    <row r="68" spans="1:3" x14ac:dyDescent="0.25">
      <c r="A68" t="s">
        <v>685</v>
      </c>
      <c r="B68" t="s">
        <v>2680</v>
      </c>
      <c r="C68">
        <v>0</v>
      </c>
    </row>
    <row r="69" spans="1:3" x14ac:dyDescent="0.25">
      <c r="A69" t="s">
        <v>687</v>
      </c>
      <c r="B69" t="s">
        <v>1062</v>
      </c>
      <c r="C69">
        <v>0</v>
      </c>
    </row>
    <row r="70" spans="1:3" x14ac:dyDescent="0.25">
      <c r="A70" t="s">
        <v>2681</v>
      </c>
      <c r="B70" t="s">
        <v>2682</v>
      </c>
      <c r="C70">
        <v>0</v>
      </c>
    </row>
    <row r="71" spans="1:3" x14ac:dyDescent="0.25">
      <c r="A71" t="s">
        <v>2683</v>
      </c>
      <c r="B71" t="s">
        <v>2684</v>
      </c>
      <c r="C71">
        <v>0</v>
      </c>
    </row>
    <row r="72" spans="1:3" x14ac:dyDescent="0.25">
      <c r="A72" t="s">
        <v>2685</v>
      </c>
      <c r="B72" t="s">
        <v>2686</v>
      </c>
      <c r="C72">
        <v>0</v>
      </c>
    </row>
    <row r="73" spans="1:3" x14ac:dyDescent="0.25">
      <c r="A73" t="s">
        <v>2687</v>
      </c>
      <c r="B73" t="s">
        <v>2688</v>
      </c>
      <c r="C73">
        <v>0</v>
      </c>
    </row>
    <row r="74" spans="1:3" x14ac:dyDescent="0.25">
      <c r="A74" t="s">
        <v>2689</v>
      </c>
      <c r="B74" t="s">
        <v>703</v>
      </c>
      <c r="C74">
        <v>57073901</v>
      </c>
    </row>
    <row r="75" spans="1:3" x14ac:dyDescent="0.25">
      <c r="A75" t="s">
        <v>2690</v>
      </c>
      <c r="B75" t="s">
        <v>704</v>
      </c>
      <c r="C75">
        <v>0</v>
      </c>
    </row>
    <row r="76" spans="1:3" x14ac:dyDescent="0.25">
      <c r="A76" t="s">
        <v>705</v>
      </c>
      <c r="B76" t="s">
        <v>706</v>
      </c>
      <c r="C76">
        <v>0</v>
      </c>
    </row>
    <row r="77" spans="1:3" x14ac:dyDescent="0.25">
      <c r="A77" t="s">
        <v>707</v>
      </c>
      <c r="B77" t="s">
        <v>2691</v>
      </c>
      <c r="C77">
        <v>0</v>
      </c>
    </row>
    <row r="78" spans="1:3" x14ac:dyDescent="0.25">
      <c r="A78" t="s">
        <v>709</v>
      </c>
      <c r="B78" t="s">
        <v>32</v>
      </c>
      <c r="C78">
        <v>0</v>
      </c>
    </row>
    <row r="79" spans="1:3" x14ac:dyDescent="0.25">
      <c r="A79" t="s">
        <v>710</v>
      </c>
      <c r="B79" t="s">
        <v>232</v>
      </c>
      <c r="C79">
        <v>0</v>
      </c>
    </row>
    <row r="80" spans="1:3" x14ac:dyDescent="0.25">
      <c r="A80" t="s">
        <v>711</v>
      </c>
      <c r="B80" t="s">
        <v>1063</v>
      </c>
      <c r="C80">
        <v>0</v>
      </c>
    </row>
    <row r="81" spans="1:3" x14ac:dyDescent="0.25">
      <c r="A81" t="s">
        <v>2692</v>
      </c>
      <c r="B81" t="s">
        <v>2693</v>
      </c>
      <c r="C81">
        <v>0</v>
      </c>
    </row>
    <row r="82" spans="1:3" x14ac:dyDescent="0.25">
      <c r="A82" t="s">
        <v>2694</v>
      </c>
      <c r="B82" t="s">
        <v>712</v>
      </c>
      <c r="C82">
        <v>0</v>
      </c>
    </row>
    <row r="83" spans="1:3" x14ac:dyDescent="0.25">
      <c r="A83" t="s">
        <v>610</v>
      </c>
      <c r="B83" t="s">
        <v>2695</v>
      </c>
      <c r="C83">
        <v>0</v>
      </c>
    </row>
    <row r="84" spans="1:3" x14ac:dyDescent="0.25">
      <c r="A84" t="s">
        <v>2696</v>
      </c>
      <c r="B84" t="s">
        <v>2655</v>
      </c>
      <c r="C84">
        <v>0</v>
      </c>
    </row>
    <row r="85" spans="1:3" x14ac:dyDescent="0.25">
      <c r="A85" t="s">
        <v>2697</v>
      </c>
      <c r="B85" t="s">
        <v>2698</v>
      </c>
      <c r="C85">
        <v>0</v>
      </c>
    </row>
    <row r="86" spans="1:3" x14ac:dyDescent="0.25">
      <c r="A86" t="s">
        <v>2699</v>
      </c>
      <c r="B86" t="s">
        <v>2659</v>
      </c>
      <c r="C86">
        <v>0</v>
      </c>
    </row>
    <row r="87" spans="1:3" x14ac:dyDescent="0.25">
      <c r="A87" t="s">
        <v>2700</v>
      </c>
      <c r="B87" t="s">
        <v>2661</v>
      </c>
      <c r="C87">
        <v>0</v>
      </c>
    </row>
    <row r="88" spans="1:3" x14ac:dyDescent="0.25">
      <c r="A88" t="s">
        <v>2701</v>
      </c>
      <c r="B88" t="s">
        <v>2663</v>
      </c>
      <c r="C88">
        <v>0</v>
      </c>
    </row>
    <row r="89" spans="1:3" x14ac:dyDescent="0.25">
      <c r="A89" t="s">
        <v>641</v>
      </c>
      <c r="B89" t="s">
        <v>714</v>
      </c>
      <c r="C89">
        <v>0</v>
      </c>
    </row>
    <row r="90" spans="1:3" x14ac:dyDescent="0.25">
      <c r="A90" t="s">
        <v>2702</v>
      </c>
      <c r="B90" t="s">
        <v>1420</v>
      </c>
      <c r="C90">
        <v>0</v>
      </c>
    </row>
    <row r="91" spans="1:3" x14ac:dyDescent="0.25">
      <c r="A91" t="s">
        <v>2703</v>
      </c>
      <c r="B91" t="s">
        <v>2704</v>
      </c>
      <c r="C91">
        <v>0</v>
      </c>
    </row>
    <row r="92" spans="1:3" x14ac:dyDescent="0.25">
      <c r="A92" t="s">
        <v>2705</v>
      </c>
      <c r="B92" t="s">
        <v>2706</v>
      </c>
      <c r="C92">
        <v>0</v>
      </c>
    </row>
    <row r="93" spans="1:3" x14ac:dyDescent="0.25">
      <c r="A93" t="s">
        <v>642</v>
      </c>
      <c r="B93" t="s">
        <v>1432</v>
      </c>
      <c r="C93">
        <v>0</v>
      </c>
    </row>
    <row r="94" spans="1:3" x14ac:dyDescent="0.25">
      <c r="A94" t="s">
        <v>2707</v>
      </c>
      <c r="B94" t="s">
        <v>1420</v>
      </c>
      <c r="C94">
        <v>0</v>
      </c>
    </row>
    <row r="95" spans="1:3" x14ac:dyDescent="0.25">
      <c r="A95" t="s">
        <v>2708</v>
      </c>
      <c r="B95" t="s">
        <v>2709</v>
      </c>
      <c r="C95">
        <v>0</v>
      </c>
    </row>
    <row r="96" spans="1:3" x14ac:dyDescent="0.25">
      <c r="A96" t="s">
        <v>2710</v>
      </c>
      <c r="B96" t="s">
        <v>2711</v>
      </c>
      <c r="C96">
        <v>0</v>
      </c>
    </row>
    <row r="97" spans="1:3" x14ac:dyDescent="0.25">
      <c r="A97" t="s">
        <v>2712</v>
      </c>
      <c r="B97" t="s">
        <v>2713</v>
      </c>
      <c r="C97">
        <v>0</v>
      </c>
    </row>
    <row r="98" spans="1:3" x14ac:dyDescent="0.25">
      <c r="A98" t="s">
        <v>2714</v>
      </c>
      <c r="B98" t="s">
        <v>2711</v>
      </c>
      <c r="C98">
        <v>0</v>
      </c>
    </row>
    <row r="99" spans="1:3" x14ac:dyDescent="0.25">
      <c r="A99" t="s">
        <v>716</v>
      </c>
      <c r="B99" t="s">
        <v>235</v>
      </c>
      <c r="C99">
        <v>0</v>
      </c>
    </row>
    <row r="100" spans="1:3" x14ac:dyDescent="0.25">
      <c r="A100" t="s">
        <v>717</v>
      </c>
      <c r="B100" t="s">
        <v>718</v>
      </c>
      <c r="C100">
        <v>0</v>
      </c>
    </row>
    <row r="101" spans="1:3" x14ac:dyDescent="0.25">
      <c r="A101" t="s">
        <v>719</v>
      </c>
      <c r="B101" t="s">
        <v>2715</v>
      </c>
      <c r="C101">
        <v>0</v>
      </c>
    </row>
    <row r="102" spans="1:3" x14ac:dyDescent="0.25">
      <c r="A102" t="s">
        <v>721</v>
      </c>
      <c r="B102" t="s">
        <v>2716</v>
      </c>
    </row>
    <row r="103" spans="1:3" x14ac:dyDescent="0.25">
      <c r="A103" t="s">
        <v>2717</v>
      </c>
      <c r="B103" t="s">
        <v>2231</v>
      </c>
    </row>
    <row r="104" spans="1:3" x14ac:dyDescent="0.25">
      <c r="A104" t="s">
        <v>2718</v>
      </c>
      <c r="B104" t="s">
        <v>2719</v>
      </c>
    </row>
    <row r="105" spans="1:3" x14ac:dyDescent="0.25">
      <c r="A105" t="s">
        <v>2720</v>
      </c>
      <c r="B105" t="s">
        <v>2721</v>
      </c>
    </row>
    <row r="106" spans="1:3" x14ac:dyDescent="0.25">
      <c r="A106" t="s">
        <v>2722</v>
      </c>
      <c r="B106" t="s">
        <v>2723</v>
      </c>
    </row>
    <row r="107" spans="1:3" x14ac:dyDescent="0.25">
      <c r="A107" t="s">
        <v>2724</v>
      </c>
      <c r="B107" t="s">
        <v>2725</v>
      </c>
    </row>
    <row r="108" spans="1:3" x14ac:dyDescent="0.25">
      <c r="A108" t="s">
        <v>2726</v>
      </c>
      <c r="B108" t="s">
        <v>723</v>
      </c>
      <c r="C108">
        <v>0</v>
      </c>
    </row>
    <row r="109" spans="1:3" x14ac:dyDescent="0.25">
      <c r="A109" t="s">
        <v>2727</v>
      </c>
      <c r="B109" t="s">
        <v>621</v>
      </c>
      <c r="C109">
        <v>57073901</v>
      </c>
    </row>
    <row r="110" spans="1:3" x14ac:dyDescent="0.25">
      <c r="A110" t="s">
        <v>2728</v>
      </c>
      <c r="B110" t="s">
        <v>724</v>
      </c>
      <c r="C110">
        <v>21953077</v>
      </c>
    </row>
    <row r="111" spans="1:3" x14ac:dyDescent="0.25">
      <c r="A111" t="s">
        <v>725</v>
      </c>
      <c r="B111" t="s">
        <v>706</v>
      </c>
      <c r="C111">
        <v>0</v>
      </c>
    </row>
    <row r="112" spans="1:3" x14ac:dyDescent="0.25">
      <c r="A112" t="s">
        <v>791</v>
      </c>
      <c r="B112" t="s">
        <v>2729</v>
      </c>
      <c r="C112">
        <v>0</v>
      </c>
    </row>
    <row r="113" spans="1:3" x14ac:dyDescent="0.25">
      <c r="A113" t="s">
        <v>792</v>
      </c>
      <c r="B113" t="s">
        <v>2730</v>
      </c>
      <c r="C113">
        <v>0</v>
      </c>
    </row>
    <row r="114" spans="1:3" x14ac:dyDescent="0.25">
      <c r="A114" t="s">
        <v>726</v>
      </c>
      <c r="B114" t="s">
        <v>2731</v>
      </c>
      <c r="C114">
        <v>3655</v>
      </c>
    </row>
    <row r="115" spans="1:3" x14ac:dyDescent="0.25">
      <c r="A115" t="s">
        <v>728</v>
      </c>
      <c r="B115" t="s">
        <v>729</v>
      </c>
      <c r="C115">
        <v>0</v>
      </c>
    </row>
    <row r="116" spans="1:3" x14ac:dyDescent="0.25">
      <c r="A116" t="s">
        <v>730</v>
      </c>
      <c r="B116" t="s">
        <v>2732</v>
      </c>
      <c r="C116">
        <v>0</v>
      </c>
    </row>
    <row r="117" spans="1:3" x14ac:dyDescent="0.25">
      <c r="A117" t="s">
        <v>731</v>
      </c>
      <c r="B117" t="s">
        <v>732</v>
      </c>
      <c r="C117">
        <v>5904976</v>
      </c>
    </row>
    <row r="118" spans="1:3" x14ac:dyDescent="0.25">
      <c r="A118" t="s">
        <v>2733</v>
      </c>
      <c r="B118" t="s">
        <v>2630</v>
      </c>
      <c r="C118">
        <v>0</v>
      </c>
    </row>
    <row r="119" spans="1:3" x14ac:dyDescent="0.25">
      <c r="A119" t="s">
        <v>2734</v>
      </c>
      <c r="B119" t="s">
        <v>2791</v>
      </c>
      <c r="C119">
        <v>0</v>
      </c>
    </row>
    <row r="120" spans="1:3" x14ac:dyDescent="0.25">
      <c r="A120" t="s">
        <v>2735</v>
      </c>
      <c r="B120" t="s">
        <v>2634</v>
      </c>
      <c r="C120">
        <v>0</v>
      </c>
    </row>
    <row r="121" spans="1:3" x14ac:dyDescent="0.25">
      <c r="A121" t="s">
        <v>2736</v>
      </c>
      <c r="B121" t="s">
        <v>2636</v>
      </c>
      <c r="C121">
        <v>0</v>
      </c>
    </row>
    <row r="122" spans="1:3" x14ac:dyDescent="0.25">
      <c r="A122" t="s">
        <v>2737</v>
      </c>
      <c r="B122" t="s">
        <v>2638</v>
      </c>
      <c r="C122">
        <v>0</v>
      </c>
    </row>
    <row r="123" spans="1:3" x14ac:dyDescent="0.25">
      <c r="A123" t="s">
        <v>2738</v>
      </c>
      <c r="B123" t="s">
        <v>2640</v>
      </c>
      <c r="C123">
        <v>307950</v>
      </c>
    </row>
    <row r="124" spans="1:3" x14ac:dyDescent="0.25">
      <c r="A124" t="s">
        <v>733</v>
      </c>
      <c r="B124" t="s">
        <v>734</v>
      </c>
      <c r="C124">
        <v>0</v>
      </c>
    </row>
    <row r="125" spans="1:3" x14ac:dyDescent="0.25">
      <c r="A125" t="s">
        <v>2739</v>
      </c>
      <c r="B125" t="s">
        <v>2630</v>
      </c>
      <c r="C125">
        <v>0</v>
      </c>
    </row>
    <row r="126" spans="1:3" x14ac:dyDescent="0.25">
      <c r="A126" t="s">
        <v>2740</v>
      </c>
      <c r="B126" t="s">
        <v>2791</v>
      </c>
      <c r="C126">
        <v>0</v>
      </c>
    </row>
    <row r="127" spans="1:3" x14ac:dyDescent="0.25">
      <c r="A127" t="s">
        <v>2741</v>
      </c>
      <c r="B127" t="s">
        <v>2634</v>
      </c>
      <c r="C127">
        <v>0</v>
      </c>
    </row>
    <row r="128" spans="1:3" x14ac:dyDescent="0.25">
      <c r="A128" t="s">
        <v>2742</v>
      </c>
      <c r="B128" t="s">
        <v>2636</v>
      </c>
      <c r="C128">
        <v>0</v>
      </c>
    </row>
    <row r="129" spans="1:3" x14ac:dyDescent="0.25">
      <c r="A129" t="s">
        <v>2743</v>
      </c>
      <c r="B129" t="s">
        <v>2638</v>
      </c>
      <c r="C129">
        <v>0</v>
      </c>
    </row>
    <row r="130" spans="1:3" x14ac:dyDescent="0.25">
      <c r="A130" t="s">
        <v>2744</v>
      </c>
      <c r="B130" t="s">
        <v>2640</v>
      </c>
      <c r="C130">
        <v>0</v>
      </c>
    </row>
    <row r="131" spans="1:3" x14ac:dyDescent="0.25">
      <c r="A131" t="s">
        <v>735</v>
      </c>
      <c r="B131" t="s">
        <v>736</v>
      </c>
      <c r="C131">
        <v>16040283</v>
      </c>
    </row>
    <row r="132" spans="1:3" x14ac:dyDescent="0.25">
      <c r="A132" t="s">
        <v>737</v>
      </c>
      <c r="B132" t="s">
        <v>1067</v>
      </c>
      <c r="C132">
        <v>0</v>
      </c>
    </row>
    <row r="133" spans="1:3" x14ac:dyDescent="0.25">
      <c r="A133" t="s">
        <v>738</v>
      </c>
      <c r="B133" t="s">
        <v>1065</v>
      </c>
      <c r="C133">
        <v>3932783</v>
      </c>
    </row>
    <row r="134" spans="1:3" x14ac:dyDescent="0.25">
      <c r="A134" t="s">
        <v>1064</v>
      </c>
      <c r="B134" t="s">
        <v>1066</v>
      </c>
      <c r="C134">
        <v>0</v>
      </c>
    </row>
    <row r="135" spans="1:3" x14ac:dyDescent="0.25">
      <c r="A135" t="s">
        <v>739</v>
      </c>
      <c r="B135" t="s">
        <v>2745</v>
      </c>
      <c r="C135">
        <v>4163</v>
      </c>
    </row>
    <row r="136" spans="1:3" x14ac:dyDescent="0.25">
      <c r="A136" t="s">
        <v>740</v>
      </c>
      <c r="B136" t="s">
        <v>2746</v>
      </c>
      <c r="C136">
        <v>0</v>
      </c>
    </row>
    <row r="137" spans="1:3" x14ac:dyDescent="0.25">
      <c r="A137" t="s">
        <v>2747</v>
      </c>
      <c r="B137" t="s">
        <v>742</v>
      </c>
      <c r="C137">
        <v>18750</v>
      </c>
    </row>
    <row r="138" spans="1:3" x14ac:dyDescent="0.25">
      <c r="A138" t="s">
        <v>743</v>
      </c>
      <c r="B138" t="s">
        <v>2695</v>
      </c>
      <c r="C138">
        <v>0</v>
      </c>
    </row>
    <row r="139" spans="1:3" x14ac:dyDescent="0.25">
      <c r="A139" t="s">
        <v>2748</v>
      </c>
      <c r="B139" t="s">
        <v>2655</v>
      </c>
      <c r="C139">
        <v>0</v>
      </c>
    </row>
    <row r="140" spans="1:3" x14ac:dyDescent="0.25">
      <c r="A140" t="s">
        <v>2749</v>
      </c>
      <c r="B140" t="s">
        <v>2750</v>
      </c>
      <c r="C140">
        <v>0</v>
      </c>
    </row>
    <row r="141" spans="1:3" x14ac:dyDescent="0.25">
      <c r="A141" t="s">
        <v>2751</v>
      </c>
      <c r="B141" t="s">
        <v>2659</v>
      </c>
      <c r="C141">
        <v>0</v>
      </c>
    </row>
    <row r="142" spans="1:3" x14ac:dyDescent="0.25">
      <c r="A142" t="s">
        <v>2752</v>
      </c>
      <c r="B142" t="s">
        <v>2661</v>
      </c>
      <c r="C142">
        <v>0</v>
      </c>
    </row>
    <row r="143" spans="1:3" x14ac:dyDescent="0.25">
      <c r="A143" t="s">
        <v>2753</v>
      </c>
      <c r="B143" t="s">
        <v>2663</v>
      </c>
      <c r="C143">
        <v>0</v>
      </c>
    </row>
    <row r="144" spans="1:3" x14ac:dyDescent="0.25">
      <c r="A144" t="s">
        <v>744</v>
      </c>
      <c r="B144" t="s">
        <v>714</v>
      </c>
      <c r="C144">
        <v>0</v>
      </c>
    </row>
    <row r="145" spans="1:3" x14ac:dyDescent="0.25">
      <c r="A145" t="s">
        <v>2754</v>
      </c>
      <c r="B145" t="s">
        <v>1420</v>
      </c>
      <c r="C145">
        <v>0</v>
      </c>
    </row>
    <row r="146" spans="1:3" x14ac:dyDescent="0.25">
      <c r="A146" t="s">
        <v>2755</v>
      </c>
      <c r="B146" t="s">
        <v>2704</v>
      </c>
      <c r="C146">
        <v>0</v>
      </c>
    </row>
    <row r="147" spans="1:3" x14ac:dyDescent="0.25">
      <c r="A147" t="s">
        <v>2756</v>
      </c>
      <c r="B147" t="s">
        <v>2706</v>
      </c>
      <c r="C147">
        <v>0</v>
      </c>
    </row>
    <row r="148" spans="1:3" x14ac:dyDescent="0.25">
      <c r="A148" t="s">
        <v>745</v>
      </c>
      <c r="B148" t="s">
        <v>2757</v>
      </c>
      <c r="C148">
        <v>18750</v>
      </c>
    </row>
    <row r="149" spans="1:3" x14ac:dyDescent="0.25">
      <c r="A149" t="s">
        <v>2758</v>
      </c>
      <c r="B149" t="s">
        <v>1420</v>
      </c>
      <c r="C149">
        <v>0</v>
      </c>
    </row>
    <row r="150" spans="1:3" x14ac:dyDescent="0.25">
      <c r="A150" t="s">
        <v>2759</v>
      </c>
      <c r="B150" t="s">
        <v>2709</v>
      </c>
      <c r="C150">
        <v>0</v>
      </c>
    </row>
    <row r="151" spans="1:3" x14ac:dyDescent="0.25">
      <c r="A151" t="s">
        <v>2760</v>
      </c>
      <c r="B151" t="s">
        <v>2711</v>
      </c>
      <c r="C151">
        <v>0</v>
      </c>
    </row>
    <row r="152" spans="1:3" x14ac:dyDescent="0.25">
      <c r="A152" t="s">
        <v>2761</v>
      </c>
      <c r="B152" t="s">
        <v>2713</v>
      </c>
      <c r="C152">
        <v>18750</v>
      </c>
    </row>
    <row r="153" spans="1:3" x14ac:dyDescent="0.25">
      <c r="A153" t="s">
        <v>2762</v>
      </c>
      <c r="B153" t="s">
        <v>2711</v>
      </c>
      <c r="C153">
        <v>0</v>
      </c>
    </row>
    <row r="154" spans="1:3" x14ac:dyDescent="0.25">
      <c r="A154" t="s">
        <v>746</v>
      </c>
      <c r="B154" t="s">
        <v>747</v>
      </c>
      <c r="C154">
        <v>0</v>
      </c>
    </row>
    <row r="155" spans="1:3" x14ac:dyDescent="0.25">
      <c r="A155" t="s">
        <v>748</v>
      </c>
      <c r="B155" t="s">
        <v>2763</v>
      </c>
      <c r="C155">
        <v>0</v>
      </c>
    </row>
    <row r="156" spans="1:3" x14ac:dyDescent="0.25">
      <c r="A156" t="s">
        <v>750</v>
      </c>
      <c r="B156" t="s">
        <v>637</v>
      </c>
      <c r="C156">
        <v>79008228</v>
      </c>
    </row>
    <row r="157" spans="1:3" x14ac:dyDescent="0.25">
      <c r="A157" t="s">
        <v>751</v>
      </c>
      <c r="B157" t="s">
        <v>2764</v>
      </c>
    </row>
    <row r="158" spans="1:3" x14ac:dyDescent="0.25">
      <c r="A158" t="s">
        <v>2765</v>
      </c>
      <c r="B158" t="s">
        <v>2766</v>
      </c>
    </row>
    <row r="159" spans="1:3" x14ac:dyDescent="0.25">
      <c r="A159" t="s">
        <v>2767</v>
      </c>
      <c r="B159" t="s">
        <v>2768</v>
      </c>
    </row>
    <row r="160" spans="1:3" x14ac:dyDescent="0.25">
      <c r="A160" t="s">
        <v>2769</v>
      </c>
      <c r="B160" t="s">
        <v>2770</v>
      </c>
    </row>
    <row r="161" spans="1:3" x14ac:dyDescent="0.25">
      <c r="A161" t="s">
        <v>2771</v>
      </c>
      <c r="B161" t="s">
        <v>2772</v>
      </c>
    </row>
    <row r="162" spans="1:3" x14ac:dyDescent="0.25">
      <c r="A162" t="s">
        <v>2773</v>
      </c>
      <c r="B162" t="s">
        <v>2774</v>
      </c>
    </row>
    <row r="163" spans="1:3" x14ac:dyDescent="0.25">
      <c r="A163" t="s">
        <v>2775</v>
      </c>
      <c r="B163" t="s">
        <v>2776</v>
      </c>
    </row>
    <row r="164" spans="1:3" x14ac:dyDescent="0.25">
      <c r="A164" t="s">
        <v>2777</v>
      </c>
      <c r="B164" t="s">
        <v>2778</v>
      </c>
    </row>
    <row r="165" spans="1:3" x14ac:dyDescent="0.25">
      <c r="A165" t="s">
        <v>2779</v>
      </c>
      <c r="B165" t="s">
        <v>2780</v>
      </c>
      <c r="C165">
        <v>0</v>
      </c>
    </row>
    <row r="166" spans="1:3" x14ac:dyDescent="0.25">
      <c r="A166" t="s">
        <v>753</v>
      </c>
      <c r="B166" t="s">
        <v>635</v>
      </c>
      <c r="C166">
        <v>0</v>
      </c>
    </row>
    <row r="167" spans="1:3" x14ac:dyDescent="0.25">
      <c r="A167" t="s">
        <v>754</v>
      </c>
      <c r="B167" t="s">
        <v>638</v>
      </c>
      <c r="C167">
        <v>0</v>
      </c>
    </row>
    <row r="168" spans="1:3" x14ac:dyDescent="0.25">
      <c r="A168" t="s">
        <v>755</v>
      </c>
      <c r="B168" t="s">
        <v>2781</v>
      </c>
      <c r="C168">
        <v>0</v>
      </c>
    </row>
    <row r="169" spans="1:3" x14ac:dyDescent="0.25">
      <c r="A169" t="s">
        <v>2782</v>
      </c>
      <c r="B169" t="s">
        <v>2783</v>
      </c>
      <c r="C169">
        <v>0</v>
      </c>
    </row>
    <row r="170" spans="1:3" x14ac:dyDescent="0.25">
      <c r="A170" t="s">
        <v>2784</v>
      </c>
      <c r="B170" t="s">
        <v>2785</v>
      </c>
      <c r="C170">
        <v>0</v>
      </c>
    </row>
    <row r="171" spans="1:3" x14ac:dyDescent="0.25">
      <c r="A171" t="s">
        <v>2786</v>
      </c>
      <c r="B171" t="s">
        <v>2787</v>
      </c>
      <c r="C171">
        <v>0</v>
      </c>
    </row>
    <row r="172" spans="1:3" x14ac:dyDescent="0.25">
      <c r="A172" t="s">
        <v>2788</v>
      </c>
      <c r="B172" t="s">
        <v>2789</v>
      </c>
      <c r="C172">
        <v>11620551</v>
      </c>
    </row>
    <row r="173" spans="1:3" x14ac:dyDescent="0.25">
      <c r="A173" t="s">
        <v>757</v>
      </c>
      <c r="B173" t="s">
        <v>640</v>
      </c>
      <c r="C173">
        <v>0</v>
      </c>
    </row>
    <row r="174" spans="1:3" x14ac:dyDescent="0.25">
      <c r="A174" t="s">
        <v>2790</v>
      </c>
      <c r="B174" t="s">
        <v>632</v>
      </c>
      <c r="C174">
        <v>21934327</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4B766-7B12-4D94-802E-6E712B07C209}">
  <dimension ref="A1:C174"/>
  <sheetViews>
    <sheetView workbookViewId="0"/>
  </sheetViews>
  <sheetFormatPr defaultRowHeight="15" x14ac:dyDescent="0.25"/>
  <cols>
    <col min="1" max="1" width="16.28515625" bestFit="1" customWidth="1"/>
    <col min="2" max="2" width="81.140625" bestFit="1" customWidth="1"/>
    <col min="3" max="3" width="9" bestFit="1" customWidth="1"/>
  </cols>
  <sheetData>
    <row r="1" spans="1:3" x14ac:dyDescent="0.25">
      <c r="A1" t="s">
        <v>1486</v>
      </c>
      <c r="B1" t="s">
        <v>2626</v>
      </c>
      <c r="C1" t="s">
        <v>2611</v>
      </c>
    </row>
    <row r="2" spans="1:3" x14ac:dyDescent="0.25">
      <c r="A2" t="s">
        <v>2627</v>
      </c>
      <c r="B2" t="s">
        <v>644</v>
      </c>
      <c r="C2">
        <v>78930785</v>
      </c>
    </row>
    <row r="3" spans="1:3" x14ac:dyDescent="0.25">
      <c r="A3" t="s">
        <v>2628</v>
      </c>
      <c r="B3" t="s">
        <v>645</v>
      </c>
      <c r="C3">
        <v>57403326</v>
      </c>
    </row>
    <row r="4" spans="1:3" x14ac:dyDescent="0.25">
      <c r="A4" t="s">
        <v>646</v>
      </c>
      <c r="B4" t="s">
        <v>647</v>
      </c>
      <c r="C4">
        <v>48011741</v>
      </c>
    </row>
    <row r="5" spans="1:3" x14ac:dyDescent="0.25">
      <c r="A5" t="s">
        <v>648</v>
      </c>
      <c r="B5" t="s">
        <v>649</v>
      </c>
      <c r="C5">
        <v>48011741</v>
      </c>
    </row>
    <row r="6" spans="1:3" x14ac:dyDescent="0.25">
      <c r="A6" t="s">
        <v>650</v>
      </c>
      <c r="B6" t="s">
        <v>651</v>
      </c>
      <c r="C6">
        <v>0</v>
      </c>
    </row>
    <row r="7" spans="1:3" x14ac:dyDescent="0.25">
      <c r="A7" t="s">
        <v>652</v>
      </c>
      <c r="B7" t="s">
        <v>653</v>
      </c>
      <c r="C7">
        <v>0</v>
      </c>
    </row>
    <row r="8" spans="1:3" x14ac:dyDescent="0.25">
      <c r="A8" t="s">
        <v>654</v>
      </c>
      <c r="B8" t="s">
        <v>655</v>
      </c>
      <c r="C8">
        <v>0</v>
      </c>
    </row>
    <row r="9" spans="1:3" x14ac:dyDescent="0.25">
      <c r="A9" t="s">
        <v>656</v>
      </c>
      <c r="B9" t="s">
        <v>657</v>
      </c>
      <c r="C9">
        <v>0</v>
      </c>
    </row>
    <row r="10" spans="1:3" x14ac:dyDescent="0.25">
      <c r="A10" t="s">
        <v>658</v>
      </c>
      <c r="B10" t="s">
        <v>659</v>
      </c>
      <c r="C10">
        <v>0</v>
      </c>
    </row>
    <row r="11" spans="1:3" x14ac:dyDescent="0.25">
      <c r="A11" t="s">
        <v>660</v>
      </c>
      <c r="B11" t="s">
        <v>661</v>
      </c>
      <c r="C11">
        <v>0</v>
      </c>
    </row>
    <row r="12" spans="1:3" x14ac:dyDescent="0.25">
      <c r="A12" t="s">
        <v>662</v>
      </c>
      <c r="B12" t="s">
        <v>663</v>
      </c>
      <c r="C12">
        <v>0</v>
      </c>
    </row>
    <row r="13" spans="1:3" x14ac:dyDescent="0.25">
      <c r="A13" t="s">
        <v>664</v>
      </c>
      <c r="B13" t="s">
        <v>665</v>
      </c>
      <c r="C13">
        <v>32534</v>
      </c>
    </row>
    <row r="14" spans="1:3" x14ac:dyDescent="0.25">
      <c r="A14" t="s">
        <v>666</v>
      </c>
      <c r="B14" t="s">
        <v>667</v>
      </c>
      <c r="C14">
        <v>0</v>
      </c>
    </row>
    <row r="15" spans="1:3" x14ac:dyDescent="0.25">
      <c r="A15" t="s">
        <v>668</v>
      </c>
      <c r="B15" t="s">
        <v>669</v>
      </c>
      <c r="C15">
        <v>7935190</v>
      </c>
    </row>
    <row r="16" spans="1:3" x14ac:dyDescent="0.25">
      <c r="A16" t="s">
        <v>2629</v>
      </c>
      <c r="B16" t="s">
        <v>2630</v>
      </c>
      <c r="C16">
        <v>0</v>
      </c>
    </row>
    <row r="17" spans="1:3" x14ac:dyDescent="0.25">
      <c r="A17" t="s">
        <v>2631</v>
      </c>
      <c r="B17" t="s">
        <v>2632</v>
      </c>
      <c r="C17">
        <v>0</v>
      </c>
    </row>
    <row r="18" spans="1:3" x14ac:dyDescent="0.25">
      <c r="A18" t="s">
        <v>2633</v>
      </c>
      <c r="B18" t="s">
        <v>2634</v>
      </c>
      <c r="C18">
        <v>0</v>
      </c>
    </row>
    <row r="19" spans="1:3" x14ac:dyDescent="0.25">
      <c r="A19" t="s">
        <v>2635</v>
      </c>
      <c r="B19" t="s">
        <v>2636</v>
      </c>
      <c r="C19">
        <v>0</v>
      </c>
    </row>
    <row r="20" spans="1:3" x14ac:dyDescent="0.25">
      <c r="A20" t="s">
        <v>2637</v>
      </c>
      <c r="B20" t="s">
        <v>2638</v>
      </c>
      <c r="C20">
        <v>0</v>
      </c>
    </row>
    <row r="21" spans="1:3" x14ac:dyDescent="0.25">
      <c r="A21" t="s">
        <v>2639</v>
      </c>
      <c r="B21" t="s">
        <v>2640</v>
      </c>
      <c r="C21">
        <v>825432</v>
      </c>
    </row>
    <row r="22" spans="1:3" x14ac:dyDescent="0.25">
      <c r="A22" t="s">
        <v>670</v>
      </c>
      <c r="B22" t="s">
        <v>671</v>
      </c>
      <c r="C22">
        <v>1423861</v>
      </c>
    </row>
    <row r="23" spans="1:3" x14ac:dyDescent="0.25">
      <c r="A23" t="s">
        <v>2641</v>
      </c>
      <c r="B23" t="s">
        <v>2630</v>
      </c>
      <c r="C23">
        <v>0</v>
      </c>
    </row>
    <row r="24" spans="1:3" x14ac:dyDescent="0.25">
      <c r="A24" t="s">
        <v>2642</v>
      </c>
      <c r="B24" t="s">
        <v>2632</v>
      </c>
      <c r="C24">
        <v>0</v>
      </c>
    </row>
    <row r="25" spans="1:3" x14ac:dyDescent="0.25">
      <c r="A25" t="s">
        <v>2643</v>
      </c>
      <c r="B25" t="s">
        <v>2634</v>
      </c>
      <c r="C25">
        <v>0</v>
      </c>
    </row>
    <row r="26" spans="1:3" x14ac:dyDescent="0.25">
      <c r="A26" t="s">
        <v>2644</v>
      </c>
      <c r="B26" t="s">
        <v>2636</v>
      </c>
      <c r="C26">
        <v>0</v>
      </c>
    </row>
    <row r="27" spans="1:3" x14ac:dyDescent="0.25">
      <c r="A27" t="s">
        <v>2645</v>
      </c>
      <c r="B27" t="s">
        <v>2638</v>
      </c>
      <c r="C27">
        <v>0</v>
      </c>
    </row>
    <row r="28" spans="1:3" x14ac:dyDescent="0.25">
      <c r="A28" t="s">
        <v>2646</v>
      </c>
      <c r="B28" t="s">
        <v>2640</v>
      </c>
      <c r="C28">
        <v>0</v>
      </c>
    </row>
    <row r="29" spans="1:3" x14ac:dyDescent="0.25">
      <c r="A29" t="s">
        <v>2647</v>
      </c>
      <c r="B29" t="s">
        <v>672</v>
      </c>
      <c r="C29">
        <v>903976</v>
      </c>
    </row>
    <row r="30" spans="1:3" x14ac:dyDescent="0.25">
      <c r="A30" t="s">
        <v>673</v>
      </c>
      <c r="B30" t="s">
        <v>2648</v>
      </c>
      <c r="C30">
        <v>314878</v>
      </c>
    </row>
    <row r="31" spans="1:3" x14ac:dyDescent="0.25">
      <c r="A31" t="s">
        <v>2649</v>
      </c>
      <c r="B31" t="s">
        <v>2650</v>
      </c>
      <c r="C31">
        <v>0</v>
      </c>
    </row>
    <row r="32" spans="1:3" x14ac:dyDescent="0.25">
      <c r="A32" t="s">
        <v>2651</v>
      </c>
      <c r="B32" t="s">
        <v>2652</v>
      </c>
      <c r="C32">
        <v>0</v>
      </c>
    </row>
    <row r="33" spans="1:3" x14ac:dyDescent="0.25">
      <c r="A33" t="s">
        <v>688</v>
      </c>
      <c r="B33" t="s">
        <v>689</v>
      </c>
      <c r="C33">
        <v>0</v>
      </c>
    </row>
    <row r="34" spans="1:3" x14ac:dyDescent="0.25">
      <c r="A34" t="s">
        <v>690</v>
      </c>
      <c r="B34" t="s">
        <v>691</v>
      </c>
      <c r="C34">
        <v>0</v>
      </c>
    </row>
    <row r="35" spans="1:3" x14ac:dyDescent="0.25">
      <c r="A35" t="s">
        <v>692</v>
      </c>
      <c r="B35" t="s">
        <v>2653</v>
      </c>
      <c r="C35">
        <v>0</v>
      </c>
    </row>
    <row r="36" spans="1:3" x14ac:dyDescent="0.25">
      <c r="A36" t="s">
        <v>2654</v>
      </c>
      <c r="B36" t="s">
        <v>2655</v>
      </c>
      <c r="C36">
        <v>0</v>
      </c>
    </row>
    <row r="37" spans="1:3" x14ac:dyDescent="0.25">
      <c r="A37" t="s">
        <v>2656</v>
      </c>
      <c r="B37" t="s">
        <v>2657</v>
      </c>
      <c r="C37">
        <v>0</v>
      </c>
    </row>
    <row r="38" spans="1:3" x14ac:dyDescent="0.25">
      <c r="A38" t="s">
        <v>2658</v>
      </c>
      <c r="B38" t="s">
        <v>2659</v>
      </c>
      <c r="C38">
        <v>0</v>
      </c>
    </row>
    <row r="39" spans="1:3" x14ac:dyDescent="0.25">
      <c r="A39" t="s">
        <v>2660</v>
      </c>
      <c r="B39" t="s">
        <v>2661</v>
      </c>
      <c r="C39">
        <v>0</v>
      </c>
    </row>
    <row r="40" spans="1:3" x14ac:dyDescent="0.25">
      <c r="A40" t="s">
        <v>2662</v>
      </c>
      <c r="B40" t="s">
        <v>2663</v>
      </c>
      <c r="C40">
        <v>0</v>
      </c>
    </row>
    <row r="41" spans="1:3" x14ac:dyDescent="0.25">
      <c r="A41" t="s">
        <v>693</v>
      </c>
      <c r="B41" t="s">
        <v>694</v>
      </c>
      <c r="C41">
        <v>0</v>
      </c>
    </row>
    <row r="42" spans="1:3" x14ac:dyDescent="0.25">
      <c r="A42" t="s">
        <v>2664</v>
      </c>
      <c r="B42" t="s">
        <v>2665</v>
      </c>
      <c r="C42">
        <v>0</v>
      </c>
    </row>
    <row r="43" spans="1:3" x14ac:dyDescent="0.25">
      <c r="A43" t="s">
        <v>2666</v>
      </c>
      <c r="B43" t="s">
        <v>2667</v>
      </c>
      <c r="C43">
        <v>0</v>
      </c>
    </row>
    <row r="44" spans="1:3" x14ac:dyDescent="0.25">
      <c r="A44" t="s">
        <v>2668</v>
      </c>
      <c r="B44" t="s">
        <v>2661</v>
      </c>
      <c r="C44">
        <v>0</v>
      </c>
    </row>
    <row r="45" spans="1:3" x14ac:dyDescent="0.25">
      <c r="A45" t="s">
        <v>695</v>
      </c>
      <c r="B45" t="s">
        <v>696</v>
      </c>
      <c r="C45">
        <v>0</v>
      </c>
    </row>
    <row r="46" spans="1:3" x14ac:dyDescent="0.25">
      <c r="A46" t="s">
        <v>697</v>
      </c>
      <c r="B46" t="s">
        <v>698</v>
      </c>
      <c r="C46">
        <v>0</v>
      </c>
    </row>
    <row r="47" spans="1:3" x14ac:dyDescent="0.25">
      <c r="A47" t="s">
        <v>699</v>
      </c>
      <c r="B47" t="s">
        <v>700</v>
      </c>
      <c r="C47">
        <v>0</v>
      </c>
    </row>
    <row r="48" spans="1:3" x14ac:dyDescent="0.25">
      <c r="A48" t="s">
        <v>2669</v>
      </c>
      <c r="B48" t="s">
        <v>2630</v>
      </c>
      <c r="C48">
        <v>0</v>
      </c>
    </row>
    <row r="49" spans="1:3" x14ac:dyDescent="0.25">
      <c r="A49" t="s">
        <v>2670</v>
      </c>
      <c r="B49" t="s">
        <v>2632</v>
      </c>
      <c r="C49">
        <v>0</v>
      </c>
    </row>
    <row r="50" spans="1:3" x14ac:dyDescent="0.25">
      <c r="A50" t="s">
        <v>2671</v>
      </c>
      <c r="B50" t="s">
        <v>2634</v>
      </c>
      <c r="C50">
        <v>0</v>
      </c>
    </row>
    <row r="51" spans="1:3" x14ac:dyDescent="0.25">
      <c r="A51" t="s">
        <v>2672</v>
      </c>
      <c r="B51" t="s">
        <v>2636</v>
      </c>
      <c r="C51">
        <v>0</v>
      </c>
    </row>
    <row r="52" spans="1:3" x14ac:dyDescent="0.25">
      <c r="A52" t="s">
        <v>2673</v>
      </c>
      <c r="B52" t="s">
        <v>2638</v>
      </c>
      <c r="C52">
        <v>0</v>
      </c>
    </row>
    <row r="53" spans="1:3" x14ac:dyDescent="0.25">
      <c r="A53" t="s">
        <v>2674</v>
      </c>
      <c r="B53" t="s">
        <v>2640</v>
      </c>
      <c r="C53">
        <v>0</v>
      </c>
    </row>
    <row r="54" spans="1:3" x14ac:dyDescent="0.25">
      <c r="A54" t="s">
        <v>701</v>
      </c>
      <c r="B54" t="s">
        <v>702</v>
      </c>
      <c r="C54">
        <v>0</v>
      </c>
    </row>
    <row r="55" spans="1:3" x14ac:dyDescent="0.25">
      <c r="A55" t="s">
        <v>1421</v>
      </c>
      <c r="B55" t="s">
        <v>2630</v>
      </c>
      <c r="C55">
        <v>0</v>
      </c>
    </row>
    <row r="56" spans="1:3" x14ac:dyDescent="0.25">
      <c r="A56" t="s">
        <v>2675</v>
      </c>
      <c r="B56" t="s">
        <v>2632</v>
      </c>
      <c r="C56">
        <v>0</v>
      </c>
    </row>
    <row r="57" spans="1:3" x14ac:dyDescent="0.25">
      <c r="A57" t="s">
        <v>2676</v>
      </c>
      <c r="B57" t="s">
        <v>2634</v>
      </c>
      <c r="C57">
        <v>0</v>
      </c>
    </row>
    <row r="58" spans="1:3" x14ac:dyDescent="0.25">
      <c r="A58" t="s">
        <v>2677</v>
      </c>
      <c r="B58" t="s">
        <v>2636</v>
      </c>
      <c r="C58">
        <v>0</v>
      </c>
    </row>
    <row r="59" spans="1:3" x14ac:dyDescent="0.25">
      <c r="A59" t="s">
        <v>2678</v>
      </c>
      <c r="B59" t="s">
        <v>2638</v>
      </c>
      <c r="C59">
        <v>0</v>
      </c>
    </row>
    <row r="60" spans="1:3" x14ac:dyDescent="0.25">
      <c r="A60" t="s">
        <v>1419</v>
      </c>
      <c r="B60" t="s">
        <v>2640</v>
      </c>
      <c r="C60">
        <v>0</v>
      </c>
    </row>
    <row r="61" spans="1:3" x14ac:dyDescent="0.25">
      <c r="A61" t="s">
        <v>674</v>
      </c>
      <c r="B61" t="s">
        <v>675</v>
      </c>
      <c r="C61">
        <v>0</v>
      </c>
    </row>
    <row r="62" spans="1:3" x14ac:dyDescent="0.25">
      <c r="A62" t="s">
        <v>676</v>
      </c>
      <c r="B62" t="s">
        <v>1420</v>
      </c>
      <c r="C62">
        <v>0</v>
      </c>
    </row>
    <row r="63" spans="1:3" x14ac:dyDescent="0.25">
      <c r="A63" t="s">
        <v>678</v>
      </c>
      <c r="B63" t="s">
        <v>677</v>
      </c>
      <c r="C63">
        <v>0</v>
      </c>
    </row>
    <row r="64" spans="1:3" x14ac:dyDescent="0.25">
      <c r="A64" t="s">
        <v>680</v>
      </c>
      <c r="B64" t="s">
        <v>679</v>
      </c>
      <c r="C64">
        <v>0</v>
      </c>
    </row>
    <row r="65" spans="1:3" x14ac:dyDescent="0.25">
      <c r="A65" t="s">
        <v>2679</v>
      </c>
      <c r="B65" t="s">
        <v>681</v>
      </c>
      <c r="C65">
        <v>0</v>
      </c>
    </row>
    <row r="66" spans="1:3" x14ac:dyDescent="0.25">
      <c r="A66" t="s">
        <v>682</v>
      </c>
      <c r="B66" t="s">
        <v>223</v>
      </c>
      <c r="C66">
        <v>289249</v>
      </c>
    </row>
    <row r="67" spans="1:3" x14ac:dyDescent="0.25">
      <c r="A67" t="s">
        <v>683</v>
      </c>
      <c r="B67" t="s">
        <v>684</v>
      </c>
      <c r="C67">
        <v>299849</v>
      </c>
    </row>
    <row r="68" spans="1:3" x14ac:dyDescent="0.25">
      <c r="A68" t="s">
        <v>685</v>
      </c>
      <c r="B68" t="s">
        <v>2680</v>
      </c>
      <c r="C68">
        <v>0</v>
      </c>
    </row>
    <row r="69" spans="1:3" x14ac:dyDescent="0.25">
      <c r="A69" t="s">
        <v>687</v>
      </c>
      <c r="B69" t="s">
        <v>1062</v>
      </c>
      <c r="C69">
        <v>0</v>
      </c>
    </row>
    <row r="70" spans="1:3" x14ac:dyDescent="0.25">
      <c r="A70" t="s">
        <v>2681</v>
      </c>
      <c r="B70" t="s">
        <v>2682</v>
      </c>
      <c r="C70">
        <v>0</v>
      </c>
    </row>
    <row r="71" spans="1:3" x14ac:dyDescent="0.25">
      <c r="A71" t="s">
        <v>2683</v>
      </c>
      <c r="B71" t="s">
        <v>2684</v>
      </c>
      <c r="C71">
        <v>0</v>
      </c>
    </row>
    <row r="72" spans="1:3" x14ac:dyDescent="0.25">
      <c r="A72" t="s">
        <v>2685</v>
      </c>
      <c r="B72" t="s">
        <v>2686</v>
      </c>
      <c r="C72">
        <v>0</v>
      </c>
    </row>
    <row r="73" spans="1:3" x14ac:dyDescent="0.25">
      <c r="A73" t="s">
        <v>2687</v>
      </c>
      <c r="B73" t="s">
        <v>2688</v>
      </c>
      <c r="C73">
        <v>0</v>
      </c>
    </row>
    <row r="74" spans="1:3" x14ac:dyDescent="0.25">
      <c r="A74" t="s">
        <v>2689</v>
      </c>
      <c r="B74" t="s">
        <v>703</v>
      </c>
      <c r="C74">
        <v>56499350</v>
      </c>
    </row>
    <row r="75" spans="1:3" x14ac:dyDescent="0.25">
      <c r="A75" t="s">
        <v>2690</v>
      </c>
      <c r="B75" t="s">
        <v>704</v>
      </c>
      <c r="C75">
        <v>0</v>
      </c>
    </row>
    <row r="76" spans="1:3" x14ac:dyDescent="0.25">
      <c r="A76" t="s">
        <v>705</v>
      </c>
      <c r="B76" t="s">
        <v>706</v>
      </c>
      <c r="C76">
        <v>0</v>
      </c>
    </row>
    <row r="77" spans="1:3" x14ac:dyDescent="0.25">
      <c r="A77" t="s">
        <v>707</v>
      </c>
      <c r="B77" t="s">
        <v>2691</v>
      </c>
      <c r="C77">
        <v>0</v>
      </c>
    </row>
    <row r="78" spans="1:3" x14ac:dyDescent="0.25">
      <c r="A78" t="s">
        <v>709</v>
      </c>
      <c r="B78" t="s">
        <v>32</v>
      </c>
      <c r="C78">
        <v>0</v>
      </c>
    </row>
    <row r="79" spans="1:3" x14ac:dyDescent="0.25">
      <c r="A79" t="s">
        <v>710</v>
      </c>
      <c r="B79" t="s">
        <v>232</v>
      </c>
      <c r="C79">
        <v>0</v>
      </c>
    </row>
    <row r="80" spans="1:3" x14ac:dyDescent="0.25">
      <c r="A80" t="s">
        <v>711</v>
      </c>
      <c r="B80" t="s">
        <v>1063</v>
      </c>
      <c r="C80">
        <v>0</v>
      </c>
    </row>
    <row r="81" spans="1:3" x14ac:dyDescent="0.25">
      <c r="A81" t="s">
        <v>2692</v>
      </c>
      <c r="B81" t="s">
        <v>2693</v>
      </c>
      <c r="C81">
        <v>0</v>
      </c>
    </row>
    <row r="82" spans="1:3" x14ac:dyDescent="0.25">
      <c r="A82" t="s">
        <v>2694</v>
      </c>
      <c r="B82" t="s">
        <v>712</v>
      </c>
      <c r="C82">
        <v>289249</v>
      </c>
    </row>
    <row r="83" spans="1:3" x14ac:dyDescent="0.25">
      <c r="A83" t="s">
        <v>610</v>
      </c>
      <c r="B83" t="s">
        <v>2695</v>
      </c>
      <c r="C83">
        <v>0</v>
      </c>
    </row>
    <row r="84" spans="1:3" x14ac:dyDescent="0.25">
      <c r="A84" t="s">
        <v>2696</v>
      </c>
      <c r="B84" t="s">
        <v>2655</v>
      </c>
      <c r="C84">
        <v>0</v>
      </c>
    </row>
    <row r="85" spans="1:3" x14ac:dyDescent="0.25">
      <c r="A85" t="s">
        <v>2697</v>
      </c>
      <c r="B85" t="s">
        <v>2698</v>
      </c>
      <c r="C85">
        <v>0</v>
      </c>
    </row>
    <row r="86" spans="1:3" x14ac:dyDescent="0.25">
      <c r="A86" t="s">
        <v>2699</v>
      </c>
      <c r="B86" t="s">
        <v>2659</v>
      </c>
      <c r="C86">
        <v>0</v>
      </c>
    </row>
    <row r="87" spans="1:3" x14ac:dyDescent="0.25">
      <c r="A87" t="s">
        <v>2700</v>
      </c>
      <c r="B87" t="s">
        <v>2661</v>
      </c>
      <c r="C87">
        <v>0</v>
      </c>
    </row>
    <row r="88" spans="1:3" x14ac:dyDescent="0.25">
      <c r="A88" t="s">
        <v>2701</v>
      </c>
      <c r="B88" t="s">
        <v>2663</v>
      </c>
      <c r="C88">
        <v>0</v>
      </c>
    </row>
    <row r="89" spans="1:3" x14ac:dyDescent="0.25">
      <c r="A89" t="s">
        <v>641</v>
      </c>
      <c r="B89" t="s">
        <v>714</v>
      </c>
      <c r="C89">
        <v>0</v>
      </c>
    </row>
    <row r="90" spans="1:3" x14ac:dyDescent="0.25">
      <c r="A90" t="s">
        <v>2702</v>
      </c>
      <c r="B90" t="s">
        <v>1420</v>
      </c>
      <c r="C90">
        <v>0</v>
      </c>
    </row>
    <row r="91" spans="1:3" x14ac:dyDescent="0.25">
      <c r="A91" t="s">
        <v>2703</v>
      </c>
      <c r="B91" t="s">
        <v>2704</v>
      </c>
      <c r="C91">
        <v>0</v>
      </c>
    </row>
    <row r="92" spans="1:3" x14ac:dyDescent="0.25">
      <c r="A92" t="s">
        <v>2705</v>
      </c>
      <c r="B92" t="s">
        <v>2706</v>
      </c>
      <c r="C92">
        <v>0</v>
      </c>
    </row>
    <row r="93" spans="1:3" x14ac:dyDescent="0.25">
      <c r="A93" t="s">
        <v>642</v>
      </c>
      <c r="B93" t="s">
        <v>1432</v>
      </c>
      <c r="C93">
        <v>0</v>
      </c>
    </row>
    <row r="94" spans="1:3" x14ac:dyDescent="0.25">
      <c r="A94" t="s">
        <v>2707</v>
      </c>
      <c r="B94" t="s">
        <v>1420</v>
      </c>
      <c r="C94">
        <v>0</v>
      </c>
    </row>
    <row r="95" spans="1:3" x14ac:dyDescent="0.25">
      <c r="A95" t="s">
        <v>2708</v>
      </c>
      <c r="B95" t="s">
        <v>2709</v>
      </c>
      <c r="C95">
        <v>0</v>
      </c>
    </row>
    <row r="96" spans="1:3" x14ac:dyDescent="0.25">
      <c r="A96" t="s">
        <v>2710</v>
      </c>
      <c r="B96" t="s">
        <v>2711</v>
      </c>
      <c r="C96">
        <v>0</v>
      </c>
    </row>
    <row r="97" spans="1:3" x14ac:dyDescent="0.25">
      <c r="A97" t="s">
        <v>2712</v>
      </c>
      <c r="B97" t="s">
        <v>2713</v>
      </c>
      <c r="C97">
        <v>0</v>
      </c>
    </row>
    <row r="98" spans="1:3" x14ac:dyDescent="0.25">
      <c r="A98" t="s">
        <v>2714</v>
      </c>
      <c r="B98" t="s">
        <v>2711</v>
      </c>
      <c r="C98">
        <v>0</v>
      </c>
    </row>
    <row r="99" spans="1:3" x14ac:dyDescent="0.25">
      <c r="A99" t="s">
        <v>716</v>
      </c>
      <c r="B99" t="s">
        <v>235</v>
      </c>
      <c r="C99">
        <v>0</v>
      </c>
    </row>
    <row r="100" spans="1:3" x14ac:dyDescent="0.25">
      <c r="A100" t="s">
        <v>717</v>
      </c>
      <c r="B100" t="s">
        <v>718</v>
      </c>
      <c r="C100">
        <v>0</v>
      </c>
    </row>
    <row r="101" spans="1:3" x14ac:dyDescent="0.25">
      <c r="A101" t="s">
        <v>719</v>
      </c>
      <c r="B101" t="s">
        <v>2715</v>
      </c>
      <c r="C101">
        <v>0</v>
      </c>
    </row>
    <row r="102" spans="1:3" x14ac:dyDescent="0.25">
      <c r="A102" t="s">
        <v>721</v>
      </c>
      <c r="B102" t="s">
        <v>2716</v>
      </c>
      <c r="C102">
        <v>289249</v>
      </c>
    </row>
    <row r="103" spans="1:3" x14ac:dyDescent="0.25">
      <c r="A103" t="s">
        <v>2717</v>
      </c>
      <c r="B103" t="s">
        <v>2231</v>
      </c>
      <c r="C103">
        <v>78719</v>
      </c>
    </row>
    <row r="104" spans="1:3" x14ac:dyDescent="0.25">
      <c r="A104" t="s">
        <v>2718</v>
      </c>
      <c r="B104" t="s">
        <v>2719</v>
      </c>
      <c r="C104">
        <v>0</v>
      </c>
    </row>
    <row r="105" spans="1:3" x14ac:dyDescent="0.25">
      <c r="A105" t="s">
        <v>2720</v>
      </c>
      <c r="B105" t="s">
        <v>2721</v>
      </c>
      <c r="C105">
        <v>135568</v>
      </c>
    </row>
    <row r="106" spans="1:3" x14ac:dyDescent="0.25">
      <c r="A106" t="s">
        <v>2722</v>
      </c>
      <c r="B106" t="s">
        <v>2723</v>
      </c>
      <c r="C106">
        <v>74962</v>
      </c>
    </row>
    <row r="107" spans="1:3" x14ac:dyDescent="0.25">
      <c r="A107" t="s">
        <v>2724</v>
      </c>
      <c r="B107" t="s">
        <v>2725</v>
      </c>
      <c r="C107">
        <v>0</v>
      </c>
    </row>
    <row r="108" spans="1:3" x14ac:dyDescent="0.25">
      <c r="A108" t="s">
        <v>2726</v>
      </c>
      <c r="B108" t="s">
        <v>723</v>
      </c>
      <c r="C108">
        <v>0</v>
      </c>
    </row>
    <row r="109" spans="1:3" x14ac:dyDescent="0.25">
      <c r="A109" t="s">
        <v>2727</v>
      </c>
      <c r="B109" t="s">
        <v>621</v>
      </c>
      <c r="C109">
        <v>56499350</v>
      </c>
    </row>
    <row r="110" spans="1:3" x14ac:dyDescent="0.25">
      <c r="A110" t="s">
        <v>2728</v>
      </c>
      <c r="B110" t="s">
        <v>724</v>
      </c>
      <c r="C110">
        <v>22456435</v>
      </c>
    </row>
    <row r="111" spans="1:3" x14ac:dyDescent="0.25">
      <c r="A111" t="s">
        <v>725</v>
      </c>
      <c r="B111" t="s">
        <v>706</v>
      </c>
      <c r="C111">
        <v>0</v>
      </c>
    </row>
    <row r="112" spans="1:3" x14ac:dyDescent="0.25">
      <c r="A112" t="s">
        <v>791</v>
      </c>
      <c r="B112" t="s">
        <v>2729</v>
      </c>
      <c r="C112">
        <v>0</v>
      </c>
    </row>
    <row r="113" spans="1:3" x14ac:dyDescent="0.25">
      <c r="A113" t="s">
        <v>792</v>
      </c>
      <c r="B113" t="s">
        <v>2730</v>
      </c>
      <c r="C113">
        <v>0</v>
      </c>
    </row>
    <row r="114" spans="1:3" x14ac:dyDescent="0.25">
      <c r="A114" t="s">
        <v>726</v>
      </c>
      <c r="B114" t="s">
        <v>2731</v>
      </c>
      <c r="C114">
        <v>3655</v>
      </c>
    </row>
    <row r="115" spans="1:3" x14ac:dyDescent="0.25">
      <c r="A115" t="s">
        <v>728</v>
      </c>
      <c r="B115" t="s">
        <v>729</v>
      </c>
      <c r="C115">
        <v>0</v>
      </c>
    </row>
    <row r="116" spans="1:3" x14ac:dyDescent="0.25">
      <c r="A116" t="s">
        <v>730</v>
      </c>
      <c r="B116" t="s">
        <v>2732</v>
      </c>
      <c r="C116">
        <v>0</v>
      </c>
    </row>
    <row r="117" spans="1:3" x14ac:dyDescent="0.25">
      <c r="A117" t="s">
        <v>731</v>
      </c>
      <c r="B117" t="s">
        <v>732</v>
      </c>
      <c r="C117">
        <v>6912510</v>
      </c>
    </row>
    <row r="118" spans="1:3" x14ac:dyDescent="0.25">
      <c r="A118" t="s">
        <v>2733</v>
      </c>
      <c r="B118" t="s">
        <v>2630</v>
      </c>
      <c r="C118">
        <v>38213</v>
      </c>
    </row>
    <row r="119" spans="1:3" x14ac:dyDescent="0.25">
      <c r="A119" t="s">
        <v>2734</v>
      </c>
      <c r="B119" t="s">
        <v>2632</v>
      </c>
      <c r="C119">
        <v>38213</v>
      </c>
    </row>
    <row r="120" spans="1:3" x14ac:dyDescent="0.25">
      <c r="A120" t="s">
        <v>2735</v>
      </c>
      <c r="B120" t="s">
        <v>2634</v>
      </c>
      <c r="C120">
        <v>0</v>
      </c>
    </row>
    <row r="121" spans="1:3" x14ac:dyDescent="0.25">
      <c r="A121" t="s">
        <v>2736</v>
      </c>
      <c r="B121" t="s">
        <v>2636</v>
      </c>
      <c r="C121">
        <v>0</v>
      </c>
    </row>
    <row r="122" spans="1:3" x14ac:dyDescent="0.25">
      <c r="A122" t="s">
        <v>2737</v>
      </c>
      <c r="B122" t="s">
        <v>2638</v>
      </c>
      <c r="C122">
        <v>0</v>
      </c>
    </row>
    <row r="123" spans="1:3" x14ac:dyDescent="0.25">
      <c r="A123" t="s">
        <v>2738</v>
      </c>
      <c r="B123" t="s">
        <v>2640</v>
      </c>
      <c r="C123">
        <v>422557</v>
      </c>
    </row>
    <row r="124" spans="1:3" x14ac:dyDescent="0.25">
      <c r="A124" t="s">
        <v>733</v>
      </c>
      <c r="B124" t="s">
        <v>734</v>
      </c>
      <c r="C124">
        <v>0</v>
      </c>
    </row>
    <row r="125" spans="1:3" x14ac:dyDescent="0.25">
      <c r="A125" t="s">
        <v>2739</v>
      </c>
      <c r="B125" t="s">
        <v>2630</v>
      </c>
      <c r="C125">
        <v>0</v>
      </c>
    </row>
    <row r="126" spans="1:3" x14ac:dyDescent="0.25">
      <c r="A126" t="s">
        <v>2740</v>
      </c>
      <c r="B126" t="s">
        <v>2632</v>
      </c>
      <c r="C126">
        <v>0</v>
      </c>
    </row>
    <row r="127" spans="1:3" x14ac:dyDescent="0.25">
      <c r="A127" t="s">
        <v>2741</v>
      </c>
      <c r="B127" t="s">
        <v>2634</v>
      </c>
      <c r="C127">
        <v>0</v>
      </c>
    </row>
    <row r="128" spans="1:3" x14ac:dyDescent="0.25">
      <c r="A128" t="s">
        <v>2742</v>
      </c>
      <c r="B128" t="s">
        <v>2636</v>
      </c>
      <c r="C128">
        <v>0</v>
      </c>
    </row>
    <row r="129" spans="1:3" x14ac:dyDescent="0.25">
      <c r="A129" t="s">
        <v>2743</v>
      </c>
      <c r="B129" t="s">
        <v>2638</v>
      </c>
      <c r="C129">
        <v>0</v>
      </c>
    </row>
    <row r="130" spans="1:3" x14ac:dyDescent="0.25">
      <c r="A130" t="s">
        <v>2744</v>
      </c>
      <c r="B130" t="s">
        <v>2640</v>
      </c>
      <c r="C130">
        <v>0</v>
      </c>
    </row>
    <row r="131" spans="1:3" x14ac:dyDescent="0.25">
      <c r="A131" t="s">
        <v>735</v>
      </c>
      <c r="B131" t="s">
        <v>736</v>
      </c>
      <c r="C131">
        <v>15535884</v>
      </c>
    </row>
    <row r="132" spans="1:3" x14ac:dyDescent="0.25">
      <c r="A132" t="s">
        <v>737</v>
      </c>
      <c r="B132" t="s">
        <v>1067</v>
      </c>
      <c r="C132">
        <v>0</v>
      </c>
    </row>
    <row r="133" spans="1:3" x14ac:dyDescent="0.25">
      <c r="A133" t="s">
        <v>738</v>
      </c>
      <c r="B133" t="s">
        <v>1065</v>
      </c>
      <c r="C133">
        <v>3428384</v>
      </c>
    </row>
    <row r="134" spans="1:3" x14ac:dyDescent="0.25">
      <c r="A134" t="s">
        <v>1064</v>
      </c>
      <c r="B134" t="s">
        <v>1066</v>
      </c>
      <c r="C134">
        <v>0</v>
      </c>
    </row>
    <row r="135" spans="1:3" x14ac:dyDescent="0.25">
      <c r="A135" t="s">
        <v>739</v>
      </c>
      <c r="B135" t="s">
        <v>2745</v>
      </c>
      <c r="C135">
        <v>4386</v>
      </c>
    </row>
    <row r="136" spans="1:3" x14ac:dyDescent="0.25">
      <c r="A136" t="s">
        <v>740</v>
      </c>
      <c r="B136" t="s">
        <v>2746</v>
      </c>
      <c r="C136">
        <v>0</v>
      </c>
    </row>
    <row r="137" spans="1:3" x14ac:dyDescent="0.25">
      <c r="A137" t="s">
        <v>2747</v>
      </c>
      <c r="B137" t="s">
        <v>742</v>
      </c>
      <c r="C137">
        <v>25000</v>
      </c>
    </row>
    <row r="138" spans="1:3" x14ac:dyDescent="0.25">
      <c r="A138" t="s">
        <v>743</v>
      </c>
      <c r="B138" t="s">
        <v>2695</v>
      </c>
      <c r="C138">
        <v>0</v>
      </c>
    </row>
    <row r="139" spans="1:3" x14ac:dyDescent="0.25">
      <c r="A139" t="s">
        <v>2748</v>
      </c>
      <c r="B139" t="s">
        <v>2655</v>
      </c>
      <c r="C139">
        <v>0</v>
      </c>
    </row>
    <row r="140" spans="1:3" x14ac:dyDescent="0.25">
      <c r="A140" t="s">
        <v>2749</v>
      </c>
      <c r="B140" t="s">
        <v>2750</v>
      </c>
      <c r="C140">
        <v>0</v>
      </c>
    </row>
    <row r="141" spans="1:3" x14ac:dyDescent="0.25">
      <c r="A141" t="s">
        <v>2751</v>
      </c>
      <c r="B141" t="s">
        <v>2659</v>
      </c>
      <c r="C141">
        <v>0</v>
      </c>
    </row>
    <row r="142" spans="1:3" x14ac:dyDescent="0.25">
      <c r="A142" t="s">
        <v>2752</v>
      </c>
      <c r="B142" t="s">
        <v>2661</v>
      </c>
      <c r="C142">
        <v>0</v>
      </c>
    </row>
    <row r="143" spans="1:3" x14ac:dyDescent="0.25">
      <c r="A143" t="s">
        <v>2753</v>
      </c>
      <c r="B143" t="s">
        <v>2663</v>
      </c>
      <c r="C143">
        <v>0</v>
      </c>
    </row>
    <row r="144" spans="1:3" x14ac:dyDescent="0.25">
      <c r="A144" t="s">
        <v>744</v>
      </c>
      <c r="B144" t="s">
        <v>714</v>
      </c>
      <c r="C144">
        <v>0</v>
      </c>
    </row>
    <row r="145" spans="1:3" x14ac:dyDescent="0.25">
      <c r="A145" t="s">
        <v>2754</v>
      </c>
      <c r="B145" t="s">
        <v>1420</v>
      </c>
      <c r="C145">
        <v>0</v>
      </c>
    </row>
    <row r="146" spans="1:3" x14ac:dyDescent="0.25">
      <c r="A146" t="s">
        <v>2755</v>
      </c>
      <c r="B146" t="s">
        <v>2704</v>
      </c>
      <c r="C146">
        <v>0</v>
      </c>
    </row>
    <row r="147" spans="1:3" x14ac:dyDescent="0.25">
      <c r="A147" t="s">
        <v>2756</v>
      </c>
      <c r="B147" t="s">
        <v>2706</v>
      </c>
      <c r="C147">
        <v>0</v>
      </c>
    </row>
    <row r="148" spans="1:3" x14ac:dyDescent="0.25">
      <c r="A148" t="s">
        <v>745</v>
      </c>
      <c r="B148" t="s">
        <v>2757</v>
      </c>
      <c r="C148">
        <v>20000</v>
      </c>
    </row>
    <row r="149" spans="1:3" x14ac:dyDescent="0.25">
      <c r="A149" t="s">
        <v>2758</v>
      </c>
      <c r="B149" t="s">
        <v>1420</v>
      </c>
      <c r="C149">
        <v>0</v>
      </c>
    </row>
    <row r="150" spans="1:3" x14ac:dyDescent="0.25">
      <c r="A150" t="s">
        <v>2759</v>
      </c>
      <c r="B150" t="s">
        <v>2709</v>
      </c>
      <c r="C150">
        <v>0</v>
      </c>
    </row>
    <row r="151" spans="1:3" x14ac:dyDescent="0.25">
      <c r="A151" t="s">
        <v>2760</v>
      </c>
      <c r="B151" t="s">
        <v>2711</v>
      </c>
      <c r="C151">
        <v>0</v>
      </c>
    </row>
    <row r="152" spans="1:3" x14ac:dyDescent="0.25">
      <c r="A152" t="s">
        <v>2761</v>
      </c>
      <c r="B152" t="s">
        <v>2713</v>
      </c>
      <c r="C152">
        <v>20000</v>
      </c>
    </row>
    <row r="153" spans="1:3" x14ac:dyDescent="0.25">
      <c r="A153" t="s">
        <v>2762</v>
      </c>
      <c r="B153" t="s">
        <v>2711</v>
      </c>
      <c r="C153">
        <v>0</v>
      </c>
    </row>
    <row r="154" spans="1:3" x14ac:dyDescent="0.25">
      <c r="A154" t="s">
        <v>746</v>
      </c>
      <c r="B154" t="s">
        <v>747</v>
      </c>
      <c r="C154">
        <v>0</v>
      </c>
    </row>
    <row r="155" spans="1:3" x14ac:dyDescent="0.25">
      <c r="A155" t="s">
        <v>748</v>
      </c>
      <c r="B155" t="s">
        <v>2763</v>
      </c>
      <c r="C155">
        <v>0</v>
      </c>
    </row>
    <row r="156" spans="1:3" x14ac:dyDescent="0.25">
      <c r="A156" t="s">
        <v>750</v>
      </c>
      <c r="B156" t="s">
        <v>637</v>
      </c>
      <c r="C156">
        <v>78935785</v>
      </c>
    </row>
    <row r="157" spans="1:3" x14ac:dyDescent="0.25">
      <c r="A157" t="s">
        <v>751</v>
      </c>
      <c r="B157" t="s">
        <v>2764</v>
      </c>
      <c r="C157">
        <v>5000</v>
      </c>
    </row>
    <row r="158" spans="1:3" x14ac:dyDescent="0.25">
      <c r="A158" t="s">
        <v>2765</v>
      </c>
      <c r="B158" t="s">
        <v>2766</v>
      </c>
      <c r="C158">
        <v>0</v>
      </c>
    </row>
    <row r="159" spans="1:3" x14ac:dyDescent="0.25">
      <c r="A159" t="s">
        <v>2767</v>
      </c>
      <c r="B159" t="s">
        <v>2768</v>
      </c>
      <c r="C159">
        <v>0</v>
      </c>
    </row>
    <row r="160" spans="1:3" x14ac:dyDescent="0.25">
      <c r="A160" t="s">
        <v>2769</v>
      </c>
      <c r="B160" t="s">
        <v>2770</v>
      </c>
      <c r="C160">
        <v>5000</v>
      </c>
    </row>
    <row r="161" spans="1:3" x14ac:dyDescent="0.25">
      <c r="A161" t="s">
        <v>2771</v>
      </c>
      <c r="B161" t="s">
        <v>2772</v>
      </c>
      <c r="C161">
        <v>0</v>
      </c>
    </row>
    <row r="162" spans="1:3" x14ac:dyDescent="0.25">
      <c r="A162" t="s">
        <v>2773</v>
      </c>
      <c r="B162" t="s">
        <v>2774</v>
      </c>
      <c r="C162">
        <v>0</v>
      </c>
    </row>
    <row r="163" spans="1:3" x14ac:dyDescent="0.25">
      <c r="A163" t="s">
        <v>2775</v>
      </c>
      <c r="B163" t="s">
        <v>2776</v>
      </c>
      <c r="C163">
        <v>3687793</v>
      </c>
    </row>
    <row r="164" spans="1:3" x14ac:dyDescent="0.25">
      <c r="A164" t="s">
        <v>2777</v>
      </c>
      <c r="B164" t="s">
        <v>2778</v>
      </c>
      <c r="C164">
        <v>0</v>
      </c>
    </row>
    <row r="165" spans="1:3" x14ac:dyDescent="0.25">
      <c r="A165" t="s">
        <v>2779</v>
      </c>
      <c r="B165" t="s">
        <v>2780</v>
      </c>
      <c r="C165">
        <v>0</v>
      </c>
    </row>
    <row r="166" spans="1:3" x14ac:dyDescent="0.25">
      <c r="A166" t="s">
        <v>753</v>
      </c>
      <c r="B166" t="s">
        <v>635</v>
      </c>
      <c r="C166">
        <v>0</v>
      </c>
    </row>
    <row r="167" spans="1:3" x14ac:dyDescent="0.25">
      <c r="A167" t="s">
        <v>754</v>
      </c>
      <c r="B167" t="s">
        <v>638</v>
      </c>
      <c r="C167">
        <v>0</v>
      </c>
    </row>
    <row r="168" spans="1:3" x14ac:dyDescent="0.25">
      <c r="A168" t="s">
        <v>755</v>
      </c>
      <c r="B168" t="s">
        <v>2781</v>
      </c>
      <c r="C168">
        <v>0</v>
      </c>
    </row>
    <row r="169" spans="1:3" x14ac:dyDescent="0.25">
      <c r="A169" t="s">
        <v>2782</v>
      </c>
      <c r="B169" t="s">
        <v>2783</v>
      </c>
      <c r="C169">
        <v>0</v>
      </c>
    </row>
    <row r="170" spans="1:3" x14ac:dyDescent="0.25">
      <c r="A170" t="s">
        <v>2784</v>
      </c>
      <c r="B170" t="s">
        <v>2785</v>
      </c>
      <c r="C170">
        <v>0</v>
      </c>
    </row>
    <row r="171" spans="1:3" x14ac:dyDescent="0.25">
      <c r="A171" t="s">
        <v>2786</v>
      </c>
      <c r="B171" t="s">
        <v>2787</v>
      </c>
      <c r="C171">
        <v>0</v>
      </c>
    </row>
    <row r="172" spans="1:3" x14ac:dyDescent="0.25">
      <c r="A172" t="s">
        <v>2788</v>
      </c>
      <c r="B172" t="s">
        <v>2789</v>
      </c>
      <c r="C172">
        <v>12061714</v>
      </c>
    </row>
    <row r="173" spans="1:3" x14ac:dyDescent="0.25">
      <c r="A173" t="s">
        <v>757</v>
      </c>
      <c r="B173" t="s">
        <v>640</v>
      </c>
      <c r="C173">
        <v>0</v>
      </c>
    </row>
    <row r="174" spans="1:3" x14ac:dyDescent="0.25">
      <c r="A174" t="s">
        <v>2790</v>
      </c>
      <c r="B174" t="s">
        <v>632</v>
      </c>
      <c r="C174">
        <v>22431435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303D7-E7F7-4ED6-B83D-46B488BE91E1}">
  <dimension ref="A1:C174"/>
  <sheetViews>
    <sheetView workbookViewId="0">
      <selection activeCell="L26" sqref="L26"/>
    </sheetView>
  </sheetViews>
  <sheetFormatPr defaultRowHeight="15" x14ac:dyDescent="0.25"/>
  <cols>
    <col min="1" max="1" width="16.28515625" bestFit="1" customWidth="1"/>
    <col min="2" max="2" width="81.140625" bestFit="1" customWidth="1"/>
    <col min="3" max="3" width="9" bestFit="1" customWidth="1"/>
  </cols>
  <sheetData>
    <row r="1" spans="1:3" x14ac:dyDescent="0.25">
      <c r="A1" t="s">
        <v>1486</v>
      </c>
      <c r="B1" t="s">
        <v>2626</v>
      </c>
      <c r="C1" t="s">
        <v>2612</v>
      </c>
    </row>
    <row r="2" spans="1:3" x14ac:dyDescent="0.25">
      <c r="A2" t="s">
        <v>2627</v>
      </c>
      <c r="B2" t="s">
        <v>644</v>
      </c>
      <c r="C2">
        <v>71645291</v>
      </c>
    </row>
    <row r="3" spans="1:3" x14ac:dyDescent="0.25">
      <c r="A3" t="s">
        <v>2628</v>
      </c>
      <c r="B3" t="s">
        <v>645</v>
      </c>
      <c r="C3">
        <v>42726808</v>
      </c>
    </row>
    <row r="4" spans="1:3" x14ac:dyDescent="0.25">
      <c r="A4" t="s">
        <v>646</v>
      </c>
      <c r="B4" t="s">
        <v>647</v>
      </c>
      <c r="C4">
        <v>38011741</v>
      </c>
    </row>
    <row r="5" spans="1:3" x14ac:dyDescent="0.25">
      <c r="A5" t="s">
        <v>648</v>
      </c>
      <c r="B5" t="s">
        <v>649</v>
      </c>
      <c r="C5">
        <v>38011741</v>
      </c>
    </row>
    <row r="6" spans="1:3" x14ac:dyDescent="0.25">
      <c r="A6" t="s">
        <v>650</v>
      </c>
      <c r="B6" t="s">
        <v>651</v>
      </c>
      <c r="C6">
        <v>0</v>
      </c>
    </row>
    <row r="7" spans="1:3" x14ac:dyDescent="0.25">
      <c r="A7" t="s">
        <v>652</v>
      </c>
      <c r="B7" t="s">
        <v>653</v>
      </c>
      <c r="C7">
        <v>0</v>
      </c>
    </row>
    <row r="8" spans="1:3" x14ac:dyDescent="0.25">
      <c r="A8" t="s">
        <v>654</v>
      </c>
      <c r="B8" t="s">
        <v>655</v>
      </c>
      <c r="C8">
        <v>0</v>
      </c>
    </row>
    <row r="9" spans="1:3" x14ac:dyDescent="0.25">
      <c r="A9" t="s">
        <v>656</v>
      </c>
      <c r="B9" t="s">
        <v>657</v>
      </c>
      <c r="C9">
        <v>0</v>
      </c>
    </row>
    <row r="10" spans="1:3" x14ac:dyDescent="0.25">
      <c r="A10" t="s">
        <v>658</v>
      </c>
      <c r="B10" t="s">
        <v>659</v>
      </c>
      <c r="C10">
        <v>0</v>
      </c>
    </row>
    <row r="11" spans="1:3" x14ac:dyDescent="0.25">
      <c r="A11" t="s">
        <v>660</v>
      </c>
      <c r="B11" t="s">
        <v>661</v>
      </c>
      <c r="C11">
        <v>0</v>
      </c>
    </row>
    <row r="12" spans="1:3" x14ac:dyDescent="0.25">
      <c r="A12" t="s">
        <v>662</v>
      </c>
      <c r="B12" t="s">
        <v>663</v>
      </c>
      <c r="C12">
        <v>0</v>
      </c>
    </row>
    <row r="13" spans="1:3" x14ac:dyDescent="0.25">
      <c r="A13" t="s">
        <v>664</v>
      </c>
      <c r="B13" t="s">
        <v>665</v>
      </c>
      <c r="C13">
        <v>0</v>
      </c>
    </row>
    <row r="14" spans="1:3" x14ac:dyDescent="0.25">
      <c r="A14" t="s">
        <v>666</v>
      </c>
      <c r="B14" t="s">
        <v>667</v>
      </c>
      <c r="C14">
        <v>0</v>
      </c>
    </row>
    <row r="15" spans="1:3" x14ac:dyDescent="0.25">
      <c r="A15" t="s">
        <v>668</v>
      </c>
      <c r="B15" t="s">
        <v>669</v>
      </c>
      <c r="C15">
        <v>3909372</v>
      </c>
    </row>
    <row r="16" spans="1:3" x14ac:dyDescent="0.25">
      <c r="A16" t="s">
        <v>2629</v>
      </c>
      <c r="B16" t="s">
        <v>2630</v>
      </c>
      <c r="C16">
        <v>0</v>
      </c>
    </row>
    <row r="17" spans="1:3" x14ac:dyDescent="0.25">
      <c r="A17" t="s">
        <v>2631</v>
      </c>
      <c r="B17" t="s">
        <v>2632</v>
      </c>
      <c r="C17">
        <v>0</v>
      </c>
    </row>
    <row r="18" spans="1:3" x14ac:dyDescent="0.25">
      <c r="A18" t="s">
        <v>2633</v>
      </c>
      <c r="B18" t="s">
        <v>2634</v>
      </c>
      <c r="C18">
        <v>0</v>
      </c>
    </row>
    <row r="19" spans="1:3" x14ac:dyDescent="0.25">
      <c r="A19" t="s">
        <v>2635</v>
      </c>
      <c r="B19" t="s">
        <v>2636</v>
      </c>
      <c r="C19">
        <v>0</v>
      </c>
    </row>
    <row r="20" spans="1:3" x14ac:dyDescent="0.25">
      <c r="A20" t="s">
        <v>2637</v>
      </c>
      <c r="B20" t="s">
        <v>2638</v>
      </c>
      <c r="C20">
        <v>0</v>
      </c>
    </row>
    <row r="21" spans="1:3" x14ac:dyDescent="0.25">
      <c r="A21" t="s">
        <v>2639</v>
      </c>
      <c r="B21" t="s">
        <v>2640</v>
      </c>
      <c r="C21">
        <v>606356</v>
      </c>
    </row>
    <row r="22" spans="1:3" x14ac:dyDescent="0.25">
      <c r="A22" t="s">
        <v>670</v>
      </c>
      <c r="B22" t="s">
        <v>671</v>
      </c>
      <c r="C22">
        <v>805695</v>
      </c>
    </row>
    <row r="23" spans="1:3" x14ac:dyDescent="0.25">
      <c r="A23" t="s">
        <v>2641</v>
      </c>
      <c r="B23" t="s">
        <v>2630</v>
      </c>
      <c r="C23">
        <v>0</v>
      </c>
    </row>
    <row r="24" spans="1:3" x14ac:dyDescent="0.25">
      <c r="A24" t="s">
        <v>2642</v>
      </c>
      <c r="B24" t="s">
        <v>2632</v>
      </c>
      <c r="C24">
        <v>0</v>
      </c>
    </row>
    <row r="25" spans="1:3" x14ac:dyDescent="0.25">
      <c r="A25" t="s">
        <v>2643</v>
      </c>
      <c r="B25" t="s">
        <v>2634</v>
      </c>
      <c r="C25">
        <v>0</v>
      </c>
    </row>
    <row r="26" spans="1:3" x14ac:dyDescent="0.25">
      <c r="A26" t="s">
        <v>2644</v>
      </c>
      <c r="B26" t="s">
        <v>2636</v>
      </c>
      <c r="C26">
        <v>0</v>
      </c>
    </row>
    <row r="27" spans="1:3" x14ac:dyDescent="0.25">
      <c r="A27" t="s">
        <v>2645</v>
      </c>
      <c r="B27" t="s">
        <v>2638</v>
      </c>
      <c r="C27">
        <v>0</v>
      </c>
    </row>
    <row r="28" spans="1:3" x14ac:dyDescent="0.25">
      <c r="A28" t="s">
        <v>2646</v>
      </c>
      <c r="B28" t="s">
        <v>2640</v>
      </c>
      <c r="C28">
        <v>0</v>
      </c>
    </row>
    <row r="29" spans="1:3" x14ac:dyDescent="0.25">
      <c r="A29" t="s">
        <v>2647</v>
      </c>
      <c r="B29" t="s">
        <v>672</v>
      </c>
      <c r="C29">
        <v>1360378</v>
      </c>
    </row>
    <row r="30" spans="1:3" x14ac:dyDescent="0.25">
      <c r="A30" t="s">
        <v>673</v>
      </c>
      <c r="B30" t="s">
        <v>2648</v>
      </c>
      <c r="C30">
        <v>156300</v>
      </c>
    </row>
    <row r="31" spans="1:3" x14ac:dyDescent="0.25">
      <c r="A31" t="s">
        <v>2649</v>
      </c>
      <c r="B31" t="s">
        <v>2650</v>
      </c>
      <c r="C31">
        <v>0</v>
      </c>
    </row>
    <row r="32" spans="1:3" x14ac:dyDescent="0.25">
      <c r="A32" t="s">
        <v>2651</v>
      </c>
      <c r="B32" t="s">
        <v>2652</v>
      </c>
      <c r="C32">
        <v>0</v>
      </c>
    </row>
    <row r="33" spans="1:3" x14ac:dyDescent="0.25">
      <c r="A33" t="s">
        <v>688</v>
      </c>
      <c r="B33" t="s">
        <v>689</v>
      </c>
      <c r="C33">
        <v>263507</v>
      </c>
    </row>
    <row r="34" spans="1:3" x14ac:dyDescent="0.25">
      <c r="A34" t="s">
        <v>690</v>
      </c>
      <c r="B34" t="s">
        <v>691</v>
      </c>
      <c r="C34">
        <v>0</v>
      </c>
    </row>
    <row r="35" spans="1:3" x14ac:dyDescent="0.25">
      <c r="A35" t="s">
        <v>692</v>
      </c>
      <c r="B35" t="s">
        <v>2653</v>
      </c>
      <c r="C35">
        <v>0</v>
      </c>
    </row>
    <row r="36" spans="1:3" x14ac:dyDescent="0.25">
      <c r="A36" t="s">
        <v>2654</v>
      </c>
      <c r="B36" t="s">
        <v>2655</v>
      </c>
      <c r="C36">
        <v>0</v>
      </c>
    </row>
    <row r="37" spans="1:3" x14ac:dyDescent="0.25">
      <c r="A37" t="s">
        <v>2656</v>
      </c>
      <c r="B37" t="s">
        <v>2657</v>
      </c>
      <c r="C37">
        <v>0</v>
      </c>
    </row>
    <row r="38" spans="1:3" x14ac:dyDescent="0.25">
      <c r="A38" t="s">
        <v>2658</v>
      </c>
      <c r="B38" t="s">
        <v>2659</v>
      </c>
      <c r="C38">
        <v>0</v>
      </c>
    </row>
    <row r="39" spans="1:3" x14ac:dyDescent="0.25">
      <c r="A39" t="s">
        <v>2660</v>
      </c>
      <c r="B39" t="s">
        <v>2661</v>
      </c>
      <c r="C39">
        <v>0</v>
      </c>
    </row>
    <row r="40" spans="1:3" x14ac:dyDescent="0.25">
      <c r="A40" t="s">
        <v>2662</v>
      </c>
      <c r="B40" t="s">
        <v>2663</v>
      </c>
      <c r="C40">
        <v>0</v>
      </c>
    </row>
    <row r="41" spans="1:3" x14ac:dyDescent="0.25">
      <c r="A41" t="s">
        <v>693</v>
      </c>
      <c r="B41" t="s">
        <v>694</v>
      </c>
      <c r="C41">
        <v>0</v>
      </c>
    </row>
    <row r="42" spans="1:3" x14ac:dyDescent="0.25">
      <c r="A42" t="s">
        <v>2664</v>
      </c>
      <c r="B42" t="s">
        <v>2665</v>
      </c>
      <c r="C42">
        <v>0</v>
      </c>
    </row>
    <row r="43" spans="1:3" x14ac:dyDescent="0.25">
      <c r="A43" t="s">
        <v>2666</v>
      </c>
      <c r="B43" t="s">
        <v>2667</v>
      </c>
      <c r="C43">
        <v>0</v>
      </c>
    </row>
    <row r="44" spans="1:3" x14ac:dyDescent="0.25">
      <c r="A44" t="s">
        <v>2668</v>
      </c>
      <c r="B44" t="s">
        <v>2661</v>
      </c>
      <c r="C44">
        <v>0</v>
      </c>
    </row>
    <row r="45" spans="1:3" x14ac:dyDescent="0.25">
      <c r="A45" t="s">
        <v>695</v>
      </c>
      <c r="B45" t="s">
        <v>696</v>
      </c>
      <c r="C45">
        <v>0</v>
      </c>
    </row>
    <row r="46" spans="1:3" x14ac:dyDescent="0.25">
      <c r="A46" t="s">
        <v>697</v>
      </c>
      <c r="B46" t="s">
        <v>698</v>
      </c>
      <c r="C46">
        <v>0</v>
      </c>
    </row>
    <row r="47" spans="1:3" x14ac:dyDescent="0.25">
      <c r="A47" t="s">
        <v>699</v>
      </c>
      <c r="B47" t="s">
        <v>700</v>
      </c>
      <c r="C47">
        <v>0</v>
      </c>
    </row>
    <row r="48" spans="1:3" x14ac:dyDescent="0.25">
      <c r="A48" t="s">
        <v>2669</v>
      </c>
      <c r="B48" t="s">
        <v>2630</v>
      </c>
      <c r="C48">
        <v>0</v>
      </c>
    </row>
    <row r="49" spans="1:3" x14ac:dyDescent="0.25">
      <c r="A49" t="s">
        <v>2670</v>
      </c>
      <c r="B49" t="s">
        <v>2632</v>
      </c>
      <c r="C49">
        <v>0</v>
      </c>
    </row>
    <row r="50" spans="1:3" x14ac:dyDescent="0.25">
      <c r="A50" t="s">
        <v>2671</v>
      </c>
      <c r="B50" t="s">
        <v>2634</v>
      </c>
      <c r="C50">
        <v>0</v>
      </c>
    </row>
    <row r="51" spans="1:3" x14ac:dyDescent="0.25">
      <c r="A51" t="s">
        <v>2672</v>
      </c>
      <c r="B51" t="s">
        <v>2636</v>
      </c>
      <c r="C51">
        <v>0</v>
      </c>
    </row>
    <row r="52" spans="1:3" x14ac:dyDescent="0.25">
      <c r="A52" t="s">
        <v>2673</v>
      </c>
      <c r="B52" t="s">
        <v>2638</v>
      </c>
      <c r="C52">
        <v>0</v>
      </c>
    </row>
    <row r="53" spans="1:3" x14ac:dyDescent="0.25">
      <c r="A53" t="s">
        <v>2674</v>
      </c>
      <c r="B53" t="s">
        <v>2640</v>
      </c>
      <c r="C53">
        <v>0</v>
      </c>
    </row>
    <row r="54" spans="1:3" x14ac:dyDescent="0.25">
      <c r="A54" t="s">
        <v>701</v>
      </c>
      <c r="B54" t="s">
        <v>702</v>
      </c>
      <c r="C54">
        <v>0</v>
      </c>
    </row>
    <row r="55" spans="1:3" x14ac:dyDescent="0.25">
      <c r="A55" t="s">
        <v>1421</v>
      </c>
      <c r="B55" t="s">
        <v>2630</v>
      </c>
      <c r="C55">
        <v>0</v>
      </c>
    </row>
    <row r="56" spans="1:3" x14ac:dyDescent="0.25">
      <c r="A56" t="s">
        <v>2675</v>
      </c>
      <c r="B56" t="s">
        <v>2632</v>
      </c>
      <c r="C56">
        <v>0</v>
      </c>
    </row>
    <row r="57" spans="1:3" x14ac:dyDescent="0.25">
      <c r="A57" t="s">
        <v>2676</v>
      </c>
      <c r="B57" t="s">
        <v>2634</v>
      </c>
      <c r="C57">
        <v>0</v>
      </c>
    </row>
    <row r="58" spans="1:3" x14ac:dyDescent="0.25">
      <c r="A58" t="s">
        <v>2677</v>
      </c>
      <c r="B58" t="s">
        <v>2636</v>
      </c>
      <c r="C58">
        <v>0</v>
      </c>
    </row>
    <row r="59" spans="1:3" x14ac:dyDescent="0.25">
      <c r="A59" t="s">
        <v>2678</v>
      </c>
      <c r="B59" t="s">
        <v>2638</v>
      </c>
      <c r="C59">
        <v>0</v>
      </c>
    </row>
    <row r="60" spans="1:3" x14ac:dyDescent="0.25">
      <c r="A60" t="s">
        <v>1419</v>
      </c>
      <c r="B60" t="s">
        <v>2640</v>
      </c>
      <c r="C60">
        <v>0</v>
      </c>
    </row>
    <row r="61" spans="1:3" x14ac:dyDescent="0.25">
      <c r="A61" t="s">
        <v>674</v>
      </c>
      <c r="B61" t="s">
        <v>675</v>
      </c>
      <c r="C61">
        <v>0</v>
      </c>
    </row>
    <row r="62" spans="1:3" x14ac:dyDescent="0.25">
      <c r="A62" t="s">
        <v>676</v>
      </c>
      <c r="B62" t="s">
        <v>1420</v>
      </c>
      <c r="C62">
        <v>0</v>
      </c>
    </row>
    <row r="63" spans="1:3" x14ac:dyDescent="0.25">
      <c r="A63" t="s">
        <v>678</v>
      </c>
      <c r="B63" t="s">
        <v>677</v>
      </c>
      <c r="C63">
        <v>0</v>
      </c>
    </row>
    <row r="64" spans="1:3" x14ac:dyDescent="0.25">
      <c r="A64" t="s">
        <v>680</v>
      </c>
      <c r="B64" t="s">
        <v>679</v>
      </c>
      <c r="C64">
        <v>0</v>
      </c>
    </row>
    <row r="65" spans="1:3" x14ac:dyDescent="0.25">
      <c r="A65" t="s">
        <v>2679</v>
      </c>
      <c r="B65" t="s">
        <v>681</v>
      </c>
      <c r="C65">
        <v>0</v>
      </c>
    </row>
    <row r="66" spans="1:3" x14ac:dyDescent="0.25">
      <c r="A66" t="s">
        <v>682</v>
      </c>
      <c r="B66" t="s">
        <v>223</v>
      </c>
      <c r="C66">
        <v>655430</v>
      </c>
    </row>
    <row r="67" spans="1:3" x14ac:dyDescent="0.25">
      <c r="A67" t="s">
        <v>683</v>
      </c>
      <c r="B67" t="s">
        <v>684</v>
      </c>
      <c r="C67">
        <v>285141</v>
      </c>
    </row>
    <row r="68" spans="1:3" x14ac:dyDescent="0.25">
      <c r="A68" t="s">
        <v>685</v>
      </c>
      <c r="B68" t="s">
        <v>2680</v>
      </c>
      <c r="C68">
        <v>0</v>
      </c>
    </row>
    <row r="69" spans="1:3" x14ac:dyDescent="0.25">
      <c r="A69" t="s">
        <v>687</v>
      </c>
      <c r="B69" t="s">
        <v>1062</v>
      </c>
      <c r="C69">
        <v>0</v>
      </c>
    </row>
    <row r="70" spans="1:3" x14ac:dyDescent="0.25">
      <c r="A70" t="s">
        <v>2681</v>
      </c>
      <c r="B70" t="s">
        <v>2682</v>
      </c>
      <c r="C70">
        <v>0</v>
      </c>
    </row>
    <row r="71" spans="1:3" x14ac:dyDescent="0.25">
      <c r="A71" t="s">
        <v>2683</v>
      </c>
      <c r="B71" t="s">
        <v>2684</v>
      </c>
      <c r="C71">
        <v>0</v>
      </c>
    </row>
    <row r="72" spans="1:3" x14ac:dyDescent="0.25">
      <c r="A72" t="s">
        <v>2685</v>
      </c>
      <c r="B72" t="s">
        <v>2686</v>
      </c>
      <c r="C72">
        <v>0</v>
      </c>
    </row>
    <row r="73" spans="1:3" x14ac:dyDescent="0.25">
      <c r="A73" t="s">
        <v>2687</v>
      </c>
      <c r="B73" t="s">
        <v>2688</v>
      </c>
      <c r="C73">
        <v>0</v>
      </c>
    </row>
    <row r="74" spans="1:3" x14ac:dyDescent="0.25">
      <c r="A74" t="s">
        <v>2689</v>
      </c>
      <c r="B74" t="s">
        <v>703</v>
      </c>
      <c r="C74">
        <v>41366430</v>
      </c>
    </row>
    <row r="75" spans="1:3" x14ac:dyDescent="0.25">
      <c r="A75" t="s">
        <v>2690</v>
      </c>
      <c r="B75" t="s">
        <v>704</v>
      </c>
      <c r="C75">
        <v>0</v>
      </c>
    </row>
    <row r="76" spans="1:3" x14ac:dyDescent="0.25">
      <c r="A76" t="s">
        <v>705</v>
      </c>
      <c r="B76" t="s">
        <v>706</v>
      </c>
      <c r="C76">
        <v>0</v>
      </c>
    </row>
    <row r="77" spans="1:3" x14ac:dyDescent="0.25">
      <c r="A77" t="s">
        <v>707</v>
      </c>
      <c r="B77" t="s">
        <v>2691</v>
      </c>
      <c r="C77">
        <v>0</v>
      </c>
    </row>
    <row r="78" spans="1:3" x14ac:dyDescent="0.25">
      <c r="A78" t="s">
        <v>709</v>
      </c>
      <c r="B78" t="s">
        <v>32</v>
      </c>
      <c r="C78">
        <v>0</v>
      </c>
    </row>
    <row r="79" spans="1:3" x14ac:dyDescent="0.25">
      <c r="A79" t="s">
        <v>710</v>
      </c>
      <c r="B79" t="s">
        <v>232</v>
      </c>
      <c r="C79">
        <v>0</v>
      </c>
    </row>
    <row r="80" spans="1:3" x14ac:dyDescent="0.25">
      <c r="A80" t="s">
        <v>711</v>
      </c>
      <c r="B80" t="s">
        <v>1063</v>
      </c>
      <c r="C80">
        <v>0</v>
      </c>
    </row>
    <row r="81" spans="1:3" x14ac:dyDescent="0.25">
      <c r="A81" t="s">
        <v>2692</v>
      </c>
      <c r="B81" t="s">
        <v>2693</v>
      </c>
      <c r="C81">
        <v>0</v>
      </c>
    </row>
    <row r="82" spans="1:3" x14ac:dyDescent="0.25">
      <c r="A82" t="s">
        <v>2694</v>
      </c>
      <c r="B82" t="s">
        <v>712</v>
      </c>
      <c r="C82">
        <v>655430</v>
      </c>
    </row>
    <row r="83" spans="1:3" x14ac:dyDescent="0.25">
      <c r="A83" t="s">
        <v>610</v>
      </c>
      <c r="B83" t="s">
        <v>2695</v>
      </c>
      <c r="C83">
        <v>0</v>
      </c>
    </row>
    <row r="84" spans="1:3" x14ac:dyDescent="0.25">
      <c r="A84" t="s">
        <v>2696</v>
      </c>
      <c r="B84" t="s">
        <v>2655</v>
      </c>
      <c r="C84">
        <v>0</v>
      </c>
    </row>
    <row r="85" spans="1:3" x14ac:dyDescent="0.25">
      <c r="A85" t="s">
        <v>2697</v>
      </c>
      <c r="B85" t="s">
        <v>2698</v>
      </c>
      <c r="C85">
        <v>0</v>
      </c>
    </row>
    <row r="86" spans="1:3" x14ac:dyDescent="0.25">
      <c r="A86" t="s">
        <v>2699</v>
      </c>
      <c r="B86" t="s">
        <v>2659</v>
      </c>
      <c r="C86">
        <v>0</v>
      </c>
    </row>
    <row r="87" spans="1:3" x14ac:dyDescent="0.25">
      <c r="A87" t="s">
        <v>2700</v>
      </c>
      <c r="B87" t="s">
        <v>2661</v>
      </c>
      <c r="C87">
        <v>0</v>
      </c>
    </row>
    <row r="88" spans="1:3" x14ac:dyDescent="0.25">
      <c r="A88" t="s">
        <v>2701</v>
      </c>
      <c r="B88" t="s">
        <v>2663</v>
      </c>
      <c r="C88">
        <v>0</v>
      </c>
    </row>
    <row r="89" spans="1:3" x14ac:dyDescent="0.25">
      <c r="A89" t="s">
        <v>641</v>
      </c>
      <c r="B89" t="s">
        <v>714</v>
      </c>
      <c r="C89">
        <v>0</v>
      </c>
    </row>
    <row r="90" spans="1:3" x14ac:dyDescent="0.25">
      <c r="A90" t="s">
        <v>2702</v>
      </c>
      <c r="B90" t="s">
        <v>1420</v>
      </c>
      <c r="C90">
        <v>0</v>
      </c>
    </row>
    <row r="91" spans="1:3" x14ac:dyDescent="0.25">
      <c r="A91" t="s">
        <v>2703</v>
      </c>
      <c r="B91" t="s">
        <v>2704</v>
      </c>
      <c r="C91">
        <v>0</v>
      </c>
    </row>
    <row r="92" spans="1:3" x14ac:dyDescent="0.25">
      <c r="A92" t="s">
        <v>2705</v>
      </c>
      <c r="B92" t="s">
        <v>2706</v>
      </c>
      <c r="C92">
        <v>0</v>
      </c>
    </row>
    <row r="93" spans="1:3" x14ac:dyDescent="0.25">
      <c r="A93" t="s">
        <v>642</v>
      </c>
      <c r="B93" t="s">
        <v>1432</v>
      </c>
      <c r="C93">
        <v>0</v>
      </c>
    </row>
    <row r="94" spans="1:3" x14ac:dyDescent="0.25">
      <c r="A94" t="s">
        <v>2707</v>
      </c>
      <c r="B94" t="s">
        <v>1420</v>
      </c>
      <c r="C94">
        <v>0</v>
      </c>
    </row>
    <row r="95" spans="1:3" x14ac:dyDescent="0.25">
      <c r="A95" t="s">
        <v>2708</v>
      </c>
      <c r="B95" t="s">
        <v>2709</v>
      </c>
      <c r="C95">
        <v>0</v>
      </c>
    </row>
    <row r="96" spans="1:3" x14ac:dyDescent="0.25">
      <c r="A96" t="s">
        <v>2710</v>
      </c>
      <c r="B96" t="s">
        <v>2711</v>
      </c>
      <c r="C96">
        <v>0</v>
      </c>
    </row>
    <row r="97" spans="1:3" x14ac:dyDescent="0.25">
      <c r="A97" t="s">
        <v>2712</v>
      </c>
      <c r="B97" t="s">
        <v>2713</v>
      </c>
      <c r="C97">
        <v>0</v>
      </c>
    </row>
    <row r="98" spans="1:3" x14ac:dyDescent="0.25">
      <c r="A98" t="s">
        <v>2714</v>
      </c>
      <c r="B98" t="s">
        <v>2711</v>
      </c>
      <c r="C98">
        <v>0</v>
      </c>
    </row>
    <row r="99" spans="1:3" x14ac:dyDescent="0.25">
      <c r="A99" t="s">
        <v>716</v>
      </c>
      <c r="B99" t="s">
        <v>235</v>
      </c>
      <c r="C99">
        <v>0</v>
      </c>
    </row>
    <row r="100" spans="1:3" x14ac:dyDescent="0.25">
      <c r="A100" t="s">
        <v>717</v>
      </c>
      <c r="B100" t="s">
        <v>718</v>
      </c>
      <c r="C100">
        <v>0</v>
      </c>
    </row>
    <row r="101" spans="1:3" x14ac:dyDescent="0.25">
      <c r="A101" t="s">
        <v>719</v>
      </c>
      <c r="B101" t="s">
        <v>2715</v>
      </c>
      <c r="C101">
        <v>0</v>
      </c>
    </row>
    <row r="102" spans="1:3" x14ac:dyDescent="0.25">
      <c r="A102" t="s">
        <v>721</v>
      </c>
      <c r="B102" t="s">
        <v>2716</v>
      </c>
      <c r="C102">
        <v>655430</v>
      </c>
    </row>
    <row r="103" spans="1:3" x14ac:dyDescent="0.25">
      <c r="A103" t="s">
        <v>2717</v>
      </c>
      <c r="B103" t="s">
        <v>2231</v>
      </c>
      <c r="C103">
        <v>104200</v>
      </c>
    </row>
    <row r="104" spans="1:3" x14ac:dyDescent="0.25">
      <c r="A104" t="s">
        <v>2718</v>
      </c>
      <c r="B104" t="s">
        <v>2719</v>
      </c>
      <c r="C104">
        <v>0</v>
      </c>
    </row>
    <row r="105" spans="1:3" x14ac:dyDescent="0.25">
      <c r="A105" t="s">
        <v>2720</v>
      </c>
      <c r="B105" t="s">
        <v>2721</v>
      </c>
      <c r="C105">
        <v>361136</v>
      </c>
    </row>
    <row r="106" spans="1:3" x14ac:dyDescent="0.25">
      <c r="A106" t="s">
        <v>2722</v>
      </c>
      <c r="B106" t="s">
        <v>2723</v>
      </c>
      <c r="C106">
        <v>190094</v>
      </c>
    </row>
    <row r="107" spans="1:3" x14ac:dyDescent="0.25">
      <c r="A107" t="s">
        <v>2724</v>
      </c>
      <c r="B107" t="s">
        <v>2725</v>
      </c>
      <c r="C107">
        <v>0</v>
      </c>
    </row>
    <row r="108" spans="1:3" x14ac:dyDescent="0.25">
      <c r="A108" t="s">
        <v>2726</v>
      </c>
      <c r="B108" t="s">
        <v>723</v>
      </c>
      <c r="C108">
        <v>0</v>
      </c>
    </row>
    <row r="109" spans="1:3" x14ac:dyDescent="0.25">
      <c r="A109" t="s">
        <v>2727</v>
      </c>
      <c r="B109" t="s">
        <v>621</v>
      </c>
      <c r="C109">
        <v>41366430</v>
      </c>
    </row>
    <row r="110" spans="1:3" x14ac:dyDescent="0.25">
      <c r="A110" t="s">
        <v>2728</v>
      </c>
      <c r="B110" t="s">
        <v>724</v>
      </c>
      <c r="C110">
        <v>30398045</v>
      </c>
    </row>
    <row r="111" spans="1:3" x14ac:dyDescent="0.25">
      <c r="A111" t="s">
        <v>725</v>
      </c>
      <c r="B111" t="s">
        <v>706</v>
      </c>
      <c r="C111">
        <v>0</v>
      </c>
    </row>
    <row r="112" spans="1:3" x14ac:dyDescent="0.25">
      <c r="A112" t="s">
        <v>791</v>
      </c>
      <c r="B112" t="s">
        <v>2729</v>
      </c>
      <c r="C112">
        <v>0</v>
      </c>
    </row>
    <row r="113" spans="1:3" x14ac:dyDescent="0.25">
      <c r="A113" t="s">
        <v>792</v>
      </c>
      <c r="B113" t="s">
        <v>2730</v>
      </c>
      <c r="C113">
        <v>0</v>
      </c>
    </row>
    <row r="114" spans="1:3" x14ac:dyDescent="0.25">
      <c r="A114" t="s">
        <v>726</v>
      </c>
      <c r="B114" t="s">
        <v>2731</v>
      </c>
      <c r="C114">
        <v>3655</v>
      </c>
    </row>
    <row r="115" spans="1:3" x14ac:dyDescent="0.25">
      <c r="A115" t="s">
        <v>728</v>
      </c>
      <c r="B115" t="s">
        <v>729</v>
      </c>
      <c r="C115">
        <v>0</v>
      </c>
    </row>
    <row r="116" spans="1:3" x14ac:dyDescent="0.25">
      <c r="A116" t="s">
        <v>730</v>
      </c>
      <c r="B116" t="s">
        <v>2732</v>
      </c>
      <c r="C116">
        <v>0</v>
      </c>
    </row>
    <row r="117" spans="1:3" x14ac:dyDescent="0.25">
      <c r="A117" t="s">
        <v>731</v>
      </c>
      <c r="B117" t="s">
        <v>732</v>
      </c>
      <c r="C117">
        <v>8230301</v>
      </c>
    </row>
    <row r="118" spans="1:3" x14ac:dyDescent="0.25">
      <c r="A118" t="s">
        <v>2733</v>
      </c>
      <c r="B118" t="s">
        <v>2630</v>
      </c>
      <c r="C118">
        <v>0</v>
      </c>
    </row>
    <row r="119" spans="1:3" x14ac:dyDescent="0.25">
      <c r="A119" t="s">
        <v>2734</v>
      </c>
      <c r="B119" t="s">
        <v>2632</v>
      </c>
      <c r="C119">
        <v>0</v>
      </c>
    </row>
    <row r="120" spans="1:3" x14ac:dyDescent="0.25">
      <c r="A120" t="s">
        <v>2735</v>
      </c>
      <c r="B120" t="s">
        <v>2634</v>
      </c>
      <c r="C120">
        <v>0</v>
      </c>
    </row>
    <row r="121" spans="1:3" x14ac:dyDescent="0.25">
      <c r="A121" t="s">
        <v>2736</v>
      </c>
      <c r="B121" t="s">
        <v>2636</v>
      </c>
      <c r="C121">
        <v>0</v>
      </c>
    </row>
    <row r="122" spans="1:3" x14ac:dyDescent="0.25">
      <c r="A122" t="s">
        <v>2737</v>
      </c>
      <c r="B122" t="s">
        <v>2638</v>
      </c>
      <c r="C122">
        <v>0</v>
      </c>
    </row>
    <row r="123" spans="1:3" x14ac:dyDescent="0.25">
      <c r="A123" t="s">
        <v>2738</v>
      </c>
      <c r="B123" t="s">
        <v>2640</v>
      </c>
      <c r="C123">
        <v>-52548</v>
      </c>
    </row>
    <row r="124" spans="1:3" x14ac:dyDescent="0.25">
      <c r="A124" t="s">
        <v>733</v>
      </c>
      <c r="B124" t="s">
        <v>734</v>
      </c>
      <c r="C124">
        <v>0</v>
      </c>
    </row>
    <row r="125" spans="1:3" x14ac:dyDescent="0.25">
      <c r="A125" t="s">
        <v>2739</v>
      </c>
      <c r="B125" t="s">
        <v>2630</v>
      </c>
      <c r="C125">
        <v>0</v>
      </c>
    </row>
    <row r="126" spans="1:3" x14ac:dyDescent="0.25">
      <c r="A126" t="s">
        <v>2740</v>
      </c>
      <c r="B126" t="s">
        <v>2632</v>
      </c>
      <c r="C126">
        <v>0</v>
      </c>
    </row>
    <row r="127" spans="1:3" x14ac:dyDescent="0.25">
      <c r="A127" t="s">
        <v>2741</v>
      </c>
      <c r="B127" t="s">
        <v>2634</v>
      </c>
      <c r="C127">
        <v>0</v>
      </c>
    </row>
    <row r="128" spans="1:3" x14ac:dyDescent="0.25">
      <c r="A128" t="s">
        <v>2742</v>
      </c>
      <c r="B128" t="s">
        <v>2636</v>
      </c>
      <c r="C128">
        <v>0</v>
      </c>
    </row>
    <row r="129" spans="1:3" x14ac:dyDescent="0.25">
      <c r="A129" t="s">
        <v>2743</v>
      </c>
      <c r="B129" t="s">
        <v>2638</v>
      </c>
      <c r="C129">
        <v>0</v>
      </c>
    </row>
    <row r="130" spans="1:3" x14ac:dyDescent="0.25">
      <c r="A130" t="s">
        <v>2744</v>
      </c>
      <c r="B130" t="s">
        <v>2640</v>
      </c>
      <c r="C130">
        <v>0</v>
      </c>
    </row>
    <row r="131" spans="1:3" x14ac:dyDescent="0.25">
      <c r="A131" t="s">
        <v>735</v>
      </c>
      <c r="B131" t="s">
        <v>736</v>
      </c>
      <c r="C131">
        <v>22159676</v>
      </c>
    </row>
    <row r="132" spans="1:3" x14ac:dyDescent="0.25">
      <c r="A132" t="s">
        <v>737</v>
      </c>
      <c r="B132" t="s">
        <v>1067</v>
      </c>
      <c r="C132">
        <v>0</v>
      </c>
    </row>
    <row r="133" spans="1:3" x14ac:dyDescent="0.25">
      <c r="A133" t="s">
        <v>738</v>
      </c>
      <c r="B133" t="s">
        <v>1065</v>
      </c>
      <c r="C133">
        <v>10052176</v>
      </c>
    </row>
    <row r="134" spans="1:3" x14ac:dyDescent="0.25">
      <c r="A134" t="s">
        <v>1064</v>
      </c>
      <c r="B134" t="s">
        <v>1066</v>
      </c>
      <c r="C134">
        <v>0</v>
      </c>
    </row>
    <row r="135" spans="1:3" x14ac:dyDescent="0.25">
      <c r="A135" t="s">
        <v>739</v>
      </c>
      <c r="B135" t="s">
        <v>2745</v>
      </c>
      <c r="C135">
        <v>4413</v>
      </c>
    </row>
    <row r="136" spans="1:3" x14ac:dyDescent="0.25">
      <c r="A136" t="s">
        <v>740</v>
      </c>
      <c r="B136" t="s">
        <v>2746</v>
      </c>
      <c r="C136">
        <v>0</v>
      </c>
    </row>
    <row r="137" spans="1:3" x14ac:dyDescent="0.25">
      <c r="A137" t="s">
        <v>2747</v>
      </c>
      <c r="B137" t="s">
        <v>742</v>
      </c>
      <c r="C137">
        <v>119184</v>
      </c>
    </row>
    <row r="138" spans="1:3" x14ac:dyDescent="0.25">
      <c r="A138" t="s">
        <v>743</v>
      </c>
      <c r="B138" t="s">
        <v>2695</v>
      </c>
      <c r="C138">
        <v>0</v>
      </c>
    </row>
    <row r="139" spans="1:3" x14ac:dyDescent="0.25">
      <c r="A139" t="s">
        <v>2748</v>
      </c>
      <c r="B139" t="s">
        <v>2655</v>
      </c>
      <c r="C139">
        <v>0</v>
      </c>
    </row>
    <row r="140" spans="1:3" x14ac:dyDescent="0.25">
      <c r="A140" t="s">
        <v>2749</v>
      </c>
      <c r="B140" t="s">
        <v>2750</v>
      </c>
      <c r="C140">
        <v>0</v>
      </c>
    </row>
    <row r="141" spans="1:3" x14ac:dyDescent="0.25">
      <c r="A141" t="s">
        <v>2751</v>
      </c>
      <c r="B141" t="s">
        <v>2659</v>
      </c>
      <c r="C141">
        <v>0</v>
      </c>
    </row>
    <row r="142" spans="1:3" x14ac:dyDescent="0.25">
      <c r="A142" t="s">
        <v>2752</v>
      </c>
      <c r="B142" t="s">
        <v>2661</v>
      </c>
      <c r="C142">
        <v>0</v>
      </c>
    </row>
    <row r="143" spans="1:3" x14ac:dyDescent="0.25">
      <c r="A143" t="s">
        <v>2753</v>
      </c>
      <c r="B143" t="s">
        <v>2663</v>
      </c>
      <c r="C143">
        <v>0</v>
      </c>
    </row>
    <row r="144" spans="1:3" x14ac:dyDescent="0.25">
      <c r="A144" t="s">
        <v>744</v>
      </c>
      <c r="B144" t="s">
        <v>714</v>
      </c>
      <c r="C144">
        <v>0</v>
      </c>
    </row>
    <row r="145" spans="1:3" x14ac:dyDescent="0.25">
      <c r="A145" t="s">
        <v>2754</v>
      </c>
      <c r="B145" t="s">
        <v>1420</v>
      </c>
      <c r="C145">
        <v>0</v>
      </c>
    </row>
    <row r="146" spans="1:3" x14ac:dyDescent="0.25">
      <c r="A146" t="s">
        <v>2755</v>
      </c>
      <c r="B146" t="s">
        <v>2704</v>
      </c>
      <c r="C146">
        <v>0</v>
      </c>
    </row>
    <row r="147" spans="1:3" x14ac:dyDescent="0.25">
      <c r="A147" t="s">
        <v>2756</v>
      </c>
      <c r="B147" t="s">
        <v>2706</v>
      </c>
      <c r="C147">
        <v>0</v>
      </c>
    </row>
    <row r="148" spans="1:3" x14ac:dyDescent="0.25">
      <c r="A148" t="s">
        <v>745</v>
      </c>
      <c r="B148" t="s">
        <v>2757</v>
      </c>
      <c r="C148">
        <v>45000</v>
      </c>
    </row>
    <row r="149" spans="1:3" x14ac:dyDescent="0.25">
      <c r="A149" t="s">
        <v>2758</v>
      </c>
      <c r="B149" t="s">
        <v>1420</v>
      </c>
      <c r="C149">
        <v>0</v>
      </c>
    </row>
    <row r="150" spans="1:3" x14ac:dyDescent="0.25">
      <c r="A150" t="s">
        <v>2759</v>
      </c>
      <c r="B150" t="s">
        <v>2709</v>
      </c>
      <c r="C150">
        <v>0</v>
      </c>
    </row>
    <row r="151" spans="1:3" x14ac:dyDescent="0.25">
      <c r="A151" t="s">
        <v>2760</v>
      </c>
      <c r="B151" t="s">
        <v>2711</v>
      </c>
      <c r="C151">
        <v>0</v>
      </c>
    </row>
    <row r="152" spans="1:3" x14ac:dyDescent="0.25">
      <c r="A152" t="s">
        <v>2761</v>
      </c>
      <c r="B152" t="s">
        <v>2713</v>
      </c>
      <c r="C152">
        <v>45000</v>
      </c>
    </row>
    <row r="153" spans="1:3" x14ac:dyDescent="0.25">
      <c r="A153" t="s">
        <v>2762</v>
      </c>
      <c r="B153" t="s">
        <v>2711</v>
      </c>
      <c r="C153">
        <v>0</v>
      </c>
    </row>
    <row r="154" spans="1:3" x14ac:dyDescent="0.25">
      <c r="A154" t="s">
        <v>746</v>
      </c>
      <c r="B154" t="s">
        <v>747</v>
      </c>
      <c r="C154">
        <v>0</v>
      </c>
    </row>
    <row r="155" spans="1:3" x14ac:dyDescent="0.25">
      <c r="A155" t="s">
        <v>748</v>
      </c>
      <c r="B155" t="s">
        <v>2763</v>
      </c>
      <c r="C155">
        <v>0</v>
      </c>
    </row>
    <row r="156" spans="1:3" x14ac:dyDescent="0.25">
      <c r="A156" t="s">
        <v>750</v>
      </c>
      <c r="B156" t="s">
        <v>637</v>
      </c>
      <c r="C156">
        <v>71719475</v>
      </c>
    </row>
    <row r="157" spans="1:3" x14ac:dyDescent="0.25">
      <c r="A157" t="s">
        <v>751</v>
      </c>
      <c r="B157" t="s">
        <v>2764</v>
      </c>
      <c r="C157">
        <v>74184</v>
      </c>
    </row>
    <row r="158" spans="1:3" x14ac:dyDescent="0.25">
      <c r="A158" t="s">
        <v>2765</v>
      </c>
      <c r="B158" t="s">
        <v>2766</v>
      </c>
      <c r="C158">
        <v>0</v>
      </c>
    </row>
    <row r="159" spans="1:3" x14ac:dyDescent="0.25">
      <c r="A159" t="s">
        <v>2767</v>
      </c>
      <c r="B159" t="s">
        <v>2768</v>
      </c>
      <c r="C159">
        <v>0</v>
      </c>
    </row>
    <row r="160" spans="1:3" x14ac:dyDescent="0.25">
      <c r="A160" t="s">
        <v>2769</v>
      </c>
      <c r="B160" t="s">
        <v>2770</v>
      </c>
      <c r="C160">
        <v>74184</v>
      </c>
    </row>
    <row r="161" spans="1:3" x14ac:dyDescent="0.25">
      <c r="A161" t="s">
        <v>2771</v>
      </c>
      <c r="B161" t="s">
        <v>2772</v>
      </c>
      <c r="C161">
        <v>0</v>
      </c>
    </row>
    <row r="162" spans="1:3" x14ac:dyDescent="0.25">
      <c r="A162" t="s">
        <v>2773</v>
      </c>
      <c r="B162" t="s">
        <v>2774</v>
      </c>
      <c r="C162">
        <v>0</v>
      </c>
    </row>
    <row r="163" spans="1:3" x14ac:dyDescent="0.25">
      <c r="A163" t="s">
        <v>2775</v>
      </c>
      <c r="B163" t="s">
        <v>2776</v>
      </c>
      <c r="C163">
        <v>3819165</v>
      </c>
    </row>
    <row r="164" spans="1:3" x14ac:dyDescent="0.25">
      <c r="A164" t="s">
        <v>2777</v>
      </c>
      <c r="B164" t="s">
        <v>2778</v>
      </c>
      <c r="C164">
        <v>0</v>
      </c>
    </row>
    <row r="165" spans="1:3" x14ac:dyDescent="0.25">
      <c r="A165" t="s">
        <v>2779</v>
      </c>
      <c r="B165" t="s">
        <v>2780</v>
      </c>
      <c r="C165">
        <v>0</v>
      </c>
    </row>
    <row r="166" spans="1:3" x14ac:dyDescent="0.25">
      <c r="A166" t="s">
        <v>753</v>
      </c>
      <c r="B166" t="s">
        <v>635</v>
      </c>
      <c r="C166">
        <v>0</v>
      </c>
    </row>
    <row r="167" spans="1:3" x14ac:dyDescent="0.25">
      <c r="A167" t="s">
        <v>754</v>
      </c>
      <c r="B167" t="s">
        <v>638</v>
      </c>
      <c r="C167">
        <v>0</v>
      </c>
    </row>
    <row r="168" spans="1:3" x14ac:dyDescent="0.25">
      <c r="A168" t="s">
        <v>755</v>
      </c>
      <c r="B168" t="s">
        <v>2781</v>
      </c>
      <c r="C168">
        <v>0</v>
      </c>
    </row>
    <row r="169" spans="1:3" x14ac:dyDescent="0.25">
      <c r="A169" t="s">
        <v>2782</v>
      </c>
      <c r="B169" t="s">
        <v>2783</v>
      </c>
      <c r="C169">
        <v>0</v>
      </c>
    </row>
    <row r="170" spans="1:3" x14ac:dyDescent="0.25">
      <c r="A170" t="s">
        <v>2784</v>
      </c>
      <c r="B170" t="s">
        <v>2785</v>
      </c>
      <c r="C170">
        <v>0</v>
      </c>
    </row>
    <row r="171" spans="1:3" x14ac:dyDescent="0.25">
      <c r="A171" t="s">
        <v>2786</v>
      </c>
      <c r="B171" t="s">
        <v>2787</v>
      </c>
      <c r="C171">
        <v>0</v>
      </c>
    </row>
    <row r="172" spans="1:3" x14ac:dyDescent="0.25">
      <c r="A172" t="s">
        <v>2788</v>
      </c>
      <c r="B172" t="s">
        <v>2789</v>
      </c>
      <c r="C172">
        <v>14334933</v>
      </c>
    </row>
    <row r="173" spans="1:3" x14ac:dyDescent="0.25">
      <c r="A173" t="s">
        <v>757</v>
      </c>
      <c r="B173" t="s">
        <v>640</v>
      </c>
      <c r="C173">
        <v>0</v>
      </c>
    </row>
    <row r="174" spans="1:3" x14ac:dyDescent="0.25">
      <c r="A174" t="s">
        <v>2790</v>
      </c>
      <c r="B174" t="s">
        <v>632</v>
      </c>
      <c r="C174">
        <v>30278861</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68A28-9A45-47CD-938A-B280C61BC221}">
  <dimension ref="A1:C179"/>
  <sheetViews>
    <sheetView workbookViewId="0">
      <selection sqref="A1:C179"/>
    </sheetView>
  </sheetViews>
  <sheetFormatPr defaultRowHeight="15" x14ac:dyDescent="0.25"/>
  <cols>
    <col min="1" max="1" width="16.28515625" bestFit="1" customWidth="1"/>
    <col min="2" max="2" width="81.140625" bestFit="1" customWidth="1"/>
    <col min="3" max="3" width="10.5703125" customWidth="1"/>
  </cols>
  <sheetData>
    <row r="1" spans="1:3" x14ac:dyDescent="0.25">
      <c r="A1" t="s">
        <v>1486</v>
      </c>
      <c r="B1" t="s">
        <v>2626</v>
      </c>
      <c r="C1" t="s">
        <v>2613</v>
      </c>
    </row>
    <row r="2" spans="1:3" x14ac:dyDescent="0.25">
      <c r="A2" t="s">
        <v>2627</v>
      </c>
      <c r="B2" t="s">
        <v>644</v>
      </c>
      <c r="C2">
        <v>58559338</v>
      </c>
    </row>
    <row r="3" spans="1:3" x14ac:dyDescent="0.25">
      <c r="A3" t="s">
        <v>2628</v>
      </c>
      <c r="B3" t="s">
        <v>645</v>
      </c>
    </row>
    <row r="4" spans="1:3" x14ac:dyDescent="0.25">
      <c r="A4" t="s">
        <v>646</v>
      </c>
      <c r="B4" t="s">
        <v>647</v>
      </c>
      <c r="C4">
        <v>38011741</v>
      </c>
    </row>
    <row r="5" spans="1:3" x14ac:dyDescent="0.25">
      <c r="A5" t="s">
        <v>648</v>
      </c>
      <c r="B5" t="s">
        <v>649</v>
      </c>
      <c r="C5">
        <v>38011741</v>
      </c>
    </row>
    <row r="6" spans="1:3" x14ac:dyDescent="0.25">
      <c r="A6" t="s">
        <v>650</v>
      </c>
      <c r="B6" t="s">
        <v>651</v>
      </c>
      <c r="C6">
        <v>0</v>
      </c>
    </row>
    <row r="7" spans="1:3" x14ac:dyDescent="0.25">
      <c r="A7" t="s">
        <v>652</v>
      </c>
      <c r="B7" t="s">
        <v>653</v>
      </c>
      <c r="C7">
        <v>0</v>
      </c>
    </row>
    <row r="8" spans="1:3" x14ac:dyDescent="0.25">
      <c r="A8" t="s">
        <v>654</v>
      </c>
      <c r="B8" t="s">
        <v>655</v>
      </c>
      <c r="C8">
        <v>0</v>
      </c>
    </row>
    <row r="9" spans="1:3" x14ac:dyDescent="0.25">
      <c r="A9" t="s">
        <v>656</v>
      </c>
      <c r="B9" t="s">
        <v>657</v>
      </c>
      <c r="C9">
        <v>0</v>
      </c>
    </row>
    <row r="10" spans="1:3" x14ac:dyDescent="0.25">
      <c r="A10" t="s">
        <v>658</v>
      </c>
      <c r="B10" t="s">
        <v>659</v>
      </c>
      <c r="C10">
        <v>0</v>
      </c>
    </row>
    <row r="11" spans="1:3" x14ac:dyDescent="0.25">
      <c r="A11" t="s">
        <v>660</v>
      </c>
      <c r="B11" t="s">
        <v>661</v>
      </c>
      <c r="C11">
        <v>0</v>
      </c>
    </row>
    <row r="12" spans="1:3" x14ac:dyDescent="0.25">
      <c r="A12" t="s">
        <v>662</v>
      </c>
      <c r="B12" t="s">
        <v>663</v>
      </c>
      <c r="C12">
        <v>0</v>
      </c>
    </row>
    <row r="13" spans="1:3" x14ac:dyDescent="0.25">
      <c r="A13" t="s">
        <v>664</v>
      </c>
      <c r="B13" t="s">
        <v>665</v>
      </c>
      <c r="C13">
        <v>2401789</v>
      </c>
    </row>
    <row r="14" spans="1:3" x14ac:dyDescent="0.25">
      <c r="A14" t="s">
        <v>666</v>
      </c>
      <c r="B14" t="s">
        <v>667</v>
      </c>
      <c r="C14">
        <v>0</v>
      </c>
    </row>
    <row r="15" spans="1:3" x14ac:dyDescent="0.25">
      <c r="A15" t="s">
        <v>668</v>
      </c>
      <c r="B15" t="s">
        <v>669</v>
      </c>
      <c r="C15">
        <v>0</v>
      </c>
    </row>
    <row r="16" spans="1:3" x14ac:dyDescent="0.25">
      <c r="A16" t="s">
        <v>2629</v>
      </c>
      <c r="B16" t="s">
        <v>3002</v>
      </c>
      <c r="C16">
        <v>0</v>
      </c>
    </row>
    <row r="17" spans="1:3" x14ac:dyDescent="0.25">
      <c r="A17" t="s">
        <v>2631</v>
      </c>
      <c r="B17" t="s">
        <v>3003</v>
      </c>
      <c r="C17">
        <v>0</v>
      </c>
    </row>
    <row r="18" spans="1:3" x14ac:dyDescent="0.25">
      <c r="A18" t="s">
        <v>2633</v>
      </c>
      <c r="B18" t="s">
        <v>3004</v>
      </c>
      <c r="C18">
        <v>0</v>
      </c>
    </row>
    <row r="19" spans="1:3" x14ac:dyDescent="0.25">
      <c r="A19" t="s">
        <v>2639</v>
      </c>
      <c r="B19" t="s">
        <v>2630</v>
      </c>
      <c r="C19">
        <v>0</v>
      </c>
    </row>
    <row r="20" spans="1:3" x14ac:dyDescent="0.25">
      <c r="A20" t="s">
        <v>3005</v>
      </c>
      <c r="B20" t="s">
        <v>3006</v>
      </c>
      <c r="C20">
        <v>0</v>
      </c>
    </row>
    <row r="21" spans="1:3" x14ac:dyDescent="0.25">
      <c r="A21" t="s">
        <v>3007</v>
      </c>
      <c r="B21" t="s">
        <v>3008</v>
      </c>
      <c r="C21">
        <v>0</v>
      </c>
    </row>
    <row r="22" spans="1:3" x14ac:dyDescent="0.25">
      <c r="A22" t="s">
        <v>3009</v>
      </c>
      <c r="B22" t="s">
        <v>3010</v>
      </c>
      <c r="C22">
        <v>0</v>
      </c>
    </row>
    <row r="23" spans="1:3" x14ac:dyDescent="0.25">
      <c r="A23" t="s">
        <v>3011</v>
      </c>
      <c r="B23" t="s">
        <v>3012</v>
      </c>
      <c r="C23">
        <v>0</v>
      </c>
    </row>
    <row r="24" spans="1:3" x14ac:dyDescent="0.25">
      <c r="A24" t="s">
        <v>2804</v>
      </c>
      <c r="B24" t="s">
        <v>3013</v>
      </c>
      <c r="C24">
        <v>0</v>
      </c>
    </row>
    <row r="25" spans="1:3" x14ac:dyDescent="0.25">
      <c r="A25" t="s">
        <v>670</v>
      </c>
      <c r="B25" t="s">
        <v>671</v>
      </c>
      <c r="C25">
        <v>5976703</v>
      </c>
    </row>
    <row r="26" spans="1:3" x14ac:dyDescent="0.25">
      <c r="A26" t="s">
        <v>2641</v>
      </c>
      <c r="B26" t="s">
        <v>3002</v>
      </c>
      <c r="C26">
        <v>7044146</v>
      </c>
    </row>
    <row r="27" spans="1:3" x14ac:dyDescent="0.25">
      <c r="A27" t="s">
        <v>2642</v>
      </c>
      <c r="B27" t="s">
        <v>3003</v>
      </c>
      <c r="C27">
        <v>-313683</v>
      </c>
    </row>
    <row r="28" spans="1:3" x14ac:dyDescent="0.25">
      <c r="A28" t="s">
        <v>2643</v>
      </c>
      <c r="B28" t="s">
        <v>3004</v>
      </c>
      <c r="C28">
        <v>7357829</v>
      </c>
    </row>
    <row r="29" spans="1:3" x14ac:dyDescent="0.25">
      <c r="A29" t="s">
        <v>2646</v>
      </c>
      <c r="B29" t="s">
        <v>2630</v>
      </c>
      <c r="C29">
        <v>0</v>
      </c>
    </row>
    <row r="30" spans="1:3" x14ac:dyDescent="0.25">
      <c r="A30" t="s">
        <v>3014</v>
      </c>
      <c r="B30" t="s">
        <v>3006</v>
      </c>
      <c r="C30">
        <v>0</v>
      </c>
    </row>
    <row r="31" spans="1:3" x14ac:dyDescent="0.25">
      <c r="A31" t="s">
        <v>3015</v>
      </c>
      <c r="B31" t="s">
        <v>3008</v>
      </c>
      <c r="C31">
        <v>0</v>
      </c>
    </row>
    <row r="32" spans="1:3" x14ac:dyDescent="0.25">
      <c r="A32" t="s">
        <v>3016</v>
      </c>
      <c r="B32" t="s">
        <v>3010</v>
      </c>
      <c r="C32">
        <v>0</v>
      </c>
    </row>
    <row r="33" spans="1:3" x14ac:dyDescent="0.25">
      <c r="A33" t="s">
        <v>3017</v>
      </c>
      <c r="B33" t="s">
        <v>3012</v>
      </c>
      <c r="C33">
        <v>0</v>
      </c>
    </row>
    <row r="34" spans="1:3" x14ac:dyDescent="0.25">
      <c r="A34" t="s">
        <v>2812</v>
      </c>
      <c r="B34" t="s">
        <v>3013</v>
      </c>
      <c r="C34">
        <v>0</v>
      </c>
    </row>
    <row r="35" spans="1:3" x14ac:dyDescent="0.25">
      <c r="A35" t="s">
        <v>2895</v>
      </c>
      <c r="B35" t="s">
        <v>3018</v>
      </c>
      <c r="C35">
        <v>46390233</v>
      </c>
    </row>
    <row r="36" spans="1:3" x14ac:dyDescent="0.25">
      <c r="A36" t="s">
        <v>2647</v>
      </c>
      <c r="B36" t="s">
        <v>672</v>
      </c>
    </row>
    <row r="37" spans="1:3" x14ac:dyDescent="0.25">
      <c r="A37" t="s">
        <v>673</v>
      </c>
      <c r="B37" t="s">
        <v>602</v>
      </c>
      <c r="C37">
        <v>10518</v>
      </c>
    </row>
    <row r="38" spans="1:3" x14ac:dyDescent="0.25">
      <c r="A38" t="s">
        <v>688</v>
      </c>
      <c r="B38" t="s">
        <v>689</v>
      </c>
      <c r="C38">
        <v>175672</v>
      </c>
    </row>
    <row r="39" spans="1:3" x14ac:dyDescent="0.25">
      <c r="A39" t="s">
        <v>690</v>
      </c>
      <c r="B39" t="s">
        <v>691</v>
      </c>
      <c r="C39">
        <v>0</v>
      </c>
    </row>
    <row r="40" spans="1:3" x14ac:dyDescent="0.25">
      <c r="A40" t="s">
        <v>692</v>
      </c>
      <c r="B40" t="s">
        <v>3019</v>
      </c>
      <c r="C40">
        <v>0</v>
      </c>
    </row>
    <row r="41" spans="1:3" x14ac:dyDescent="0.25">
      <c r="A41" t="s">
        <v>2654</v>
      </c>
      <c r="B41" t="s">
        <v>3020</v>
      </c>
      <c r="C41">
        <v>0</v>
      </c>
    </row>
    <row r="42" spans="1:3" x14ac:dyDescent="0.25">
      <c r="A42" t="s">
        <v>2656</v>
      </c>
      <c r="B42" t="s">
        <v>3021</v>
      </c>
      <c r="C42">
        <v>0</v>
      </c>
    </row>
    <row r="43" spans="1:3" x14ac:dyDescent="0.25">
      <c r="A43" t="s">
        <v>2658</v>
      </c>
      <c r="B43" t="s">
        <v>2663</v>
      </c>
      <c r="C43">
        <v>0</v>
      </c>
    </row>
    <row r="44" spans="1:3" x14ac:dyDescent="0.25">
      <c r="A44" t="s">
        <v>693</v>
      </c>
      <c r="B44" t="s">
        <v>694</v>
      </c>
      <c r="C44">
        <v>0</v>
      </c>
    </row>
    <row r="45" spans="1:3" x14ac:dyDescent="0.25">
      <c r="A45" t="s">
        <v>2664</v>
      </c>
      <c r="B45" t="s">
        <v>3022</v>
      </c>
      <c r="C45">
        <v>0</v>
      </c>
    </row>
    <row r="46" spans="1:3" x14ac:dyDescent="0.25">
      <c r="A46" t="s">
        <v>2666</v>
      </c>
      <c r="B46" t="s">
        <v>2667</v>
      </c>
      <c r="C46">
        <v>0</v>
      </c>
    </row>
    <row r="47" spans="1:3" x14ac:dyDescent="0.25">
      <c r="A47" t="s">
        <v>2668</v>
      </c>
      <c r="B47" t="s">
        <v>3021</v>
      </c>
      <c r="C47">
        <v>0</v>
      </c>
    </row>
    <row r="48" spans="1:3" x14ac:dyDescent="0.25">
      <c r="A48" t="s">
        <v>695</v>
      </c>
      <c r="B48" t="s">
        <v>696</v>
      </c>
      <c r="C48">
        <v>0</v>
      </c>
    </row>
    <row r="49" spans="1:3" x14ac:dyDescent="0.25">
      <c r="A49" t="s">
        <v>697</v>
      </c>
      <c r="B49" t="s">
        <v>698</v>
      </c>
      <c r="C49">
        <v>0</v>
      </c>
    </row>
    <row r="50" spans="1:3" x14ac:dyDescent="0.25">
      <c r="A50" t="s">
        <v>699</v>
      </c>
      <c r="B50" t="s">
        <v>700</v>
      </c>
      <c r="C50">
        <v>0</v>
      </c>
    </row>
    <row r="51" spans="1:3" x14ac:dyDescent="0.25">
      <c r="A51" t="s">
        <v>2669</v>
      </c>
      <c r="B51" t="s">
        <v>3002</v>
      </c>
      <c r="C51">
        <v>0</v>
      </c>
    </row>
    <row r="52" spans="1:3" x14ac:dyDescent="0.25">
      <c r="A52" t="s">
        <v>2670</v>
      </c>
      <c r="B52" t="s">
        <v>3003</v>
      </c>
      <c r="C52">
        <v>0</v>
      </c>
    </row>
    <row r="53" spans="1:3" x14ac:dyDescent="0.25">
      <c r="A53" t="s">
        <v>2671</v>
      </c>
      <c r="B53" t="s">
        <v>3004</v>
      </c>
      <c r="C53">
        <v>0</v>
      </c>
    </row>
    <row r="54" spans="1:3" x14ac:dyDescent="0.25">
      <c r="A54" t="s">
        <v>2674</v>
      </c>
      <c r="B54" t="s">
        <v>2630</v>
      </c>
      <c r="C54">
        <v>0</v>
      </c>
    </row>
    <row r="55" spans="1:3" x14ac:dyDescent="0.25">
      <c r="A55" t="s">
        <v>3023</v>
      </c>
      <c r="B55" t="s">
        <v>3006</v>
      </c>
      <c r="C55">
        <v>0</v>
      </c>
    </row>
    <row r="56" spans="1:3" x14ac:dyDescent="0.25">
      <c r="A56" t="s">
        <v>3024</v>
      </c>
      <c r="B56" t="s">
        <v>3008</v>
      </c>
      <c r="C56">
        <v>0</v>
      </c>
    </row>
    <row r="57" spans="1:3" x14ac:dyDescent="0.25">
      <c r="A57" t="s">
        <v>3025</v>
      </c>
      <c r="B57" t="s">
        <v>3010</v>
      </c>
      <c r="C57">
        <v>0</v>
      </c>
    </row>
    <row r="58" spans="1:3" x14ac:dyDescent="0.25">
      <c r="A58" t="s">
        <v>3026</v>
      </c>
      <c r="B58" t="s">
        <v>3012</v>
      </c>
      <c r="C58">
        <v>0</v>
      </c>
    </row>
    <row r="59" spans="1:3" x14ac:dyDescent="0.25">
      <c r="A59" t="s">
        <v>2837</v>
      </c>
      <c r="B59" t="s">
        <v>3013</v>
      </c>
      <c r="C59">
        <v>0</v>
      </c>
    </row>
    <row r="60" spans="1:3" x14ac:dyDescent="0.25">
      <c r="A60" t="s">
        <v>701</v>
      </c>
      <c r="B60" t="s">
        <v>702</v>
      </c>
      <c r="C60">
        <v>10256182</v>
      </c>
    </row>
    <row r="61" spans="1:3" x14ac:dyDescent="0.25">
      <c r="A61" t="s">
        <v>1421</v>
      </c>
      <c r="B61" t="s">
        <v>3002</v>
      </c>
      <c r="C61">
        <v>2645844</v>
      </c>
    </row>
    <row r="62" spans="1:3" x14ac:dyDescent="0.25">
      <c r="A62" t="s">
        <v>2675</v>
      </c>
      <c r="B62" t="s">
        <v>3003</v>
      </c>
      <c r="C62">
        <v>2442813</v>
      </c>
    </row>
    <row r="63" spans="1:3" x14ac:dyDescent="0.25">
      <c r="A63" t="s">
        <v>2676</v>
      </c>
      <c r="B63" t="s">
        <v>3004</v>
      </c>
      <c r="C63">
        <v>203031</v>
      </c>
    </row>
    <row r="64" spans="1:3" x14ac:dyDescent="0.25">
      <c r="A64" t="s">
        <v>1419</v>
      </c>
      <c r="B64" t="s">
        <v>2630</v>
      </c>
      <c r="C64">
        <v>0</v>
      </c>
    </row>
    <row r="65" spans="1:3" x14ac:dyDescent="0.25">
      <c r="A65" t="s">
        <v>3027</v>
      </c>
      <c r="B65" t="s">
        <v>3006</v>
      </c>
      <c r="C65">
        <v>0</v>
      </c>
    </row>
    <row r="66" spans="1:3" x14ac:dyDescent="0.25">
      <c r="A66" t="s">
        <v>3028</v>
      </c>
      <c r="B66" t="s">
        <v>3008</v>
      </c>
      <c r="C66">
        <v>0</v>
      </c>
    </row>
    <row r="67" spans="1:3" x14ac:dyDescent="0.25">
      <c r="A67" t="s">
        <v>3029</v>
      </c>
      <c r="B67" t="s">
        <v>3010</v>
      </c>
      <c r="C67">
        <v>0</v>
      </c>
    </row>
    <row r="68" spans="1:3" x14ac:dyDescent="0.25">
      <c r="A68" t="s">
        <v>3030</v>
      </c>
      <c r="B68" t="s">
        <v>3012</v>
      </c>
      <c r="C68">
        <v>0</v>
      </c>
    </row>
    <row r="69" spans="1:3" x14ac:dyDescent="0.25">
      <c r="A69" t="s">
        <v>1422</v>
      </c>
      <c r="B69" t="s">
        <v>3013</v>
      </c>
      <c r="C69">
        <v>0</v>
      </c>
    </row>
    <row r="70" spans="1:3" x14ac:dyDescent="0.25">
      <c r="A70" t="s">
        <v>674</v>
      </c>
      <c r="B70" t="s">
        <v>675</v>
      </c>
      <c r="C70">
        <v>0</v>
      </c>
    </row>
    <row r="71" spans="1:3" x14ac:dyDescent="0.25">
      <c r="A71" t="s">
        <v>676</v>
      </c>
      <c r="B71" t="s">
        <v>677</v>
      </c>
      <c r="C71">
        <v>0</v>
      </c>
    </row>
    <row r="72" spans="1:3" x14ac:dyDescent="0.25">
      <c r="A72" t="s">
        <v>678</v>
      </c>
      <c r="B72" t="s">
        <v>679</v>
      </c>
      <c r="C72">
        <v>0</v>
      </c>
    </row>
    <row r="73" spans="1:3" x14ac:dyDescent="0.25">
      <c r="A73" t="s">
        <v>680</v>
      </c>
      <c r="B73" t="s">
        <v>681</v>
      </c>
      <c r="C73">
        <v>0</v>
      </c>
    </row>
    <row r="74" spans="1:3" x14ac:dyDescent="0.25">
      <c r="A74" t="s">
        <v>682</v>
      </c>
      <c r="B74" t="s">
        <v>223</v>
      </c>
      <c r="C74">
        <v>895002</v>
      </c>
    </row>
    <row r="75" spans="1:3" x14ac:dyDescent="0.25">
      <c r="A75" t="s">
        <v>683</v>
      </c>
      <c r="B75" t="s">
        <v>684</v>
      </c>
      <c r="C75">
        <v>190094</v>
      </c>
    </row>
    <row r="76" spans="1:3" x14ac:dyDescent="0.25">
      <c r="A76" t="s">
        <v>685</v>
      </c>
      <c r="B76" t="s">
        <v>2680</v>
      </c>
      <c r="C76">
        <v>0</v>
      </c>
    </row>
    <row r="77" spans="1:3" x14ac:dyDescent="0.25">
      <c r="A77" t="s">
        <v>687</v>
      </c>
      <c r="B77" t="s">
        <v>3031</v>
      </c>
      <c r="C77">
        <v>11527468</v>
      </c>
    </row>
    <row r="78" spans="1:3" x14ac:dyDescent="0.25">
      <c r="A78" t="s">
        <v>2685</v>
      </c>
      <c r="B78" t="s">
        <v>2686</v>
      </c>
    </row>
    <row r="79" spans="1:3" x14ac:dyDescent="0.25">
      <c r="A79" t="s">
        <v>2689</v>
      </c>
      <c r="B79" t="s">
        <v>703</v>
      </c>
      <c r="C79">
        <v>34862765</v>
      </c>
    </row>
    <row r="80" spans="1:3" x14ac:dyDescent="0.25">
      <c r="A80" t="s">
        <v>2690</v>
      </c>
      <c r="B80" t="s">
        <v>704</v>
      </c>
    </row>
    <row r="81" spans="1:3" x14ac:dyDescent="0.25">
      <c r="A81" t="s">
        <v>705</v>
      </c>
      <c r="B81" t="s">
        <v>706</v>
      </c>
      <c r="C81">
        <v>0</v>
      </c>
    </row>
    <row r="82" spans="1:3" x14ac:dyDescent="0.25">
      <c r="A82" t="s">
        <v>707</v>
      </c>
      <c r="B82" t="s">
        <v>708</v>
      </c>
      <c r="C82">
        <v>0</v>
      </c>
    </row>
    <row r="83" spans="1:3" x14ac:dyDescent="0.25">
      <c r="A83" t="s">
        <v>709</v>
      </c>
      <c r="B83" t="s">
        <v>32</v>
      </c>
      <c r="C83">
        <v>0</v>
      </c>
    </row>
    <row r="84" spans="1:3" x14ac:dyDescent="0.25">
      <c r="A84" t="s">
        <v>710</v>
      </c>
      <c r="B84" t="s">
        <v>232</v>
      </c>
      <c r="C84">
        <v>0</v>
      </c>
    </row>
    <row r="85" spans="1:3" x14ac:dyDescent="0.25">
      <c r="A85" t="s">
        <v>711</v>
      </c>
      <c r="B85" t="s">
        <v>3032</v>
      </c>
      <c r="C85">
        <v>0</v>
      </c>
    </row>
    <row r="86" spans="1:3" x14ac:dyDescent="0.25">
      <c r="A86" t="s">
        <v>2692</v>
      </c>
      <c r="B86" t="s">
        <v>3033</v>
      </c>
      <c r="C86">
        <v>0</v>
      </c>
    </row>
    <row r="87" spans="1:3" x14ac:dyDescent="0.25">
      <c r="A87" t="s">
        <v>3034</v>
      </c>
      <c r="B87" t="s">
        <v>3035</v>
      </c>
      <c r="C87">
        <v>0</v>
      </c>
    </row>
    <row r="88" spans="1:3" x14ac:dyDescent="0.25">
      <c r="A88" t="s">
        <v>2905</v>
      </c>
      <c r="B88" t="s">
        <v>3036</v>
      </c>
      <c r="C88">
        <v>0</v>
      </c>
    </row>
    <row r="89" spans="1:3" x14ac:dyDescent="0.25">
      <c r="A89" t="s">
        <v>2694</v>
      </c>
      <c r="B89" t="s">
        <v>712</v>
      </c>
    </row>
    <row r="90" spans="1:3" x14ac:dyDescent="0.25">
      <c r="A90" t="s">
        <v>610</v>
      </c>
      <c r="B90" t="s">
        <v>713</v>
      </c>
      <c r="C90">
        <v>0</v>
      </c>
    </row>
    <row r="91" spans="1:3" x14ac:dyDescent="0.25">
      <c r="A91" t="s">
        <v>2696</v>
      </c>
      <c r="B91" t="s">
        <v>3020</v>
      </c>
      <c r="C91">
        <v>0</v>
      </c>
    </row>
    <row r="92" spans="1:3" x14ac:dyDescent="0.25">
      <c r="A92" t="s">
        <v>2697</v>
      </c>
      <c r="B92" t="s">
        <v>3021</v>
      </c>
      <c r="C92">
        <v>0</v>
      </c>
    </row>
    <row r="93" spans="1:3" x14ac:dyDescent="0.25">
      <c r="A93" t="s">
        <v>2699</v>
      </c>
      <c r="B93" t="s">
        <v>2663</v>
      </c>
      <c r="C93">
        <v>0</v>
      </c>
    </row>
    <row r="94" spans="1:3" x14ac:dyDescent="0.25">
      <c r="A94" t="s">
        <v>641</v>
      </c>
      <c r="B94" t="s">
        <v>714</v>
      </c>
      <c r="C94">
        <v>0</v>
      </c>
    </row>
    <row r="95" spans="1:3" x14ac:dyDescent="0.25">
      <c r="A95" t="s">
        <v>2702</v>
      </c>
      <c r="B95" t="s">
        <v>2704</v>
      </c>
      <c r="C95">
        <v>0</v>
      </c>
    </row>
    <row r="96" spans="1:3" x14ac:dyDescent="0.25">
      <c r="A96" t="s">
        <v>2703</v>
      </c>
      <c r="B96" t="s">
        <v>2706</v>
      </c>
      <c r="C96">
        <v>0</v>
      </c>
    </row>
    <row r="97" spans="1:3" x14ac:dyDescent="0.25">
      <c r="A97" t="s">
        <v>642</v>
      </c>
      <c r="B97" t="s">
        <v>715</v>
      </c>
      <c r="C97">
        <v>0</v>
      </c>
    </row>
    <row r="98" spans="1:3" x14ac:dyDescent="0.25">
      <c r="A98" t="s">
        <v>2707</v>
      </c>
      <c r="B98" t="s">
        <v>2709</v>
      </c>
      <c r="C98">
        <v>0</v>
      </c>
    </row>
    <row r="99" spans="1:3" x14ac:dyDescent="0.25">
      <c r="A99" t="s">
        <v>3037</v>
      </c>
      <c r="B99" t="s">
        <v>2711</v>
      </c>
      <c r="C99">
        <v>0</v>
      </c>
    </row>
    <row r="100" spans="1:3" x14ac:dyDescent="0.25">
      <c r="A100" t="s">
        <v>2708</v>
      </c>
      <c r="B100" t="s">
        <v>2713</v>
      </c>
      <c r="C100">
        <v>0</v>
      </c>
    </row>
    <row r="101" spans="1:3" x14ac:dyDescent="0.25">
      <c r="A101" t="s">
        <v>2710</v>
      </c>
      <c r="B101" t="s">
        <v>2711</v>
      </c>
      <c r="C101">
        <v>0</v>
      </c>
    </row>
    <row r="102" spans="1:3" x14ac:dyDescent="0.25">
      <c r="A102" t="s">
        <v>716</v>
      </c>
      <c r="B102" t="s">
        <v>235</v>
      </c>
      <c r="C102">
        <v>0</v>
      </c>
    </row>
    <row r="103" spans="1:3" x14ac:dyDescent="0.25">
      <c r="A103" t="s">
        <v>717</v>
      </c>
      <c r="B103" t="s">
        <v>718</v>
      </c>
      <c r="C103">
        <v>0</v>
      </c>
    </row>
    <row r="104" spans="1:3" x14ac:dyDescent="0.25">
      <c r="A104" t="s">
        <v>719</v>
      </c>
      <c r="B104" t="s">
        <v>2715</v>
      </c>
      <c r="C104">
        <v>0</v>
      </c>
    </row>
    <row r="105" spans="1:3" x14ac:dyDescent="0.25">
      <c r="A105" t="s">
        <v>721</v>
      </c>
      <c r="B105" t="s">
        <v>722</v>
      </c>
      <c r="C105">
        <v>895002</v>
      </c>
    </row>
    <row r="106" spans="1:3" x14ac:dyDescent="0.25">
      <c r="A106" t="s">
        <v>2717</v>
      </c>
      <c r="B106" t="s">
        <v>2231</v>
      </c>
      <c r="C106">
        <v>15777</v>
      </c>
    </row>
    <row r="107" spans="1:3" x14ac:dyDescent="0.25">
      <c r="A107" t="s">
        <v>2718</v>
      </c>
      <c r="B107" t="s">
        <v>3038</v>
      </c>
      <c r="C107">
        <v>0</v>
      </c>
    </row>
    <row r="108" spans="1:3" x14ac:dyDescent="0.25">
      <c r="A108" t="s">
        <v>2720</v>
      </c>
      <c r="B108" t="s">
        <v>2721</v>
      </c>
      <c r="C108">
        <v>594084</v>
      </c>
    </row>
    <row r="109" spans="1:3" x14ac:dyDescent="0.25">
      <c r="A109" t="s">
        <v>2722</v>
      </c>
      <c r="B109" t="s">
        <v>2723</v>
      </c>
      <c r="C109">
        <v>285141</v>
      </c>
    </row>
    <row r="110" spans="1:3" x14ac:dyDescent="0.25">
      <c r="A110" t="s">
        <v>2724</v>
      </c>
      <c r="B110" t="s">
        <v>2725</v>
      </c>
      <c r="C110">
        <v>0</v>
      </c>
    </row>
    <row r="111" spans="1:3" x14ac:dyDescent="0.25">
      <c r="A111" t="s">
        <v>3039</v>
      </c>
      <c r="B111" t="s">
        <v>3040</v>
      </c>
      <c r="C111">
        <v>895002</v>
      </c>
    </row>
    <row r="112" spans="1:3" x14ac:dyDescent="0.25">
      <c r="A112" t="s">
        <v>2726</v>
      </c>
      <c r="B112" t="s">
        <v>723</v>
      </c>
      <c r="C112">
        <v>0</v>
      </c>
    </row>
    <row r="113" spans="1:3" x14ac:dyDescent="0.25">
      <c r="A113" t="s">
        <v>2727</v>
      </c>
      <c r="B113" t="s">
        <v>621</v>
      </c>
      <c r="C113">
        <v>34862765</v>
      </c>
    </row>
    <row r="114" spans="1:3" x14ac:dyDescent="0.25">
      <c r="A114" t="s">
        <v>2728</v>
      </c>
      <c r="B114" t="s">
        <v>724</v>
      </c>
    </row>
    <row r="115" spans="1:3" x14ac:dyDescent="0.25">
      <c r="A115" t="s">
        <v>725</v>
      </c>
      <c r="B115" t="s">
        <v>706</v>
      </c>
      <c r="C115">
        <v>0</v>
      </c>
    </row>
    <row r="116" spans="1:3" x14ac:dyDescent="0.25">
      <c r="A116" t="s">
        <v>791</v>
      </c>
      <c r="B116" t="s">
        <v>2729</v>
      </c>
      <c r="C116">
        <v>0</v>
      </c>
    </row>
    <row r="117" spans="1:3" x14ac:dyDescent="0.25">
      <c r="A117" t="s">
        <v>792</v>
      </c>
      <c r="B117" t="s">
        <v>2730</v>
      </c>
      <c r="C117">
        <v>0</v>
      </c>
    </row>
    <row r="118" spans="1:3" x14ac:dyDescent="0.25">
      <c r="A118" t="s">
        <v>726</v>
      </c>
      <c r="B118" t="s">
        <v>727</v>
      </c>
      <c r="C118">
        <v>3655</v>
      </c>
    </row>
    <row r="119" spans="1:3" x14ac:dyDescent="0.25">
      <c r="A119" t="s">
        <v>728</v>
      </c>
      <c r="B119" t="s">
        <v>729</v>
      </c>
      <c r="C119">
        <v>0</v>
      </c>
    </row>
    <row r="120" spans="1:3" x14ac:dyDescent="0.25">
      <c r="A120" t="s">
        <v>730</v>
      </c>
      <c r="B120" t="s">
        <v>2732</v>
      </c>
      <c r="C120">
        <v>0</v>
      </c>
    </row>
    <row r="121" spans="1:3" x14ac:dyDescent="0.25">
      <c r="A121" t="s">
        <v>731</v>
      </c>
      <c r="B121" t="s">
        <v>732</v>
      </c>
      <c r="C121">
        <v>0</v>
      </c>
    </row>
    <row r="122" spans="1:3" x14ac:dyDescent="0.25">
      <c r="A122" t="s">
        <v>2733</v>
      </c>
      <c r="B122" t="s">
        <v>3002</v>
      </c>
      <c r="C122">
        <v>0</v>
      </c>
    </row>
    <row r="123" spans="1:3" x14ac:dyDescent="0.25">
      <c r="A123" t="s">
        <v>2734</v>
      </c>
      <c r="B123" t="s">
        <v>3003</v>
      </c>
      <c r="C123">
        <v>0</v>
      </c>
    </row>
    <row r="124" spans="1:3" x14ac:dyDescent="0.25">
      <c r="A124" t="s">
        <v>2735</v>
      </c>
      <c r="B124" t="s">
        <v>3004</v>
      </c>
      <c r="C124">
        <v>0</v>
      </c>
    </row>
    <row r="125" spans="1:3" x14ac:dyDescent="0.25">
      <c r="A125" t="s">
        <v>2738</v>
      </c>
      <c r="B125" t="s">
        <v>2630</v>
      </c>
      <c r="C125">
        <v>0</v>
      </c>
    </row>
    <row r="126" spans="1:3" x14ac:dyDescent="0.25">
      <c r="A126" t="s">
        <v>3041</v>
      </c>
      <c r="B126" t="s">
        <v>3006</v>
      </c>
      <c r="C126">
        <v>0</v>
      </c>
    </row>
    <row r="127" spans="1:3" x14ac:dyDescent="0.25">
      <c r="A127" t="s">
        <v>3042</v>
      </c>
      <c r="B127" t="s">
        <v>3008</v>
      </c>
      <c r="C127">
        <v>0</v>
      </c>
    </row>
    <row r="128" spans="1:3" x14ac:dyDescent="0.25">
      <c r="A128" t="s">
        <v>3043</v>
      </c>
      <c r="B128" t="s">
        <v>3010</v>
      </c>
      <c r="C128">
        <v>0</v>
      </c>
    </row>
    <row r="129" spans="1:3" x14ac:dyDescent="0.25">
      <c r="A129" t="s">
        <v>3044</v>
      </c>
      <c r="B129" t="s">
        <v>3012</v>
      </c>
      <c r="C129">
        <v>0</v>
      </c>
    </row>
    <row r="130" spans="1:3" x14ac:dyDescent="0.25">
      <c r="A130" t="s">
        <v>2854</v>
      </c>
      <c r="B130" t="s">
        <v>3013</v>
      </c>
      <c r="C130">
        <v>0</v>
      </c>
    </row>
    <row r="131" spans="1:3" x14ac:dyDescent="0.25">
      <c r="A131" t="s">
        <v>733</v>
      </c>
      <c r="B131" t="s">
        <v>734</v>
      </c>
      <c r="C131">
        <v>0</v>
      </c>
    </row>
    <row r="132" spans="1:3" x14ac:dyDescent="0.25">
      <c r="A132" t="s">
        <v>2739</v>
      </c>
      <c r="B132" t="s">
        <v>3002</v>
      </c>
      <c r="C132">
        <v>0</v>
      </c>
    </row>
    <row r="133" spans="1:3" x14ac:dyDescent="0.25">
      <c r="A133" t="s">
        <v>2740</v>
      </c>
      <c r="B133" t="s">
        <v>3003</v>
      </c>
      <c r="C133">
        <v>0</v>
      </c>
    </row>
    <row r="134" spans="1:3" x14ac:dyDescent="0.25">
      <c r="A134" t="s">
        <v>2741</v>
      </c>
      <c r="B134" t="s">
        <v>3004</v>
      </c>
      <c r="C134">
        <v>0</v>
      </c>
    </row>
    <row r="135" spans="1:3" x14ac:dyDescent="0.25">
      <c r="A135" t="s">
        <v>2744</v>
      </c>
      <c r="B135" t="s">
        <v>2630</v>
      </c>
      <c r="C135">
        <v>0</v>
      </c>
    </row>
    <row r="136" spans="1:3" x14ac:dyDescent="0.25">
      <c r="A136" t="s">
        <v>3045</v>
      </c>
      <c r="B136" t="s">
        <v>3006</v>
      </c>
      <c r="C136">
        <v>0</v>
      </c>
    </row>
    <row r="137" spans="1:3" x14ac:dyDescent="0.25">
      <c r="A137" t="s">
        <v>3046</v>
      </c>
      <c r="B137" t="s">
        <v>3008</v>
      </c>
      <c r="C137">
        <v>0</v>
      </c>
    </row>
    <row r="138" spans="1:3" x14ac:dyDescent="0.25">
      <c r="A138" t="s">
        <v>3047</v>
      </c>
      <c r="B138" t="s">
        <v>3010</v>
      </c>
      <c r="C138">
        <v>0</v>
      </c>
    </row>
    <row r="139" spans="1:3" x14ac:dyDescent="0.25">
      <c r="A139" t="s">
        <v>3048</v>
      </c>
      <c r="B139" t="s">
        <v>3012</v>
      </c>
      <c r="C139">
        <v>0</v>
      </c>
    </row>
    <row r="140" spans="1:3" x14ac:dyDescent="0.25">
      <c r="A140" t="s">
        <v>2858</v>
      </c>
      <c r="B140" t="s">
        <v>3013</v>
      </c>
      <c r="C140">
        <v>0</v>
      </c>
    </row>
    <row r="141" spans="1:3" x14ac:dyDescent="0.25">
      <c r="A141" t="s">
        <v>735</v>
      </c>
      <c r="B141" t="s">
        <v>736</v>
      </c>
      <c r="C141">
        <v>23835039</v>
      </c>
    </row>
    <row r="142" spans="1:3" x14ac:dyDescent="0.25">
      <c r="A142" t="s">
        <v>737</v>
      </c>
      <c r="B142" t="s">
        <v>3049</v>
      </c>
      <c r="C142">
        <v>11727539</v>
      </c>
    </row>
    <row r="143" spans="1:3" x14ac:dyDescent="0.25">
      <c r="A143" t="s">
        <v>738</v>
      </c>
      <c r="B143" t="s">
        <v>3050</v>
      </c>
      <c r="C143">
        <v>0</v>
      </c>
    </row>
    <row r="144" spans="1:3" x14ac:dyDescent="0.25">
      <c r="A144" t="s">
        <v>739</v>
      </c>
      <c r="B144" t="s">
        <v>623</v>
      </c>
      <c r="C144">
        <v>4475</v>
      </c>
    </row>
    <row r="145" spans="1:3" x14ac:dyDescent="0.25">
      <c r="A145" t="s">
        <v>740</v>
      </c>
      <c r="B145" t="s">
        <v>741</v>
      </c>
      <c r="C145">
        <v>23843169</v>
      </c>
    </row>
    <row r="146" spans="1:3" x14ac:dyDescent="0.25">
      <c r="A146" t="s">
        <v>2747</v>
      </c>
      <c r="B146" t="s">
        <v>742</v>
      </c>
    </row>
    <row r="147" spans="1:3" x14ac:dyDescent="0.25">
      <c r="A147" t="s">
        <v>743</v>
      </c>
      <c r="B147" t="s">
        <v>713</v>
      </c>
      <c r="C147">
        <v>0</v>
      </c>
    </row>
    <row r="148" spans="1:3" x14ac:dyDescent="0.25">
      <c r="A148" t="s">
        <v>2748</v>
      </c>
      <c r="B148" t="s">
        <v>3051</v>
      </c>
      <c r="C148">
        <v>0</v>
      </c>
    </row>
    <row r="149" spans="1:3" x14ac:dyDescent="0.25">
      <c r="A149" t="s">
        <v>2749</v>
      </c>
      <c r="B149" t="s">
        <v>3021</v>
      </c>
      <c r="C149">
        <v>0</v>
      </c>
    </row>
    <row r="150" spans="1:3" x14ac:dyDescent="0.25">
      <c r="A150" t="s">
        <v>2751</v>
      </c>
      <c r="B150" t="s">
        <v>2663</v>
      </c>
      <c r="C150">
        <v>0</v>
      </c>
    </row>
    <row r="151" spans="1:3" x14ac:dyDescent="0.25">
      <c r="A151" t="s">
        <v>744</v>
      </c>
      <c r="B151" t="s">
        <v>714</v>
      </c>
      <c r="C151">
        <v>0</v>
      </c>
    </row>
    <row r="152" spans="1:3" x14ac:dyDescent="0.25">
      <c r="A152" t="s">
        <v>2754</v>
      </c>
      <c r="B152" t="s">
        <v>2704</v>
      </c>
      <c r="C152">
        <v>0</v>
      </c>
    </row>
    <row r="153" spans="1:3" x14ac:dyDescent="0.25">
      <c r="A153" t="s">
        <v>2755</v>
      </c>
      <c r="B153" t="s">
        <v>2706</v>
      </c>
      <c r="C153">
        <v>0</v>
      </c>
    </row>
    <row r="154" spans="1:3" x14ac:dyDescent="0.25">
      <c r="A154" t="s">
        <v>745</v>
      </c>
      <c r="B154" t="s">
        <v>3052</v>
      </c>
      <c r="C154">
        <v>58638</v>
      </c>
    </row>
    <row r="155" spans="1:3" x14ac:dyDescent="0.25">
      <c r="A155" t="s">
        <v>2758</v>
      </c>
      <c r="B155" t="s">
        <v>2709</v>
      </c>
      <c r="C155">
        <v>0</v>
      </c>
    </row>
    <row r="156" spans="1:3" x14ac:dyDescent="0.25">
      <c r="A156" t="s">
        <v>3053</v>
      </c>
      <c r="B156" t="s">
        <v>2711</v>
      </c>
      <c r="C156">
        <v>0</v>
      </c>
    </row>
    <row r="157" spans="1:3" x14ac:dyDescent="0.25">
      <c r="A157" t="s">
        <v>2759</v>
      </c>
      <c r="B157" t="s">
        <v>2713</v>
      </c>
      <c r="C157">
        <v>58638</v>
      </c>
    </row>
    <row r="158" spans="1:3" x14ac:dyDescent="0.25">
      <c r="A158" t="s">
        <v>2760</v>
      </c>
      <c r="B158" t="s">
        <v>2711</v>
      </c>
      <c r="C158">
        <v>0</v>
      </c>
    </row>
    <row r="159" spans="1:3" x14ac:dyDescent="0.25">
      <c r="A159" t="s">
        <v>746</v>
      </c>
      <c r="B159" t="s">
        <v>747</v>
      </c>
      <c r="C159">
        <v>0</v>
      </c>
    </row>
    <row r="160" spans="1:3" x14ac:dyDescent="0.25">
      <c r="A160" t="s">
        <v>748</v>
      </c>
      <c r="B160" t="s">
        <v>2763</v>
      </c>
      <c r="C160">
        <v>0</v>
      </c>
    </row>
    <row r="161" spans="1:3" x14ac:dyDescent="0.25">
      <c r="A161" t="s">
        <v>750</v>
      </c>
      <c r="B161" t="s">
        <v>637</v>
      </c>
      <c r="C161">
        <v>58647296</v>
      </c>
    </row>
    <row r="162" spans="1:3" x14ac:dyDescent="0.25">
      <c r="A162" t="s">
        <v>751</v>
      </c>
      <c r="B162" t="s">
        <v>752</v>
      </c>
      <c r="C162">
        <v>87958</v>
      </c>
    </row>
    <row r="163" spans="1:3" x14ac:dyDescent="0.25">
      <c r="A163" t="s">
        <v>2765</v>
      </c>
      <c r="B163" t="s">
        <v>2766</v>
      </c>
      <c r="C163">
        <v>0</v>
      </c>
    </row>
    <row r="164" spans="1:3" x14ac:dyDescent="0.25">
      <c r="A164" t="s">
        <v>2767</v>
      </c>
      <c r="B164" t="s">
        <v>2768</v>
      </c>
      <c r="C164">
        <v>0</v>
      </c>
    </row>
    <row r="165" spans="1:3" x14ac:dyDescent="0.25">
      <c r="A165" t="s">
        <v>2769</v>
      </c>
      <c r="B165" t="s">
        <v>2770</v>
      </c>
      <c r="C165">
        <v>87958</v>
      </c>
    </row>
    <row r="166" spans="1:3" x14ac:dyDescent="0.25">
      <c r="A166" t="s">
        <v>2771</v>
      </c>
      <c r="B166" t="s">
        <v>2772</v>
      </c>
      <c r="C166">
        <v>0</v>
      </c>
    </row>
    <row r="167" spans="1:3" x14ac:dyDescent="0.25">
      <c r="A167" t="s">
        <v>2773</v>
      </c>
      <c r="B167" t="s">
        <v>3054</v>
      </c>
      <c r="C167">
        <v>0</v>
      </c>
    </row>
    <row r="168" spans="1:3" x14ac:dyDescent="0.25">
      <c r="A168" t="s">
        <v>2777</v>
      </c>
      <c r="B168" t="s">
        <v>2778</v>
      </c>
      <c r="C168">
        <v>0</v>
      </c>
    </row>
    <row r="169" spans="1:3" x14ac:dyDescent="0.25">
      <c r="A169" t="s">
        <v>2924</v>
      </c>
      <c r="B169" t="s">
        <v>3055</v>
      </c>
      <c r="C169">
        <v>146596</v>
      </c>
    </row>
    <row r="170" spans="1:3" x14ac:dyDescent="0.25">
      <c r="A170" t="s">
        <v>2779</v>
      </c>
      <c r="B170" t="s">
        <v>3056</v>
      </c>
    </row>
    <row r="171" spans="1:3" x14ac:dyDescent="0.25">
      <c r="A171" t="s">
        <v>753</v>
      </c>
      <c r="B171" t="s">
        <v>635</v>
      </c>
      <c r="C171">
        <v>0</v>
      </c>
    </row>
    <row r="172" spans="1:3" x14ac:dyDescent="0.25">
      <c r="A172" t="s">
        <v>754</v>
      </c>
      <c r="B172" t="s">
        <v>638</v>
      </c>
      <c r="C172">
        <v>0</v>
      </c>
    </row>
    <row r="173" spans="1:3" x14ac:dyDescent="0.25">
      <c r="A173" t="s">
        <v>755</v>
      </c>
      <c r="B173" t="s">
        <v>756</v>
      </c>
      <c r="C173">
        <v>0</v>
      </c>
    </row>
    <row r="174" spans="1:3" x14ac:dyDescent="0.25">
      <c r="A174" t="s">
        <v>2782</v>
      </c>
      <c r="B174" t="s">
        <v>3057</v>
      </c>
      <c r="C174">
        <v>0</v>
      </c>
    </row>
    <row r="175" spans="1:3" x14ac:dyDescent="0.25">
      <c r="A175" t="s">
        <v>2784</v>
      </c>
      <c r="B175" t="s">
        <v>3058</v>
      </c>
      <c r="C175">
        <v>0</v>
      </c>
    </row>
    <row r="176" spans="1:3" x14ac:dyDescent="0.25">
      <c r="A176" t="s">
        <v>2786</v>
      </c>
      <c r="B176" t="s">
        <v>3059</v>
      </c>
      <c r="C176">
        <v>0</v>
      </c>
    </row>
    <row r="177" spans="1:3" x14ac:dyDescent="0.25">
      <c r="A177" t="s">
        <v>757</v>
      </c>
      <c r="B177" t="s">
        <v>640</v>
      </c>
      <c r="C177">
        <v>0</v>
      </c>
    </row>
    <row r="178" spans="1:3" x14ac:dyDescent="0.25">
      <c r="A178" t="s">
        <v>3060</v>
      </c>
      <c r="B178" t="s">
        <v>3061</v>
      </c>
      <c r="C178">
        <v>0</v>
      </c>
    </row>
    <row r="179" spans="1:3" x14ac:dyDescent="0.25">
      <c r="A179" t="s">
        <v>2790</v>
      </c>
      <c r="B179" t="s">
        <v>632</v>
      </c>
      <c r="C179">
        <v>23696573</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EE0C9-2A23-4507-99B4-26C6B6A752A7}">
  <dimension ref="A1:H39"/>
  <sheetViews>
    <sheetView topLeftCell="A31" workbookViewId="0">
      <selection activeCell="B52" sqref="B52"/>
    </sheetView>
  </sheetViews>
  <sheetFormatPr defaultRowHeight="15" x14ac:dyDescent="0.25"/>
  <cols>
    <col min="1" max="1" width="16.28515625" bestFit="1" customWidth="1"/>
    <col min="2" max="2" width="81.140625" bestFit="1" customWidth="1"/>
    <col min="3" max="5" width="9" bestFit="1" customWidth="1"/>
    <col min="6" max="6" width="9.7109375" bestFit="1" customWidth="1"/>
    <col min="7" max="7" width="9" bestFit="1" customWidth="1"/>
    <col min="8" max="8" width="9.7109375" bestFit="1" customWidth="1"/>
  </cols>
  <sheetData>
    <row r="1" spans="1:8" x14ac:dyDescent="0.25">
      <c r="A1" t="s">
        <v>1486</v>
      </c>
      <c r="B1" t="s">
        <v>2583</v>
      </c>
      <c r="C1" t="s">
        <v>2613</v>
      </c>
      <c r="D1" t="s">
        <v>2612</v>
      </c>
      <c r="E1" t="s">
        <v>2611</v>
      </c>
      <c r="F1" t="s">
        <v>2610</v>
      </c>
      <c r="G1" t="s">
        <v>2608</v>
      </c>
      <c r="H1" t="s">
        <v>2609</v>
      </c>
    </row>
    <row r="2" spans="1:8" x14ac:dyDescent="0.25">
      <c r="A2" t="s">
        <v>1571</v>
      </c>
      <c r="B2" t="s">
        <v>578</v>
      </c>
      <c r="C2">
        <v>41046894</v>
      </c>
      <c r="D2">
        <v>39406966</v>
      </c>
      <c r="E2">
        <v>32277374</v>
      </c>
      <c r="F2">
        <v>32696102</v>
      </c>
      <c r="G2">
        <v>34890129</v>
      </c>
      <c r="H2">
        <v>35064279</v>
      </c>
    </row>
    <row r="3" spans="1:8" x14ac:dyDescent="0.25">
      <c r="A3" t="s">
        <v>4</v>
      </c>
      <c r="B3" t="s">
        <v>1310</v>
      </c>
      <c r="C3">
        <v>446840</v>
      </c>
      <c r="D3">
        <v>1429268</v>
      </c>
      <c r="E3">
        <v>2290198</v>
      </c>
      <c r="F3">
        <v>5236226</v>
      </c>
      <c r="G3">
        <v>8626417</v>
      </c>
      <c r="H3">
        <v>4687320</v>
      </c>
    </row>
    <row r="4" spans="1:8" x14ac:dyDescent="0.25">
      <c r="A4" t="s">
        <v>5</v>
      </c>
      <c r="B4" t="s">
        <v>1312</v>
      </c>
      <c r="C4">
        <v>32143133</v>
      </c>
      <c r="D4">
        <v>31803404</v>
      </c>
      <c r="E4">
        <v>23222286</v>
      </c>
      <c r="F4">
        <v>20227846</v>
      </c>
      <c r="G4">
        <v>18769588</v>
      </c>
      <c r="H4">
        <v>19162845</v>
      </c>
    </row>
    <row r="5" spans="1:8" x14ac:dyDescent="0.25">
      <c r="A5" t="s">
        <v>14</v>
      </c>
      <c r="B5" t="s">
        <v>1314</v>
      </c>
      <c r="C5">
        <v>0</v>
      </c>
      <c r="D5">
        <v>0</v>
      </c>
    </row>
    <row r="6" spans="1:8" x14ac:dyDescent="0.25">
      <c r="A6" t="s">
        <v>540</v>
      </c>
      <c r="B6" t="s">
        <v>1315</v>
      </c>
      <c r="C6">
        <v>8456921</v>
      </c>
      <c r="D6">
        <v>6174294</v>
      </c>
      <c r="E6">
        <v>6764890</v>
      </c>
      <c r="F6">
        <v>7232030</v>
      </c>
      <c r="G6">
        <v>7494124</v>
      </c>
      <c r="H6">
        <v>11214114</v>
      </c>
    </row>
    <row r="7" spans="1:8" x14ac:dyDescent="0.25">
      <c r="A7" t="s">
        <v>1572</v>
      </c>
      <c r="B7" t="s">
        <v>583</v>
      </c>
      <c r="C7">
        <v>40681507</v>
      </c>
      <c r="D7">
        <v>28438041</v>
      </c>
      <c r="E7">
        <v>23507935</v>
      </c>
      <c r="F7">
        <v>21830036</v>
      </c>
      <c r="G7">
        <v>23983878</v>
      </c>
      <c r="H7">
        <v>21867589</v>
      </c>
    </row>
    <row r="8" spans="1:8" x14ac:dyDescent="0.25">
      <c r="A8" t="s">
        <v>6</v>
      </c>
      <c r="B8" t="s">
        <v>1320</v>
      </c>
      <c r="C8">
        <v>4235828</v>
      </c>
      <c r="D8">
        <v>1713221</v>
      </c>
      <c r="E8">
        <v>352116</v>
      </c>
      <c r="F8">
        <v>537340</v>
      </c>
      <c r="G8">
        <v>1127506</v>
      </c>
      <c r="H8">
        <v>501761</v>
      </c>
    </row>
    <row r="9" spans="1:8" x14ac:dyDescent="0.25">
      <c r="A9" t="s">
        <v>7</v>
      </c>
      <c r="B9" t="s">
        <v>1322</v>
      </c>
      <c r="C9">
        <v>27953338</v>
      </c>
      <c r="D9">
        <v>22371151</v>
      </c>
      <c r="E9">
        <v>21251521</v>
      </c>
      <c r="F9">
        <v>21008637</v>
      </c>
      <c r="G9">
        <v>22801814</v>
      </c>
      <c r="H9">
        <v>21304551</v>
      </c>
    </row>
    <row r="10" spans="1:8" x14ac:dyDescent="0.25">
      <c r="A10" t="s">
        <v>9</v>
      </c>
      <c r="B10" t="s">
        <v>1324</v>
      </c>
      <c r="C10">
        <v>8492341</v>
      </c>
      <c r="D10">
        <v>4353669</v>
      </c>
      <c r="E10">
        <v>1904298</v>
      </c>
      <c r="F10">
        <v>284059</v>
      </c>
      <c r="G10">
        <v>54558</v>
      </c>
      <c r="H10">
        <v>61277</v>
      </c>
    </row>
    <row r="11" spans="1:8" x14ac:dyDescent="0.25">
      <c r="A11" t="s">
        <v>1539</v>
      </c>
      <c r="B11" t="s">
        <v>587</v>
      </c>
      <c r="C11">
        <v>365387</v>
      </c>
      <c r="D11">
        <v>10968925</v>
      </c>
      <c r="E11">
        <v>8769439</v>
      </c>
      <c r="F11">
        <v>10866066</v>
      </c>
      <c r="G11">
        <v>10906251</v>
      </c>
      <c r="H11">
        <v>13196690</v>
      </c>
    </row>
    <row r="12" spans="1:8" x14ac:dyDescent="0.25">
      <c r="A12" t="s">
        <v>1540</v>
      </c>
      <c r="B12" t="s">
        <v>1327</v>
      </c>
      <c r="C12">
        <v>-5496591</v>
      </c>
      <c r="D12">
        <v>-4442136</v>
      </c>
      <c r="E12">
        <v>-7370259</v>
      </c>
      <c r="F12">
        <v>-13131603</v>
      </c>
      <c r="G12">
        <v>-189684</v>
      </c>
      <c r="H12">
        <v>-15941611</v>
      </c>
    </row>
    <row r="13" spans="1:8" x14ac:dyDescent="0.25">
      <c r="A13" t="s">
        <v>480</v>
      </c>
      <c r="B13" t="s">
        <v>1329</v>
      </c>
      <c r="C13">
        <v>-151378</v>
      </c>
      <c r="D13">
        <v>-356879</v>
      </c>
      <c r="E13">
        <v>-1256600</v>
      </c>
      <c r="F13">
        <v>-829479</v>
      </c>
      <c r="G13">
        <v>-1290151</v>
      </c>
      <c r="H13">
        <v>-1979090</v>
      </c>
    </row>
    <row r="14" spans="1:8" x14ac:dyDescent="0.25">
      <c r="A14" t="s">
        <v>1541</v>
      </c>
      <c r="B14" t="s">
        <v>588</v>
      </c>
      <c r="C14">
        <v>-5131204</v>
      </c>
      <c r="D14">
        <v>6526789</v>
      </c>
      <c r="E14">
        <v>1399180</v>
      </c>
      <c r="F14">
        <v>-2265537</v>
      </c>
      <c r="G14">
        <v>10716567</v>
      </c>
      <c r="H14">
        <v>-2744921</v>
      </c>
    </row>
    <row r="15" spans="1:8" x14ac:dyDescent="0.25">
      <c r="A15" t="s">
        <v>1542</v>
      </c>
      <c r="B15" t="s">
        <v>589</v>
      </c>
      <c r="C15">
        <v>3540738</v>
      </c>
      <c r="D15">
        <v>-690978</v>
      </c>
      <c r="E15">
        <v>-1688868</v>
      </c>
      <c r="F15">
        <v>-921174</v>
      </c>
      <c r="G15">
        <v>6616841</v>
      </c>
      <c r="H15">
        <v>-27294511</v>
      </c>
    </row>
    <row r="16" spans="1:8" x14ac:dyDescent="0.25">
      <c r="A16" t="s">
        <v>1543</v>
      </c>
      <c r="B16" t="s">
        <v>1052</v>
      </c>
      <c r="C16">
        <v>-714496</v>
      </c>
      <c r="D16">
        <v>-124714</v>
      </c>
      <c r="F16">
        <v>-470461</v>
      </c>
      <c r="G16">
        <v>-1378185</v>
      </c>
      <c r="H16">
        <v>-8797</v>
      </c>
    </row>
    <row r="17" spans="1:8" x14ac:dyDescent="0.25">
      <c r="A17" t="s">
        <v>1226</v>
      </c>
      <c r="B17" t="s">
        <v>1220</v>
      </c>
      <c r="C17">
        <v>4209108</v>
      </c>
      <c r="D17">
        <v>5120056</v>
      </c>
      <c r="E17">
        <v>16433696</v>
      </c>
      <c r="F17">
        <v>15638105</v>
      </c>
      <c r="G17">
        <v>707685</v>
      </c>
      <c r="H17">
        <v>381225</v>
      </c>
    </row>
    <row r="18" spans="1:8" x14ac:dyDescent="0.25">
      <c r="A18" t="s">
        <v>2927</v>
      </c>
      <c r="B18" t="s">
        <v>2928</v>
      </c>
    </row>
    <row r="19" spans="1:8" x14ac:dyDescent="0.25">
      <c r="A19" t="s">
        <v>1544</v>
      </c>
      <c r="B19" t="s">
        <v>1221</v>
      </c>
      <c r="C19">
        <v>48466</v>
      </c>
      <c r="D19">
        <v>11422</v>
      </c>
      <c r="E19">
        <v>-10316</v>
      </c>
      <c r="F19">
        <v>-18390</v>
      </c>
      <c r="G19">
        <v>873078</v>
      </c>
      <c r="H19">
        <v>389668</v>
      </c>
    </row>
    <row r="20" spans="1:8" x14ac:dyDescent="0.25">
      <c r="A20" t="s">
        <v>1545</v>
      </c>
      <c r="B20" t="s">
        <v>590</v>
      </c>
      <c r="C20">
        <v>1020185</v>
      </c>
      <c r="D20">
        <v>-38430</v>
      </c>
      <c r="E20">
        <v>-236776</v>
      </c>
      <c r="F20">
        <v>73534</v>
      </c>
      <c r="G20">
        <v>393398</v>
      </c>
      <c r="H20">
        <v>7212275</v>
      </c>
    </row>
    <row r="21" spans="1:8" x14ac:dyDescent="0.25">
      <c r="A21" t="s">
        <v>1546</v>
      </c>
      <c r="B21" t="s">
        <v>591</v>
      </c>
      <c r="C21">
        <v>-7419393</v>
      </c>
      <c r="D21">
        <v>2603288</v>
      </c>
      <c r="E21">
        <v>2015778</v>
      </c>
      <c r="F21">
        <v>1619574</v>
      </c>
      <c r="G21">
        <v>-4663411</v>
      </c>
      <c r="H21">
        <v>23020743</v>
      </c>
    </row>
    <row r="22" spans="1:8" x14ac:dyDescent="0.25">
      <c r="A22" t="s">
        <v>2929</v>
      </c>
      <c r="B22" t="s">
        <v>2930</v>
      </c>
    </row>
    <row r="23" spans="1:8" x14ac:dyDescent="0.25">
      <c r="A23" t="s">
        <v>1547</v>
      </c>
      <c r="B23" t="s">
        <v>1053</v>
      </c>
      <c r="C23">
        <v>69064</v>
      </c>
      <c r="D23">
        <v>-265726</v>
      </c>
      <c r="E23">
        <v>144770</v>
      </c>
      <c r="F23">
        <v>382401</v>
      </c>
      <c r="G23">
        <v>51630</v>
      </c>
      <c r="H23">
        <v>209689</v>
      </c>
    </row>
    <row r="24" spans="1:8" x14ac:dyDescent="0.25">
      <c r="A24" t="s">
        <v>1548</v>
      </c>
      <c r="B24" t="s">
        <v>592</v>
      </c>
      <c r="C24">
        <v>238935</v>
      </c>
      <c r="D24">
        <v>1318441</v>
      </c>
      <c r="E24">
        <v>3359363</v>
      </c>
      <c r="F24">
        <v>1648614</v>
      </c>
      <c r="G24">
        <v>2590154</v>
      </c>
      <c r="H24">
        <v>1262634</v>
      </c>
    </row>
    <row r="25" spans="1:8" x14ac:dyDescent="0.25">
      <c r="A25" t="s">
        <v>1549</v>
      </c>
      <c r="B25" t="s">
        <v>372</v>
      </c>
      <c r="C25">
        <v>2703650</v>
      </c>
      <c r="D25">
        <v>3665904</v>
      </c>
      <c r="E25">
        <v>4469501</v>
      </c>
      <c r="F25">
        <v>5580882</v>
      </c>
      <c r="G25">
        <v>6994739</v>
      </c>
      <c r="H25">
        <v>7918155</v>
      </c>
    </row>
    <row r="26" spans="1:8" x14ac:dyDescent="0.25">
      <c r="A26" t="s">
        <v>1490</v>
      </c>
      <c r="B26" t="s">
        <v>373</v>
      </c>
      <c r="C26">
        <v>661724</v>
      </c>
      <c r="D26">
        <v>988175</v>
      </c>
      <c r="E26">
        <v>1354409</v>
      </c>
      <c r="F26">
        <v>1739783</v>
      </c>
      <c r="G26">
        <v>2329429</v>
      </c>
      <c r="H26">
        <v>3039552</v>
      </c>
    </row>
    <row r="27" spans="1:8" x14ac:dyDescent="0.25">
      <c r="A27" t="s">
        <v>1491</v>
      </c>
      <c r="B27" t="s">
        <v>1489</v>
      </c>
      <c r="C27">
        <v>-362636</v>
      </c>
      <c r="D27">
        <v>-152074</v>
      </c>
      <c r="E27">
        <v>24923</v>
      </c>
      <c r="F27">
        <v>-500274</v>
      </c>
      <c r="G27">
        <v>-380298</v>
      </c>
      <c r="H27">
        <v>-18325</v>
      </c>
    </row>
    <row r="28" spans="1:8" x14ac:dyDescent="0.25">
      <c r="A28" t="s">
        <v>1492</v>
      </c>
      <c r="B28" t="s">
        <v>1344</v>
      </c>
      <c r="C28">
        <v>-401003</v>
      </c>
      <c r="D28">
        <v>65337</v>
      </c>
      <c r="E28">
        <v>-115708</v>
      </c>
      <c r="F28">
        <v>-62725</v>
      </c>
      <c r="G28">
        <v>-224156</v>
      </c>
      <c r="H28">
        <v>79958</v>
      </c>
    </row>
    <row r="29" spans="1:8" x14ac:dyDescent="0.25">
      <c r="A29" t="s">
        <v>1493</v>
      </c>
      <c r="B29" t="s">
        <v>595</v>
      </c>
      <c r="C29">
        <v>4753065</v>
      </c>
      <c r="D29">
        <v>-4811143</v>
      </c>
      <c r="E29">
        <v>538506</v>
      </c>
      <c r="F29">
        <v>189472</v>
      </c>
      <c r="G29">
        <v>-642104</v>
      </c>
      <c r="H29">
        <v>-1067598</v>
      </c>
    </row>
    <row r="30" spans="1:8" x14ac:dyDescent="0.25">
      <c r="A30" t="s">
        <v>1494</v>
      </c>
      <c r="B30" t="s">
        <v>596</v>
      </c>
      <c r="C30">
        <v>16016407</v>
      </c>
      <c r="D30">
        <v>3173766</v>
      </c>
      <c r="E30">
        <v>1347032</v>
      </c>
      <c r="F30">
        <v>1578875</v>
      </c>
      <c r="G30">
        <v>3430955</v>
      </c>
      <c r="H30">
        <v>17993070</v>
      </c>
    </row>
    <row r="31" spans="1:8" x14ac:dyDescent="0.25">
      <c r="A31" t="s">
        <v>1495</v>
      </c>
      <c r="B31" t="s">
        <v>597</v>
      </c>
      <c r="C31">
        <v>17909162</v>
      </c>
      <c r="D31">
        <v>15413763</v>
      </c>
      <c r="E31">
        <v>26326672</v>
      </c>
      <c r="F31">
        <v>20733113</v>
      </c>
      <c r="G31">
        <v>22757464</v>
      </c>
      <c r="H31">
        <v>24293713</v>
      </c>
    </row>
    <row r="32" spans="1:8" x14ac:dyDescent="0.25">
      <c r="A32" t="s">
        <v>2931</v>
      </c>
      <c r="B32" t="s">
        <v>593</v>
      </c>
    </row>
    <row r="33" spans="1:8" x14ac:dyDescent="0.25">
      <c r="A33" t="s">
        <v>1496</v>
      </c>
      <c r="B33" t="s">
        <v>598</v>
      </c>
      <c r="C33">
        <v>26707082</v>
      </c>
      <c r="D33">
        <v>14559974</v>
      </c>
      <c r="E33">
        <v>25075105</v>
      </c>
      <c r="F33">
        <v>16853565</v>
      </c>
      <c r="G33">
        <v>15033435</v>
      </c>
      <c r="H33">
        <v>17938236</v>
      </c>
    </row>
    <row r="34" spans="1:8" x14ac:dyDescent="0.25">
      <c r="A34" t="s">
        <v>1497</v>
      </c>
      <c r="B34" t="s">
        <v>599</v>
      </c>
      <c r="C34">
        <v>-8797920</v>
      </c>
      <c r="D34">
        <v>853789</v>
      </c>
      <c r="E34">
        <v>1251567</v>
      </c>
      <c r="F34">
        <v>3879548</v>
      </c>
      <c r="G34">
        <v>7724029</v>
      </c>
      <c r="H34">
        <v>6355477</v>
      </c>
    </row>
    <row r="35" spans="1:8" x14ac:dyDescent="0.25">
      <c r="A35" t="s">
        <v>1498</v>
      </c>
      <c r="B35" t="s">
        <v>600</v>
      </c>
      <c r="C35">
        <v>363183</v>
      </c>
      <c r="D35">
        <v>203107</v>
      </c>
      <c r="E35">
        <v>454977</v>
      </c>
      <c r="F35">
        <v>1168933</v>
      </c>
      <c r="G35">
        <v>1471208</v>
      </c>
      <c r="H35">
        <v>1998039</v>
      </c>
    </row>
    <row r="36" spans="1:8" x14ac:dyDescent="0.25">
      <c r="A36" t="s">
        <v>2590</v>
      </c>
      <c r="B36" t="s">
        <v>594</v>
      </c>
    </row>
    <row r="37" spans="1:8" x14ac:dyDescent="0.25">
      <c r="A37" t="s">
        <v>1499</v>
      </c>
      <c r="B37" t="s">
        <v>1349</v>
      </c>
      <c r="C37">
        <v>-9161103</v>
      </c>
      <c r="D37">
        <v>866108</v>
      </c>
      <c r="E37">
        <v>881913</v>
      </c>
      <c r="F37">
        <v>2727813</v>
      </c>
      <c r="G37">
        <v>6247687</v>
      </c>
      <c r="H37">
        <v>4367673</v>
      </c>
    </row>
    <row r="38" spans="1:8" x14ac:dyDescent="0.25">
      <c r="A38" t="s">
        <v>1487</v>
      </c>
      <c r="B38" t="s">
        <v>1055</v>
      </c>
      <c r="C38">
        <v>0</v>
      </c>
      <c r="D38">
        <v>-215426</v>
      </c>
      <c r="E38">
        <v>-85323</v>
      </c>
      <c r="F38">
        <v>-17198</v>
      </c>
      <c r="G38">
        <v>5134</v>
      </c>
      <c r="H38">
        <v>-10235</v>
      </c>
    </row>
    <row r="39" spans="1:8" x14ac:dyDescent="0.25">
      <c r="A39" t="s">
        <v>1488</v>
      </c>
      <c r="B39" t="s">
        <v>1056</v>
      </c>
      <c r="C39">
        <v>-9161103</v>
      </c>
      <c r="D39">
        <v>650682</v>
      </c>
      <c r="E39">
        <v>796590</v>
      </c>
      <c r="F39">
        <v>2710615</v>
      </c>
      <c r="G39">
        <v>6252821</v>
      </c>
      <c r="H39">
        <v>4357438</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A0D62-D091-4ACA-8540-632473D6A801}">
  <dimension ref="A1:F51"/>
  <sheetViews>
    <sheetView workbookViewId="0">
      <selection sqref="A1:F34"/>
    </sheetView>
  </sheetViews>
  <sheetFormatPr defaultRowHeight="15" x14ac:dyDescent="0.25"/>
  <cols>
    <col min="1" max="1" width="51.7109375" customWidth="1"/>
    <col min="2" max="2" width="81.140625" bestFit="1" customWidth="1"/>
    <col min="3" max="3" width="9.5703125" bestFit="1" customWidth="1"/>
    <col min="4" max="4" width="9" bestFit="1" customWidth="1"/>
    <col min="5" max="5" width="9.7109375" bestFit="1" customWidth="1"/>
    <col min="6" max="6" width="10" bestFit="1" customWidth="1"/>
  </cols>
  <sheetData>
    <row r="1" spans="1:6" x14ac:dyDescent="0.25">
      <c r="A1" t="s">
        <v>1486</v>
      </c>
      <c r="B1" t="s">
        <v>2583</v>
      </c>
      <c r="C1" t="s">
        <v>2599</v>
      </c>
      <c r="D1" t="s">
        <v>2598</v>
      </c>
      <c r="E1" t="s">
        <v>2597</v>
      </c>
      <c r="F1" t="s">
        <v>3315</v>
      </c>
    </row>
    <row r="2" spans="1:6" x14ac:dyDescent="0.25">
      <c r="A2" t="s">
        <v>1571</v>
      </c>
      <c r="B2" t="s">
        <v>578</v>
      </c>
      <c r="C2">
        <v>34478939</v>
      </c>
      <c r="D2">
        <v>52116860</v>
      </c>
      <c r="E2">
        <v>70353320</v>
      </c>
      <c r="F2">
        <v>119578613</v>
      </c>
    </row>
    <row r="3" spans="1:6" x14ac:dyDescent="0.25">
      <c r="A3" t="s">
        <v>4</v>
      </c>
      <c r="B3" t="s">
        <v>1310</v>
      </c>
      <c r="C3">
        <v>3466338</v>
      </c>
      <c r="D3">
        <v>9372191</v>
      </c>
      <c r="E3">
        <v>20637092</v>
      </c>
      <c r="F3">
        <v>35677313</v>
      </c>
    </row>
    <row r="4" spans="1:6" x14ac:dyDescent="0.25">
      <c r="A4" t="s">
        <v>5</v>
      </c>
      <c r="B4" t="s">
        <v>1312</v>
      </c>
      <c r="C4">
        <v>19636002</v>
      </c>
      <c r="D4">
        <v>31379804</v>
      </c>
      <c r="E4">
        <v>40192349</v>
      </c>
      <c r="F4">
        <v>61806668</v>
      </c>
    </row>
    <row r="5" spans="1:6" x14ac:dyDescent="0.25">
      <c r="A5" t="s">
        <v>14</v>
      </c>
      <c r="B5" t="s">
        <v>1315</v>
      </c>
      <c r="C5">
        <v>11376599</v>
      </c>
      <c r="D5">
        <v>11364865</v>
      </c>
      <c r="E5">
        <v>9523879</v>
      </c>
      <c r="F5">
        <v>22094632</v>
      </c>
    </row>
    <row r="6" spans="1:6" x14ac:dyDescent="0.25">
      <c r="A6" t="s">
        <v>1572</v>
      </c>
      <c r="B6" t="s">
        <v>583</v>
      </c>
      <c r="C6">
        <v>20186165</v>
      </c>
      <c r="D6">
        <v>37110655</v>
      </c>
      <c r="E6">
        <v>39533603</v>
      </c>
      <c r="F6">
        <v>75149106</v>
      </c>
    </row>
    <row r="7" spans="1:6" x14ac:dyDescent="0.25">
      <c r="A7" t="s">
        <v>6</v>
      </c>
      <c r="B7" t="s">
        <v>1320</v>
      </c>
      <c r="C7">
        <v>1002505</v>
      </c>
      <c r="D7">
        <v>2519571</v>
      </c>
      <c r="E7">
        <v>3072135</v>
      </c>
      <c r="F7">
        <v>15254448</v>
      </c>
    </row>
    <row r="8" spans="1:6" x14ac:dyDescent="0.25">
      <c r="A8" t="s">
        <v>7</v>
      </c>
      <c r="B8" t="s">
        <v>1322</v>
      </c>
      <c r="C8">
        <v>19165164</v>
      </c>
      <c r="D8">
        <v>34590034</v>
      </c>
      <c r="E8">
        <v>36453818</v>
      </c>
      <c r="F8">
        <v>59891245</v>
      </c>
    </row>
    <row r="9" spans="1:6" x14ac:dyDescent="0.25">
      <c r="A9" t="s">
        <v>9</v>
      </c>
      <c r="B9" t="s">
        <v>1324</v>
      </c>
      <c r="C9">
        <v>18496</v>
      </c>
      <c r="D9">
        <v>1050</v>
      </c>
      <c r="E9">
        <v>7650</v>
      </c>
      <c r="F9">
        <v>3413</v>
      </c>
    </row>
    <row r="10" spans="1:6" x14ac:dyDescent="0.25">
      <c r="A10" t="s">
        <v>1539</v>
      </c>
      <c r="B10" t="s">
        <v>587</v>
      </c>
      <c r="C10">
        <v>14292774</v>
      </c>
      <c r="D10">
        <v>15006205</v>
      </c>
      <c r="E10">
        <v>30819717</v>
      </c>
      <c r="F10">
        <v>44429507</v>
      </c>
    </row>
    <row r="11" spans="1:6" x14ac:dyDescent="0.25">
      <c r="A11" t="s">
        <v>1540</v>
      </c>
      <c r="B11" t="s">
        <v>1327</v>
      </c>
      <c r="C11">
        <v>-417331</v>
      </c>
      <c r="D11">
        <v>-2156923</v>
      </c>
      <c r="E11">
        <v>-9125230</v>
      </c>
      <c r="F11">
        <v>-2780409</v>
      </c>
    </row>
    <row r="12" spans="1:6" x14ac:dyDescent="0.25">
      <c r="A12" t="s">
        <v>480</v>
      </c>
      <c r="B12" t="s">
        <v>1329</v>
      </c>
      <c r="C12">
        <v>-325360</v>
      </c>
      <c r="D12">
        <v>-367969</v>
      </c>
      <c r="E12">
        <v>-1045029</v>
      </c>
      <c r="F12">
        <v>-610699</v>
      </c>
    </row>
    <row r="13" spans="1:6" x14ac:dyDescent="0.25">
      <c r="A13" t="s">
        <v>1541</v>
      </c>
      <c r="B13" t="s">
        <v>588</v>
      </c>
      <c r="C13">
        <v>13875443</v>
      </c>
      <c r="D13">
        <v>12849282</v>
      </c>
      <c r="E13">
        <v>21694487</v>
      </c>
      <c r="F13">
        <v>41649098</v>
      </c>
    </row>
    <row r="14" spans="1:6" x14ac:dyDescent="0.25">
      <c r="A14" t="s">
        <v>1542</v>
      </c>
      <c r="B14" t="s">
        <v>589</v>
      </c>
      <c r="C14">
        <v>6595963</v>
      </c>
      <c r="D14">
        <v>1143110</v>
      </c>
      <c r="E14">
        <v>-3475928</v>
      </c>
      <c r="F14">
        <v>-2846032</v>
      </c>
    </row>
    <row r="15" spans="1:6" x14ac:dyDescent="0.25">
      <c r="A15" t="s">
        <v>1543</v>
      </c>
      <c r="B15" t="s">
        <v>1052</v>
      </c>
      <c r="E15">
        <v>-157340</v>
      </c>
      <c r="F15">
        <v>-801779</v>
      </c>
    </row>
    <row r="16" spans="1:6" x14ac:dyDescent="0.25">
      <c r="A16" t="s">
        <v>1226</v>
      </c>
      <c r="B16" t="s">
        <v>1220</v>
      </c>
      <c r="C16">
        <v>-734489</v>
      </c>
      <c r="D16">
        <v>-158605</v>
      </c>
      <c r="E16">
        <v>-745630</v>
      </c>
      <c r="F16">
        <v>-1802559</v>
      </c>
    </row>
    <row r="17" spans="1:6" x14ac:dyDescent="0.25">
      <c r="A17" t="s">
        <v>1544</v>
      </c>
      <c r="B17" t="s">
        <v>1221</v>
      </c>
      <c r="C17">
        <v>17404</v>
      </c>
      <c r="D17">
        <v>74361</v>
      </c>
      <c r="E17">
        <v>-761082</v>
      </c>
      <c r="F17">
        <v>3548645</v>
      </c>
    </row>
    <row r="18" spans="1:6" x14ac:dyDescent="0.25">
      <c r="A18" t="s">
        <v>1545</v>
      </c>
      <c r="B18" t="s">
        <v>590</v>
      </c>
    </row>
    <row r="19" spans="1:6" x14ac:dyDescent="0.25">
      <c r="A19" t="s">
        <v>1546</v>
      </c>
      <c r="B19" t="s">
        <v>591</v>
      </c>
    </row>
    <row r="20" spans="1:6" x14ac:dyDescent="0.25">
      <c r="A20" t="s">
        <v>1547</v>
      </c>
      <c r="B20" t="s">
        <v>1053</v>
      </c>
      <c r="C20">
        <v>-40143</v>
      </c>
      <c r="D20">
        <v>-225665</v>
      </c>
      <c r="E20">
        <v>609291</v>
      </c>
      <c r="F20">
        <v>1146075</v>
      </c>
    </row>
    <row r="21" spans="1:6" x14ac:dyDescent="0.25">
      <c r="A21" t="s">
        <v>1548</v>
      </c>
      <c r="B21" t="s">
        <v>592</v>
      </c>
    </row>
    <row r="22" spans="1:6" x14ac:dyDescent="0.25">
      <c r="A22" t="s">
        <v>1549</v>
      </c>
      <c r="B22" t="s">
        <v>372</v>
      </c>
      <c r="C22">
        <v>8833704</v>
      </c>
      <c r="D22">
        <v>9326419</v>
      </c>
      <c r="E22">
        <v>11177948</v>
      </c>
      <c r="F22">
        <v>11764283</v>
      </c>
    </row>
    <row r="23" spans="1:6" x14ac:dyDescent="0.25">
      <c r="A23" t="s">
        <v>1490</v>
      </c>
      <c r="B23" t="s">
        <v>373</v>
      </c>
      <c r="C23">
        <v>2293031</v>
      </c>
      <c r="D23">
        <v>2430764</v>
      </c>
      <c r="E23">
        <v>3423457</v>
      </c>
      <c r="F23">
        <v>4550902</v>
      </c>
    </row>
    <row r="24" spans="1:6" x14ac:dyDescent="0.25">
      <c r="A24" t="s">
        <v>1491</v>
      </c>
      <c r="B24" t="s">
        <v>1489</v>
      </c>
      <c r="C24">
        <v>-3547</v>
      </c>
      <c r="D24">
        <v>-450470</v>
      </c>
      <c r="E24">
        <v>-316889</v>
      </c>
      <c r="F24">
        <v>-756964</v>
      </c>
    </row>
    <row r="25" spans="1:6" x14ac:dyDescent="0.25">
      <c r="A25" t="s">
        <v>1492</v>
      </c>
      <c r="B25" t="s">
        <v>1344</v>
      </c>
      <c r="C25">
        <v>-129113</v>
      </c>
      <c r="D25">
        <v>152689</v>
      </c>
      <c r="E25">
        <v>-3761576</v>
      </c>
      <c r="F25">
        <v>-121754</v>
      </c>
    </row>
    <row r="26" spans="1:6" x14ac:dyDescent="0.25">
      <c r="A26" t="s">
        <v>1493</v>
      </c>
      <c r="B26" t="s">
        <v>595</v>
      </c>
      <c r="C26">
        <v>-575651</v>
      </c>
      <c r="D26">
        <v>-5820426</v>
      </c>
      <c r="E26">
        <v>-17531841</v>
      </c>
      <c r="F26">
        <v>-9954768</v>
      </c>
    </row>
    <row r="27" spans="1:6" x14ac:dyDescent="0.25">
      <c r="A27" t="s">
        <v>1494</v>
      </c>
      <c r="B27" t="s">
        <v>596</v>
      </c>
      <c r="C27">
        <v>5741051</v>
      </c>
      <c r="D27">
        <v>7143324</v>
      </c>
      <c r="E27">
        <v>10015694</v>
      </c>
      <c r="F27">
        <v>877988</v>
      </c>
    </row>
    <row r="28" spans="1:6" x14ac:dyDescent="0.25">
      <c r="A28" t="s">
        <v>1495</v>
      </c>
      <c r="B28" t="s">
        <v>597</v>
      </c>
      <c r="C28">
        <v>28996613</v>
      </c>
      <c r="D28">
        <v>30578406</v>
      </c>
      <c r="E28">
        <v>36237410</v>
      </c>
      <c r="F28">
        <v>48060940</v>
      </c>
    </row>
    <row r="29" spans="1:6" x14ac:dyDescent="0.25">
      <c r="A29" t="s">
        <v>1496</v>
      </c>
      <c r="B29" t="s">
        <v>598</v>
      </c>
      <c r="C29">
        <v>21594560</v>
      </c>
      <c r="D29">
        <v>28587486</v>
      </c>
      <c r="E29">
        <v>26956296</v>
      </c>
      <c r="F29">
        <v>28723624</v>
      </c>
    </row>
    <row r="30" spans="1:6" x14ac:dyDescent="0.25">
      <c r="A30" t="s">
        <v>1497</v>
      </c>
      <c r="B30" t="s">
        <v>599</v>
      </c>
      <c r="C30">
        <v>7402053</v>
      </c>
      <c r="D30">
        <v>1990920</v>
      </c>
      <c r="E30">
        <v>9281114</v>
      </c>
      <c r="F30">
        <v>19337316</v>
      </c>
    </row>
    <row r="31" spans="1:6" x14ac:dyDescent="0.25">
      <c r="A31" t="s">
        <v>1498</v>
      </c>
      <c r="B31" t="s">
        <v>2605</v>
      </c>
      <c r="C31">
        <v>1098274</v>
      </c>
      <c r="D31">
        <v>433772</v>
      </c>
      <c r="E31">
        <v>2870756</v>
      </c>
      <c r="F31">
        <v>3935762</v>
      </c>
    </row>
    <row r="32" spans="1:6" x14ac:dyDescent="0.25">
      <c r="A32" t="s">
        <v>1499</v>
      </c>
      <c r="B32" t="s">
        <v>1349</v>
      </c>
      <c r="C32">
        <v>6123774</v>
      </c>
      <c r="D32">
        <v>1456653</v>
      </c>
      <c r="E32">
        <v>6310896</v>
      </c>
      <c r="F32">
        <v>15315232</v>
      </c>
    </row>
    <row r="33" spans="1:6" x14ac:dyDescent="0.25">
      <c r="A33" t="s">
        <v>1487</v>
      </c>
      <c r="B33" t="s">
        <v>1055</v>
      </c>
      <c r="C33">
        <v>180005</v>
      </c>
      <c r="D33">
        <v>100495</v>
      </c>
      <c r="E33">
        <v>99462</v>
      </c>
      <c r="F33">
        <v>86322</v>
      </c>
    </row>
    <row r="34" spans="1:6" x14ac:dyDescent="0.25">
      <c r="A34" t="s">
        <v>1488</v>
      </c>
      <c r="B34" t="s">
        <v>1056</v>
      </c>
      <c r="C34">
        <v>6303779</v>
      </c>
      <c r="D34">
        <v>1557148</v>
      </c>
      <c r="E34">
        <v>6410358</v>
      </c>
      <c r="F34">
        <v>15401554</v>
      </c>
    </row>
    <row r="50" spans="1:6" ht="15.75" thickBot="1" x14ac:dyDescent="0.3">
      <c r="A50" t="str">
        <f>Ф_807_2023_2021[[#Headers],[Номер строки]]</f>
        <v>Номер строки</v>
      </c>
      <c r="B50" t="str">
        <f>Ф_807_2023_2021[[#Headers],[Наименование статьи]]</f>
        <v>Наименование статьи</v>
      </c>
      <c r="C50" t="str">
        <f>Ф_807_2023_2021[[#Headers],[2021]]</f>
        <v>2021</v>
      </c>
      <c r="D50" t="str">
        <f>Ф_807_2023_2021[[#Headers],[2022]]</f>
        <v>2022</v>
      </c>
      <c r="E50" t="str">
        <f>Ф_807_2023_2021[[#Headers],[2023]]</f>
        <v>2023</v>
      </c>
      <c r="F50" t="str">
        <f>Ф_807_2023_2021[[#Headers],[2024]]</f>
        <v>2024</v>
      </c>
    </row>
    <row r="51" spans="1:6" ht="15.75" thickBot="1" x14ac:dyDescent="0.3">
      <c r="A51" s="2014" t="s">
        <v>3433</v>
      </c>
      <c r="B51" s="2014"/>
      <c r="C51" s="2015">
        <f>'Ф_807_2023-2021'!C34-('Ф_807_2023-2021'!C13+'Ф_807_2023-2021'!C14+'Ф_807_2023-2021'!C15+'Ф_807_2023-2021'!C16+'Ф_807_2023-2021'!C17+'Ф_807_2023-2021'!C18+'Ф_807_2023-2021'!C19+'Ф_807_2023-2021'!C20+'Ф_807_2023-2021'!C21+'Ф_807_2023-2021'!C22-'Ф_807_2023-2021'!C23+'Ф_807_2023-2021'!C24+'Ф_807_2023-2021'!C25+'Ф_807_2023-2021'!C26+'Ф_807_2023-2021'!C27-'Ф_807_2023-2021'!C29-'Ф_807_2023-2021'!C31)</f>
        <v>-2290978</v>
      </c>
      <c r="D51" s="2015">
        <f>'Ф_807_2023-2021'!D34-('Ф_807_2023-2021'!D13+'Ф_807_2023-2021'!D14+'Ф_807_2023-2021'!D15+'Ф_807_2023-2021'!D16+'Ф_807_2023-2021'!D17+'Ф_807_2023-2021'!D18+'Ф_807_2023-2021'!D19+'Ф_807_2023-2021'!D20+'Ф_807_2023-2021'!D21+'Ф_807_2023-2021'!D22-'Ф_807_2023-2021'!D23+'Ф_807_2023-2021'!D24+'Ф_807_2023-2021'!D25+'Ф_807_2023-2021'!D26+'Ф_807_2023-2021'!D27-'Ф_807_2023-2021'!D29-'Ф_807_2023-2021'!D31)</f>
        <v>8975151</v>
      </c>
      <c r="E51" s="2015">
        <f>'Ф_807_2023-2021'!E34-('Ф_807_2023-2021'!E13+'Ф_807_2023-2021'!E14+'Ф_807_2023-2021'!E15+'Ф_807_2023-2021'!E16+'Ф_807_2023-2021'!E17+'Ф_807_2023-2021'!E18+'Ф_807_2023-2021'!E19+'Ф_807_2023-2021'!E20+'Ф_807_2023-2021'!E21+'Ф_807_2023-2021'!E22-'Ф_807_2023-2021'!E23+'Ф_807_2023-2021'!E24+'Ф_807_2023-2021'!E25+'Ф_807_2023-2021'!E26+'Ф_807_2023-2021'!E27-'Ф_807_2023-2021'!E29-'Ф_807_2023-2021'!E31)</f>
        <v>22913733</v>
      </c>
      <c r="F51" s="2015">
        <f>'Ф_807_2023-2021'!F34-('Ф_807_2023-2021'!F13+'Ф_807_2023-2021'!F14+'Ф_807_2023-2021'!F15+'Ф_807_2023-2021'!F16+'Ф_807_2023-2021'!F17+'Ф_807_2023-2021'!F18+'Ф_807_2023-2021'!F19+'Ф_807_2023-2021'!F20+'Ф_807_2023-2021'!F21+'Ф_807_2023-2021'!F22-'Ф_807_2023-2021'!F23+'Ф_807_2023-2021'!F24+'Ф_807_2023-2021'!F25+'Ф_807_2023-2021'!F26+'Ф_807_2023-2021'!F27-'Ф_807_2023-2021'!F29-'Ф_807_2023-2021'!F31)</f>
        <v>9909609</v>
      </c>
    </row>
  </sheetData>
  <phoneticPr fontId="134" type="noConversion"/>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02848-0DFB-48A3-BBEA-3AC62026037B}">
  <dimension ref="A1:F65"/>
  <sheetViews>
    <sheetView topLeftCell="A33" workbookViewId="0">
      <selection activeCell="A63" sqref="A63:XFD63"/>
    </sheetView>
  </sheetViews>
  <sheetFormatPr defaultRowHeight="15" x14ac:dyDescent="0.25"/>
  <cols>
    <col min="1" max="1" width="33.85546875" bestFit="1" customWidth="1"/>
    <col min="2" max="2" width="81.140625" bestFit="1" customWidth="1"/>
    <col min="3" max="6" width="10.85546875" bestFit="1" customWidth="1"/>
  </cols>
  <sheetData>
    <row r="1" spans="1:6" x14ac:dyDescent="0.25">
      <c r="A1" t="s">
        <v>1486</v>
      </c>
      <c r="B1" t="s">
        <v>2583</v>
      </c>
      <c r="C1" s="1308" t="s">
        <v>2613</v>
      </c>
      <c r="D1" s="1308" t="s">
        <v>2612</v>
      </c>
      <c r="E1" s="1308" t="s">
        <v>2611</v>
      </c>
      <c r="F1" s="1308" t="s">
        <v>2610</v>
      </c>
    </row>
    <row r="2" spans="1:6" x14ac:dyDescent="0.25">
      <c r="A2" t="s">
        <v>2584</v>
      </c>
      <c r="B2" t="s">
        <v>2584</v>
      </c>
    </row>
    <row r="3" spans="1:6" x14ac:dyDescent="0.25">
      <c r="A3" t="s">
        <v>1571</v>
      </c>
      <c r="B3" t="s">
        <v>561</v>
      </c>
      <c r="C3" s="1309">
        <v>9515293</v>
      </c>
      <c r="D3" s="1309">
        <v>10866168</v>
      </c>
      <c r="E3" s="1309">
        <v>10371248</v>
      </c>
      <c r="F3" s="1309">
        <v>9651096</v>
      </c>
    </row>
    <row r="4" spans="1:6" x14ac:dyDescent="0.25">
      <c r="A4" t="s">
        <v>1572</v>
      </c>
      <c r="B4" t="s">
        <v>2614</v>
      </c>
      <c r="C4" s="1309">
        <v>12223752</v>
      </c>
      <c r="D4" s="1309">
        <v>12836368</v>
      </c>
      <c r="E4" s="1309">
        <v>11954847</v>
      </c>
      <c r="F4" s="1309">
        <v>12086758</v>
      </c>
    </row>
    <row r="5" spans="1:6" x14ac:dyDescent="0.25">
      <c r="A5" t="s">
        <v>6</v>
      </c>
      <c r="B5" t="s">
        <v>562</v>
      </c>
      <c r="C5" s="1309">
        <v>3675782</v>
      </c>
      <c r="D5" s="1309">
        <v>4266434</v>
      </c>
      <c r="E5" s="1309">
        <v>3836490</v>
      </c>
      <c r="F5" s="1309">
        <v>2848617</v>
      </c>
    </row>
    <row r="6" spans="1:6" x14ac:dyDescent="0.25">
      <c r="A6" t="s">
        <v>1539</v>
      </c>
      <c r="B6" t="s">
        <v>2615</v>
      </c>
      <c r="C6" s="1309">
        <v>7422375</v>
      </c>
      <c r="D6" s="1309">
        <v>3625500</v>
      </c>
      <c r="E6" s="1309">
        <v>2812293</v>
      </c>
      <c r="F6" s="1309">
        <v>2884465</v>
      </c>
    </row>
    <row r="7" spans="1:6" x14ac:dyDescent="0.25">
      <c r="A7" t="s">
        <v>1540</v>
      </c>
      <c r="B7" t="s">
        <v>3</v>
      </c>
      <c r="C7" s="1309">
        <v>1356097</v>
      </c>
      <c r="D7" s="1309">
        <v>774422</v>
      </c>
      <c r="E7" s="1309">
        <v>1061566</v>
      </c>
      <c r="F7" s="1309">
        <v>151584</v>
      </c>
    </row>
    <row r="8" spans="1:6" x14ac:dyDescent="0.25">
      <c r="A8" t="s">
        <v>1541</v>
      </c>
      <c r="B8" t="s">
        <v>2616</v>
      </c>
      <c r="C8" s="1309">
        <v>270529573</v>
      </c>
      <c r="D8" s="1309">
        <v>246715767</v>
      </c>
      <c r="E8" s="1309">
        <v>224707711</v>
      </c>
      <c r="F8" s="1309">
        <v>315918432</v>
      </c>
    </row>
    <row r="9" spans="1:6" x14ac:dyDescent="0.25">
      <c r="A9" t="s">
        <v>1542</v>
      </c>
      <c r="B9" t="s">
        <v>565</v>
      </c>
      <c r="C9" s="1309">
        <v>70845144</v>
      </c>
      <c r="D9" s="1309">
        <v>112519879</v>
      </c>
      <c r="E9" s="1309">
        <v>146559139</v>
      </c>
      <c r="F9" s="1309">
        <v>88072946</v>
      </c>
    </row>
    <row r="10" spans="1:6" x14ac:dyDescent="0.25">
      <c r="A10" t="s">
        <v>29</v>
      </c>
      <c r="B10" t="s">
        <v>2587</v>
      </c>
      <c r="C10" s="1309">
        <v>11418235</v>
      </c>
      <c r="D10" s="1309">
        <v>1609029</v>
      </c>
      <c r="E10" s="1309">
        <v>1614782</v>
      </c>
      <c r="F10" s="1309">
        <v>1749596</v>
      </c>
    </row>
    <row r="11" spans="1:6" x14ac:dyDescent="0.25">
      <c r="A11" t="s">
        <v>1543</v>
      </c>
      <c r="B11" t="s">
        <v>2617</v>
      </c>
      <c r="C11" s="1309">
        <v>21104298</v>
      </c>
      <c r="D11" s="1309">
        <v>19041393</v>
      </c>
      <c r="E11" s="1309">
        <v>9250660</v>
      </c>
      <c r="F11" s="1309">
        <v>37930296</v>
      </c>
    </row>
    <row r="12" spans="1:6" x14ac:dyDescent="0.25">
      <c r="A12" t="s">
        <v>1226</v>
      </c>
      <c r="B12" t="s">
        <v>566</v>
      </c>
      <c r="C12" s="1309">
        <v>214</v>
      </c>
      <c r="D12" s="1309">
        <v>0</v>
      </c>
      <c r="E12" s="1309"/>
      <c r="F12" s="1309">
        <v>920</v>
      </c>
    </row>
    <row r="13" spans="1:6" x14ac:dyDescent="0.25">
      <c r="A13" t="s">
        <v>1544</v>
      </c>
      <c r="B13" t="s">
        <v>567</v>
      </c>
      <c r="C13" s="1309">
        <v>591545</v>
      </c>
      <c r="D13" s="1309">
        <v>0</v>
      </c>
      <c r="E13" s="1309"/>
      <c r="F13" s="1309"/>
    </row>
    <row r="14" spans="1:6" x14ac:dyDescent="0.25">
      <c r="A14" t="s">
        <v>1545</v>
      </c>
      <c r="B14" t="s">
        <v>2618</v>
      </c>
      <c r="C14" s="1309">
        <v>4712070</v>
      </c>
      <c r="D14" s="1309">
        <v>3712388</v>
      </c>
      <c r="E14" s="1309">
        <v>3890826</v>
      </c>
      <c r="F14" s="1309">
        <v>4381648</v>
      </c>
    </row>
    <row r="15" spans="1:6" x14ac:dyDescent="0.25">
      <c r="A15" t="s">
        <v>1546</v>
      </c>
      <c r="B15" t="s">
        <v>1049</v>
      </c>
      <c r="C15" s="1309"/>
      <c r="D15" s="1309">
        <v>536707</v>
      </c>
      <c r="E15" s="1309">
        <v>357580</v>
      </c>
      <c r="F15" s="1309">
        <v>1309806</v>
      </c>
    </row>
    <row r="16" spans="1:6" x14ac:dyDescent="0.25">
      <c r="A16" t="s">
        <v>1547</v>
      </c>
      <c r="B16" t="s">
        <v>346</v>
      </c>
      <c r="C16" s="1309">
        <v>74372688</v>
      </c>
      <c r="D16" s="1309">
        <v>31719394</v>
      </c>
      <c r="E16" s="1309">
        <v>25418511</v>
      </c>
      <c r="F16" s="1309">
        <v>25939543</v>
      </c>
    </row>
    <row r="17" spans="1:6" x14ac:dyDescent="0.25">
      <c r="A17" t="s">
        <v>1548</v>
      </c>
      <c r="B17" t="s">
        <v>1503</v>
      </c>
      <c r="C17" s="1309">
        <v>472673049</v>
      </c>
      <c r="D17" s="1309">
        <v>442347986</v>
      </c>
      <c r="E17" s="1309">
        <v>436384381</v>
      </c>
      <c r="F17" s="1309">
        <v>498327494</v>
      </c>
    </row>
    <row r="18" spans="1:6" x14ac:dyDescent="0.25">
      <c r="A18" t="s">
        <v>2588</v>
      </c>
      <c r="B18" t="s">
        <v>2588</v>
      </c>
      <c r="C18" s="1309"/>
      <c r="D18" s="1309"/>
      <c r="E18" s="1309"/>
      <c r="F18" s="1309"/>
    </row>
    <row r="19" spans="1:6" x14ac:dyDescent="0.25">
      <c r="A19" t="s">
        <v>1549</v>
      </c>
      <c r="B19" t="s">
        <v>2589</v>
      </c>
      <c r="C19" s="1309">
        <v>5540000</v>
      </c>
      <c r="D19" s="1309">
        <v>0</v>
      </c>
      <c r="E19" s="1309"/>
      <c r="F19" s="1309">
        <v>742061</v>
      </c>
    </row>
    <row r="20" spans="1:6" x14ac:dyDescent="0.25">
      <c r="A20" t="s">
        <v>1490</v>
      </c>
      <c r="B20" t="s">
        <v>2619</v>
      </c>
      <c r="C20" s="1309">
        <v>24872626</v>
      </c>
      <c r="D20" s="1309">
        <v>9090401</v>
      </c>
      <c r="E20" s="1309">
        <v>12780993</v>
      </c>
      <c r="F20" s="1309">
        <v>1340666</v>
      </c>
    </row>
    <row r="21" spans="1:6" x14ac:dyDescent="0.25">
      <c r="A21" t="s">
        <v>1491</v>
      </c>
      <c r="B21" t="s">
        <v>568</v>
      </c>
      <c r="C21" s="1309">
        <v>318982420</v>
      </c>
      <c r="D21" s="1309">
        <v>321096467</v>
      </c>
      <c r="E21" s="1309">
        <v>346024092</v>
      </c>
      <c r="F21" s="1309">
        <v>402943978</v>
      </c>
    </row>
    <row r="22" spans="1:6" x14ac:dyDescent="0.25">
      <c r="A22" t="s">
        <v>1508</v>
      </c>
      <c r="B22" t="s">
        <v>2620</v>
      </c>
      <c r="C22" s="1309">
        <v>99624268</v>
      </c>
      <c r="D22" s="1309">
        <v>107992639</v>
      </c>
      <c r="E22" s="1309">
        <v>110028833</v>
      </c>
      <c r="F22" s="1309">
        <v>114448382</v>
      </c>
    </row>
    <row r="23" spans="1:6" x14ac:dyDescent="0.25">
      <c r="A23" t="s">
        <v>1492</v>
      </c>
      <c r="B23" t="s">
        <v>21</v>
      </c>
      <c r="C23" s="1309">
        <v>2222826</v>
      </c>
      <c r="D23" s="1309">
        <v>0</v>
      </c>
      <c r="E23" s="1309">
        <v>70481</v>
      </c>
      <c r="F23" s="1309">
        <v>15833674</v>
      </c>
    </row>
    <row r="24" spans="1:6" x14ac:dyDescent="0.25">
      <c r="A24" t="s">
        <v>1493</v>
      </c>
      <c r="B24" t="s">
        <v>569</v>
      </c>
      <c r="C24" s="1309">
        <v>74379633</v>
      </c>
      <c r="D24" s="1309">
        <v>50154203</v>
      </c>
      <c r="E24" s="1309">
        <v>3455571</v>
      </c>
      <c r="F24" s="1309">
        <v>1275982</v>
      </c>
    </row>
    <row r="25" spans="1:6" x14ac:dyDescent="0.25">
      <c r="A25" t="s">
        <v>1494</v>
      </c>
      <c r="B25" t="s">
        <v>2621</v>
      </c>
      <c r="C25" s="1309">
        <v>0</v>
      </c>
      <c r="D25" s="1309">
        <v>0</v>
      </c>
      <c r="E25" s="1309"/>
      <c r="F25" s="1309"/>
    </row>
    <row r="26" spans="1:6" x14ac:dyDescent="0.25">
      <c r="A26" t="s">
        <v>1495</v>
      </c>
      <c r="B26" t="s">
        <v>2622</v>
      </c>
      <c r="C26" s="1309">
        <v>0</v>
      </c>
      <c r="D26" s="1309">
        <v>1067049</v>
      </c>
      <c r="E26" s="1309">
        <v>689686</v>
      </c>
      <c r="F26" s="1309">
        <v>489478</v>
      </c>
    </row>
    <row r="27" spans="1:6" x14ac:dyDescent="0.25">
      <c r="A27" t="s">
        <v>1496</v>
      </c>
      <c r="B27" t="s">
        <v>22</v>
      </c>
      <c r="C27" s="1309">
        <v>6495627</v>
      </c>
      <c r="D27" s="1309">
        <v>5481430</v>
      </c>
      <c r="E27" s="1309">
        <v>5494893</v>
      </c>
      <c r="F27" s="1309">
        <v>6729587</v>
      </c>
    </row>
    <row r="28" spans="1:6" x14ac:dyDescent="0.25">
      <c r="A28" t="s">
        <v>1497</v>
      </c>
      <c r="B28" t="s">
        <v>2623</v>
      </c>
      <c r="C28" s="1309">
        <v>1029083</v>
      </c>
      <c r="D28" s="1309">
        <v>5588092</v>
      </c>
      <c r="E28" s="1309">
        <v>3992419</v>
      </c>
      <c r="F28" s="1309">
        <v>3492658</v>
      </c>
    </row>
    <row r="29" spans="1:6" x14ac:dyDescent="0.25">
      <c r="A29" t="s">
        <v>1498</v>
      </c>
      <c r="B29" t="s">
        <v>1518</v>
      </c>
      <c r="C29" s="1309">
        <v>433522215</v>
      </c>
      <c r="D29" s="1309">
        <v>392477642</v>
      </c>
      <c r="E29" s="1309">
        <v>372508135</v>
      </c>
      <c r="F29" s="1309">
        <v>432848084</v>
      </c>
    </row>
    <row r="30" spans="1:6" x14ac:dyDescent="0.25">
      <c r="A30" t="s">
        <v>2591</v>
      </c>
      <c r="B30" t="s">
        <v>2591</v>
      </c>
      <c r="C30" s="1309"/>
      <c r="D30" s="1309"/>
      <c r="E30" s="1309"/>
      <c r="F30" s="1309"/>
    </row>
    <row r="31" spans="1:6" x14ac:dyDescent="0.25">
      <c r="A31" t="s">
        <v>1499</v>
      </c>
      <c r="B31" t="s">
        <v>571</v>
      </c>
      <c r="C31" s="1309">
        <v>38015396</v>
      </c>
      <c r="D31" s="1309">
        <v>38015396</v>
      </c>
      <c r="E31" s="1309">
        <v>48015396</v>
      </c>
      <c r="F31" s="1309">
        <v>48015396</v>
      </c>
    </row>
    <row r="32" spans="1:6" x14ac:dyDescent="0.25">
      <c r="A32" t="s">
        <v>1487</v>
      </c>
      <c r="B32" t="s">
        <v>572</v>
      </c>
      <c r="C32" s="1309">
        <v>0</v>
      </c>
      <c r="D32" s="1309">
        <v>0</v>
      </c>
      <c r="E32" s="1309"/>
      <c r="F32" s="1309"/>
    </row>
    <row r="33" spans="1:6" x14ac:dyDescent="0.25">
      <c r="A33" t="s">
        <v>1488</v>
      </c>
      <c r="B33" t="s">
        <v>32</v>
      </c>
      <c r="C33" s="1309">
        <v>0</v>
      </c>
      <c r="D33" s="1309">
        <v>0</v>
      </c>
      <c r="E33" s="1309"/>
      <c r="F33" s="1309"/>
    </row>
    <row r="34" spans="1:6" x14ac:dyDescent="0.25">
      <c r="A34" t="s">
        <v>1526</v>
      </c>
      <c r="B34" t="s">
        <v>33</v>
      </c>
      <c r="C34" s="1309">
        <v>2401789</v>
      </c>
      <c r="D34" s="1309">
        <v>0</v>
      </c>
      <c r="E34" s="1309">
        <v>32534</v>
      </c>
      <c r="F34" s="1309">
        <v>72364</v>
      </c>
    </row>
    <row r="35" spans="1:6" x14ac:dyDescent="0.25">
      <c r="A35" t="s">
        <v>1527</v>
      </c>
      <c r="B35" t="s">
        <v>573</v>
      </c>
      <c r="C35" s="1309">
        <v>-129118</v>
      </c>
      <c r="D35" s="1309">
        <v>6183303</v>
      </c>
      <c r="E35" s="1309">
        <v>9392614</v>
      </c>
      <c r="F35" s="1309">
        <v>8285386</v>
      </c>
    </row>
    <row r="36" spans="1:6" x14ac:dyDescent="0.25">
      <c r="A36" t="s">
        <v>1528</v>
      </c>
      <c r="B36" t="s">
        <v>2624</v>
      </c>
      <c r="C36" s="1309">
        <v>4475</v>
      </c>
      <c r="D36" s="1309">
        <v>4413</v>
      </c>
      <c r="E36" s="1309">
        <v>4386</v>
      </c>
      <c r="F36" s="1309">
        <v>4163</v>
      </c>
    </row>
    <row r="37" spans="1:6" x14ac:dyDescent="0.25">
      <c r="A37" t="s">
        <v>1531</v>
      </c>
      <c r="B37" t="s">
        <v>1050</v>
      </c>
      <c r="C37" s="1309">
        <v>0</v>
      </c>
      <c r="D37" s="1309">
        <v>0</v>
      </c>
      <c r="E37" s="1309"/>
      <c r="F37" s="1309"/>
    </row>
    <row r="38" spans="1:6" x14ac:dyDescent="0.25">
      <c r="A38" t="s">
        <v>1532</v>
      </c>
      <c r="B38" t="s">
        <v>1051</v>
      </c>
      <c r="C38" s="1309">
        <v>0</v>
      </c>
      <c r="D38" s="1309">
        <v>0</v>
      </c>
      <c r="E38" s="1309"/>
      <c r="F38" s="1309"/>
    </row>
    <row r="39" spans="1:6" x14ac:dyDescent="0.25">
      <c r="A39" t="s">
        <v>1533</v>
      </c>
      <c r="B39" t="s">
        <v>1060</v>
      </c>
      <c r="C39" s="1309">
        <v>0</v>
      </c>
      <c r="D39" s="1309">
        <v>4210837</v>
      </c>
      <c r="E39" s="1309">
        <v>4210837</v>
      </c>
      <c r="F39" s="1309">
        <v>4210837</v>
      </c>
    </row>
    <row r="40" spans="1:6" x14ac:dyDescent="0.25">
      <c r="A40" t="s">
        <v>1534</v>
      </c>
      <c r="B40" t="s">
        <v>1550</v>
      </c>
      <c r="C40" s="1309">
        <v>8019395</v>
      </c>
      <c r="D40" s="1309">
        <v>805713</v>
      </c>
      <c r="E40" s="1309">
        <v>1423889</v>
      </c>
      <c r="F40" s="1309">
        <v>2180649</v>
      </c>
    </row>
    <row r="41" spans="1:6" x14ac:dyDescent="0.25">
      <c r="A41" t="s">
        <v>1535</v>
      </c>
      <c r="B41" t="s">
        <v>1551</v>
      </c>
      <c r="C41" s="1309">
        <v>-9161103</v>
      </c>
      <c r="D41" s="1309">
        <v>650682</v>
      </c>
      <c r="E41" s="1309">
        <v>796590</v>
      </c>
      <c r="F41" s="1309">
        <v>2710615</v>
      </c>
    </row>
    <row r="42" spans="1:6" x14ac:dyDescent="0.25">
      <c r="A42" t="s">
        <v>1536</v>
      </c>
      <c r="B42" t="s">
        <v>2592</v>
      </c>
      <c r="C42" s="1309">
        <v>39150834</v>
      </c>
      <c r="D42" s="1309">
        <v>49870344</v>
      </c>
      <c r="E42" s="1309">
        <v>63876246</v>
      </c>
      <c r="F42" s="1309">
        <v>65479410</v>
      </c>
    </row>
    <row r="43" spans="1:6" x14ac:dyDescent="0.25">
      <c r="A43" t="s">
        <v>2593</v>
      </c>
      <c r="B43" t="s">
        <v>2593</v>
      </c>
      <c r="C43" s="1309"/>
      <c r="D43" s="1309"/>
      <c r="E43" s="1309"/>
      <c r="F43" s="1309"/>
    </row>
    <row r="44" spans="1:6" x14ac:dyDescent="0.25">
      <c r="A44" t="s">
        <v>1537</v>
      </c>
      <c r="B44" t="s">
        <v>2625</v>
      </c>
      <c r="C44" s="1309">
        <v>84356242</v>
      </c>
      <c r="D44" s="1309">
        <v>105551441</v>
      </c>
      <c r="E44" s="1309">
        <v>168695869</v>
      </c>
      <c r="F44" s="1309">
        <v>250882222</v>
      </c>
    </row>
    <row r="45" spans="1:6" x14ac:dyDescent="0.25">
      <c r="A45" t="s">
        <v>2594</v>
      </c>
      <c r="B45" t="s">
        <v>576</v>
      </c>
      <c r="C45" s="1309">
        <v>21026711</v>
      </c>
      <c r="D45" s="1309">
        <v>28053711</v>
      </c>
      <c r="E45" s="1309">
        <v>36693585</v>
      </c>
      <c r="F45" s="1309">
        <v>38193257</v>
      </c>
    </row>
    <row r="46" spans="1:6" x14ac:dyDescent="0.25">
      <c r="A46" t="s">
        <v>2595</v>
      </c>
      <c r="B46" t="s">
        <v>218</v>
      </c>
      <c r="C46" s="1309">
        <v>0</v>
      </c>
      <c r="D46" s="1309">
        <v>0</v>
      </c>
      <c r="E46" s="1309"/>
      <c r="F46" s="1309"/>
    </row>
    <row r="48" spans="1:6" x14ac:dyDescent="0.25">
      <c r="C48" s="1309"/>
    </row>
    <row r="49" spans="1:6" x14ac:dyDescent="0.25">
      <c r="C49" s="1309"/>
    </row>
    <row r="50" spans="1:6" x14ac:dyDescent="0.25">
      <c r="C50" s="1309"/>
    </row>
    <row r="51" spans="1:6" x14ac:dyDescent="0.25">
      <c r="C51" s="1309"/>
    </row>
    <row r="52" spans="1:6" x14ac:dyDescent="0.25">
      <c r="C52" s="1309"/>
    </row>
    <row r="53" spans="1:6" x14ac:dyDescent="0.25">
      <c r="C53" s="1309"/>
    </row>
    <row r="54" spans="1:6" x14ac:dyDescent="0.25">
      <c r="C54" s="1309"/>
    </row>
    <row r="55" spans="1:6" x14ac:dyDescent="0.25">
      <c r="C55" s="1309"/>
    </row>
    <row r="56" spans="1:6" x14ac:dyDescent="0.25">
      <c r="C56" s="1309"/>
    </row>
    <row r="57" spans="1:6" x14ac:dyDescent="0.25">
      <c r="C57" s="1309"/>
    </row>
    <row r="58" spans="1:6" x14ac:dyDescent="0.25">
      <c r="C58" s="1309"/>
    </row>
    <row r="59" spans="1:6" x14ac:dyDescent="0.25">
      <c r="C59" s="1309"/>
    </row>
    <row r="60" spans="1:6" x14ac:dyDescent="0.25">
      <c r="C60" s="1309"/>
    </row>
    <row r="61" spans="1:6" x14ac:dyDescent="0.25">
      <c r="C61" s="1309"/>
    </row>
    <row r="62" spans="1:6" ht="15.75" thickBot="1" x14ac:dyDescent="0.3">
      <c r="A62" s="18" t="str">
        <f>Ф_806_2018_2015[[#Headers],[Номер строки]]</f>
        <v>Номер строки</v>
      </c>
      <c r="B62" s="18" t="str">
        <f>Ф_806_2018_2015[[#Headers],[Наименование статьи]]</f>
        <v>Наименование статьи</v>
      </c>
      <c r="C62" s="18" t="str">
        <f>Ф_806_2018_2015[[#Headers],[2015]]</f>
        <v>2015</v>
      </c>
      <c r="D62" s="18" t="str">
        <f>Ф_806_2018_2015[[#Headers],[2016]]</f>
        <v>2016</v>
      </c>
      <c r="E62" s="18" t="str">
        <f>Ф_806_2018_2015[[#Headers],[2017]]</f>
        <v>2017</v>
      </c>
      <c r="F62" s="18" t="str">
        <f>Ф_806_2018_2015[[#Headers],[2018]]</f>
        <v>2018</v>
      </c>
    </row>
    <row r="63" spans="1:6" ht="15.75" thickBot="1" x14ac:dyDescent="0.3">
      <c r="A63" s="2014" t="s">
        <v>3430</v>
      </c>
      <c r="B63" s="2014"/>
      <c r="C63" s="2015">
        <f>'Ф_806_2018-2015'!C17-'Ф_806_2018-2015'!C3-'Ф_806_2018-2015'!C4-'Ф_806_2018-2015'!C6-'Ф_806_2018-2015'!C7-'Ф_806_2018-2015'!C8-'Ф_806_2018-2015'!C9-'Ф_806_2018-2015'!C11-'Ф_806_2018-2015'!C12-'Ф_806_2018-2015'!C13-'Ф_806_2018-2015'!C14-'Ф_806_2018-2015'!C15-'Ф_806_2018-2015'!C16</f>
        <v>0</v>
      </c>
      <c r="D63" s="2015">
        <f>'Ф_806_2018-2015'!D17-'Ф_806_2018-2015'!D3-'Ф_806_2018-2015'!D4-'Ф_806_2018-2015'!D6-'Ф_806_2018-2015'!D7-'Ф_806_2018-2015'!D8-'Ф_806_2018-2015'!D9-'Ф_806_2018-2015'!D11-'Ф_806_2018-2015'!D12-'Ф_806_2018-2015'!D13-'Ф_806_2018-2015'!D14-'Ф_806_2018-2015'!D15-'Ф_806_2018-2015'!D16</f>
        <v>0</v>
      </c>
      <c r="E63" s="2015">
        <f>'Ф_806_2018-2015'!E17-'Ф_806_2018-2015'!E3-'Ф_806_2018-2015'!E4-'Ф_806_2018-2015'!E6-'Ф_806_2018-2015'!E7-'Ф_806_2018-2015'!E8-'Ф_806_2018-2015'!E9-'Ф_806_2018-2015'!E11-'Ф_806_2018-2015'!E12-'Ф_806_2018-2015'!E13-'Ф_806_2018-2015'!E14-'Ф_806_2018-2015'!E15-'Ф_806_2018-2015'!E16</f>
        <v>0</v>
      </c>
      <c r="F63" s="2015">
        <f>'Ф_806_2018-2015'!F17-'Ф_806_2018-2015'!F3-'Ф_806_2018-2015'!F4-'Ф_806_2018-2015'!F6-'Ф_806_2018-2015'!F7-'Ф_806_2018-2015'!F8-'Ф_806_2018-2015'!F9-'Ф_806_2018-2015'!F11-'Ф_806_2018-2015'!F12-'Ф_806_2018-2015'!F13-'Ф_806_2018-2015'!F14-'Ф_806_2018-2015'!F15-'Ф_806_2018-2015'!F16</f>
        <v>0</v>
      </c>
    </row>
    <row r="64" spans="1:6" ht="15.75" thickBot="1" x14ac:dyDescent="0.3">
      <c r="A64" s="2014" t="s">
        <v>3431</v>
      </c>
      <c r="B64" s="2014"/>
      <c r="C64" s="2015">
        <f>'Ф_806_2018-2015'!C29-SUM('Ф_806_2018-2015'!C19:C28)+'Ф_806_2018-2015'!C22</f>
        <v>0</v>
      </c>
      <c r="D64" s="2015">
        <f>'Ф_806_2018-2015'!D29-SUM('Ф_806_2018-2015'!D19:D28)+'Ф_806_2018-2015'!D22</f>
        <v>0</v>
      </c>
      <c r="E64" s="2015">
        <f>'Ф_806_2018-2015'!E29-SUM('Ф_806_2018-2015'!E19:E28)+'Ф_806_2018-2015'!E22</f>
        <v>0</v>
      </c>
      <c r="F64" s="2015">
        <f>'Ф_806_2018-2015'!F29-SUM('Ф_806_2018-2015'!F19:F28)+'Ф_806_2018-2015'!F22</f>
        <v>0</v>
      </c>
    </row>
    <row r="65" spans="1:6" ht="15.75" thickBot="1" x14ac:dyDescent="0.3">
      <c r="A65" s="2014" t="s">
        <v>3432</v>
      </c>
      <c r="B65" s="2014"/>
      <c r="C65" s="2015">
        <f>C42-(C31-C32+SUM(C33:C41))</f>
        <v>0</v>
      </c>
      <c r="D65" s="2015">
        <f>'Ф_806_2018-2015'!D42-(D31-D32+SUM(D33:D41))</f>
        <v>0</v>
      </c>
      <c r="E65" s="2015">
        <f>'Ф_806_2018-2015'!E42-(E31-E32+SUM(E33:E41))</f>
        <v>0</v>
      </c>
      <c r="F65" s="2015">
        <f>'Ф_806_2018-2015'!F42-(F31-F32+SUM(F33:F41))</f>
        <v>0</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B0F5E-8A93-4D53-A562-54E927AA3BE9}">
  <dimension ref="A1:G65"/>
  <sheetViews>
    <sheetView topLeftCell="A33" workbookViewId="0">
      <selection activeCell="C65" sqref="C65:G65"/>
    </sheetView>
  </sheetViews>
  <sheetFormatPr defaultRowHeight="15" x14ac:dyDescent="0.25"/>
  <cols>
    <col min="1" max="1" width="33.85546875" bestFit="1" customWidth="1"/>
    <col min="2" max="2" width="81.140625" bestFit="1" customWidth="1"/>
    <col min="3" max="8" width="10.85546875" bestFit="1" customWidth="1"/>
    <col min="9" max="10" width="16.5703125" bestFit="1" customWidth="1"/>
  </cols>
  <sheetData>
    <row r="1" spans="1:7" x14ac:dyDescent="0.25">
      <c r="A1" t="s">
        <v>1486</v>
      </c>
      <c r="B1" t="s">
        <v>2583</v>
      </c>
      <c r="C1" s="1308" t="s">
        <v>2608</v>
      </c>
      <c r="D1" s="1308" t="s">
        <v>2609</v>
      </c>
      <c r="E1" s="1308" t="s">
        <v>2599</v>
      </c>
      <c r="F1" s="1308" t="s">
        <v>2598</v>
      </c>
      <c r="G1" s="1308" t="s">
        <v>2597</v>
      </c>
    </row>
    <row r="2" spans="1:7" x14ac:dyDescent="0.25">
      <c r="A2" t="s">
        <v>2584</v>
      </c>
      <c r="B2" t="s">
        <v>2584</v>
      </c>
      <c r="C2" s="1309"/>
      <c r="D2" s="1309"/>
      <c r="E2" s="1309"/>
      <c r="F2" s="1309"/>
      <c r="G2" s="1309"/>
    </row>
    <row r="3" spans="1:7" x14ac:dyDescent="0.25">
      <c r="A3" t="s">
        <v>1571</v>
      </c>
      <c r="B3" t="s">
        <v>561</v>
      </c>
      <c r="C3" s="1309">
        <v>8786054</v>
      </c>
      <c r="D3" s="1309">
        <v>14699337</v>
      </c>
      <c r="E3" s="1309">
        <v>13125643</v>
      </c>
      <c r="F3" s="1309">
        <v>12124725</v>
      </c>
      <c r="G3" s="1309">
        <v>29701298</v>
      </c>
    </row>
    <row r="4" spans="1:7" x14ac:dyDescent="0.25">
      <c r="A4" t="s">
        <v>1572</v>
      </c>
      <c r="B4" t="s">
        <v>2557</v>
      </c>
      <c r="C4" s="1309">
        <v>18630222</v>
      </c>
      <c r="D4" s="1309">
        <v>17545793</v>
      </c>
      <c r="E4" s="1309">
        <v>16963663</v>
      </c>
      <c r="F4" s="1309">
        <v>17255953</v>
      </c>
      <c r="G4" s="1309">
        <v>41660710</v>
      </c>
    </row>
    <row r="5" spans="1:7" x14ac:dyDescent="0.25">
      <c r="A5" t="s">
        <v>6</v>
      </c>
      <c r="B5" t="s">
        <v>562</v>
      </c>
      <c r="C5" s="1309">
        <v>3360185</v>
      </c>
      <c r="D5" s="1309">
        <v>3454685</v>
      </c>
      <c r="E5" s="1309">
        <v>3878169</v>
      </c>
      <c r="F5" s="1309">
        <v>927450</v>
      </c>
      <c r="G5" s="1309">
        <v>2047374</v>
      </c>
    </row>
    <row r="6" spans="1:7" x14ac:dyDescent="0.25">
      <c r="A6" t="s">
        <v>1539</v>
      </c>
      <c r="B6" t="s">
        <v>563</v>
      </c>
      <c r="C6" s="1309">
        <v>5271415</v>
      </c>
      <c r="D6" s="1309">
        <v>6715428</v>
      </c>
      <c r="E6" s="1309">
        <v>6830454</v>
      </c>
      <c r="F6" s="1309">
        <v>83365775</v>
      </c>
      <c r="G6" s="1309">
        <v>12298870</v>
      </c>
    </row>
    <row r="7" spans="1:7" x14ac:dyDescent="0.25">
      <c r="A7" t="s">
        <v>1540</v>
      </c>
      <c r="B7" t="s">
        <v>3</v>
      </c>
      <c r="C7" s="1309">
        <v>3165995</v>
      </c>
      <c r="D7" s="1309">
        <v>3261718</v>
      </c>
      <c r="E7" s="1309">
        <v>3310084</v>
      </c>
      <c r="F7" s="1309">
        <v>1081829</v>
      </c>
      <c r="G7" s="1309">
        <v>847302</v>
      </c>
    </row>
    <row r="8" spans="1:7" x14ac:dyDescent="0.25">
      <c r="A8" t="s">
        <v>1541</v>
      </c>
      <c r="B8" t="s">
        <v>2585</v>
      </c>
      <c r="C8" s="1309">
        <v>322491423</v>
      </c>
      <c r="D8" s="1309">
        <v>334777604</v>
      </c>
      <c r="E8" s="1309">
        <v>382942668</v>
      </c>
      <c r="F8" s="1309">
        <v>474062674</v>
      </c>
      <c r="G8" s="1309">
        <v>527651671</v>
      </c>
    </row>
    <row r="9" spans="1:7" x14ac:dyDescent="0.25">
      <c r="A9" t="s">
        <v>1542</v>
      </c>
      <c r="B9" t="s">
        <v>1227</v>
      </c>
      <c r="C9" s="1309">
        <v>78267457</v>
      </c>
      <c r="D9" s="1309">
        <v>77441935</v>
      </c>
      <c r="E9" s="1309">
        <v>70842146</v>
      </c>
      <c r="F9" s="1309">
        <v>30563075</v>
      </c>
      <c r="G9" s="1309">
        <v>64334445</v>
      </c>
    </row>
    <row r="10" spans="1:7" x14ac:dyDescent="0.25">
      <c r="A10" t="s">
        <v>1543</v>
      </c>
      <c r="B10" t="s">
        <v>2586</v>
      </c>
      <c r="C10" s="1309">
        <v>92865288</v>
      </c>
      <c r="D10" s="1309">
        <v>105029800</v>
      </c>
      <c r="E10" s="1309">
        <v>121775858</v>
      </c>
      <c r="F10" s="1309">
        <v>115991855</v>
      </c>
      <c r="G10" s="1309">
        <v>108480427</v>
      </c>
    </row>
    <row r="11" spans="1:7" x14ac:dyDescent="0.25">
      <c r="A11" t="s">
        <v>1226</v>
      </c>
      <c r="B11" t="s">
        <v>2587</v>
      </c>
      <c r="C11" s="1309">
        <v>1867112</v>
      </c>
      <c r="D11" s="1309">
        <v>1786060</v>
      </c>
      <c r="E11" s="1309"/>
      <c r="F11" s="1309"/>
      <c r="G11" s="1309"/>
    </row>
    <row r="12" spans="1:7" x14ac:dyDescent="0.25">
      <c r="A12" t="s">
        <v>1544</v>
      </c>
      <c r="B12" t="s">
        <v>566</v>
      </c>
      <c r="C12" s="1309">
        <v>19509</v>
      </c>
      <c r="D12" s="1309">
        <v>85088</v>
      </c>
      <c r="E12" s="1309"/>
      <c r="F12" s="1309"/>
      <c r="G12" s="1309">
        <v>135112</v>
      </c>
    </row>
    <row r="13" spans="1:7" x14ac:dyDescent="0.25">
      <c r="A13" t="s">
        <v>1545</v>
      </c>
      <c r="B13" t="s">
        <v>567</v>
      </c>
      <c r="C13" s="1309">
        <v>708714</v>
      </c>
      <c r="D13" s="1309">
        <v>1988000</v>
      </c>
      <c r="E13" s="1309">
        <v>2695422</v>
      </c>
      <c r="F13" s="1309">
        <v>2458409</v>
      </c>
      <c r="G13" s="1309">
        <v>789697</v>
      </c>
    </row>
    <row r="14" spans="1:7" x14ac:dyDescent="0.25">
      <c r="A14" t="s">
        <v>1546</v>
      </c>
      <c r="B14" t="s">
        <v>1502</v>
      </c>
      <c r="C14" s="1309">
        <v>5453352</v>
      </c>
      <c r="D14" s="1309">
        <v>9019962</v>
      </c>
      <c r="E14" s="1309">
        <v>10001922</v>
      </c>
      <c r="F14" s="1309">
        <v>14379514</v>
      </c>
      <c r="G14" s="1309">
        <v>16468963</v>
      </c>
    </row>
    <row r="15" spans="1:7" x14ac:dyDescent="0.25">
      <c r="A15" t="s">
        <v>1547</v>
      </c>
      <c r="B15" t="s">
        <v>1049</v>
      </c>
      <c r="C15" s="1309">
        <v>1401161</v>
      </c>
      <c r="D15" s="1309">
        <v>1138795</v>
      </c>
      <c r="E15" s="1309">
        <v>492276</v>
      </c>
      <c r="F15" s="1309">
        <v>755624</v>
      </c>
      <c r="G15" s="1309">
        <v>506598</v>
      </c>
    </row>
    <row r="16" spans="1:7" x14ac:dyDescent="0.25">
      <c r="A16" t="s">
        <v>1548</v>
      </c>
      <c r="B16" t="s">
        <v>346</v>
      </c>
      <c r="C16" s="1309">
        <v>22216978</v>
      </c>
      <c r="D16" s="1309">
        <v>20536023</v>
      </c>
      <c r="E16" s="1309"/>
      <c r="F16" s="1309"/>
      <c r="G16" s="1309"/>
    </row>
    <row r="17" spans="1:7" x14ac:dyDescent="0.25">
      <c r="A17" s="18" t="s">
        <v>1549</v>
      </c>
      <c r="B17" s="18" t="s">
        <v>1503</v>
      </c>
      <c r="C17" s="1312">
        <v>561144680</v>
      </c>
      <c r="D17" s="1312">
        <v>594025543</v>
      </c>
      <c r="E17" s="1312">
        <v>653574443</v>
      </c>
      <c r="F17" s="1312">
        <v>811266749</v>
      </c>
      <c r="G17" s="1312">
        <v>837684837</v>
      </c>
    </row>
    <row r="18" spans="1:7" x14ac:dyDescent="0.25">
      <c r="A18" t="s">
        <v>2588</v>
      </c>
      <c r="B18" t="s">
        <v>2588</v>
      </c>
      <c r="C18" s="1309"/>
      <c r="D18" s="1309"/>
      <c r="E18" s="1309"/>
      <c r="F18" s="1309"/>
      <c r="G18" s="1309"/>
    </row>
    <row r="19" spans="1:7" x14ac:dyDescent="0.25">
      <c r="A19" t="s">
        <v>1490</v>
      </c>
      <c r="B19" t="s">
        <v>2589</v>
      </c>
      <c r="C19" s="1309">
        <v>1523408</v>
      </c>
      <c r="D19" s="1309">
        <v>6207334</v>
      </c>
      <c r="E19" s="1309">
        <v>1743193</v>
      </c>
      <c r="F19" s="1309">
        <v>2763779</v>
      </c>
      <c r="G19" s="1309">
        <v>10717397</v>
      </c>
    </row>
    <row r="20" spans="1:7" x14ac:dyDescent="0.25">
      <c r="A20" t="s">
        <v>1491</v>
      </c>
      <c r="B20" t="s">
        <v>1505</v>
      </c>
      <c r="C20" s="1309">
        <v>481331669</v>
      </c>
      <c r="D20" s="1309">
        <v>505595436</v>
      </c>
      <c r="E20" s="1309">
        <v>564680606</v>
      </c>
      <c r="F20" s="1309">
        <v>716258469</v>
      </c>
      <c r="G20" s="1309">
        <v>717776447</v>
      </c>
    </row>
    <row r="21" spans="1:7" x14ac:dyDescent="0.25">
      <c r="A21" t="s">
        <v>1508</v>
      </c>
      <c r="B21" t="s">
        <v>1506</v>
      </c>
      <c r="C21" s="1309">
        <v>4849737</v>
      </c>
      <c r="D21" s="1309">
        <v>3912068</v>
      </c>
      <c r="E21" s="1309">
        <v>2653423</v>
      </c>
      <c r="F21" s="1309">
        <v>9780212</v>
      </c>
      <c r="G21" s="1309">
        <v>56180218</v>
      </c>
    </row>
    <row r="22" spans="1:7" x14ac:dyDescent="0.25">
      <c r="A22" t="s">
        <v>1509</v>
      </c>
      <c r="B22" t="s">
        <v>1507</v>
      </c>
      <c r="C22" s="1309">
        <v>476481932</v>
      </c>
      <c r="D22" s="1309">
        <v>501683368</v>
      </c>
      <c r="E22" s="1309">
        <v>562027183</v>
      </c>
      <c r="F22" s="1309">
        <v>706478257</v>
      </c>
      <c r="G22" s="1309">
        <v>661596229</v>
      </c>
    </row>
    <row r="23" spans="1:7" x14ac:dyDescent="0.25">
      <c r="A23" t="s">
        <v>1510</v>
      </c>
      <c r="B23" t="s">
        <v>1511</v>
      </c>
      <c r="C23" s="1309">
        <v>124289828</v>
      </c>
      <c r="D23" s="1309">
        <v>127642669</v>
      </c>
      <c r="E23" s="1309">
        <v>119057672</v>
      </c>
      <c r="F23" s="1309">
        <v>152421895</v>
      </c>
      <c r="G23" s="1309">
        <v>152962532</v>
      </c>
    </row>
    <row r="24" spans="1:7" x14ac:dyDescent="0.25">
      <c r="A24" t="s">
        <v>1492</v>
      </c>
      <c r="B24" t="s">
        <v>21</v>
      </c>
      <c r="C24" s="1309">
        <v>594868</v>
      </c>
      <c r="D24" s="1309">
        <v>3034631</v>
      </c>
      <c r="E24" s="1309">
        <v>1356231</v>
      </c>
      <c r="F24" s="1309">
        <v>1453922</v>
      </c>
      <c r="G24" s="1309">
        <v>7500034</v>
      </c>
    </row>
    <row r="25" spans="1:7" x14ac:dyDescent="0.25">
      <c r="A25" t="s">
        <v>1512</v>
      </c>
      <c r="B25" t="s">
        <v>1511</v>
      </c>
      <c r="C25" s="1309"/>
      <c r="D25" s="1309"/>
      <c r="E25" s="1309"/>
      <c r="F25" s="1309"/>
      <c r="G25" s="1309"/>
    </row>
    <row r="26" spans="1:7" x14ac:dyDescent="0.25">
      <c r="A26" t="s">
        <v>1493</v>
      </c>
      <c r="B26" t="s">
        <v>352</v>
      </c>
      <c r="C26" s="1309">
        <v>1393560</v>
      </c>
      <c r="D26" s="1309">
        <v>185218</v>
      </c>
      <c r="E26" s="1309">
        <v>229063</v>
      </c>
      <c r="F26" s="1309">
        <v>1100576</v>
      </c>
      <c r="G26" s="1309">
        <v>58896</v>
      </c>
    </row>
    <row r="27" spans="1:7" x14ac:dyDescent="0.25">
      <c r="A27" t="s">
        <v>1514</v>
      </c>
      <c r="B27" t="s">
        <v>1513</v>
      </c>
      <c r="C27" s="1309"/>
      <c r="D27" s="1309"/>
      <c r="E27" s="1309"/>
      <c r="F27" s="1309"/>
      <c r="G27" s="1309"/>
    </row>
    <row r="28" spans="1:7" x14ac:dyDescent="0.25">
      <c r="A28" t="s">
        <v>1515</v>
      </c>
      <c r="B28" t="s">
        <v>1516</v>
      </c>
      <c r="C28" s="1309">
        <v>1393560</v>
      </c>
      <c r="D28" s="1309">
        <v>185218</v>
      </c>
      <c r="E28" s="1309">
        <v>229063</v>
      </c>
      <c r="F28" s="1309">
        <v>1100576</v>
      </c>
      <c r="G28" s="1309">
        <v>58896</v>
      </c>
    </row>
    <row r="29" spans="1:7" x14ac:dyDescent="0.25">
      <c r="A29" t="s">
        <v>1494</v>
      </c>
      <c r="B29" t="s">
        <v>1517</v>
      </c>
      <c r="C29" s="1309"/>
      <c r="D29" s="1309"/>
      <c r="E29" s="1309"/>
      <c r="F29" s="1309"/>
      <c r="G29" s="1309"/>
    </row>
    <row r="30" spans="1:7" x14ac:dyDescent="0.25">
      <c r="A30" t="s">
        <v>1495</v>
      </c>
      <c r="B30" t="s">
        <v>356</v>
      </c>
      <c r="C30" s="1309">
        <v>810242</v>
      </c>
      <c r="D30" s="1309">
        <v>1104926</v>
      </c>
      <c r="E30" s="1309">
        <v>1773576</v>
      </c>
      <c r="F30" s="1309"/>
      <c r="G30" s="1309">
        <v>1579395</v>
      </c>
    </row>
    <row r="31" spans="1:7" x14ac:dyDescent="0.25">
      <c r="A31" t="s">
        <v>1496</v>
      </c>
      <c r="B31" t="s">
        <v>22</v>
      </c>
      <c r="C31" s="1309">
        <v>1888793</v>
      </c>
      <c r="D31" s="1309">
        <v>4073070</v>
      </c>
      <c r="E31" s="1309"/>
      <c r="F31" s="1309"/>
      <c r="G31" s="1309"/>
    </row>
    <row r="32" spans="1:7" x14ac:dyDescent="0.25">
      <c r="A32" t="s">
        <v>1497</v>
      </c>
      <c r="B32" t="s">
        <v>570</v>
      </c>
      <c r="C32" s="1309">
        <v>438661</v>
      </c>
      <c r="D32" s="1309">
        <v>1097501</v>
      </c>
      <c r="E32" s="1309"/>
      <c r="F32" s="1309"/>
      <c r="G32" s="1309"/>
    </row>
    <row r="33" spans="1:7" x14ac:dyDescent="0.25">
      <c r="A33" s="18" t="s">
        <v>1498</v>
      </c>
      <c r="B33" s="18" t="s">
        <v>1518</v>
      </c>
      <c r="C33" s="1312">
        <v>487981201</v>
      </c>
      <c r="D33" s="1312">
        <v>521298116</v>
      </c>
      <c r="E33" s="1312">
        <v>575377126</v>
      </c>
      <c r="F33" s="1312">
        <v>734618478</v>
      </c>
      <c r="G33" s="1312">
        <v>745046430</v>
      </c>
    </row>
    <row r="34" spans="1:7" x14ac:dyDescent="0.25">
      <c r="A34" t="s">
        <v>2591</v>
      </c>
      <c r="B34" t="s">
        <v>2591</v>
      </c>
      <c r="C34" s="1309"/>
      <c r="D34" s="1309"/>
      <c r="E34" s="1309"/>
      <c r="F34" s="1309"/>
      <c r="G34" s="1309"/>
    </row>
    <row r="35" spans="1:7" x14ac:dyDescent="0.25">
      <c r="A35" t="s">
        <v>1499</v>
      </c>
      <c r="B35" t="s">
        <v>571</v>
      </c>
      <c r="C35" s="1309">
        <v>48015396</v>
      </c>
      <c r="D35" s="1309">
        <v>48015396</v>
      </c>
      <c r="E35" s="1309">
        <v>48015396</v>
      </c>
      <c r="F35" s="1309">
        <v>48015396</v>
      </c>
      <c r="G35" s="1309">
        <v>48015396</v>
      </c>
    </row>
    <row r="36" spans="1:7" x14ac:dyDescent="0.25">
      <c r="A36" t="s">
        <v>1487</v>
      </c>
      <c r="B36" t="s">
        <v>572</v>
      </c>
      <c r="C36" s="1309"/>
      <c r="D36" s="1309"/>
      <c r="E36" s="1309"/>
      <c r="F36" s="1309"/>
      <c r="G36" s="1309"/>
    </row>
    <row r="37" spans="1:7" x14ac:dyDescent="0.25">
      <c r="A37" t="s">
        <v>1488</v>
      </c>
      <c r="B37" t="s">
        <v>32</v>
      </c>
      <c r="C37" s="1309"/>
      <c r="D37" s="1309"/>
      <c r="E37" s="1309"/>
      <c r="F37" s="1309"/>
      <c r="G37" s="1309"/>
    </row>
    <row r="38" spans="1:7" x14ac:dyDescent="0.25">
      <c r="A38" t="s">
        <v>1526</v>
      </c>
      <c r="B38" t="s">
        <v>33</v>
      </c>
      <c r="C38" s="1309">
        <v>207894</v>
      </c>
      <c r="D38" s="1309">
        <v>520535</v>
      </c>
      <c r="E38" s="1309">
        <v>738407</v>
      </c>
      <c r="F38" s="1309">
        <v>1053596</v>
      </c>
      <c r="G38" s="1309">
        <v>1131454</v>
      </c>
    </row>
    <row r="39" spans="1:7" x14ac:dyDescent="0.25">
      <c r="A39" t="s">
        <v>1527</v>
      </c>
      <c r="B39" t="s">
        <v>1530</v>
      </c>
      <c r="C39" s="1309">
        <v>6354127</v>
      </c>
      <c r="D39" s="1309">
        <v>1646306</v>
      </c>
      <c r="E39" s="1309">
        <v>793290</v>
      </c>
      <c r="F39" s="1309">
        <v>-3789500</v>
      </c>
      <c r="G39" s="1309">
        <v>5595206</v>
      </c>
    </row>
    <row r="40" spans="1:7" x14ac:dyDescent="0.25">
      <c r="A40" t="s">
        <v>1528</v>
      </c>
      <c r="B40" t="s">
        <v>1529</v>
      </c>
      <c r="C40" s="1309">
        <v>4163</v>
      </c>
      <c r="D40" s="1309">
        <v>3725</v>
      </c>
      <c r="E40" s="1309">
        <v>3725</v>
      </c>
      <c r="F40" s="1309">
        <v>1498269</v>
      </c>
      <c r="G40" s="1309">
        <v>1619662</v>
      </c>
    </row>
    <row r="41" spans="1:7" x14ac:dyDescent="0.25">
      <c r="A41" t="s">
        <v>1531</v>
      </c>
      <c r="B41" t="s">
        <v>1050</v>
      </c>
      <c r="C41" s="1309"/>
      <c r="D41" s="1309"/>
      <c r="E41" s="1309"/>
      <c r="F41" s="1309"/>
      <c r="G41" s="1309"/>
    </row>
    <row r="42" spans="1:7" x14ac:dyDescent="0.25">
      <c r="A42" t="s">
        <v>1532</v>
      </c>
      <c r="B42" t="s">
        <v>1051</v>
      </c>
      <c r="C42" s="1309"/>
      <c r="D42" s="1309"/>
      <c r="E42" s="1309"/>
      <c r="F42" s="1309"/>
      <c r="G42" s="1309"/>
    </row>
    <row r="43" spans="1:7" x14ac:dyDescent="0.25">
      <c r="A43" t="s">
        <v>1533</v>
      </c>
      <c r="B43" t="s">
        <v>1060</v>
      </c>
      <c r="C43" s="1309">
        <v>4210837</v>
      </c>
      <c r="D43" s="1309">
        <v>4210837</v>
      </c>
      <c r="E43" s="1309">
        <v>4210837</v>
      </c>
      <c r="F43" s="1309">
        <v>4210837</v>
      </c>
      <c r="G43" s="1309">
        <v>4210837</v>
      </c>
    </row>
    <row r="44" spans="1:7" x14ac:dyDescent="0.25">
      <c r="A44" t="s">
        <v>1534</v>
      </c>
      <c r="B44" t="s">
        <v>1398</v>
      </c>
      <c r="C44" s="1309"/>
      <c r="D44" s="1309"/>
      <c r="E44" s="1309"/>
      <c r="F44" s="1309"/>
      <c r="G44" s="1309"/>
    </row>
    <row r="45" spans="1:7" x14ac:dyDescent="0.25">
      <c r="A45" t="s">
        <v>1535</v>
      </c>
      <c r="B45" t="s">
        <v>1399</v>
      </c>
      <c r="C45" s="1309">
        <v>120902</v>
      </c>
      <c r="D45" s="1309">
        <v>35233</v>
      </c>
      <c r="E45" s="1309">
        <v>54360</v>
      </c>
      <c r="F45" s="1309">
        <v>36258</v>
      </c>
      <c r="G45" s="1309">
        <v>92027</v>
      </c>
    </row>
    <row r="46" spans="1:7" x14ac:dyDescent="0.25">
      <c r="A46" t="s">
        <v>1536</v>
      </c>
      <c r="B46" t="s">
        <v>1538</v>
      </c>
      <c r="C46" s="1309">
        <v>14250160</v>
      </c>
      <c r="D46" s="1309">
        <v>18295395</v>
      </c>
      <c r="E46" s="1309">
        <v>24381302</v>
      </c>
      <c r="F46" s="1309">
        <v>25623415</v>
      </c>
      <c r="G46" s="1309">
        <v>31973825</v>
      </c>
    </row>
    <row r="47" spans="1:7" x14ac:dyDescent="0.25">
      <c r="A47" s="18" t="s">
        <v>1537</v>
      </c>
      <c r="B47" s="18" t="s">
        <v>2592</v>
      </c>
      <c r="C47" s="1312">
        <v>73163479</v>
      </c>
      <c r="D47" s="1312">
        <v>72727427</v>
      </c>
      <c r="E47" s="1312">
        <v>78197317</v>
      </c>
      <c r="F47" s="1312">
        <v>76648271</v>
      </c>
      <c r="G47" s="1312">
        <v>92638407</v>
      </c>
    </row>
    <row r="48" spans="1:7" x14ac:dyDescent="0.25">
      <c r="A48" t="s">
        <v>2593</v>
      </c>
      <c r="B48" t="s">
        <v>2593</v>
      </c>
      <c r="C48" s="1309"/>
      <c r="D48" s="1309"/>
      <c r="E48" s="1309"/>
      <c r="F48" s="1309"/>
      <c r="G48" s="1309"/>
    </row>
    <row r="49" spans="1:7" x14ac:dyDescent="0.25">
      <c r="A49" t="s">
        <v>2594</v>
      </c>
      <c r="B49" t="s">
        <v>575</v>
      </c>
      <c r="C49" s="1309">
        <v>312913654</v>
      </c>
      <c r="D49" s="1309">
        <v>515255497</v>
      </c>
      <c r="E49" s="1309">
        <v>584732323</v>
      </c>
      <c r="F49" s="1309">
        <v>589820020</v>
      </c>
      <c r="G49" s="1309">
        <v>696809435</v>
      </c>
    </row>
    <row r="50" spans="1:7" x14ac:dyDescent="0.25">
      <c r="A50" t="s">
        <v>2595</v>
      </c>
      <c r="B50" t="s">
        <v>576</v>
      </c>
      <c r="C50" s="1309">
        <v>67738342</v>
      </c>
      <c r="D50" s="1309">
        <v>79537401</v>
      </c>
      <c r="E50" s="1309">
        <v>120409768</v>
      </c>
      <c r="F50" s="1309">
        <v>165422734</v>
      </c>
      <c r="G50" s="1309">
        <v>180142323</v>
      </c>
    </row>
    <row r="51" spans="1:7" x14ac:dyDescent="0.25">
      <c r="A51" t="s">
        <v>2596</v>
      </c>
      <c r="B51" t="s">
        <v>218</v>
      </c>
      <c r="C51" s="1309"/>
      <c r="D51" s="1309"/>
      <c r="E51" s="1309"/>
      <c r="F51" s="1309"/>
      <c r="G51" s="1309"/>
    </row>
    <row r="52" spans="1:7" x14ac:dyDescent="0.25">
      <c r="A52" t="s">
        <v>3423</v>
      </c>
      <c r="B52" t="s">
        <v>3424</v>
      </c>
      <c r="C52" s="1309"/>
      <c r="D52" s="1309"/>
      <c r="E52" s="1309"/>
      <c r="F52" s="1309"/>
      <c r="G52" s="1309"/>
    </row>
    <row r="53" spans="1:7" x14ac:dyDescent="0.25">
      <c r="A53" t="s">
        <v>2590</v>
      </c>
      <c r="B53" t="s">
        <v>3424</v>
      </c>
      <c r="C53" s="1309"/>
      <c r="D53" s="1309"/>
      <c r="E53" s="1309"/>
      <c r="F53" s="1309"/>
      <c r="G53" s="1309"/>
    </row>
    <row r="55" spans="1:7" x14ac:dyDescent="0.25">
      <c r="C55" s="1309"/>
    </row>
    <row r="62" spans="1:7" ht="15.75" thickBot="1" x14ac:dyDescent="0.3">
      <c r="A62" s="18" t="str">
        <f>Ф_806_2023_2019[[#Headers],[Номер строки]]</f>
        <v>Номер строки</v>
      </c>
      <c r="B62" s="18" t="str">
        <f>Ф_806_2023_2019[[#Headers],[Наименование статьи]]</f>
        <v>Наименование статьи</v>
      </c>
      <c r="C62" s="18" t="str">
        <f>Ф_806_2023_2019[[#Headers],[2019]]</f>
        <v>2019</v>
      </c>
      <c r="D62" s="18" t="str">
        <f>Ф_806_2023_2019[[#Headers],[2020]]</f>
        <v>2020</v>
      </c>
      <c r="E62" s="18" t="str">
        <f>Ф_806_2023_2019[[#Headers],[2021]]</f>
        <v>2021</v>
      </c>
      <c r="F62" s="18" t="str">
        <f>Ф_806_2023_2019[[#Headers],[2022]]</f>
        <v>2022</v>
      </c>
      <c r="G62" s="18" t="str">
        <f>Ф_806_2023_2019[[#Headers],[2023]]</f>
        <v>2023</v>
      </c>
    </row>
    <row r="63" spans="1:7" ht="15.75" thickBot="1" x14ac:dyDescent="0.3">
      <c r="A63" s="2014" t="s">
        <v>3430</v>
      </c>
      <c r="B63" s="2014"/>
      <c r="C63" s="2015">
        <f>'Ф_806_2023-2019'!C17-SUM('Ф_806_2023-2019'!C3:C16)+'Ф_806_2023-2019'!C5</f>
        <v>0</v>
      </c>
      <c r="D63" s="2015">
        <f>'Ф_806_2023-2019'!D17-SUM('Ф_806_2023-2019'!D3:D16)+'Ф_806_2023-2019'!D5</f>
        <v>0</v>
      </c>
      <c r="E63" s="2015">
        <f>'Ф_806_2023-2019'!E17-SUM('Ф_806_2023-2019'!E3:E16)+'Ф_806_2023-2019'!E5</f>
        <v>24594307</v>
      </c>
      <c r="F63" s="2015">
        <f>'Ф_806_2023-2019'!F17-SUM('Ф_806_2023-2019'!F3:F16)+'Ф_806_2023-2019'!F5</f>
        <v>59227316</v>
      </c>
      <c r="G63" s="2015">
        <f>'Ф_806_2023-2019'!G17-SUM('Ф_806_2023-2019'!G3:G16)+'Ф_806_2023-2019'!G5</f>
        <v>34809744</v>
      </c>
    </row>
    <row r="64" spans="1:7" ht="15.75" thickBot="1" x14ac:dyDescent="0.3">
      <c r="A64" s="2014" t="s">
        <v>3431</v>
      </c>
      <c r="B64" s="2014"/>
      <c r="C64" s="2015">
        <f>'Ф_806_2023-2019'!C33-SUM('Ф_806_2023-2019'!C19:C20,'Ф_806_2023-2019'!C24,'Ф_806_2023-2019'!C26,'Ф_806_2023-2019'!C29:C32)</f>
        <v>0</v>
      </c>
      <c r="D64" s="2015">
        <f>'Ф_806_2023-2019'!D33-SUM('Ф_806_2023-2019'!D19:D20,'Ф_806_2023-2019'!D24,'Ф_806_2023-2019'!D26,'Ф_806_2023-2019'!D29:D32)</f>
        <v>0</v>
      </c>
      <c r="E64" s="2015">
        <f>'Ф_806_2023-2019'!E33-SUM('Ф_806_2023-2019'!E19:E20,'Ф_806_2023-2019'!E24,'Ф_806_2023-2019'!E26,'Ф_806_2023-2019'!E29:E32)</f>
        <v>5594457</v>
      </c>
      <c r="F64" s="2015">
        <f>'Ф_806_2023-2019'!F33-SUM('Ф_806_2023-2019'!F19:F20,'Ф_806_2023-2019'!F24,'Ф_806_2023-2019'!F26,'Ф_806_2023-2019'!F29:F32)</f>
        <v>13041732</v>
      </c>
      <c r="G64" s="2015">
        <f>'Ф_806_2023-2019'!G33-SUM('Ф_806_2023-2019'!G19:G20,'Ф_806_2023-2019'!G24,'Ф_806_2023-2019'!G26,'Ф_806_2023-2019'!G29:G32)</f>
        <v>7414261</v>
      </c>
    </row>
    <row r="65" spans="1:7" ht="15.75" thickBot="1" x14ac:dyDescent="0.3">
      <c r="A65" s="2014" t="s">
        <v>3432</v>
      </c>
      <c r="B65" s="2014"/>
      <c r="C65" s="2015">
        <f>C47-(C35-C36+SUM(C37:C46))</f>
        <v>0</v>
      </c>
      <c r="D65" s="2015">
        <f t="shared" ref="D65:G65" si="0">D47-(D35-D36+SUM(D37:D46))</f>
        <v>0</v>
      </c>
      <c r="E65" s="2015">
        <f t="shared" si="0"/>
        <v>0</v>
      </c>
      <c r="F65" s="2015">
        <f t="shared" si="0"/>
        <v>0</v>
      </c>
      <c r="G65" s="2015">
        <f t="shared" si="0"/>
        <v>0</v>
      </c>
    </row>
  </sheetData>
  <phoneticPr fontId="134" type="noConversion"/>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D900-3D9F-4EC6-B784-8753BDC7B776}">
  <dimension ref="A1:D65"/>
  <sheetViews>
    <sheetView topLeftCell="A40" workbookViewId="0">
      <selection activeCell="C53" sqref="C53"/>
    </sheetView>
  </sheetViews>
  <sheetFormatPr defaultRowHeight="15" x14ac:dyDescent="0.25"/>
  <cols>
    <col min="1" max="1" width="14.140625" customWidth="1"/>
    <col min="2" max="2" width="81.140625" bestFit="1" customWidth="1"/>
    <col min="3" max="4" width="13.5703125" customWidth="1"/>
  </cols>
  <sheetData>
    <row r="1" spans="1:4" x14ac:dyDescent="0.25">
      <c r="A1" t="s">
        <v>1486</v>
      </c>
      <c r="B1" t="s">
        <v>2583</v>
      </c>
      <c r="C1" t="s">
        <v>3315</v>
      </c>
      <c r="D1" t="s">
        <v>2597</v>
      </c>
    </row>
    <row r="2" spans="1:4" x14ac:dyDescent="0.25">
      <c r="A2" t="s">
        <v>2584</v>
      </c>
      <c r="B2" t="s">
        <v>2584</v>
      </c>
    </row>
    <row r="3" spans="1:4" x14ac:dyDescent="0.25">
      <c r="A3" t="s">
        <v>1571</v>
      </c>
      <c r="B3" t="s">
        <v>561</v>
      </c>
      <c r="C3">
        <v>20326092</v>
      </c>
      <c r="D3">
        <v>29701298</v>
      </c>
    </row>
    <row r="4" spans="1:4" x14ac:dyDescent="0.25">
      <c r="A4" t="s">
        <v>1572</v>
      </c>
      <c r="B4" t="s">
        <v>2557</v>
      </c>
      <c r="C4">
        <v>41078760</v>
      </c>
      <c r="D4">
        <v>41660710</v>
      </c>
    </row>
    <row r="5" spans="1:4" x14ac:dyDescent="0.25">
      <c r="A5" t="s">
        <v>6</v>
      </c>
      <c r="B5" t="s">
        <v>3422</v>
      </c>
      <c r="C5">
        <v>2875662</v>
      </c>
      <c r="D5">
        <v>2047374</v>
      </c>
    </row>
    <row r="6" spans="1:4" x14ac:dyDescent="0.25">
      <c r="A6" t="s">
        <v>1539</v>
      </c>
      <c r="B6" t="s">
        <v>563</v>
      </c>
      <c r="C6">
        <v>2803131</v>
      </c>
      <c r="D6">
        <v>12298870</v>
      </c>
    </row>
    <row r="7" spans="1:4" x14ac:dyDescent="0.25">
      <c r="A7" t="s">
        <v>1540</v>
      </c>
      <c r="B7" t="s">
        <v>3</v>
      </c>
      <c r="C7">
        <v>1148295</v>
      </c>
      <c r="D7">
        <v>847302</v>
      </c>
    </row>
    <row r="8" spans="1:4" x14ac:dyDescent="0.25">
      <c r="A8" t="s">
        <v>3423</v>
      </c>
      <c r="B8" t="s">
        <v>3424</v>
      </c>
    </row>
    <row r="9" spans="1:4" x14ac:dyDescent="0.25">
      <c r="A9" t="s">
        <v>1541</v>
      </c>
      <c r="B9" t="s">
        <v>2585</v>
      </c>
      <c r="C9">
        <v>546142705</v>
      </c>
      <c r="D9">
        <v>527651671</v>
      </c>
    </row>
    <row r="10" spans="1:4" x14ac:dyDescent="0.25">
      <c r="A10" t="s">
        <v>1542</v>
      </c>
      <c r="B10" t="s">
        <v>1227</v>
      </c>
      <c r="C10">
        <v>78910803</v>
      </c>
      <c r="D10">
        <v>64334445</v>
      </c>
    </row>
    <row r="11" spans="1:4" x14ac:dyDescent="0.25">
      <c r="A11" t="s">
        <v>1543</v>
      </c>
      <c r="B11" t="s">
        <v>2586</v>
      </c>
      <c r="C11">
        <v>177249140</v>
      </c>
      <c r="D11">
        <v>108480427</v>
      </c>
    </row>
    <row r="12" spans="1:4" x14ac:dyDescent="0.25">
      <c r="A12" t="s">
        <v>1226</v>
      </c>
      <c r="B12" t="s">
        <v>2587</v>
      </c>
    </row>
    <row r="13" spans="1:4" x14ac:dyDescent="0.25">
      <c r="A13" t="s">
        <v>1544</v>
      </c>
      <c r="B13" t="s">
        <v>566</v>
      </c>
      <c r="D13">
        <v>135112</v>
      </c>
    </row>
    <row r="14" spans="1:4" x14ac:dyDescent="0.25">
      <c r="A14" t="s">
        <v>1545</v>
      </c>
      <c r="B14" t="s">
        <v>567</v>
      </c>
      <c r="D14">
        <v>789697</v>
      </c>
    </row>
    <row r="15" spans="1:4" x14ac:dyDescent="0.25">
      <c r="A15" t="s">
        <v>1546</v>
      </c>
      <c r="B15" t="s">
        <v>1502</v>
      </c>
      <c r="C15">
        <v>20647817</v>
      </c>
      <c r="D15">
        <v>16468963</v>
      </c>
    </row>
    <row r="16" spans="1:4" x14ac:dyDescent="0.25">
      <c r="A16" t="s">
        <v>1547</v>
      </c>
      <c r="B16" t="s">
        <v>1049</v>
      </c>
      <c r="C16">
        <v>463446</v>
      </c>
      <c r="D16">
        <v>506598</v>
      </c>
    </row>
    <row r="17" spans="1:4" x14ac:dyDescent="0.25">
      <c r="A17" t="s">
        <v>1548</v>
      </c>
      <c r="B17" t="s">
        <v>346</v>
      </c>
    </row>
    <row r="18" spans="1:4" x14ac:dyDescent="0.25">
      <c r="A18" t="s">
        <v>1549</v>
      </c>
      <c r="B18" t="s">
        <v>1503</v>
      </c>
      <c r="C18">
        <v>931506637</v>
      </c>
      <c r="D18">
        <v>837684837</v>
      </c>
    </row>
    <row r="19" spans="1:4" x14ac:dyDescent="0.25">
      <c r="A19" t="s">
        <v>2588</v>
      </c>
      <c r="B19" t="s">
        <v>2588</v>
      </c>
    </row>
    <row r="20" spans="1:4" x14ac:dyDescent="0.25">
      <c r="A20" t="s">
        <v>1490</v>
      </c>
      <c r="B20" t="s">
        <v>2589</v>
      </c>
      <c r="C20">
        <v>3443821</v>
      </c>
      <c r="D20">
        <v>10717397</v>
      </c>
    </row>
    <row r="21" spans="1:4" x14ac:dyDescent="0.25">
      <c r="A21" t="s">
        <v>1491</v>
      </c>
      <c r="B21" t="s">
        <v>1505</v>
      </c>
      <c r="C21">
        <v>788548611</v>
      </c>
      <c r="D21">
        <v>717776447</v>
      </c>
    </row>
    <row r="22" spans="1:4" x14ac:dyDescent="0.25">
      <c r="A22" t="s">
        <v>1508</v>
      </c>
      <c r="B22" t="s">
        <v>1506</v>
      </c>
      <c r="C22">
        <v>123148633</v>
      </c>
      <c r="D22">
        <v>56180218</v>
      </c>
    </row>
    <row r="23" spans="1:4" x14ac:dyDescent="0.25">
      <c r="A23" t="s">
        <v>1509</v>
      </c>
      <c r="B23" t="s">
        <v>1507</v>
      </c>
      <c r="C23">
        <v>665399978</v>
      </c>
      <c r="D23">
        <v>661596229</v>
      </c>
    </row>
    <row r="24" spans="1:4" x14ac:dyDescent="0.25">
      <c r="A24" t="s">
        <v>1510</v>
      </c>
      <c r="B24" t="s">
        <v>1511</v>
      </c>
      <c r="C24">
        <v>148946994</v>
      </c>
      <c r="D24">
        <v>152962532</v>
      </c>
    </row>
    <row r="25" spans="1:4" x14ac:dyDescent="0.25">
      <c r="A25" t="s">
        <v>1492</v>
      </c>
      <c r="B25" t="s">
        <v>21</v>
      </c>
      <c r="C25">
        <v>7754218</v>
      </c>
      <c r="D25">
        <v>7500034</v>
      </c>
    </row>
    <row r="26" spans="1:4" x14ac:dyDescent="0.25">
      <c r="A26" t="s">
        <v>1512</v>
      </c>
      <c r="B26" t="s">
        <v>1511</v>
      </c>
    </row>
    <row r="27" spans="1:4" x14ac:dyDescent="0.25">
      <c r="A27" t="s">
        <v>2590</v>
      </c>
      <c r="B27" t="s">
        <v>3424</v>
      </c>
    </row>
    <row r="28" spans="1:4" x14ac:dyDescent="0.25">
      <c r="A28" t="s">
        <v>1493</v>
      </c>
      <c r="B28" t="s">
        <v>352</v>
      </c>
      <c r="C28">
        <v>77939</v>
      </c>
      <c r="D28">
        <v>58896</v>
      </c>
    </row>
    <row r="29" spans="1:4" x14ac:dyDescent="0.25">
      <c r="A29" t="s">
        <v>1514</v>
      </c>
      <c r="B29" t="s">
        <v>1513</v>
      </c>
    </row>
    <row r="30" spans="1:4" x14ac:dyDescent="0.25">
      <c r="A30" t="s">
        <v>1515</v>
      </c>
      <c r="B30" t="s">
        <v>1516</v>
      </c>
      <c r="C30">
        <v>77939</v>
      </c>
      <c r="D30">
        <v>58896</v>
      </c>
    </row>
    <row r="31" spans="1:4" x14ac:dyDescent="0.25">
      <c r="A31" s="2011" t="s">
        <v>1494</v>
      </c>
      <c r="B31" s="2011" t="s">
        <v>3425</v>
      </c>
    </row>
    <row r="32" spans="1:4" x14ac:dyDescent="0.25">
      <c r="A32" t="s">
        <v>1495</v>
      </c>
      <c r="B32" t="s">
        <v>1517</v>
      </c>
    </row>
    <row r="33" spans="1:4" x14ac:dyDescent="0.25">
      <c r="A33" t="s">
        <v>1496</v>
      </c>
      <c r="B33" t="s">
        <v>356</v>
      </c>
      <c r="C33">
        <v>1845878</v>
      </c>
      <c r="D33">
        <v>1579395</v>
      </c>
    </row>
    <row r="34" spans="1:4" x14ac:dyDescent="0.25">
      <c r="A34" t="s">
        <v>1497</v>
      </c>
      <c r="B34" t="s">
        <v>22</v>
      </c>
    </row>
    <row r="35" spans="1:4" x14ac:dyDescent="0.25">
      <c r="A35" t="s">
        <v>1498</v>
      </c>
      <c r="B35" t="s">
        <v>570</v>
      </c>
    </row>
    <row r="36" spans="1:4" x14ac:dyDescent="0.25">
      <c r="A36" t="s">
        <v>1499</v>
      </c>
      <c r="B36" t="s">
        <v>1518</v>
      </c>
      <c r="C36">
        <v>826407677</v>
      </c>
      <c r="D36">
        <v>745046430</v>
      </c>
    </row>
    <row r="37" spans="1:4" x14ac:dyDescent="0.25">
      <c r="A37" t="s">
        <v>2591</v>
      </c>
      <c r="B37" t="s">
        <v>2591</v>
      </c>
    </row>
    <row r="38" spans="1:4" x14ac:dyDescent="0.25">
      <c r="A38" t="s">
        <v>1487</v>
      </c>
      <c r="B38" t="s">
        <v>571</v>
      </c>
      <c r="C38">
        <v>48015396</v>
      </c>
      <c r="D38">
        <v>48015396</v>
      </c>
    </row>
    <row r="39" spans="1:4" x14ac:dyDescent="0.25">
      <c r="A39" t="s">
        <v>1488</v>
      </c>
      <c r="B39" t="s">
        <v>572</v>
      </c>
    </row>
    <row r="40" spans="1:4" x14ac:dyDescent="0.25">
      <c r="A40" t="s">
        <v>1526</v>
      </c>
      <c r="B40" t="s">
        <v>32</v>
      </c>
    </row>
    <row r="41" spans="1:4" x14ac:dyDescent="0.25">
      <c r="A41" t="s">
        <v>1527</v>
      </c>
      <c r="B41" t="s">
        <v>33</v>
      </c>
      <c r="C41">
        <v>1451972</v>
      </c>
      <c r="D41">
        <v>1131454</v>
      </c>
    </row>
    <row r="42" spans="1:4" x14ac:dyDescent="0.25">
      <c r="A42" t="s">
        <v>1528</v>
      </c>
      <c r="B42" t="s">
        <v>3426</v>
      </c>
      <c r="C42">
        <v>2017491</v>
      </c>
      <c r="D42">
        <v>5595206</v>
      </c>
    </row>
    <row r="43" spans="1:4" x14ac:dyDescent="0.25">
      <c r="A43" t="s">
        <v>1531</v>
      </c>
      <c r="B43" t="s">
        <v>1529</v>
      </c>
      <c r="C43">
        <v>1855101</v>
      </c>
      <c r="D43">
        <v>1619662</v>
      </c>
    </row>
    <row r="44" spans="1:4" x14ac:dyDescent="0.25">
      <c r="A44" t="s">
        <v>1532</v>
      </c>
      <c r="B44" t="s">
        <v>1050</v>
      </c>
    </row>
    <row r="45" spans="1:4" x14ac:dyDescent="0.25">
      <c r="A45" t="s">
        <v>1533</v>
      </c>
      <c r="B45" t="s">
        <v>1051</v>
      </c>
    </row>
    <row r="46" spans="1:4" x14ac:dyDescent="0.25">
      <c r="A46" t="s">
        <v>1534</v>
      </c>
      <c r="B46" t="s">
        <v>1060</v>
      </c>
      <c r="C46">
        <v>4210837</v>
      </c>
      <c r="D46">
        <v>4210837</v>
      </c>
    </row>
    <row r="47" spans="1:4" x14ac:dyDescent="0.25">
      <c r="A47" t="s">
        <v>1535</v>
      </c>
      <c r="B47" t="s">
        <v>1398</v>
      </c>
    </row>
    <row r="48" spans="1:4" x14ac:dyDescent="0.25">
      <c r="A48" t="s">
        <v>1536</v>
      </c>
      <c r="B48" t="s">
        <v>3427</v>
      </c>
    </row>
    <row r="49" spans="1:4" x14ac:dyDescent="0.25">
      <c r="A49" t="s">
        <v>1537</v>
      </c>
      <c r="B49" t="s">
        <v>1399</v>
      </c>
      <c r="C49">
        <v>474163</v>
      </c>
      <c r="D49">
        <v>92027</v>
      </c>
    </row>
    <row r="50" spans="1:4" x14ac:dyDescent="0.25">
      <c r="A50" t="s">
        <v>2594</v>
      </c>
      <c r="B50" t="s">
        <v>1538</v>
      </c>
      <c r="C50">
        <v>47074000</v>
      </c>
      <c r="D50">
        <v>31973825</v>
      </c>
    </row>
    <row r="51" spans="1:4" x14ac:dyDescent="0.25">
      <c r="A51" t="s">
        <v>2595</v>
      </c>
      <c r="B51" t="s">
        <v>2592</v>
      </c>
      <c r="C51">
        <v>105098960</v>
      </c>
      <c r="D51">
        <v>92638407</v>
      </c>
    </row>
    <row r="52" spans="1:4" x14ac:dyDescent="0.25">
      <c r="A52" t="s">
        <v>2593</v>
      </c>
      <c r="B52" t="s">
        <v>2593</v>
      </c>
    </row>
    <row r="53" spans="1:4" x14ac:dyDescent="0.25">
      <c r="A53" t="s">
        <v>2596</v>
      </c>
      <c r="B53" t="s">
        <v>575</v>
      </c>
      <c r="C53">
        <v>704624144</v>
      </c>
      <c r="D53">
        <v>696809435</v>
      </c>
    </row>
    <row r="54" spans="1:4" x14ac:dyDescent="0.25">
      <c r="A54" t="s">
        <v>3110</v>
      </c>
      <c r="B54" t="s">
        <v>576</v>
      </c>
      <c r="C54">
        <v>167663603</v>
      </c>
      <c r="D54">
        <v>180142323</v>
      </c>
    </row>
    <row r="55" spans="1:4" x14ac:dyDescent="0.25">
      <c r="A55" t="s">
        <v>3112</v>
      </c>
      <c r="B55" t="s">
        <v>218</v>
      </c>
    </row>
    <row r="62" spans="1:4" ht="15.75" thickBot="1" x14ac:dyDescent="0.3">
      <c r="A62" s="18" t="str">
        <f>Ф_806_2024[[#Headers],[Номер строки]]</f>
        <v>Номер строки</v>
      </c>
      <c r="B62" s="18" t="str">
        <f>Ф_806_2024[[#Headers],[Наименование статьи]]</f>
        <v>Наименование статьи</v>
      </c>
      <c r="C62" s="18" t="str">
        <f>Ф_806_2024[[#Headers],[2024]]</f>
        <v>2024</v>
      </c>
      <c r="D62" s="18" t="str">
        <f>Ф_806_2024[[#Headers],[2023]]</f>
        <v>2023</v>
      </c>
    </row>
    <row r="63" spans="1:4" ht="15.75" thickBot="1" x14ac:dyDescent="0.3">
      <c r="A63" s="2014" t="s">
        <v>3430</v>
      </c>
      <c r="B63" s="2014"/>
      <c r="C63" s="2015">
        <f>C18-SUM(C3:C17)+C5+C8</f>
        <v>42736448</v>
      </c>
      <c r="D63" s="2015">
        <f>D18-SUM(D3:D17)+D5+D8</f>
        <v>34809744</v>
      </c>
    </row>
    <row r="64" spans="1:4" ht="15.75" thickBot="1" x14ac:dyDescent="0.3">
      <c r="A64" s="2014" t="s">
        <v>3431</v>
      </c>
      <c r="B64" s="2014"/>
      <c r="C64" s="2015">
        <f>C36-SUM(C20:C21,C25,C28,C31:C35)</f>
        <v>24737210</v>
      </c>
      <c r="D64" s="2015">
        <f>D36-SUM(D20:D21,D25,D28,D31:D35)</f>
        <v>7414261</v>
      </c>
    </row>
    <row r="65" spans="1:4" ht="15.75" thickBot="1" x14ac:dyDescent="0.3">
      <c r="A65" s="2014" t="s">
        <v>3432</v>
      </c>
      <c r="B65" s="2014"/>
      <c r="C65" s="2015">
        <f>C51-(C38-C39+SUM(C40:C50))</f>
        <v>0</v>
      </c>
      <c r="D65" s="2015">
        <f>D51-(D38-D39+SUM(D40:D50))</f>
        <v>0</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5BA75-4EBD-4887-937D-DCEA9F72CED3}">
  <dimension ref="A1:H44"/>
  <sheetViews>
    <sheetView workbookViewId="0">
      <selection activeCell="K8" sqref="K8"/>
    </sheetView>
  </sheetViews>
  <sheetFormatPr defaultRowHeight="15" x14ac:dyDescent="0.25"/>
  <cols>
    <col min="1" max="1" width="16.28515625" bestFit="1" customWidth="1"/>
    <col min="2" max="2" width="81.140625" bestFit="1" customWidth="1"/>
    <col min="3" max="6" width="10.7109375" bestFit="1" customWidth="1"/>
    <col min="7" max="8" width="9.7109375" bestFit="1" customWidth="1"/>
  </cols>
  <sheetData>
    <row r="1" spans="1:8" x14ac:dyDescent="0.25">
      <c r="A1" t="s">
        <v>1486</v>
      </c>
      <c r="B1" t="s">
        <v>2583</v>
      </c>
      <c r="C1" t="s">
        <v>2613</v>
      </c>
      <c r="D1" t="s">
        <v>2612</v>
      </c>
      <c r="E1" t="s">
        <v>2611</v>
      </c>
      <c r="F1" t="s">
        <v>2610</v>
      </c>
      <c r="G1" t="s">
        <v>2608</v>
      </c>
      <c r="H1" t="s">
        <v>2609</v>
      </c>
    </row>
    <row r="2" spans="1:8" x14ac:dyDescent="0.25">
      <c r="A2" t="s">
        <v>1571</v>
      </c>
      <c r="B2" t="s">
        <v>2934</v>
      </c>
    </row>
    <row r="3" spans="1:8" x14ac:dyDescent="0.25">
      <c r="A3" t="s">
        <v>4</v>
      </c>
      <c r="B3" t="s">
        <v>2935</v>
      </c>
      <c r="C3">
        <v>-5507380</v>
      </c>
      <c r="D3">
        <v>-4934070</v>
      </c>
      <c r="E3">
        <v>-11392522</v>
      </c>
      <c r="F3">
        <v>2620320</v>
      </c>
      <c r="G3">
        <v>4067002</v>
      </c>
      <c r="H3">
        <v>-3527895</v>
      </c>
    </row>
    <row r="4" spans="1:8" x14ac:dyDescent="0.25">
      <c r="A4" t="s">
        <v>2936</v>
      </c>
      <c r="B4" t="s">
        <v>2937</v>
      </c>
      <c r="C4">
        <v>37568362</v>
      </c>
      <c r="D4">
        <v>36871823</v>
      </c>
      <c r="E4">
        <v>32865045</v>
      </c>
      <c r="F4">
        <v>34367799</v>
      </c>
      <c r="G4">
        <v>30116929</v>
      </c>
      <c r="H4">
        <v>31838074</v>
      </c>
    </row>
    <row r="5" spans="1:8" x14ac:dyDescent="0.25">
      <c r="A5" t="s">
        <v>2938</v>
      </c>
      <c r="B5" t="s">
        <v>2939</v>
      </c>
      <c r="C5">
        <v>-51945424</v>
      </c>
      <c r="D5">
        <v>-29893095</v>
      </c>
      <c r="E5">
        <v>-23570761</v>
      </c>
      <c r="F5">
        <v>-20719498</v>
      </c>
      <c r="G5">
        <v>-25908706</v>
      </c>
      <c r="H5">
        <v>-22321117</v>
      </c>
    </row>
    <row r="6" spans="1:8" x14ac:dyDescent="0.25">
      <c r="A6" t="s">
        <v>2940</v>
      </c>
      <c r="B6" t="s">
        <v>2941</v>
      </c>
      <c r="C6">
        <v>2703650</v>
      </c>
      <c r="D6">
        <v>3665904</v>
      </c>
      <c r="E6">
        <v>4469501</v>
      </c>
      <c r="F6">
        <v>5580882</v>
      </c>
      <c r="G6">
        <v>6994739</v>
      </c>
      <c r="H6">
        <v>7918155</v>
      </c>
    </row>
    <row r="7" spans="1:8" x14ac:dyDescent="0.25">
      <c r="A7" t="s">
        <v>2942</v>
      </c>
      <c r="B7" t="s">
        <v>2943</v>
      </c>
      <c r="C7">
        <v>-661724</v>
      </c>
      <c r="D7">
        <v>-988175</v>
      </c>
      <c r="E7">
        <v>-1354409</v>
      </c>
      <c r="F7">
        <v>-1739783</v>
      </c>
      <c r="G7">
        <v>-2329429</v>
      </c>
      <c r="H7">
        <v>-3039552</v>
      </c>
    </row>
    <row r="8" spans="1:8" x14ac:dyDescent="0.25">
      <c r="A8" t="s">
        <v>2944</v>
      </c>
      <c r="B8" t="s">
        <v>2945</v>
      </c>
      <c r="C8">
        <v>3210611</v>
      </c>
      <c r="D8">
        <v>-2026815</v>
      </c>
      <c r="E8">
        <v>-3422893</v>
      </c>
      <c r="F8">
        <v>-1032209</v>
      </c>
      <c r="G8">
        <v>4128925</v>
      </c>
      <c r="H8">
        <v>-25579382</v>
      </c>
    </row>
    <row r="9" spans="1:8" x14ac:dyDescent="0.25">
      <c r="A9" t="s">
        <v>2946</v>
      </c>
      <c r="B9" t="s">
        <v>2947</v>
      </c>
      <c r="C9">
        <v>0</v>
      </c>
      <c r="D9">
        <v>0</v>
      </c>
    </row>
    <row r="10" spans="1:8" x14ac:dyDescent="0.25">
      <c r="A10" t="s">
        <v>2948</v>
      </c>
      <c r="B10" t="s">
        <v>2949</v>
      </c>
      <c r="C10">
        <v>1020185</v>
      </c>
      <c r="D10">
        <v>-38436</v>
      </c>
      <c r="E10">
        <v>-236776</v>
      </c>
      <c r="F10">
        <v>73534</v>
      </c>
      <c r="G10">
        <v>393398</v>
      </c>
      <c r="H10">
        <v>7212275</v>
      </c>
    </row>
    <row r="11" spans="1:8" x14ac:dyDescent="0.25">
      <c r="A11" t="s">
        <v>2950</v>
      </c>
      <c r="B11" t="s">
        <v>2951</v>
      </c>
      <c r="C11">
        <v>24291149</v>
      </c>
      <c r="D11">
        <v>4193611</v>
      </c>
      <c r="E11">
        <v>4698564</v>
      </c>
      <c r="F11">
        <v>3394665</v>
      </c>
      <c r="G11">
        <v>5990438</v>
      </c>
      <c r="H11">
        <v>19336530</v>
      </c>
    </row>
    <row r="12" spans="1:8" x14ac:dyDescent="0.25">
      <c r="A12" t="s">
        <v>2952</v>
      </c>
      <c r="B12" t="s">
        <v>2953</v>
      </c>
      <c r="C12">
        <v>-21297511</v>
      </c>
      <c r="D12">
        <v>-13958181</v>
      </c>
      <c r="E12">
        <v>-24594632</v>
      </c>
      <c r="F12">
        <v>-16355506</v>
      </c>
      <c r="G12">
        <v>-14308228</v>
      </c>
      <c r="H12">
        <v>-16024073</v>
      </c>
    </row>
    <row r="13" spans="1:8" x14ac:dyDescent="0.25">
      <c r="A13" t="s">
        <v>2954</v>
      </c>
      <c r="B13" t="s">
        <v>2955</v>
      </c>
      <c r="C13">
        <v>-396678</v>
      </c>
      <c r="D13">
        <v>-2760706</v>
      </c>
      <c r="E13">
        <v>-246161</v>
      </c>
      <c r="F13">
        <v>-949564</v>
      </c>
      <c r="G13">
        <v>-1011064</v>
      </c>
      <c r="H13">
        <v>-2868804</v>
      </c>
    </row>
    <row r="14" spans="1:8" x14ac:dyDescent="0.25">
      <c r="A14" t="s">
        <v>5</v>
      </c>
      <c r="B14" t="s">
        <v>2956</v>
      </c>
      <c r="C14">
        <v>4719587</v>
      </c>
      <c r="D14">
        <v>37080569</v>
      </c>
      <c r="E14">
        <v>5837256</v>
      </c>
      <c r="F14">
        <v>-55625902</v>
      </c>
      <c r="G14">
        <v>53028089</v>
      </c>
      <c r="H14">
        <v>-4628816</v>
      </c>
    </row>
    <row r="15" spans="1:8" x14ac:dyDescent="0.25">
      <c r="A15" t="s">
        <v>2957</v>
      </c>
      <c r="B15" t="s">
        <v>2958</v>
      </c>
      <c r="C15">
        <v>-662615</v>
      </c>
      <c r="D15">
        <v>-590652</v>
      </c>
      <c r="E15">
        <v>429944</v>
      </c>
      <c r="F15">
        <v>987873</v>
      </c>
      <c r="G15">
        <v>-511568</v>
      </c>
      <c r="H15">
        <v>-94500</v>
      </c>
    </row>
    <row r="16" spans="1:8" x14ac:dyDescent="0.25">
      <c r="A16" t="s">
        <v>2959</v>
      </c>
      <c r="B16" t="s">
        <v>2960</v>
      </c>
      <c r="C16">
        <v>10237909</v>
      </c>
      <c r="D16">
        <v>1773884</v>
      </c>
      <c r="E16">
        <v>1442296</v>
      </c>
      <c r="F16">
        <v>1029920</v>
      </c>
      <c r="G16">
        <v>-1903670</v>
      </c>
      <c r="H16">
        <v>-1819649</v>
      </c>
    </row>
    <row r="17" spans="1:8" x14ac:dyDescent="0.25">
      <c r="A17" t="s">
        <v>2961</v>
      </c>
      <c r="B17" t="s">
        <v>2962</v>
      </c>
      <c r="C17">
        <v>-5999822</v>
      </c>
      <c r="D17">
        <v>15893067</v>
      </c>
      <c r="E17">
        <v>15617690</v>
      </c>
      <c r="F17">
        <v>-101730120</v>
      </c>
      <c r="G17">
        <v>-9878767</v>
      </c>
      <c r="H17">
        <v>-18509409</v>
      </c>
    </row>
    <row r="18" spans="1:8" x14ac:dyDescent="0.25">
      <c r="A18" t="s">
        <v>2963</v>
      </c>
      <c r="B18" t="s">
        <v>2964</v>
      </c>
      <c r="C18">
        <v>8371889</v>
      </c>
      <c r="D18">
        <v>37242369</v>
      </c>
      <c r="E18">
        <v>2767966</v>
      </c>
      <c r="F18">
        <v>-2656127</v>
      </c>
      <c r="G18">
        <v>-1107820</v>
      </c>
      <c r="H18">
        <v>3081369</v>
      </c>
    </row>
    <row r="19" spans="1:8" x14ac:dyDescent="0.25">
      <c r="A19" t="s">
        <v>2965</v>
      </c>
      <c r="B19" t="s">
        <v>2966</v>
      </c>
      <c r="C19">
        <v>-28015197</v>
      </c>
      <c r="D19">
        <v>-5540000</v>
      </c>
      <c r="F19">
        <v>742061</v>
      </c>
      <c r="G19">
        <v>781347</v>
      </c>
      <c r="H19">
        <v>4683926</v>
      </c>
    </row>
    <row r="20" spans="1:8" x14ac:dyDescent="0.25">
      <c r="A20" t="s">
        <v>2967</v>
      </c>
      <c r="B20" t="s">
        <v>2968</v>
      </c>
      <c r="C20">
        <v>10966904</v>
      </c>
      <c r="D20">
        <v>-15099937</v>
      </c>
      <c r="E20">
        <v>3655541</v>
      </c>
      <c r="F20">
        <v>-12243266</v>
      </c>
      <c r="G20">
        <v>3470757</v>
      </c>
      <c r="H20">
        <v>-1019209</v>
      </c>
    </row>
    <row r="21" spans="1:8" x14ac:dyDescent="0.25">
      <c r="A21" t="s">
        <v>2969</v>
      </c>
      <c r="B21" t="s">
        <v>2970</v>
      </c>
      <c r="C21">
        <v>24342752</v>
      </c>
      <c r="D21">
        <v>18741920</v>
      </c>
      <c r="E21">
        <v>28233574</v>
      </c>
      <c r="F21">
        <v>45598382</v>
      </c>
      <c r="G21">
        <v>74450522</v>
      </c>
      <c r="H21">
        <v>14956843</v>
      </c>
    </row>
    <row r="22" spans="1:8" x14ac:dyDescent="0.25">
      <c r="A22" t="s">
        <v>2971</v>
      </c>
      <c r="B22" t="s">
        <v>2972</v>
      </c>
      <c r="C22">
        <v>-8941751</v>
      </c>
      <c r="D22">
        <v>-2222826</v>
      </c>
      <c r="E22">
        <v>70481</v>
      </c>
      <c r="F22">
        <v>15292732</v>
      </c>
      <c r="G22">
        <v>-15238806</v>
      </c>
      <c r="H22">
        <v>2439763</v>
      </c>
    </row>
    <row r="23" spans="1:8" x14ac:dyDescent="0.25">
      <c r="A23" t="s">
        <v>2973</v>
      </c>
      <c r="B23" t="s">
        <v>2974</v>
      </c>
      <c r="C23">
        <v>1677594</v>
      </c>
      <c r="D23">
        <v>-22057227</v>
      </c>
      <c r="E23">
        <v>-46487936</v>
      </c>
      <c r="F23">
        <v>-2180730</v>
      </c>
      <c r="G23">
        <v>4714</v>
      </c>
      <c r="H23">
        <v>-1222723</v>
      </c>
    </row>
    <row r="24" spans="1:8" x14ac:dyDescent="0.25">
      <c r="A24" t="s">
        <v>2975</v>
      </c>
      <c r="B24" t="s">
        <v>2976</v>
      </c>
      <c r="C24">
        <v>-7258076</v>
      </c>
      <c r="D24">
        <v>8939971</v>
      </c>
      <c r="E24">
        <v>107699</v>
      </c>
      <c r="F24">
        <v>-466627</v>
      </c>
      <c r="G24">
        <v>2961380</v>
      </c>
      <c r="H24">
        <v>-7125227</v>
      </c>
    </row>
    <row r="25" spans="1:8" x14ac:dyDescent="0.25">
      <c r="A25" t="s">
        <v>14</v>
      </c>
      <c r="B25" t="s">
        <v>2977</v>
      </c>
      <c r="C25">
        <v>-787793</v>
      </c>
      <c r="D25">
        <v>32146499</v>
      </c>
      <c r="E25">
        <v>-5555266</v>
      </c>
      <c r="F25">
        <v>-53005582</v>
      </c>
      <c r="G25">
        <v>57095091</v>
      </c>
      <c r="H25">
        <v>-8156710</v>
      </c>
    </row>
    <row r="26" spans="1:8" x14ac:dyDescent="0.25">
      <c r="A26" t="s">
        <v>1572</v>
      </c>
      <c r="B26" t="s">
        <v>2978</v>
      </c>
    </row>
    <row r="27" spans="1:8" x14ac:dyDescent="0.25">
      <c r="A27" t="s">
        <v>6</v>
      </c>
      <c r="B27" t="s">
        <v>2979</v>
      </c>
      <c r="C27">
        <v>-128731841</v>
      </c>
      <c r="D27">
        <v>-136050814</v>
      </c>
      <c r="E27">
        <v>-288479227</v>
      </c>
      <c r="F27">
        <v>-110242183</v>
      </c>
      <c r="G27">
        <v>-95288936</v>
      </c>
      <c r="H27">
        <v>-42945092</v>
      </c>
    </row>
    <row r="28" spans="1:8" x14ac:dyDescent="0.25">
      <c r="A28" t="s">
        <v>7</v>
      </c>
      <c r="B28" t="s">
        <v>2980</v>
      </c>
      <c r="C28">
        <v>114125512</v>
      </c>
      <c r="D28">
        <v>102695959</v>
      </c>
      <c r="E28">
        <v>277047762</v>
      </c>
      <c r="F28">
        <v>162991729</v>
      </c>
      <c r="G28">
        <v>99151063</v>
      </c>
      <c r="H28">
        <v>40401469</v>
      </c>
    </row>
    <row r="29" spans="1:8" x14ac:dyDescent="0.25">
      <c r="A29" t="s">
        <v>9</v>
      </c>
      <c r="B29" t="s">
        <v>2981</v>
      </c>
      <c r="C29">
        <v>-3535064</v>
      </c>
      <c r="D29">
        <v>1372613</v>
      </c>
      <c r="E29">
        <v>2689691</v>
      </c>
      <c r="F29">
        <v>-669730</v>
      </c>
      <c r="G29">
        <v>-95912545</v>
      </c>
      <c r="H29">
        <v>-30575649</v>
      </c>
    </row>
    <row r="30" spans="1:8" x14ac:dyDescent="0.25">
      <c r="A30" t="s">
        <v>478</v>
      </c>
      <c r="B30" t="s">
        <v>2982</v>
      </c>
      <c r="C30">
        <v>54206</v>
      </c>
      <c r="D30">
        <v>2923031</v>
      </c>
      <c r="E30">
        <v>1603493</v>
      </c>
      <c r="F30">
        <v>1854959</v>
      </c>
      <c r="G30">
        <v>43876921</v>
      </c>
      <c r="H30">
        <v>31190381</v>
      </c>
    </row>
    <row r="31" spans="1:8" x14ac:dyDescent="0.25">
      <c r="A31" t="s">
        <v>479</v>
      </c>
      <c r="B31" t="s">
        <v>2983</v>
      </c>
      <c r="C31">
        <v>-446438</v>
      </c>
      <c r="D31">
        <v>-159965</v>
      </c>
      <c r="E31">
        <v>-485161</v>
      </c>
      <c r="F31">
        <v>-825096</v>
      </c>
      <c r="G31">
        <v>-1766021</v>
      </c>
      <c r="H31">
        <v>-2336352</v>
      </c>
    </row>
    <row r="32" spans="1:8" x14ac:dyDescent="0.25">
      <c r="A32" t="s">
        <v>814</v>
      </c>
      <c r="B32" t="s">
        <v>2984</v>
      </c>
      <c r="C32">
        <v>111318</v>
      </c>
      <c r="D32">
        <v>21161</v>
      </c>
      <c r="E32">
        <v>383889</v>
      </c>
      <c r="F32">
        <v>426564</v>
      </c>
      <c r="G32">
        <v>252553</v>
      </c>
      <c r="H32">
        <v>344143</v>
      </c>
    </row>
    <row r="33" spans="1:8" x14ac:dyDescent="0.25">
      <c r="A33" t="s">
        <v>2985</v>
      </c>
      <c r="B33" t="s">
        <v>2986</v>
      </c>
      <c r="C33">
        <v>-37371</v>
      </c>
      <c r="D33">
        <v>503</v>
      </c>
      <c r="E33">
        <v>93482</v>
      </c>
      <c r="F33">
        <v>8</v>
      </c>
      <c r="G33">
        <v>86</v>
      </c>
    </row>
    <row r="34" spans="1:8" x14ac:dyDescent="0.25">
      <c r="A34" t="s">
        <v>2987</v>
      </c>
      <c r="B34" t="s">
        <v>2988</v>
      </c>
      <c r="C34">
        <v>-18459678</v>
      </c>
      <c r="D34">
        <v>-29197512</v>
      </c>
      <c r="E34">
        <v>-7146071</v>
      </c>
      <c r="F34">
        <v>53536251</v>
      </c>
      <c r="G34">
        <v>-49686878</v>
      </c>
      <c r="H34">
        <v>-3921100</v>
      </c>
    </row>
    <row r="35" spans="1:8" x14ac:dyDescent="0.25">
      <c r="A35" t="s">
        <v>1539</v>
      </c>
      <c r="B35" t="s">
        <v>2989</v>
      </c>
    </row>
    <row r="36" spans="1:8" x14ac:dyDescent="0.25">
      <c r="A36" t="s">
        <v>10</v>
      </c>
      <c r="B36" t="s">
        <v>2990</v>
      </c>
      <c r="C36">
        <v>9800000</v>
      </c>
      <c r="D36">
        <v>4210837</v>
      </c>
      <c r="E36">
        <v>10000000</v>
      </c>
    </row>
    <row r="37" spans="1:8" x14ac:dyDescent="0.25">
      <c r="A37" t="s">
        <v>11</v>
      </c>
      <c r="B37" t="s">
        <v>2991</v>
      </c>
      <c r="C37">
        <v>0</v>
      </c>
      <c r="D37">
        <v>0</v>
      </c>
    </row>
    <row r="38" spans="1:8" x14ac:dyDescent="0.25">
      <c r="A38" t="s">
        <v>2992</v>
      </c>
      <c r="B38" t="s">
        <v>2993</v>
      </c>
      <c r="C38">
        <v>0</v>
      </c>
      <c r="D38">
        <v>0</v>
      </c>
    </row>
    <row r="39" spans="1:8" x14ac:dyDescent="0.25">
      <c r="A39" t="s">
        <v>2994</v>
      </c>
      <c r="B39" t="s">
        <v>1016</v>
      </c>
      <c r="C39">
        <v>0</v>
      </c>
      <c r="D39">
        <v>0</v>
      </c>
    </row>
    <row r="40" spans="1:8" x14ac:dyDescent="0.25">
      <c r="A40" t="s">
        <v>2995</v>
      </c>
      <c r="B40" t="s">
        <v>2996</v>
      </c>
      <c r="C40">
        <v>9800000</v>
      </c>
      <c r="D40">
        <v>4210837</v>
      </c>
      <c r="E40">
        <v>10000000</v>
      </c>
    </row>
    <row r="41" spans="1:8" x14ac:dyDescent="0.25">
      <c r="A41" t="s">
        <v>1540</v>
      </c>
      <c r="B41" t="s">
        <v>2997</v>
      </c>
      <c r="C41">
        <v>8040061</v>
      </c>
      <c r="D41">
        <v>-9540574</v>
      </c>
      <c r="E41">
        <v>940149</v>
      </c>
      <c r="F41">
        <v>-73879</v>
      </c>
      <c r="G41">
        <v>37545</v>
      </c>
      <c r="H41">
        <v>18363042</v>
      </c>
    </row>
    <row r="42" spans="1:8" x14ac:dyDescent="0.25">
      <c r="A42" t="s">
        <v>1541</v>
      </c>
      <c r="B42" t="s">
        <v>2998</v>
      </c>
      <c r="C42">
        <v>-1407410</v>
      </c>
      <c r="D42">
        <v>-2380750</v>
      </c>
      <c r="E42">
        <v>-1761187</v>
      </c>
      <c r="F42">
        <v>456790</v>
      </c>
      <c r="G42">
        <v>7445758</v>
      </c>
      <c r="H42">
        <v>6285232</v>
      </c>
    </row>
    <row r="43" spans="1:8" x14ac:dyDescent="0.25">
      <c r="A43" t="s">
        <v>483</v>
      </c>
      <c r="B43" t="s">
        <v>2999</v>
      </c>
      <c r="C43">
        <v>26849761</v>
      </c>
      <c r="D43">
        <v>25442351</v>
      </c>
      <c r="E43">
        <v>23061601</v>
      </c>
      <c r="F43">
        <v>21300414</v>
      </c>
      <c r="G43">
        <v>21757204</v>
      </c>
      <c r="H43">
        <v>29202962</v>
      </c>
    </row>
    <row r="44" spans="1:8" x14ac:dyDescent="0.25">
      <c r="A44" t="s">
        <v>484</v>
      </c>
      <c r="B44" t="s">
        <v>3000</v>
      </c>
      <c r="C44">
        <v>25442351</v>
      </c>
      <c r="D44">
        <v>23061601</v>
      </c>
      <c r="E44">
        <v>21300414</v>
      </c>
      <c r="F44">
        <v>21757204</v>
      </c>
      <c r="G44">
        <v>29202962</v>
      </c>
      <c r="H44">
        <v>35488194</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386"/>
  <sheetViews>
    <sheetView zoomScale="80" zoomScaleNormal="80" workbookViewId="0">
      <pane xSplit="6" ySplit="8" topLeftCell="G189" activePane="bottomRight" state="frozen"/>
      <selection pane="topRight" activeCell="F1" sqref="F1"/>
      <selection pane="bottomLeft" activeCell="A5" sqref="A5"/>
      <selection pane="bottomRight" activeCell="V166" sqref="V166"/>
    </sheetView>
  </sheetViews>
  <sheetFormatPr defaultColWidth="9.140625" defaultRowHeight="15" outlineLevelRow="1" x14ac:dyDescent="0.25"/>
  <cols>
    <col min="1" max="1" width="9.140625" style="1762"/>
    <col min="2" max="2" width="4.7109375" style="1" customWidth="1"/>
    <col min="3" max="3" width="5.28515625" style="3" customWidth="1"/>
    <col min="4" max="4" width="5.42578125" style="3" customWidth="1"/>
    <col min="5" max="5" width="3.85546875" style="3" customWidth="1"/>
    <col min="6" max="6" width="77.42578125" style="3" customWidth="1"/>
    <col min="7" max="11" width="10.28515625" style="1" customWidth="1"/>
    <col min="12" max="12" width="11.140625" style="1" customWidth="1"/>
    <col min="13" max="15" width="10.28515625" style="1" customWidth="1"/>
    <col min="16" max="19" width="12.7109375" style="1" customWidth="1"/>
    <col min="20" max="20" width="11.140625" style="1" customWidth="1"/>
    <col min="21" max="22" width="13.140625" style="1" customWidth="1"/>
    <col min="23" max="23" width="10.28515625" style="1" customWidth="1"/>
    <col min="24" max="26" width="9.140625" style="1" customWidth="1"/>
    <col min="27" max="31" width="12.140625" style="1" customWidth="1"/>
    <col min="32" max="32" width="12.140625" style="1" bestFit="1" customWidth="1"/>
    <col min="33" max="34" width="12.85546875" style="1" bestFit="1" customWidth="1"/>
    <col min="35" max="16384" width="9.140625" style="1"/>
  </cols>
  <sheetData>
    <row r="1" spans="1:24" ht="16.5" customHeight="1" x14ac:dyDescent="0.25">
      <c r="B1" s="93"/>
      <c r="C1" s="336"/>
      <c r="D1" s="93"/>
      <c r="E1" s="327"/>
      <c r="F1" s="93"/>
      <c r="G1" s="93"/>
      <c r="H1" s="93"/>
      <c r="I1" s="93"/>
      <c r="J1" s="93"/>
      <c r="K1" s="230"/>
      <c r="L1" s="337"/>
      <c r="M1" s="337"/>
      <c r="N1" s="337"/>
      <c r="O1" s="337"/>
      <c r="P1" s="337"/>
      <c r="Q1" s="337"/>
      <c r="R1" s="337"/>
      <c r="S1" s="337"/>
      <c r="T1" s="337"/>
      <c r="U1" s="337"/>
      <c r="V1" s="337"/>
      <c r="W1" s="337"/>
    </row>
    <row r="2" spans="1:24" ht="16.5" customHeight="1" x14ac:dyDescent="0.25">
      <c r="B2" s="93"/>
      <c r="C2" s="336"/>
      <c r="D2" s="93"/>
      <c r="E2" s="327"/>
      <c r="F2" s="93"/>
      <c r="G2" s="93"/>
      <c r="H2" s="93"/>
      <c r="I2" s="93"/>
      <c r="J2" s="93"/>
      <c r="K2" s="230"/>
      <c r="L2" s="337"/>
      <c r="M2" s="337"/>
      <c r="N2" s="337"/>
      <c r="O2" s="337"/>
      <c r="P2" s="337"/>
      <c r="Q2" s="337"/>
      <c r="R2" s="337"/>
      <c r="S2" s="337"/>
      <c r="T2" s="337"/>
      <c r="U2" s="337"/>
      <c r="V2" s="337"/>
      <c r="W2" s="337"/>
    </row>
    <row r="3" spans="1:24" ht="16.5" customHeight="1" x14ac:dyDescent="0.25">
      <c r="B3" s="93"/>
      <c r="C3" s="336"/>
      <c r="D3" s="93"/>
      <c r="E3" s="327"/>
      <c r="F3" s="93"/>
      <c r="G3" s="93"/>
      <c r="H3" s="93"/>
      <c r="I3" s="93"/>
      <c r="J3" s="93"/>
      <c r="K3" s="230"/>
      <c r="L3" s="337"/>
      <c r="M3" s="337"/>
      <c r="N3" s="337"/>
      <c r="O3" s="337"/>
      <c r="P3" s="337"/>
      <c r="Q3" s="337"/>
      <c r="R3" s="337"/>
      <c r="S3" s="337"/>
      <c r="T3" s="337"/>
      <c r="U3" s="337"/>
      <c r="V3" s="337"/>
      <c r="W3" s="337"/>
    </row>
    <row r="4" spans="1:24" ht="16.5" customHeight="1" x14ac:dyDescent="0.25">
      <c r="B4" s="93"/>
      <c r="C4" s="336"/>
      <c r="D4" s="93"/>
      <c r="E4" s="327"/>
      <c r="F4" s="93"/>
      <c r="G4" s="93"/>
      <c r="H4" s="93"/>
      <c r="I4" s="93"/>
      <c r="J4" s="93"/>
      <c r="K4" s="230"/>
      <c r="L4" s="337"/>
      <c r="M4" s="337"/>
      <c r="N4" s="337"/>
      <c r="O4" s="337"/>
      <c r="P4" s="337"/>
      <c r="Q4" s="337"/>
      <c r="R4" s="337"/>
      <c r="S4" s="337"/>
      <c r="T4" s="337"/>
      <c r="U4" s="337"/>
      <c r="V4" s="337"/>
      <c r="W4" s="337"/>
    </row>
    <row r="5" spans="1:24" ht="16.5" customHeight="1" x14ac:dyDescent="0.25">
      <c r="B5" s="21"/>
      <c r="C5" s="338"/>
      <c r="D5" s="21"/>
      <c r="E5" s="338"/>
      <c r="F5" s="21"/>
      <c r="G5" s="21"/>
      <c r="H5" s="21"/>
      <c r="I5" s="21"/>
      <c r="J5" s="21"/>
      <c r="K5" s="339"/>
      <c r="L5" s="340"/>
      <c r="M5" s="340"/>
      <c r="N5" s="340"/>
      <c r="O5" s="340"/>
      <c r="P5" s="340"/>
      <c r="Q5" s="340"/>
      <c r="R5" s="340"/>
      <c r="S5" s="340"/>
      <c r="T5" s="340"/>
      <c r="U5" s="340"/>
      <c r="V5" s="340"/>
      <c r="W5" s="340"/>
    </row>
    <row r="6" spans="1:24" s="103" customFormat="1" ht="18" x14ac:dyDescent="0.3">
      <c r="A6" s="1763"/>
      <c r="B6" s="101"/>
      <c r="C6" s="102"/>
      <c r="D6" s="240"/>
      <c r="E6" s="102"/>
      <c r="F6" s="102"/>
      <c r="G6" s="104"/>
      <c r="H6" s="104"/>
      <c r="I6" s="104"/>
      <c r="J6" s="104"/>
      <c r="K6" s="101"/>
      <c r="L6" s="101"/>
      <c r="M6" s="101"/>
      <c r="N6" s="101"/>
      <c r="O6" s="101"/>
      <c r="P6" s="101"/>
      <c r="Q6" s="101"/>
      <c r="R6" s="101"/>
      <c r="S6" s="101"/>
      <c r="T6" s="101"/>
      <c r="U6" s="101"/>
      <c r="V6" s="101"/>
      <c r="W6" s="101"/>
    </row>
    <row r="7" spans="1:24" s="103" customFormat="1" ht="16.5" x14ac:dyDescent="0.3">
      <c r="A7" s="1763"/>
      <c r="B7" s="460"/>
      <c r="C7" s="460"/>
      <c r="D7" s="460"/>
      <c r="E7" s="460" t="str">
        <f>МСФО_ввод!D7</f>
        <v>млрд руб.</v>
      </c>
      <c r="G7" s="461" t="s">
        <v>348</v>
      </c>
      <c r="H7" s="460"/>
      <c r="I7" s="460"/>
      <c r="J7" s="460"/>
      <c r="K7" s="460"/>
      <c r="L7" s="460"/>
      <c r="M7" s="460"/>
      <c r="N7" s="460"/>
      <c r="O7" s="460"/>
      <c r="P7" s="460"/>
      <c r="Q7" s="460"/>
      <c r="R7" s="460"/>
      <c r="S7" s="460"/>
      <c r="T7" s="460"/>
      <c r="U7" s="460"/>
      <c r="V7" s="460"/>
      <c r="W7" s="460"/>
    </row>
    <row r="8" spans="1:24" s="103" customFormat="1" ht="16.5" x14ac:dyDescent="0.3">
      <c r="A8" s="1763"/>
      <c r="B8" s="463"/>
      <c r="C8" s="463"/>
      <c r="D8" s="463"/>
      <c r="E8" s="463"/>
      <c r="F8" s="101"/>
      <c r="G8" s="464">
        <v>2010</v>
      </c>
      <c r="H8" s="464">
        <v>2011</v>
      </c>
      <c r="I8" s="464">
        <v>2012</v>
      </c>
      <c r="J8" s="464">
        <v>2013</v>
      </c>
      <c r="K8" s="464">
        <v>2014</v>
      </c>
      <c r="L8" s="464">
        <v>2015</v>
      </c>
      <c r="M8" s="464">
        <v>2016</v>
      </c>
      <c r="N8" s="464">
        <v>2017</v>
      </c>
      <c r="O8" s="464">
        <v>2018</v>
      </c>
      <c r="P8" s="464">
        <v>2019</v>
      </c>
      <c r="Q8" s="464">
        <v>2020</v>
      </c>
      <c r="R8" s="464">
        <v>2021</v>
      </c>
      <c r="S8" s="464">
        <v>2022</v>
      </c>
      <c r="T8" s="464">
        <v>2023</v>
      </c>
      <c r="U8" s="464">
        <v>2024</v>
      </c>
      <c r="V8" s="464">
        <v>2025</v>
      </c>
      <c r="W8" s="1377"/>
    </row>
    <row r="9" spans="1:24" x14ac:dyDescent="0.25">
      <c r="B9" s="4"/>
      <c r="C9" s="6"/>
      <c r="D9" s="6"/>
      <c r="E9" s="6"/>
      <c r="F9" s="6"/>
      <c r="G9" s="8"/>
      <c r="H9" s="8"/>
      <c r="I9" s="8"/>
      <c r="J9" s="8"/>
      <c r="K9" s="8"/>
      <c r="L9" s="8"/>
      <c r="M9" s="8"/>
      <c r="N9" s="8"/>
      <c r="O9" s="8"/>
      <c r="P9" s="8"/>
      <c r="Q9" s="8"/>
      <c r="R9" s="8"/>
      <c r="S9" s="8"/>
      <c r="T9" s="8"/>
      <c r="U9" s="8"/>
      <c r="V9" s="8"/>
      <c r="W9" s="8"/>
    </row>
    <row r="10" spans="1:24" x14ac:dyDescent="0.25">
      <c r="B10" s="4"/>
      <c r="C10" s="6"/>
      <c r="D10" s="6"/>
      <c r="E10" s="6"/>
      <c r="F10" s="6"/>
      <c r="G10" s="8"/>
      <c r="H10" s="8"/>
      <c r="I10" s="141"/>
      <c r="J10" s="141"/>
      <c r="K10" s="141"/>
      <c r="L10" s="141"/>
      <c r="M10" s="141"/>
      <c r="N10" s="141"/>
      <c r="O10" s="141"/>
      <c r="P10" s="141"/>
      <c r="Q10" s="141"/>
      <c r="R10" s="141"/>
      <c r="S10" s="141"/>
      <c r="T10" s="141"/>
      <c r="U10" s="141"/>
      <c r="V10" s="141"/>
      <c r="W10" s="141"/>
    </row>
    <row r="11" spans="1:24" x14ac:dyDescent="0.25">
      <c r="B11" s="4"/>
      <c r="C11" s="6"/>
      <c r="D11" s="6"/>
      <c r="E11" s="6"/>
      <c r="F11" s="6"/>
      <c r="G11" s="9"/>
      <c r="H11" s="9"/>
      <c r="I11" s="9"/>
      <c r="J11" s="9"/>
      <c r="K11" s="9"/>
      <c r="L11" s="9"/>
      <c r="M11" s="9"/>
      <c r="N11" s="9"/>
      <c r="O11" s="9"/>
      <c r="P11" s="9"/>
      <c r="Q11" s="9"/>
      <c r="R11" s="9"/>
      <c r="S11" s="9"/>
      <c r="T11" s="9"/>
      <c r="U11" s="9"/>
      <c r="V11" s="9"/>
      <c r="W11" s="9"/>
    </row>
    <row r="12" spans="1:24" ht="18" x14ac:dyDescent="0.3">
      <c r="B12" s="159"/>
      <c r="C12" s="160"/>
      <c r="D12" s="466" t="s">
        <v>786</v>
      </c>
      <c r="E12" s="160"/>
      <c r="F12" s="160"/>
      <c r="G12" s="161"/>
      <c r="H12" s="161"/>
      <c r="I12" s="161"/>
      <c r="J12" s="161"/>
      <c r="K12" s="159"/>
      <c r="L12" s="159"/>
      <c r="M12" s="159"/>
      <c r="N12" s="159"/>
      <c r="O12" s="159"/>
      <c r="P12" s="159"/>
      <c r="Q12" s="159"/>
      <c r="R12" s="159"/>
      <c r="S12" s="159"/>
      <c r="T12" s="159"/>
      <c r="U12" s="159"/>
      <c r="V12" s="159"/>
      <c r="W12" s="159"/>
    </row>
    <row r="13" spans="1:24" s="103" customFormat="1" ht="16.5" x14ac:dyDescent="0.3">
      <c r="A13" s="1763"/>
      <c r="B13" s="460"/>
      <c r="C13" s="460"/>
      <c r="D13" s="460" t="s">
        <v>286</v>
      </c>
      <c r="E13" s="460"/>
      <c r="F13" s="1030"/>
      <c r="G13" s="461" t="s">
        <v>348</v>
      </c>
      <c r="H13" s="460"/>
      <c r="I13" s="460"/>
      <c r="J13" s="460"/>
      <c r="K13" s="460"/>
      <c r="L13" s="460"/>
      <c r="M13" s="460"/>
      <c r="N13" s="460"/>
      <c r="O13" s="460"/>
      <c r="P13" s="460"/>
      <c r="Q13" s="460"/>
      <c r="R13" s="460"/>
      <c r="S13" s="460"/>
      <c r="T13" s="460"/>
      <c r="U13" s="460"/>
      <c r="V13" s="460"/>
      <c r="W13" s="460"/>
    </row>
    <row r="14" spans="1:24" s="103" customFormat="1" ht="17.25" thickBot="1" x14ac:dyDescent="0.35">
      <c r="A14" s="1763"/>
      <c r="B14" s="463"/>
      <c r="C14" s="463"/>
      <c r="D14" s="463"/>
      <c r="E14" s="463"/>
      <c r="F14" s="460"/>
      <c r="G14" s="464">
        <f>G8</f>
        <v>2010</v>
      </c>
      <c r="H14" s="464">
        <f t="shared" ref="H14:V14" si="0">H8</f>
        <v>2011</v>
      </c>
      <c r="I14" s="464">
        <f t="shared" si="0"/>
        <v>2012</v>
      </c>
      <c r="J14" s="464">
        <f t="shared" si="0"/>
        <v>2013</v>
      </c>
      <c r="K14" s="464">
        <f t="shared" si="0"/>
        <v>2014</v>
      </c>
      <c r="L14" s="464">
        <f t="shared" si="0"/>
        <v>2015</v>
      </c>
      <c r="M14" s="464">
        <f t="shared" si="0"/>
        <v>2016</v>
      </c>
      <c r="N14" s="464">
        <f t="shared" si="0"/>
        <v>2017</v>
      </c>
      <c r="O14" s="464">
        <f t="shared" si="0"/>
        <v>2018</v>
      </c>
      <c r="P14" s="464">
        <f t="shared" si="0"/>
        <v>2019</v>
      </c>
      <c r="Q14" s="464">
        <f t="shared" si="0"/>
        <v>2020</v>
      </c>
      <c r="R14" s="464">
        <f t="shared" si="0"/>
        <v>2021</v>
      </c>
      <c r="S14" s="464">
        <f t="shared" si="0"/>
        <v>2022</v>
      </c>
      <c r="T14" s="464">
        <f t="shared" si="0"/>
        <v>2023</v>
      </c>
      <c r="U14" s="464">
        <f t="shared" si="0"/>
        <v>2024</v>
      </c>
      <c r="V14" s="464">
        <f t="shared" si="0"/>
        <v>2025</v>
      </c>
      <c r="W14" s="1377"/>
    </row>
    <row r="15" spans="1:24" s="103" customFormat="1" ht="16.5" x14ac:dyDescent="0.3">
      <c r="A15" s="1763"/>
      <c r="B15" s="994"/>
      <c r="C15" s="995" t="s">
        <v>2</v>
      </c>
      <c r="D15" s="995" t="s">
        <v>258</v>
      </c>
      <c r="E15" s="995"/>
      <c r="F15" s="995"/>
      <c r="G15" s="996">
        <f>0.114*G21</f>
        <v>2526.7302</v>
      </c>
      <c r="H15" s="996">
        <f>0.093*H21</f>
        <v>3325.7357999999999</v>
      </c>
      <c r="I15" s="996">
        <f>0.085*I21</f>
        <v>3794.4594999999999</v>
      </c>
      <c r="J15" s="996">
        <f>SUM(J16:J17)</f>
        <v>4838</v>
      </c>
      <c r="K15" s="1031">
        <f t="shared" ref="K15:V15" si="1">K16+K17</f>
        <v>5718.4000000000005</v>
      </c>
      <c r="L15" s="1031">
        <f t="shared" si="1"/>
        <v>6002.5</v>
      </c>
      <c r="M15" s="1031">
        <f t="shared" si="1"/>
        <v>6586.7</v>
      </c>
      <c r="N15" s="1031">
        <f t="shared" si="1"/>
        <v>6622.7999999999993</v>
      </c>
      <c r="O15" s="1031">
        <f t="shared" si="1"/>
        <v>7499.7</v>
      </c>
      <c r="P15" s="1031">
        <f t="shared" si="1"/>
        <v>8224.5</v>
      </c>
      <c r="Q15" s="1031">
        <f t="shared" si="1"/>
        <v>8890.7928810000012</v>
      </c>
      <c r="R15" s="1031">
        <f t="shared" si="1"/>
        <v>9933.1985399999994</v>
      </c>
      <c r="S15" s="1031">
        <f t="shared" si="1"/>
        <v>10944.141398000002</v>
      </c>
      <c r="T15" s="1031">
        <f t="shared" si="1"/>
        <v>13909.690546</v>
      </c>
      <c r="U15" s="1031">
        <f t="shared" si="1"/>
        <v>15482.942283</v>
      </c>
      <c r="V15" s="1031">
        <f t="shared" si="1"/>
        <v>17262.788085</v>
      </c>
      <c r="W15" s="1713"/>
    </row>
    <row r="16" spans="1:24" s="167" customFormat="1" ht="16.5" x14ac:dyDescent="0.25">
      <c r="A16" s="1764"/>
      <c r="B16" s="796"/>
      <c r="C16" s="796"/>
      <c r="D16" s="796" t="s">
        <v>74</v>
      </c>
      <c r="E16" s="796" t="s">
        <v>77</v>
      </c>
      <c r="F16" s="796"/>
      <c r="G16" s="1032"/>
      <c r="H16" s="1032"/>
      <c r="I16" s="1032"/>
      <c r="J16" s="1032">
        <v>4812</v>
      </c>
      <c r="K16" s="1032">
        <v>5638.3</v>
      </c>
      <c r="L16" s="1032">
        <v>5857.8</v>
      </c>
      <c r="M16" s="1032">
        <v>6408.2</v>
      </c>
      <c r="N16" s="1032">
        <v>6417.9</v>
      </c>
      <c r="O16" s="1032">
        <v>7012.3</v>
      </c>
      <c r="P16" s="1032">
        <v>7643.2</v>
      </c>
      <c r="Q16" s="1032">
        <v>8043.1992630000004</v>
      </c>
      <c r="R16" s="1032">
        <v>8739.7856219999994</v>
      </c>
      <c r="S16" s="1032">
        <v>9798.4798640000008</v>
      </c>
      <c r="T16" s="1032">
        <v>12660.924756</v>
      </c>
      <c r="U16" s="1032">
        <v>14138.606229999999</v>
      </c>
      <c r="V16" s="1032">
        <v>16078.149975</v>
      </c>
      <c r="W16" s="1032"/>
      <c r="X16" s="102"/>
    </row>
    <row r="17" spans="1:24" s="167" customFormat="1" ht="16.5" x14ac:dyDescent="0.25">
      <c r="A17" s="1764"/>
      <c r="B17" s="796"/>
      <c r="C17" s="796"/>
      <c r="D17" s="796" t="s">
        <v>74</v>
      </c>
      <c r="E17" s="796" t="s">
        <v>78</v>
      </c>
      <c r="F17" s="796"/>
      <c r="G17" s="1032"/>
      <c r="H17" s="1032"/>
      <c r="I17" s="1032"/>
      <c r="J17" s="1032">
        <v>26</v>
      </c>
      <c r="K17" s="1032">
        <v>80.099999999999994</v>
      </c>
      <c r="L17" s="1032">
        <v>144.69999999999999</v>
      </c>
      <c r="M17" s="1032">
        <v>178.5</v>
      </c>
      <c r="N17" s="1032">
        <v>204.9</v>
      </c>
      <c r="O17" s="1032">
        <v>487.4</v>
      </c>
      <c r="P17" s="1032">
        <v>581.29999999999995</v>
      </c>
      <c r="Q17" s="1032">
        <v>847.59361799999999</v>
      </c>
      <c r="R17" s="1032">
        <v>1193.412918</v>
      </c>
      <c r="S17" s="1032">
        <v>1145.6615340000001</v>
      </c>
      <c r="T17" s="1032">
        <v>1248.7657899999999</v>
      </c>
      <c r="U17" s="1032">
        <v>1344.336053</v>
      </c>
      <c r="V17" s="1032">
        <v>1184.6381100000001</v>
      </c>
      <c r="W17" s="1032"/>
      <c r="X17" s="102"/>
    </row>
    <row r="18" spans="1:24" s="103" customFormat="1" ht="17.25" collapsed="1" thickBot="1" x14ac:dyDescent="0.35">
      <c r="A18" s="1763"/>
      <c r="B18" s="1033"/>
      <c r="C18" s="1034" t="s">
        <v>15</v>
      </c>
      <c r="D18" s="1035" t="s">
        <v>79</v>
      </c>
      <c r="E18" s="1036"/>
      <c r="F18" s="1034"/>
      <c r="G18" s="1037">
        <f>G19-G15</f>
        <v>2205.5698000000002</v>
      </c>
      <c r="H18" s="1037">
        <f>H19-H15</f>
        <v>1916.3642000000004</v>
      </c>
      <c r="I18" s="1037">
        <f>I19-I15</f>
        <v>2318.4404999999997</v>
      </c>
      <c r="J18" s="1037">
        <f>J19-J15</f>
        <v>2226.3000000000002</v>
      </c>
      <c r="K18" s="1038">
        <v>2210</v>
      </c>
      <c r="L18" s="1038">
        <v>3006.1</v>
      </c>
      <c r="M18" s="1038">
        <v>2800.4</v>
      </c>
      <c r="N18" s="1038">
        <v>2774.6</v>
      </c>
      <c r="O18" s="1038">
        <v>2769.6</v>
      </c>
      <c r="P18" s="1038">
        <v>2756.6</v>
      </c>
      <c r="Q18" s="1038">
        <v>2522.3502629999998</v>
      </c>
      <c r="R18" s="1038">
        <v>2671.8550289999998</v>
      </c>
      <c r="S18" s="1038">
        <v>2404.075574</v>
      </c>
      <c r="T18" s="1038">
        <v>3232.761043</v>
      </c>
      <c r="U18" s="1038">
        <v>3431.0443559999999</v>
      </c>
      <c r="V18" s="1038">
        <v>3467.7549319999998</v>
      </c>
      <c r="W18" s="1713"/>
    </row>
    <row r="19" spans="1:24" s="166" customFormat="1" ht="16.5" x14ac:dyDescent="0.3">
      <c r="A19" s="1763"/>
      <c r="B19" s="1039"/>
      <c r="C19" s="1040"/>
      <c r="D19" s="1040" t="s">
        <v>1129</v>
      </c>
      <c r="E19" s="1040"/>
      <c r="F19" s="1040"/>
      <c r="G19" s="1041">
        <v>4732.3</v>
      </c>
      <c r="H19" s="1041">
        <v>5242.1000000000004</v>
      </c>
      <c r="I19" s="1041">
        <v>6112.9</v>
      </c>
      <c r="J19" s="1042">
        <v>7064.3</v>
      </c>
      <c r="K19" s="1042">
        <f t="shared" ref="K19:V19" si="2">K15+K18</f>
        <v>7928.4000000000005</v>
      </c>
      <c r="L19" s="1042">
        <f t="shared" si="2"/>
        <v>9008.6</v>
      </c>
      <c r="M19" s="1042">
        <f t="shared" si="2"/>
        <v>9387.1</v>
      </c>
      <c r="N19" s="1042">
        <f t="shared" si="2"/>
        <v>9397.4</v>
      </c>
      <c r="O19" s="1042">
        <f t="shared" si="2"/>
        <v>10269.299999999999</v>
      </c>
      <c r="P19" s="1042">
        <f t="shared" si="2"/>
        <v>10981.1</v>
      </c>
      <c r="Q19" s="1042">
        <f t="shared" si="2"/>
        <v>11413.143144000001</v>
      </c>
      <c r="R19" s="1042">
        <f t="shared" si="2"/>
        <v>12605.053569</v>
      </c>
      <c r="S19" s="1042">
        <f t="shared" si="2"/>
        <v>13348.216972000002</v>
      </c>
      <c r="T19" s="1042">
        <f t="shared" si="2"/>
        <v>17142.451589</v>
      </c>
      <c r="U19" s="1042">
        <f t="shared" si="2"/>
        <v>18913.986638999999</v>
      </c>
      <c r="V19" s="1042">
        <f t="shared" si="2"/>
        <v>20730.543017</v>
      </c>
      <c r="W19" s="1714"/>
    </row>
    <row r="20" spans="1:24" s="103" customFormat="1" ht="16.5" x14ac:dyDescent="0.3">
      <c r="A20" s="1763"/>
      <c r="B20" s="460"/>
      <c r="C20" s="796"/>
      <c r="D20" s="796" t="s">
        <v>83</v>
      </c>
      <c r="E20" s="796"/>
      <c r="F20" s="796"/>
      <c r="G20" s="1043">
        <v>31480.512939</v>
      </c>
      <c r="H20" s="1043">
        <v>39139.627571999998</v>
      </c>
      <c r="I20" s="1043">
        <v>46860.261545000001</v>
      </c>
      <c r="J20" s="1043">
        <v>54382.127765999998</v>
      </c>
      <c r="K20" s="1043">
        <v>73423.808596000003</v>
      </c>
      <c r="L20" s="1043">
        <v>77474.262327999997</v>
      </c>
      <c r="M20" s="1043">
        <v>74092.991330000004</v>
      </c>
      <c r="N20" s="1043">
        <v>77961.133994000003</v>
      </c>
      <c r="O20" s="1043">
        <v>86231.980244000006</v>
      </c>
      <c r="P20" s="1043">
        <v>88796.187569999995</v>
      </c>
      <c r="Q20" s="1043">
        <v>104023.028628</v>
      </c>
      <c r="R20" s="1032">
        <v>120536.62983000001</v>
      </c>
      <c r="S20" s="1032">
        <v>134818.44652900001</v>
      </c>
      <c r="T20" s="1032">
        <v>167830.40549500001</v>
      </c>
      <c r="U20" s="1032">
        <v>199255.74115799999</v>
      </c>
      <c r="V20" s="1032">
        <v>210874.51928499999</v>
      </c>
      <c r="W20" s="1032"/>
    </row>
    <row r="21" spans="1:24" s="103" customFormat="1" ht="16.5" x14ac:dyDescent="0.3">
      <c r="A21" s="1763"/>
      <c r="B21" s="460"/>
      <c r="C21" s="796"/>
      <c r="D21" s="796" t="s">
        <v>82</v>
      </c>
      <c r="E21" s="796"/>
      <c r="F21" s="796"/>
      <c r="G21" s="1043">
        <v>22164.3</v>
      </c>
      <c r="H21" s="1043">
        <v>35760.6</v>
      </c>
      <c r="I21" s="1043">
        <v>44640.7</v>
      </c>
      <c r="J21" s="1032">
        <v>52473.9</v>
      </c>
      <c r="K21" s="1032">
        <v>63456.9</v>
      </c>
      <c r="L21" s="1032">
        <v>70914.5</v>
      </c>
      <c r="M21" s="1032">
        <v>71810.2</v>
      </c>
      <c r="N21" s="1032">
        <v>77884.2</v>
      </c>
      <c r="O21" s="1032">
        <v>84510.1</v>
      </c>
      <c r="P21" s="1032">
        <v>89055.478367000003</v>
      </c>
      <c r="Q21" s="1032">
        <v>90915.544385000001</v>
      </c>
      <c r="R21" s="1032">
        <v>102106.12012399999</v>
      </c>
      <c r="S21" s="1032">
        <v>104188.87504699999</v>
      </c>
      <c r="T21" s="1032">
        <v>127965.39404549998</v>
      </c>
      <c r="U21" s="1032">
        <v>149963.44158200003</v>
      </c>
      <c r="V21" s="1032">
        <v>156050.77079869999</v>
      </c>
      <c r="W21" s="1032"/>
    </row>
    <row r="22" spans="1:24" s="103" customFormat="1" ht="16.5" x14ac:dyDescent="0.3">
      <c r="A22" s="1763"/>
      <c r="B22" s="1044"/>
      <c r="C22" s="1045"/>
      <c r="D22" s="1045"/>
      <c r="E22" s="1045" t="s">
        <v>86</v>
      </c>
      <c r="F22" s="1045"/>
      <c r="G22" s="1046">
        <f>G21/G20</f>
        <v>0.70406413145007873</v>
      </c>
      <c r="H22" s="1046">
        <f>H21/H20</f>
        <v>0.91366735501547502</v>
      </c>
      <c r="I22" s="1046">
        <f>I21/I20</f>
        <v>0.95263446101621618</v>
      </c>
      <c r="J22" s="1047">
        <f t="shared" ref="J22:V22" si="3">J21/J20</f>
        <v>0.96491075571351526</v>
      </c>
      <c r="K22" s="1047">
        <f t="shared" si="3"/>
        <v>0.86425508582861799</v>
      </c>
      <c r="L22" s="1047">
        <f t="shared" si="3"/>
        <v>0.91532978655249186</v>
      </c>
      <c r="M22" s="1047">
        <f t="shared" si="3"/>
        <v>0.96919018534650914</v>
      </c>
      <c r="N22" s="1047">
        <f t="shared" si="3"/>
        <v>0.99901317502634157</v>
      </c>
      <c r="O22" s="1047">
        <f t="shared" si="3"/>
        <v>0.98003199927535223</v>
      </c>
      <c r="P22" s="1047">
        <f t="shared" si="3"/>
        <v>1.0029200667742137</v>
      </c>
      <c r="Q22" s="1047">
        <f t="shared" si="3"/>
        <v>0.87399439897223064</v>
      </c>
      <c r="R22" s="1047">
        <f t="shared" si="3"/>
        <v>0.84709619198750075</v>
      </c>
      <c r="S22" s="1047">
        <f t="shared" si="3"/>
        <v>0.77280874931746479</v>
      </c>
      <c r="T22" s="1047">
        <f t="shared" si="3"/>
        <v>0.76246847922507288</v>
      </c>
      <c r="U22" s="1047">
        <f t="shared" si="3"/>
        <v>0.75261792062034694</v>
      </c>
      <c r="V22" s="1047">
        <f t="shared" si="3"/>
        <v>0.74001719756285533</v>
      </c>
      <c r="W22" s="1047"/>
    </row>
    <row r="23" spans="1:24" s="103" customFormat="1" ht="16.5" x14ac:dyDescent="0.3">
      <c r="A23" s="1763"/>
      <c r="B23" s="1044"/>
      <c r="C23" s="1045"/>
      <c r="D23" s="1045"/>
      <c r="E23" s="1045"/>
      <c r="F23" s="1045"/>
      <c r="G23" s="1046"/>
      <c r="H23" s="1046"/>
      <c r="I23" s="1046"/>
      <c r="J23" s="1047"/>
      <c r="K23" s="1047"/>
      <c r="L23" s="1047"/>
      <c r="M23" s="1047"/>
      <c r="N23" s="1047"/>
      <c r="O23" s="1047"/>
      <c r="P23" s="1047"/>
      <c r="Q23" s="1047"/>
      <c r="R23" s="1047"/>
      <c r="S23" s="1047"/>
      <c r="T23" s="1047"/>
      <c r="U23" s="1047"/>
      <c r="V23" s="1047"/>
      <c r="W23" s="1047"/>
    </row>
    <row r="24" spans="1:24" s="103" customFormat="1" ht="16.5" x14ac:dyDescent="0.3">
      <c r="A24" s="1763"/>
      <c r="B24" s="1044"/>
      <c r="C24" s="1045"/>
      <c r="D24" s="1045"/>
      <c r="E24" s="1045"/>
      <c r="F24" s="1045"/>
      <c r="G24" s="461" t="s">
        <v>348</v>
      </c>
      <c r="H24" s="460"/>
      <c r="I24" s="460"/>
      <c r="J24" s="460"/>
      <c r="K24" s="460"/>
      <c r="L24" s="460"/>
      <c r="M24" s="460"/>
      <c r="N24" s="460"/>
      <c r="O24" s="460"/>
      <c r="P24" s="460"/>
      <c r="Q24" s="460"/>
      <c r="R24" s="460"/>
      <c r="S24" s="460"/>
      <c r="T24" s="460"/>
      <c r="U24" s="460"/>
      <c r="V24" s="460"/>
      <c r="W24" s="460"/>
    </row>
    <row r="25" spans="1:24" s="103" customFormat="1" ht="17.25" thickBot="1" x14ac:dyDescent="0.35">
      <c r="A25" s="1763"/>
      <c r="B25" s="1044"/>
      <c r="C25" s="1048"/>
      <c r="D25" s="1049" t="s">
        <v>310</v>
      </c>
      <c r="E25" s="1048"/>
      <c r="F25" s="1048"/>
      <c r="G25" s="694">
        <f>G8</f>
        <v>2010</v>
      </c>
      <c r="H25" s="694">
        <f t="shared" ref="H25:V25" si="4">H8</f>
        <v>2011</v>
      </c>
      <c r="I25" s="694">
        <f t="shared" si="4"/>
        <v>2012</v>
      </c>
      <c r="J25" s="694">
        <f t="shared" si="4"/>
        <v>2013</v>
      </c>
      <c r="K25" s="694">
        <f t="shared" si="4"/>
        <v>2014</v>
      </c>
      <c r="L25" s="694">
        <f t="shared" si="4"/>
        <v>2015</v>
      </c>
      <c r="M25" s="694">
        <f t="shared" si="4"/>
        <v>2016</v>
      </c>
      <c r="N25" s="694">
        <f t="shared" si="4"/>
        <v>2017</v>
      </c>
      <c r="O25" s="694">
        <f t="shared" si="4"/>
        <v>2018</v>
      </c>
      <c r="P25" s="694">
        <f t="shared" si="4"/>
        <v>2019</v>
      </c>
      <c r="Q25" s="694">
        <f t="shared" si="4"/>
        <v>2020</v>
      </c>
      <c r="R25" s="694">
        <f t="shared" si="4"/>
        <v>2021</v>
      </c>
      <c r="S25" s="694">
        <f t="shared" si="4"/>
        <v>2022</v>
      </c>
      <c r="T25" s="694">
        <f t="shared" si="4"/>
        <v>2023</v>
      </c>
      <c r="U25" s="694">
        <f t="shared" si="4"/>
        <v>2024</v>
      </c>
      <c r="V25" s="694">
        <f t="shared" si="4"/>
        <v>2025</v>
      </c>
      <c r="W25" s="1377"/>
    </row>
    <row r="26" spans="1:24" s="103" customFormat="1" ht="16.5" outlineLevel="1" x14ac:dyDescent="0.3">
      <c r="A26" s="1763"/>
      <c r="B26" s="1044"/>
      <c r="C26" s="1045"/>
      <c r="D26" s="1050" t="s">
        <v>318</v>
      </c>
      <c r="E26" s="1051"/>
      <c r="F26" s="1050"/>
      <c r="G26" s="1052"/>
      <c r="H26" s="1052"/>
      <c r="I26" s="1052"/>
      <c r="J26" s="1052">
        <f t="shared" ref="J26:V26" si="5">J21</f>
        <v>52473.9</v>
      </c>
      <c r="K26" s="1052">
        <f t="shared" si="5"/>
        <v>63456.9</v>
      </c>
      <c r="L26" s="1052">
        <f t="shared" si="5"/>
        <v>70914.5</v>
      </c>
      <c r="M26" s="1052">
        <f t="shared" si="5"/>
        <v>71810.2</v>
      </c>
      <c r="N26" s="1052">
        <f t="shared" si="5"/>
        <v>77884.2</v>
      </c>
      <c r="O26" s="1052">
        <f t="shared" si="5"/>
        <v>84510.1</v>
      </c>
      <c r="P26" s="1052">
        <f t="shared" si="5"/>
        <v>89055.478367000003</v>
      </c>
      <c r="Q26" s="1052">
        <f t="shared" si="5"/>
        <v>90915.544385000001</v>
      </c>
      <c r="R26" s="1052">
        <f t="shared" si="5"/>
        <v>102106.12012399999</v>
      </c>
      <c r="S26" s="1052">
        <f t="shared" si="5"/>
        <v>104188.87504699999</v>
      </c>
      <c r="T26" s="1052">
        <f t="shared" si="5"/>
        <v>127965.39404549998</v>
      </c>
      <c r="U26" s="1052">
        <f t="shared" si="5"/>
        <v>149963.44158200003</v>
      </c>
      <c r="V26" s="1052">
        <f t="shared" si="5"/>
        <v>156050.77079869999</v>
      </c>
      <c r="W26" s="1715"/>
    </row>
    <row r="27" spans="1:24" s="103" customFormat="1" ht="16.5" outlineLevel="1" x14ac:dyDescent="0.3">
      <c r="A27" s="1763"/>
      <c r="B27" s="1044"/>
      <c r="C27" s="1045"/>
      <c r="D27" s="796"/>
      <c r="E27" s="796" t="s">
        <v>311</v>
      </c>
      <c r="F27" s="796"/>
      <c r="G27" s="1053"/>
      <c r="H27" s="1053"/>
      <c r="I27" s="1053"/>
      <c r="J27" s="1053">
        <v>29502.1</v>
      </c>
      <c r="K27" s="1053">
        <v>35225.199999999997</v>
      </c>
      <c r="L27" s="1032">
        <v>40081.199999999997</v>
      </c>
      <c r="M27" s="1032">
        <v>35299.699999999997</v>
      </c>
      <c r="N27" s="1032">
        <v>33381.9</v>
      </c>
      <c r="O27" s="1032">
        <v>32952.1</v>
      </c>
      <c r="P27" s="1032">
        <v>36131.199999999997</v>
      </c>
      <c r="Q27" s="1733"/>
      <c r="R27" s="1733"/>
      <c r="S27" s="1733"/>
      <c r="T27" s="1733"/>
      <c r="U27" s="1733"/>
      <c r="V27" s="1733"/>
      <c r="W27" s="1032"/>
    </row>
    <row r="28" spans="1:24" s="103" customFormat="1" ht="16.5" outlineLevel="1" x14ac:dyDescent="0.3">
      <c r="A28" s="1763"/>
      <c r="B28" s="1044"/>
      <c r="C28" s="1045"/>
      <c r="D28" s="796"/>
      <c r="E28" s="796" t="s">
        <v>312</v>
      </c>
      <c r="F28" s="796"/>
      <c r="G28" s="1053"/>
      <c r="H28" s="1053"/>
      <c r="I28" s="1053"/>
      <c r="J28" s="1053">
        <v>9078.2999999999993</v>
      </c>
      <c r="K28" s="1053">
        <v>9592.6</v>
      </c>
      <c r="L28" s="1032">
        <v>11168.6</v>
      </c>
      <c r="M28" s="1032">
        <v>15127.5</v>
      </c>
      <c r="N28" s="1032">
        <v>17234.5</v>
      </c>
      <c r="O28" s="1032">
        <v>8465.5</v>
      </c>
      <c r="P28" s="1032">
        <v>7462.3</v>
      </c>
      <c r="Q28" s="1733"/>
      <c r="R28" s="1733"/>
      <c r="S28" s="1733"/>
      <c r="T28" s="1733"/>
      <c r="U28" s="1733"/>
      <c r="V28" s="1733"/>
      <c r="W28" s="1032"/>
    </row>
    <row r="29" spans="1:24" s="103" customFormat="1" ht="16.5" outlineLevel="1" x14ac:dyDescent="0.3">
      <c r="A29" s="1763"/>
      <c r="B29" s="1044"/>
      <c r="C29" s="1045"/>
      <c r="D29" s="796"/>
      <c r="E29" s="796" t="s">
        <v>1124</v>
      </c>
      <c r="F29" s="796"/>
      <c r="G29" s="1053"/>
      <c r="H29" s="1053"/>
      <c r="I29" s="1053"/>
      <c r="J29" s="1053"/>
      <c r="K29" s="1053"/>
      <c r="L29" s="1032"/>
      <c r="M29" s="1032"/>
      <c r="N29" s="1032"/>
      <c r="O29" s="1032">
        <v>16308.2</v>
      </c>
      <c r="P29" s="1032">
        <v>19102.2</v>
      </c>
      <c r="Q29" s="1733"/>
      <c r="R29" s="1733"/>
      <c r="S29" s="1733"/>
      <c r="T29" s="1733"/>
      <c r="U29" s="1733"/>
      <c r="V29" s="1733"/>
      <c r="W29" s="1032"/>
    </row>
    <row r="30" spans="1:24" s="103" customFormat="1" ht="16.5" outlineLevel="1" x14ac:dyDescent="0.3">
      <c r="A30" s="1763"/>
      <c r="B30" s="1044"/>
      <c r="C30" s="1045"/>
      <c r="D30" s="796"/>
      <c r="E30" s="1054" t="s">
        <v>314</v>
      </c>
      <c r="F30" s="1054"/>
      <c r="G30" s="1055"/>
      <c r="H30" s="1055"/>
      <c r="I30" s="1055"/>
      <c r="J30" s="1055">
        <v>3558.1</v>
      </c>
      <c r="K30" s="1055">
        <v>5264.7</v>
      </c>
      <c r="L30" s="1056">
        <v>6732.5</v>
      </c>
      <c r="M30" s="1056">
        <v>7486.4</v>
      </c>
      <c r="N30" s="1056">
        <v>8369.7999999999993</v>
      </c>
      <c r="O30" s="1056">
        <v>8137.4</v>
      </c>
      <c r="P30" s="1056">
        <v>8191</v>
      </c>
      <c r="Q30" s="1734"/>
      <c r="R30" s="1734"/>
      <c r="S30" s="1734"/>
      <c r="T30" s="1734"/>
      <c r="U30" s="1734"/>
      <c r="V30" s="1734"/>
      <c r="W30" s="1032"/>
    </row>
    <row r="31" spans="1:24" s="103" customFormat="1" ht="16.5" outlineLevel="1" x14ac:dyDescent="0.3">
      <c r="A31" s="1763"/>
      <c r="B31" s="1044"/>
      <c r="C31" s="1045"/>
      <c r="D31" s="796"/>
      <c r="E31" s="796" t="s">
        <v>313</v>
      </c>
      <c r="F31" s="796"/>
      <c r="G31" s="1053"/>
      <c r="H31" s="1053"/>
      <c r="I31" s="1053"/>
      <c r="J31" s="1053">
        <v>3101.5</v>
      </c>
      <c r="K31" s="1053">
        <v>2734.6</v>
      </c>
      <c r="L31" s="1032">
        <v>3859.4</v>
      </c>
      <c r="M31" s="1032">
        <v>4012.4</v>
      </c>
      <c r="N31" s="1032">
        <v>3916.1</v>
      </c>
      <c r="O31" s="1032">
        <v>3737.8</v>
      </c>
      <c r="P31" s="1032">
        <v>3873.6</v>
      </c>
      <c r="Q31" s="1733"/>
      <c r="R31" s="1733"/>
      <c r="S31" s="1733"/>
      <c r="T31" s="1733"/>
      <c r="U31" s="1733"/>
      <c r="V31" s="1733"/>
      <c r="W31" s="1032"/>
    </row>
    <row r="32" spans="1:24" s="103" customFormat="1" ht="16.5" outlineLevel="1" x14ac:dyDescent="0.3">
      <c r="A32" s="1763"/>
      <c r="B32" s="1044"/>
      <c r="C32" s="1045"/>
      <c r="D32" s="796"/>
      <c r="E32" s="796" t="s">
        <v>3342</v>
      </c>
      <c r="F32" s="796"/>
      <c r="G32" s="1053"/>
      <c r="H32" s="1053"/>
      <c r="I32" s="1053"/>
      <c r="J32" s="1053">
        <v>3971.4</v>
      </c>
      <c r="K32" s="1053">
        <v>4802</v>
      </c>
      <c r="L32" s="1032">
        <v>4198.1000000000004</v>
      </c>
      <c r="M32" s="1032">
        <v>4152.6000000000004</v>
      </c>
      <c r="N32" s="1032">
        <v>4589.8</v>
      </c>
      <c r="O32" s="1032">
        <v>3897.7</v>
      </c>
      <c r="P32" s="1032">
        <v>4500.7</v>
      </c>
      <c r="Q32" s="1733"/>
      <c r="R32" s="1733"/>
      <c r="S32" s="1733"/>
      <c r="T32" s="1733"/>
      <c r="U32" s="1733"/>
      <c r="V32" s="1733"/>
      <c r="W32" s="1032"/>
    </row>
    <row r="33" spans="1:37" s="103" customFormat="1" ht="16.5" outlineLevel="1" x14ac:dyDescent="0.3">
      <c r="A33" s="1763"/>
      <c r="B33" s="1044"/>
      <c r="C33" s="1045"/>
      <c r="D33" s="796"/>
      <c r="E33" s="796" t="s">
        <v>316</v>
      </c>
      <c r="F33" s="796"/>
      <c r="G33" s="1053"/>
      <c r="H33" s="1053"/>
      <c r="I33" s="1053"/>
      <c r="J33" s="1053">
        <v>2087.6</v>
      </c>
      <c r="K33" s="1053">
        <v>1700.4</v>
      </c>
      <c r="L33" s="1032">
        <v>1919.5</v>
      </c>
      <c r="M33" s="1032">
        <v>2297</v>
      </c>
      <c r="N33" s="1032">
        <v>3056.6</v>
      </c>
      <c r="O33" s="1032">
        <v>2546.1</v>
      </c>
      <c r="P33" s="1057">
        <v>0</v>
      </c>
      <c r="Q33" s="1733"/>
      <c r="R33" s="1733"/>
      <c r="S33" s="1733"/>
      <c r="T33" s="1733"/>
      <c r="U33" s="1733"/>
      <c r="V33" s="1733"/>
      <c r="W33" s="1032"/>
    </row>
    <row r="34" spans="1:37" s="103" customFormat="1" ht="16.5" outlineLevel="1" x14ac:dyDescent="0.3">
      <c r="A34" s="1763"/>
      <c r="B34" s="1044"/>
      <c r="C34" s="1045"/>
      <c r="D34" s="796"/>
      <c r="E34" s="796" t="s">
        <v>1125</v>
      </c>
      <c r="F34" s="796"/>
      <c r="G34" s="1053"/>
      <c r="H34" s="1053"/>
      <c r="I34" s="1053"/>
      <c r="J34" s="1053">
        <v>17.3</v>
      </c>
      <c r="K34" s="1053">
        <v>329.6</v>
      </c>
      <c r="L34" s="1032">
        <v>653.20000000000005</v>
      </c>
      <c r="M34" s="1032">
        <v>1667.5</v>
      </c>
      <c r="N34" s="1032">
        <v>5139.8</v>
      </c>
      <c r="O34" s="1032">
        <v>5021.3999999999996</v>
      </c>
      <c r="P34" s="1032">
        <v>3006.4</v>
      </c>
      <c r="Q34" s="1733"/>
      <c r="R34" s="1733"/>
      <c r="S34" s="1733"/>
      <c r="T34" s="1733"/>
      <c r="U34" s="1733"/>
      <c r="V34" s="1733"/>
      <c r="W34" s="1032"/>
    </row>
    <row r="35" spans="1:37" s="103" customFormat="1" ht="16.5" outlineLevel="1" x14ac:dyDescent="0.3">
      <c r="A35" s="1763"/>
      <c r="B35" s="1044"/>
      <c r="C35" s="1045"/>
      <c r="D35" s="796"/>
      <c r="E35" s="1054" t="s">
        <v>317</v>
      </c>
      <c r="F35" s="1054"/>
      <c r="G35" s="1056"/>
      <c r="H35" s="1056"/>
      <c r="I35" s="1056"/>
      <c r="J35" s="1056">
        <f t="shared" ref="J35:P35" si="6">J26-SUM(J27:J34)</f>
        <v>1157.6000000000058</v>
      </c>
      <c r="K35" s="1056">
        <f t="shared" si="6"/>
        <v>3807.8000000000102</v>
      </c>
      <c r="L35" s="1056">
        <f t="shared" si="6"/>
        <v>2302</v>
      </c>
      <c r="M35" s="1056">
        <f t="shared" si="6"/>
        <v>1767.0999999999913</v>
      </c>
      <c r="N35" s="1056">
        <f t="shared" si="6"/>
        <v>2195.6999999999971</v>
      </c>
      <c r="O35" s="1056">
        <f t="shared" si="6"/>
        <v>3443.9000000000087</v>
      </c>
      <c r="P35" s="1056">
        <f t="shared" si="6"/>
        <v>6788.0783670000092</v>
      </c>
      <c r="Q35" s="1734"/>
      <c r="R35" s="1734"/>
      <c r="S35" s="1734"/>
      <c r="T35" s="1734"/>
      <c r="U35" s="1734"/>
      <c r="V35" s="1734"/>
      <c r="W35" s="1032"/>
    </row>
    <row r="36" spans="1:37" s="103" customFormat="1" ht="16.5" x14ac:dyDescent="0.3">
      <c r="A36" s="1763"/>
      <c r="B36" s="1044"/>
      <c r="C36" s="1045"/>
      <c r="D36" s="796"/>
      <c r="E36" s="796"/>
      <c r="F36" s="796"/>
      <c r="G36" s="1058"/>
      <c r="H36" s="1058"/>
      <c r="I36" s="1058"/>
      <c r="J36" s="1058"/>
      <c r="K36" s="1058"/>
      <c r="L36" s="1058"/>
      <c r="M36" s="1058"/>
      <c r="N36" s="1058"/>
      <c r="O36" s="1058"/>
      <c r="P36" s="1058"/>
      <c r="Q36" s="1058"/>
      <c r="R36" s="1058"/>
      <c r="S36" s="1058"/>
      <c r="T36" s="1058"/>
      <c r="U36" s="1058"/>
      <c r="V36" s="1058"/>
      <c r="W36" s="1058"/>
    </row>
    <row r="37" spans="1:37" s="103" customFormat="1" ht="16.5" x14ac:dyDescent="0.3">
      <c r="A37" s="1763"/>
      <c r="B37" s="1044"/>
      <c r="C37" s="1045"/>
      <c r="D37" s="796"/>
      <c r="E37" s="796"/>
      <c r="F37" s="796"/>
      <c r="G37" s="461" t="s">
        <v>348</v>
      </c>
      <c r="H37" s="1058"/>
      <c r="I37" s="1058"/>
      <c r="J37" s="1058"/>
      <c r="K37" s="1058"/>
      <c r="L37" s="1058"/>
      <c r="M37" s="1058"/>
      <c r="N37" s="1058"/>
      <c r="O37" s="1058"/>
      <c r="P37" s="1058"/>
      <c r="Q37" s="1058"/>
      <c r="R37" s="1058"/>
      <c r="S37" s="1058"/>
      <c r="T37" s="1058"/>
      <c r="U37" s="1058"/>
      <c r="V37" s="1058"/>
      <c r="W37" s="1058"/>
    </row>
    <row r="38" spans="1:37" s="103" customFormat="1" ht="17.25" thickBot="1" x14ac:dyDescent="0.35">
      <c r="A38" s="1763"/>
      <c r="B38" s="1044"/>
      <c r="C38" s="1048"/>
      <c r="D38" s="1049" t="s">
        <v>310</v>
      </c>
      <c r="E38" s="1048"/>
      <c r="F38" s="1048"/>
      <c r="G38" s="694"/>
      <c r="H38" s="694"/>
      <c r="I38" s="694"/>
      <c r="J38" s="694">
        <f t="shared" ref="J38:S38" si="7">J8</f>
        <v>2013</v>
      </c>
      <c r="K38" s="694">
        <f t="shared" si="7"/>
        <v>2014</v>
      </c>
      <c r="L38" s="694">
        <f t="shared" si="7"/>
        <v>2015</v>
      </c>
      <c r="M38" s="694">
        <f t="shared" si="7"/>
        <v>2016</v>
      </c>
      <c r="N38" s="694">
        <f t="shared" si="7"/>
        <v>2017</v>
      </c>
      <c r="O38" s="694">
        <f t="shared" si="7"/>
        <v>2018</v>
      </c>
      <c r="P38" s="694">
        <f t="shared" si="7"/>
        <v>2019</v>
      </c>
      <c r="Q38" s="694">
        <f t="shared" si="7"/>
        <v>2020</v>
      </c>
      <c r="R38" s="694">
        <f t="shared" si="7"/>
        <v>2021</v>
      </c>
      <c r="S38" s="694">
        <f t="shared" si="7"/>
        <v>2022</v>
      </c>
      <c r="T38" s="694">
        <f>T8</f>
        <v>2023</v>
      </c>
      <c r="U38" s="694">
        <f>U8</f>
        <v>2024</v>
      </c>
      <c r="V38" s="694">
        <f>V8</f>
        <v>2025</v>
      </c>
      <c r="W38" s="1377"/>
      <c r="AA38" s="694">
        <f>J38</f>
        <v>2013</v>
      </c>
      <c r="AB38" s="694">
        <f t="shared" ref="AB38:AK39" si="8">K38</f>
        <v>2014</v>
      </c>
      <c r="AC38" s="694">
        <f t="shared" si="8"/>
        <v>2015</v>
      </c>
      <c r="AD38" s="694">
        <f t="shared" si="8"/>
        <v>2016</v>
      </c>
      <c r="AE38" s="694">
        <f t="shared" si="8"/>
        <v>2017</v>
      </c>
      <c r="AF38" s="694">
        <f t="shared" si="8"/>
        <v>2018</v>
      </c>
      <c r="AG38" s="694">
        <f t="shared" si="8"/>
        <v>2019</v>
      </c>
      <c r="AH38" s="694">
        <f t="shared" si="8"/>
        <v>2020</v>
      </c>
      <c r="AI38" s="694">
        <f t="shared" si="8"/>
        <v>2021</v>
      </c>
      <c r="AJ38" s="694">
        <f t="shared" si="8"/>
        <v>2022</v>
      </c>
      <c r="AK38" s="694">
        <f t="shared" si="8"/>
        <v>2023</v>
      </c>
    </row>
    <row r="39" spans="1:37" s="103" customFormat="1" ht="16.5" x14ac:dyDescent="0.3">
      <c r="A39" s="1763"/>
      <c r="B39" s="1044"/>
      <c r="C39" s="1045"/>
      <c r="D39" s="1050" t="s">
        <v>318</v>
      </c>
      <c r="E39" s="1051"/>
      <c r="F39" s="1050"/>
      <c r="G39" s="1052"/>
      <c r="H39" s="1052"/>
      <c r="I39" s="1052"/>
      <c r="J39" s="1052">
        <f>J21</f>
        <v>52473.9</v>
      </c>
      <c r="K39" s="1052">
        <f t="shared" ref="K39:V39" si="9">K21</f>
        <v>63456.9</v>
      </c>
      <c r="L39" s="1052">
        <f t="shared" si="9"/>
        <v>70914.5</v>
      </c>
      <c r="M39" s="1052">
        <f t="shared" si="9"/>
        <v>71810.2</v>
      </c>
      <c r="N39" s="1052">
        <f t="shared" si="9"/>
        <v>77884.2</v>
      </c>
      <c r="O39" s="1052">
        <f t="shared" si="9"/>
        <v>84510.1</v>
      </c>
      <c r="P39" s="1052">
        <f t="shared" si="9"/>
        <v>89055.478367000003</v>
      </c>
      <c r="Q39" s="1052">
        <f t="shared" si="9"/>
        <v>90915.544385000001</v>
      </c>
      <c r="R39" s="1052">
        <f t="shared" si="9"/>
        <v>102106.12012399999</v>
      </c>
      <c r="S39" s="1052">
        <f t="shared" si="9"/>
        <v>104188.87504699999</v>
      </c>
      <c r="T39" s="1052">
        <f t="shared" si="9"/>
        <v>127965.39404549998</v>
      </c>
      <c r="U39" s="1052">
        <f t="shared" si="9"/>
        <v>149963.44158200003</v>
      </c>
      <c r="V39" s="1052">
        <f t="shared" si="9"/>
        <v>156050.77079869999</v>
      </c>
      <c r="W39" s="1715"/>
      <c r="AA39" s="1052">
        <f>J39</f>
        <v>52473.9</v>
      </c>
      <c r="AB39" s="1052">
        <f t="shared" si="8"/>
        <v>63456.9</v>
      </c>
      <c r="AC39" s="1052">
        <f t="shared" si="8"/>
        <v>70914.5</v>
      </c>
      <c r="AD39" s="1052">
        <f t="shared" si="8"/>
        <v>71810.2</v>
      </c>
      <c r="AE39" s="1052">
        <f t="shared" si="8"/>
        <v>77884.2</v>
      </c>
      <c r="AF39" s="1052">
        <f t="shared" si="8"/>
        <v>84510.1</v>
      </c>
      <c r="AG39" s="1052">
        <f t="shared" si="8"/>
        <v>89055.478367000003</v>
      </c>
      <c r="AH39" s="1052">
        <f t="shared" si="8"/>
        <v>90915.544385000001</v>
      </c>
      <c r="AI39" s="1052"/>
      <c r="AJ39" s="1052"/>
      <c r="AK39" s="1052"/>
    </row>
    <row r="40" spans="1:37" s="103" customFormat="1" ht="16.5" x14ac:dyDescent="0.3">
      <c r="A40" s="1763"/>
      <c r="B40" s="1044"/>
      <c r="C40" s="1045"/>
      <c r="D40" s="796" t="s">
        <v>1281</v>
      </c>
      <c r="E40" s="796"/>
      <c r="F40" s="796"/>
      <c r="G40" s="1053"/>
      <c r="H40" s="1053"/>
      <c r="I40" s="1053"/>
      <c r="J40" s="1032">
        <f t="shared" ref="J40:O40" si="10">J39-J46-J47</f>
        <v>45814.3</v>
      </c>
      <c r="K40" s="1032">
        <f t="shared" si="10"/>
        <v>55457.600000000006</v>
      </c>
      <c r="L40" s="1032">
        <f t="shared" si="10"/>
        <v>60322.6</v>
      </c>
      <c r="M40" s="1032">
        <f t="shared" si="10"/>
        <v>60311.399999999994</v>
      </c>
      <c r="N40" s="1032">
        <f t="shared" si="10"/>
        <v>65598.299999999988</v>
      </c>
      <c r="O40" s="1032">
        <f t="shared" si="10"/>
        <v>72634.900000000009</v>
      </c>
      <c r="P40" s="1032">
        <v>73984.454480999993</v>
      </c>
      <c r="Q40" s="1032">
        <v>72810.423486999993</v>
      </c>
      <c r="R40" s="1032">
        <v>83160.434789000006</v>
      </c>
      <c r="S40" s="1032">
        <v>83646.436759000004</v>
      </c>
      <c r="T40" s="1032">
        <v>105522.35656299999</v>
      </c>
      <c r="U40" s="1032">
        <v>125139.11328600001</v>
      </c>
      <c r="V40" s="1032">
        <v>128547.788963</v>
      </c>
      <c r="W40" s="1032"/>
      <c r="Y40" s="1159"/>
      <c r="Z40" s="1159"/>
      <c r="AA40" s="1071">
        <f t="shared" ref="AA40:AH40" si="11">J40/J$39</f>
        <v>0.87308738248919937</v>
      </c>
      <c r="AB40" s="1071">
        <f t="shared" si="11"/>
        <v>0.87394121049090023</v>
      </c>
      <c r="AC40" s="1071">
        <f t="shared" si="11"/>
        <v>0.85063844488785789</v>
      </c>
      <c r="AD40" s="1071">
        <f t="shared" si="11"/>
        <v>0.83987233011466333</v>
      </c>
      <c r="AE40" s="1071">
        <f t="shared" si="11"/>
        <v>0.84225426980054996</v>
      </c>
      <c r="AF40" s="1071">
        <f t="shared" si="11"/>
        <v>0.85948188441381568</v>
      </c>
      <c r="AG40" s="1071">
        <f t="shared" si="11"/>
        <v>0.83076814405631605</v>
      </c>
      <c r="AH40" s="1071">
        <f t="shared" si="11"/>
        <v>0.8008578068748039</v>
      </c>
      <c r="AI40" s="1071"/>
      <c r="AJ40" s="1071"/>
      <c r="AK40" s="1071"/>
    </row>
    <row r="41" spans="1:37" s="103" customFormat="1" ht="16.5" outlineLevel="1" x14ac:dyDescent="0.3">
      <c r="A41" s="1763"/>
      <c r="B41" s="1044"/>
      <c r="C41" s="1045"/>
      <c r="D41" s="796"/>
      <c r="E41" s="1045" t="s">
        <v>1274</v>
      </c>
      <c r="F41" s="1045"/>
      <c r="G41" s="1059"/>
      <c r="H41" s="1059"/>
      <c r="I41" s="1059"/>
      <c r="J41" s="1059"/>
      <c r="K41" s="1059"/>
      <c r="L41" s="1060"/>
      <c r="M41" s="1060"/>
      <c r="N41" s="1060"/>
      <c r="O41" s="1060"/>
      <c r="P41" s="1061">
        <v>50246.665667000001</v>
      </c>
      <c r="Q41" s="1061">
        <v>11523.46601</v>
      </c>
      <c r="R41" s="1061">
        <v>8356.5855420000007</v>
      </c>
      <c r="S41" s="1061">
        <v>7129.865272</v>
      </c>
      <c r="T41" s="1725"/>
      <c r="U41" s="1725"/>
      <c r="V41" s="1725"/>
      <c r="W41" s="1061"/>
      <c r="Y41" s="1159"/>
      <c r="Z41" s="1159"/>
      <c r="AA41" s="1160"/>
      <c r="AB41" s="1160"/>
      <c r="AC41" s="1160"/>
      <c r="AD41" s="1160"/>
      <c r="AE41" s="1160"/>
      <c r="AF41" s="1160"/>
      <c r="AG41" s="1161">
        <f t="shared" ref="AG41:AH47" si="12">P41/P$39</f>
        <v>0.56421757075889423</v>
      </c>
      <c r="AH41" s="1161">
        <f t="shared" si="12"/>
        <v>0.12674912841308617</v>
      </c>
      <c r="AI41" s="1161"/>
      <c r="AJ41" s="1161"/>
      <c r="AK41" s="1161"/>
    </row>
    <row r="42" spans="1:37" s="103" customFormat="1" ht="16.5" outlineLevel="1" x14ac:dyDescent="0.3">
      <c r="A42" s="1763"/>
      <c r="B42" s="1044"/>
      <c r="C42" s="1045"/>
      <c r="D42" s="796"/>
      <c r="E42" s="1045" t="s">
        <v>1275</v>
      </c>
      <c r="F42" s="1045"/>
      <c r="G42" s="1059"/>
      <c r="H42" s="1059"/>
      <c r="I42" s="1059"/>
      <c r="J42" s="1059"/>
      <c r="K42" s="1059"/>
      <c r="L42" s="1060"/>
      <c r="M42" s="1060"/>
      <c r="N42" s="1060"/>
      <c r="O42" s="1060"/>
      <c r="P42" s="1061"/>
      <c r="Q42" s="1061">
        <v>38622.069038000001</v>
      </c>
      <c r="R42" s="1061">
        <v>44836.372098</v>
      </c>
      <c r="S42" s="1061">
        <v>44759.578326000003</v>
      </c>
      <c r="T42" s="1725"/>
      <c r="U42" s="1725"/>
      <c r="V42" s="1725"/>
      <c r="W42" s="1061"/>
      <c r="Y42" s="1159"/>
      <c r="Z42" s="1159"/>
      <c r="AA42" s="1160"/>
      <c r="AB42" s="1160"/>
      <c r="AC42" s="1160"/>
      <c r="AD42" s="1160"/>
      <c r="AE42" s="1160"/>
      <c r="AF42" s="1160"/>
      <c r="AG42" s="1161">
        <f t="shared" si="12"/>
        <v>0</v>
      </c>
      <c r="AH42" s="1161">
        <f t="shared" si="12"/>
        <v>0.42481260272112709</v>
      </c>
      <c r="AI42" s="1161"/>
      <c r="AJ42" s="1161"/>
      <c r="AK42" s="1161"/>
    </row>
    <row r="43" spans="1:37" s="103" customFormat="1" ht="16.5" outlineLevel="1" x14ac:dyDescent="0.3">
      <c r="A43" s="1763"/>
      <c r="B43" s="1044"/>
      <c r="C43" s="1045"/>
      <c r="D43" s="796"/>
      <c r="E43" s="1045" t="s">
        <v>1276</v>
      </c>
      <c r="F43" s="1045"/>
      <c r="G43" s="1059"/>
      <c r="H43" s="1059"/>
      <c r="I43" s="1059"/>
      <c r="J43" s="1059"/>
      <c r="K43" s="1059"/>
      <c r="L43" s="1060"/>
      <c r="M43" s="1060"/>
      <c r="N43" s="1060"/>
      <c r="O43" s="1060"/>
      <c r="P43" s="1061">
        <v>18591.612643</v>
      </c>
      <c r="Q43" s="1061">
        <v>17017.240891000001</v>
      </c>
      <c r="R43" s="1061">
        <v>20966.914746999999</v>
      </c>
      <c r="S43" s="1061">
        <v>30651.694131</v>
      </c>
      <c r="T43" s="1725"/>
      <c r="U43" s="1725"/>
      <c r="V43" s="1725"/>
      <c r="W43" s="1061"/>
      <c r="Y43" s="1159"/>
      <c r="Z43" s="1159"/>
      <c r="AA43" s="1160"/>
      <c r="AB43" s="1160"/>
      <c r="AC43" s="1160"/>
      <c r="AD43" s="1160"/>
      <c r="AE43" s="1160"/>
      <c r="AF43" s="1160"/>
      <c r="AG43" s="1161">
        <f t="shared" si="12"/>
        <v>0.20876439028695651</v>
      </c>
      <c r="AH43" s="1161">
        <f t="shared" si="12"/>
        <v>0.18717636248139374</v>
      </c>
      <c r="AI43" s="1161"/>
      <c r="AJ43" s="1161"/>
      <c r="AK43" s="1161"/>
    </row>
    <row r="44" spans="1:37" s="103" customFormat="1" ht="16.5" outlineLevel="1" x14ac:dyDescent="0.3">
      <c r="A44" s="1763"/>
      <c r="B44" s="1044"/>
      <c r="C44" s="1045"/>
      <c r="D44" s="796"/>
      <c r="E44" s="1062" t="s">
        <v>1277</v>
      </c>
      <c r="F44" s="1062"/>
      <c r="G44" s="1063"/>
      <c r="H44" s="1063"/>
      <c r="I44" s="1063"/>
      <c r="J44" s="1063"/>
      <c r="K44" s="1063"/>
      <c r="L44" s="1064"/>
      <c r="M44" s="1064"/>
      <c r="N44" s="1064"/>
      <c r="O44" s="1064"/>
      <c r="P44" s="1065">
        <v>5146.1761710000001</v>
      </c>
      <c r="Q44" s="1065">
        <v>5647.6475479999999</v>
      </c>
      <c r="R44" s="1065">
        <v>9000.5624019999996</v>
      </c>
      <c r="S44" s="1065">
        <v>1105.2990299999999</v>
      </c>
      <c r="T44" s="1726"/>
      <c r="U44" s="1726"/>
      <c r="V44" s="1726"/>
      <c r="W44" s="1061"/>
      <c r="Y44" s="1159"/>
      <c r="Z44" s="1159"/>
      <c r="AA44" s="1162"/>
      <c r="AB44" s="1162"/>
      <c r="AC44" s="1162"/>
      <c r="AD44" s="1162"/>
      <c r="AE44" s="1162"/>
      <c r="AF44" s="1162"/>
      <c r="AG44" s="1163">
        <f t="shared" si="12"/>
        <v>5.7786183010465349E-2</v>
      </c>
      <c r="AH44" s="1163">
        <f t="shared" si="12"/>
        <v>6.2119713259197025E-2</v>
      </c>
      <c r="AI44" s="1163"/>
      <c r="AJ44" s="1163"/>
      <c r="AK44" s="1163"/>
    </row>
    <row r="45" spans="1:37" s="103" customFormat="1" ht="16.5" x14ac:dyDescent="0.3">
      <c r="A45" s="1763"/>
      <c r="B45" s="1044"/>
      <c r="C45" s="1045"/>
      <c r="D45" s="796" t="s">
        <v>1278</v>
      </c>
      <c r="E45" s="796"/>
      <c r="F45" s="796"/>
      <c r="G45" s="1053"/>
      <c r="H45" s="1053"/>
      <c r="I45" s="1053"/>
      <c r="J45" s="1032"/>
      <c r="K45" s="1032"/>
      <c r="L45" s="1032"/>
      <c r="M45" s="1032"/>
      <c r="N45" s="1032"/>
      <c r="O45" s="1032"/>
      <c r="P45" s="1032">
        <v>3006.4243350000002</v>
      </c>
      <c r="Q45" s="1032">
        <v>4308.5566019999997</v>
      </c>
      <c r="R45" s="1032">
        <v>5041.4107110000004</v>
      </c>
      <c r="S45" s="1032">
        <v>5629.877982</v>
      </c>
      <c r="T45" s="1032">
        <v>5953.1848659999996</v>
      </c>
      <c r="U45" s="1032">
        <v>7382.4912489999997</v>
      </c>
      <c r="V45" s="1032">
        <v>10265.096073999999</v>
      </c>
      <c r="W45" s="1032"/>
      <c r="Y45" s="1159"/>
      <c r="Z45" s="1159"/>
      <c r="AA45" s="1071"/>
      <c r="AB45" s="1071"/>
      <c r="AC45" s="1071"/>
      <c r="AD45" s="1071"/>
      <c r="AE45" s="1071"/>
      <c r="AF45" s="1071"/>
      <c r="AG45" s="1071">
        <f t="shared" si="12"/>
        <v>3.3759004949818421E-2</v>
      </c>
      <c r="AH45" s="1071">
        <f t="shared" si="12"/>
        <v>4.7390758435703333E-2</v>
      </c>
      <c r="AI45" s="1071"/>
      <c r="AJ45" s="1071"/>
      <c r="AK45" s="1071"/>
    </row>
    <row r="46" spans="1:37" s="103" customFormat="1" ht="16.5" x14ac:dyDescent="0.3">
      <c r="A46" s="1763"/>
      <c r="B46" s="1044"/>
      <c r="C46" s="1045"/>
      <c r="D46" s="796" t="s">
        <v>1279</v>
      </c>
      <c r="E46" s="796"/>
      <c r="F46" s="796"/>
      <c r="G46" s="1053"/>
      <c r="H46" s="1053"/>
      <c r="I46" s="1053"/>
      <c r="J46" s="1032">
        <f t="shared" ref="J46:O47" si="13">J30</f>
        <v>3558.1</v>
      </c>
      <c r="K46" s="1032">
        <f t="shared" si="13"/>
        <v>5264.7</v>
      </c>
      <c r="L46" s="1032">
        <f t="shared" si="13"/>
        <v>6732.5</v>
      </c>
      <c r="M46" s="1032">
        <f t="shared" si="13"/>
        <v>7486.4</v>
      </c>
      <c r="N46" s="1032">
        <f t="shared" si="13"/>
        <v>8369.7999999999993</v>
      </c>
      <c r="O46" s="1032">
        <f t="shared" si="13"/>
        <v>8137.4</v>
      </c>
      <c r="P46" s="1032">
        <v>8191.0072730000002</v>
      </c>
      <c r="Q46" s="1032">
        <v>8977.6326790000003</v>
      </c>
      <c r="R46" s="1032">
        <v>8609.204103</v>
      </c>
      <c r="S46" s="1032">
        <v>10304.264657</v>
      </c>
      <c r="T46" s="1032">
        <v>11190.3732375</v>
      </c>
      <c r="U46" s="1032">
        <v>12445.139625</v>
      </c>
      <c r="V46" s="1032">
        <v>13140.2135657</v>
      </c>
      <c r="W46" s="1032"/>
      <c r="Y46" s="1159"/>
      <c r="Z46" s="1159"/>
      <c r="AA46" s="1071">
        <f t="shared" ref="AA46:AF47" si="14">J46/J$39</f>
        <v>6.7807043120484661E-2</v>
      </c>
      <c r="AB46" s="1071">
        <f t="shared" si="14"/>
        <v>8.2964973076213935E-2</v>
      </c>
      <c r="AC46" s="1071">
        <f t="shared" si="14"/>
        <v>9.4938270734476027E-2</v>
      </c>
      <c r="AD46" s="1071">
        <f t="shared" si="14"/>
        <v>0.10425259921292518</v>
      </c>
      <c r="AE46" s="1071">
        <f t="shared" si="14"/>
        <v>0.10746467191034895</v>
      </c>
      <c r="AF46" s="1071">
        <f t="shared" si="14"/>
        <v>9.6289082606694332E-2</v>
      </c>
      <c r="AG46" s="1071">
        <f t="shared" si="12"/>
        <v>9.1976455836266929E-2</v>
      </c>
      <c r="AH46" s="1071">
        <f t="shared" si="12"/>
        <v>9.8746949597336459E-2</v>
      </c>
      <c r="AI46" s="1071"/>
      <c r="AJ46" s="1071"/>
      <c r="AK46" s="1071"/>
    </row>
    <row r="47" spans="1:37" s="103" customFormat="1" ht="16.5" x14ac:dyDescent="0.3">
      <c r="A47" s="1763"/>
      <c r="B47" s="1044"/>
      <c r="C47" s="1045"/>
      <c r="D47" s="1050" t="s">
        <v>1280</v>
      </c>
      <c r="E47" s="1050"/>
      <c r="F47" s="1050"/>
      <c r="G47" s="1066"/>
      <c r="H47" s="1066"/>
      <c r="I47" s="1066"/>
      <c r="J47" s="1067">
        <f t="shared" si="13"/>
        <v>3101.5</v>
      </c>
      <c r="K47" s="1067">
        <f t="shared" si="13"/>
        <v>2734.6</v>
      </c>
      <c r="L47" s="1067">
        <f t="shared" si="13"/>
        <v>3859.4</v>
      </c>
      <c r="M47" s="1067">
        <f t="shared" si="13"/>
        <v>4012.4</v>
      </c>
      <c r="N47" s="1067">
        <f t="shared" si="13"/>
        <v>3916.1</v>
      </c>
      <c r="O47" s="1067">
        <f t="shared" si="13"/>
        <v>3737.8</v>
      </c>
      <c r="P47" s="1067">
        <v>3873.5922780000001</v>
      </c>
      <c r="Q47" s="1067">
        <v>4818.9316170000002</v>
      </c>
      <c r="R47" s="1067">
        <v>5295.0705209999996</v>
      </c>
      <c r="S47" s="1067">
        <v>4608.2956489999997</v>
      </c>
      <c r="T47" s="1067">
        <v>5299.4793790000003</v>
      </c>
      <c r="U47" s="1067">
        <v>4996.6974220000002</v>
      </c>
      <c r="V47" s="1067">
        <v>4097.6721960000004</v>
      </c>
      <c r="W47" s="1032"/>
      <c r="Y47" s="1159"/>
      <c r="Z47" s="1159"/>
      <c r="AA47" s="1164">
        <f t="shared" si="14"/>
        <v>5.9105574390315947E-2</v>
      </c>
      <c r="AB47" s="1164">
        <f t="shared" si="14"/>
        <v>4.3093816432885942E-2</v>
      </c>
      <c r="AC47" s="1164">
        <f t="shared" si="14"/>
        <v>5.442328437766606E-2</v>
      </c>
      <c r="AD47" s="1164">
        <f t="shared" si="14"/>
        <v>5.5875070672411445E-2</v>
      </c>
      <c r="AE47" s="1164">
        <f t="shared" si="14"/>
        <v>5.0281058289100997E-2</v>
      </c>
      <c r="AF47" s="1164">
        <f t="shared" si="14"/>
        <v>4.4229032979490025E-2</v>
      </c>
      <c r="AG47" s="1164">
        <f t="shared" si="12"/>
        <v>4.3496395157598539E-2</v>
      </c>
      <c r="AH47" s="1164">
        <f t="shared" si="12"/>
        <v>5.3004485092156224E-2</v>
      </c>
      <c r="AI47" s="1164"/>
      <c r="AJ47" s="1164"/>
      <c r="AK47" s="1164"/>
    </row>
    <row r="48" spans="1:37" s="103" customFormat="1" ht="16.5" x14ac:dyDescent="0.3">
      <c r="A48" s="1763"/>
      <c r="B48" s="1044"/>
      <c r="C48" s="1045"/>
      <c r="D48" s="796"/>
      <c r="E48" s="796"/>
      <c r="F48" s="796"/>
      <c r="G48" s="1058"/>
      <c r="H48" s="1058"/>
      <c r="I48" s="1058"/>
      <c r="J48" s="1058"/>
      <c r="K48" s="1058"/>
      <c r="L48" s="1058"/>
      <c r="M48" s="1058"/>
      <c r="N48" s="1058"/>
      <c r="O48" s="1058"/>
      <c r="P48" s="1058"/>
      <c r="Q48" s="1058"/>
      <c r="R48" s="1058"/>
      <c r="S48" s="1058"/>
      <c r="T48" s="1058"/>
      <c r="U48" s="1058"/>
      <c r="V48" s="1058"/>
      <c r="W48" s="1058"/>
    </row>
    <row r="49" spans="1:23" s="103" customFormat="1" ht="16.5" x14ac:dyDescent="0.3">
      <c r="A49" s="1763"/>
      <c r="B49" s="1044"/>
      <c r="C49" s="1045"/>
      <c r="D49" s="796"/>
      <c r="E49" s="796"/>
      <c r="F49" s="796"/>
      <c r="G49" s="1058"/>
      <c r="H49" s="1058"/>
      <c r="I49" s="1058"/>
      <c r="J49" s="1058"/>
      <c r="K49" s="1058"/>
      <c r="L49" s="1058"/>
      <c r="M49" s="1058"/>
      <c r="N49" s="1058"/>
      <c r="O49" s="1058"/>
      <c r="P49" s="1058"/>
      <c r="Q49" s="1058"/>
      <c r="R49" s="1058"/>
      <c r="S49" s="1058"/>
      <c r="T49" s="1058"/>
      <c r="U49" s="1058"/>
      <c r="V49" s="1058"/>
      <c r="W49" s="1058"/>
    </row>
    <row r="50" spans="1:23" s="103" customFormat="1" ht="16.5" x14ac:dyDescent="0.3">
      <c r="A50" s="1763"/>
      <c r="B50" s="460"/>
      <c r="C50" s="796"/>
      <c r="D50" s="796"/>
      <c r="E50" s="796"/>
      <c r="F50" s="796"/>
      <c r="G50" s="461" t="s">
        <v>348</v>
      </c>
      <c r="H50" s="460"/>
      <c r="I50" s="460"/>
      <c r="J50" s="460"/>
      <c r="K50" s="460"/>
      <c r="L50" s="460"/>
      <c r="M50" s="460"/>
      <c r="N50" s="460"/>
      <c r="O50" s="460"/>
      <c r="P50" s="460"/>
      <c r="Q50" s="460"/>
      <c r="R50" s="460"/>
      <c r="S50" s="460"/>
      <c r="T50" s="460"/>
      <c r="U50" s="460"/>
      <c r="V50" s="460"/>
      <c r="W50" s="460"/>
    </row>
    <row r="51" spans="1:23" s="103" customFormat="1" ht="17.25" thickBot="1" x14ac:dyDescent="0.35">
      <c r="A51" s="1763"/>
      <c r="B51" s="460"/>
      <c r="C51" s="796"/>
      <c r="D51" s="1068" t="s">
        <v>84</v>
      </c>
      <c r="E51" s="1069"/>
      <c r="F51" s="1069"/>
      <c r="G51" s="694">
        <f t="shared" ref="G51:V51" si="15">G8</f>
        <v>2010</v>
      </c>
      <c r="H51" s="694">
        <f t="shared" si="15"/>
        <v>2011</v>
      </c>
      <c r="I51" s="694">
        <f t="shared" si="15"/>
        <v>2012</v>
      </c>
      <c r="J51" s="694">
        <f t="shared" si="15"/>
        <v>2013</v>
      </c>
      <c r="K51" s="694">
        <f t="shared" si="15"/>
        <v>2014</v>
      </c>
      <c r="L51" s="694">
        <f t="shared" si="15"/>
        <v>2015</v>
      </c>
      <c r="M51" s="694">
        <f t="shared" si="15"/>
        <v>2016</v>
      </c>
      <c r="N51" s="694">
        <f t="shared" si="15"/>
        <v>2017</v>
      </c>
      <c r="O51" s="694">
        <f t="shared" si="15"/>
        <v>2018</v>
      </c>
      <c r="P51" s="694">
        <f t="shared" si="15"/>
        <v>2019</v>
      </c>
      <c r="Q51" s="694">
        <f t="shared" si="15"/>
        <v>2020</v>
      </c>
      <c r="R51" s="694">
        <f t="shared" si="15"/>
        <v>2021</v>
      </c>
      <c r="S51" s="694">
        <f t="shared" si="15"/>
        <v>2022</v>
      </c>
      <c r="T51" s="694">
        <f t="shared" si="15"/>
        <v>2023</v>
      </c>
      <c r="U51" s="694">
        <f t="shared" si="15"/>
        <v>2024</v>
      </c>
      <c r="V51" s="694">
        <f t="shared" si="15"/>
        <v>2025</v>
      </c>
      <c r="W51" s="1377"/>
    </row>
    <row r="52" spans="1:23" s="103" customFormat="1" ht="16.5" x14ac:dyDescent="0.3">
      <c r="A52" s="1763"/>
      <c r="B52" s="460"/>
      <c r="C52" s="796"/>
      <c r="D52" s="796" t="s">
        <v>74</v>
      </c>
      <c r="E52" s="796" t="s">
        <v>998</v>
      </c>
      <c r="F52" s="796"/>
      <c r="G52" s="1070" t="s">
        <v>259</v>
      </c>
      <c r="H52" s="1070" t="s">
        <v>259</v>
      </c>
      <c r="I52" s="1070" t="s">
        <v>259</v>
      </c>
      <c r="J52" s="1071">
        <v>8.7999999999999995E-2</v>
      </c>
      <c r="K52" s="1071">
        <v>8.8999999999999996E-2</v>
      </c>
      <c r="L52" s="1071">
        <v>8.2000000000000003E-2</v>
      </c>
      <c r="M52" s="1071">
        <v>8.8999999999999996E-2</v>
      </c>
      <c r="N52" s="1071">
        <v>8.2000000000000003E-2</v>
      </c>
      <c r="O52" s="1071">
        <v>8.3000000000000004E-2</v>
      </c>
      <c r="P52" s="1071">
        <v>8.5999999999999993E-2</v>
      </c>
      <c r="Q52" s="1071">
        <v>8.7383760000000005E-2</v>
      </c>
      <c r="R52" s="1071">
        <v>8.4481760000000003E-2</v>
      </c>
      <c r="S52" s="1071">
        <v>9.2765100000000003E-2</v>
      </c>
      <c r="T52" s="1071">
        <v>9.7456670791420966E-2</v>
      </c>
      <c r="U52" s="1071">
        <v>9.3472819361779702E-2</v>
      </c>
      <c r="V52" s="1071">
        <v>0.10257099878020599</v>
      </c>
      <c r="W52" s="1071"/>
    </row>
    <row r="53" spans="1:23" s="103" customFormat="1" ht="16.5" x14ac:dyDescent="0.3">
      <c r="A53" s="1763"/>
      <c r="B53" s="460"/>
      <c r="C53" s="796"/>
      <c r="D53" s="796" t="s">
        <v>74</v>
      </c>
      <c r="E53" s="796" t="s">
        <v>999</v>
      </c>
      <c r="F53" s="796"/>
      <c r="G53" s="1070" t="s">
        <v>259</v>
      </c>
      <c r="H53" s="1070" t="s">
        <v>259</v>
      </c>
      <c r="I53" s="1070" t="s">
        <v>259</v>
      </c>
      <c r="J53" s="1071">
        <v>8.7999999999999995E-2</v>
      </c>
      <c r="K53" s="1071">
        <v>0.09</v>
      </c>
      <c r="L53" s="1071">
        <v>8.5000000000000006E-2</v>
      </c>
      <c r="M53" s="1071">
        <v>9.1999999999999998E-2</v>
      </c>
      <c r="N53" s="1071">
        <v>8.5000000000000006E-2</v>
      </c>
      <c r="O53" s="1071">
        <v>8.8999999999999996E-2</v>
      </c>
      <c r="P53" s="1071">
        <v>9.2999999999999999E-2</v>
      </c>
      <c r="Q53" s="1071">
        <v>9.7000000000000003E-2</v>
      </c>
      <c r="R53" s="1071">
        <v>9.6477210000000008E-2</v>
      </c>
      <c r="S53" s="1071">
        <v>0.10409966000000001</v>
      </c>
      <c r="T53" s="1071">
        <v>0.107497714587038</v>
      </c>
      <c r="U53" s="1071">
        <v>0.10258157315336</v>
      </c>
      <c r="V53" s="1071">
        <v>0.11021252382935801</v>
      </c>
      <c r="W53" s="1071"/>
    </row>
    <row r="54" spans="1:23" s="103" customFormat="1" ht="16.5" x14ac:dyDescent="0.3">
      <c r="A54" s="1763"/>
      <c r="B54" s="460"/>
      <c r="C54" s="796"/>
      <c r="D54" s="796" t="s">
        <v>74</v>
      </c>
      <c r="E54" s="796" t="s">
        <v>1000</v>
      </c>
      <c r="F54" s="796"/>
      <c r="G54" s="797">
        <v>0.18099999999999999</v>
      </c>
      <c r="H54" s="797">
        <v>0.14699999999999999</v>
      </c>
      <c r="I54" s="797">
        <v>0.13700000000000001</v>
      </c>
      <c r="J54" s="1071">
        <v>0.129</v>
      </c>
      <c r="K54" s="1071">
        <v>0.125</v>
      </c>
      <c r="L54" s="1071">
        <v>0.127</v>
      </c>
      <c r="M54" s="1071">
        <v>0.13100000000000001</v>
      </c>
      <c r="N54" s="1071">
        <v>0.121</v>
      </c>
      <c r="O54" s="1071">
        <v>0.122</v>
      </c>
      <c r="P54" s="1071">
        <v>0.123</v>
      </c>
      <c r="Q54" s="1071">
        <v>0.125</v>
      </c>
      <c r="R54" s="1071">
        <v>0.12259456000000001</v>
      </c>
      <c r="S54" s="1071">
        <v>0.12703286</v>
      </c>
      <c r="T54" s="1071">
        <v>0.13271609491937139</v>
      </c>
      <c r="U54" s="1071">
        <v>0.124719558239989</v>
      </c>
      <c r="V54" s="1071">
        <v>0.13185038134448601</v>
      </c>
      <c r="W54" s="1071"/>
    </row>
    <row r="55" spans="1:23" s="103" customFormat="1" ht="16.5" x14ac:dyDescent="0.3">
      <c r="A55" s="1763"/>
      <c r="B55" s="460"/>
      <c r="C55" s="796"/>
      <c r="D55" s="796"/>
      <c r="E55" s="796"/>
      <c r="F55" s="796"/>
      <c r="G55" s="1072"/>
      <c r="H55" s="1072"/>
      <c r="I55" s="1072"/>
      <c r="J55" s="1072"/>
      <c r="K55" s="1072"/>
      <c r="L55" s="1072"/>
      <c r="M55" s="1072"/>
      <c r="N55" s="1072"/>
      <c r="O55" s="1072"/>
      <c r="P55" s="1072"/>
      <c r="Q55" s="1072"/>
      <c r="R55" s="1072"/>
      <c r="S55" s="1072"/>
      <c r="T55" s="1072"/>
      <c r="U55" s="1072"/>
      <c r="V55" s="1072"/>
      <c r="W55" s="1072"/>
    </row>
    <row r="56" spans="1:23" s="103" customFormat="1" ht="16.5" x14ac:dyDescent="0.3">
      <c r="A56" s="1763"/>
      <c r="B56" s="460"/>
      <c r="C56" s="796"/>
      <c r="D56" s="796"/>
      <c r="E56" s="796"/>
      <c r="F56" s="796"/>
      <c r="G56" s="461" t="s">
        <v>348</v>
      </c>
      <c r="H56" s="460"/>
      <c r="I56" s="460"/>
      <c r="J56" s="460"/>
      <c r="K56" s="460"/>
      <c r="L56" s="460"/>
      <c r="M56" s="460"/>
      <c r="N56" s="460"/>
      <c r="O56" s="460"/>
      <c r="P56" s="460"/>
      <c r="Q56" s="460"/>
      <c r="R56" s="460"/>
      <c r="S56" s="460"/>
      <c r="T56" s="460"/>
      <c r="U56" s="460"/>
      <c r="V56" s="460"/>
      <c r="W56" s="460"/>
    </row>
    <row r="57" spans="1:23" s="103" customFormat="1" ht="17.25" thickBot="1" x14ac:dyDescent="0.35">
      <c r="A57" s="1763"/>
      <c r="B57" s="460"/>
      <c r="C57" s="796"/>
      <c r="D57" s="1069"/>
      <c r="E57" s="1069"/>
      <c r="F57" s="1069"/>
      <c r="G57" s="694">
        <f t="shared" ref="G57:V57" si="16">G8</f>
        <v>2010</v>
      </c>
      <c r="H57" s="694">
        <f t="shared" si="16"/>
        <v>2011</v>
      </c>
      <c r="I57" s="694">
        <f t="shared" si="16"/>
        <v>2012</v>
      </c>
      <c r="J57" s="694">
        <f t="shared" si="16"/>
        <v>2013</v>
      </c>
      <c r="K57" s="694">
        <f t="shared" si="16"/>
        <v>2014</v>
      </c>
      <c r="L57" s="694">
        <f t="shared" si="16"/>
        <v>2015</v>
      </c>
      <c r="M57" s="694">
        <f t="shared" si="16"/>
        <v>2016</v>
      </c>
      <c r="N57" s="694">
        <f t="shared" si="16"/>
        <v>2017</v>
      </c>
      <c r="O57" s="694">
        <f t="shared" si="16"/>
        <v>2018</v>
      </c>
      <c r="P57" s="694">
        <f t="shared" si="16"/>
        <v>2019</v>
      </c>
      <c r="Q57" s="694">
        <f t="shared" si="16"/>
        <v>2020</v>
      </c>
      <c r="R57" s="694">
        <f t="shared" si="16"/>
        <v>2021</v>
      </c>
      <c r="S57" s="694">
        <f t="shared" si="16"/>
        <v>2022</v>
      </c>
      <c r="T57" s="694">
        <f t="shared" si="16"/>
        <v>2023</v>
      </c>
      <c r="U57" s="694">
        <f t="shared" si="16"/>
        <v>2024</v>
      </c>
      <c r="V57" s="694">
        <f t="shared" si="16"/>
        <v>2025</v>
      </c>
      <c r="W57" s="1377"/>
    </row>
    <row r="58" spans="1:23" s="103" customFormat="1" ht="16.5" x14ac:dyDescent="0.3">
      <c r="A58" s="1763"/>
      <c r="B58" s="460"/>
      <c r="C58" s="796"/>
      <c r="D58" s="796" t="s">
        <v>1128</v>
      </c>
      <c r="E58" s="796"/>
      <c r="F58" s="796"/>
      <c r="G58" s="1032">
        <f t="shared" ref="G58:V58" si="17">G19</f>
        <v>4732.3</v>
      </c>
      <c r="H58" s="1032">
        <f t="shared" si="17"/>
        <v>5242.1000000000004</v>
      </c>
      <c r="I58" s="1032">
        <f t="shared" si="17"/>
        <v>6112.9</v>
      </c>
      <c r="J58" s="1032">
        <f t="shared" si="17"/>
        <v>7064.3</v>
      </c>
      <c r="K58" s="1032">
        <f t="shared" si="17"/>
        <v>7928.4000000000005</v>
      </c>
      <c r="L58" s="1032">
        <f t="shared" si="17"/>
        <v>9008.6</v>
      </c>
      <c r="M58" s="1032">
        <f t="shared" si="17"/>
        <v>9387.1</v>
      </c>
      <c r="N58" s="1032">
        <f t="shared" si="17"/>
        <v>9397.4</v>
      </c>
      <c r="O58" s="1032">
        <f t="shared" si="17"/>
        <v>10269.299999999999</v>
      </c>
      <c r="P58" s="1032">
        <f t="shared" si="17"/>
        <v>10981.1</v>
      </c>
      <c r="Q58" s="1032">
        <f t="shared" si="17"/>
        <v>11413.143144000001</v>
      </c>
      <c r="R58" s="1032">
        <f t="shared" si="17"/>
        <v>12605.053569</v>
      </c>
      <c r="S58" s="1032">
        <f t="shared" si="17"/>
        <v>13348.216972000002</v>
      </c>
      <c r="T58" s="1032">
        <f t="shared" si="17"/>
        <v>17142.451589</v>
      </c>
      <c r="U58" s="1032">
        <f t="shared" si="17"/>
        <v>18913.986638999999</v>
      </c>
      <c r="V58" s="1032">
        <f t="shared" si="17"/>
        <v>20730.543017</v>
      </c>
      <c r="W58" s="1032"/>
    </row>
    <row r="59" spans="1:23" s="103" customFormat="1" ht="16.5" x14ac:dyDescent="0.3">
      <c r="A59" s="1763"/>
      <c r="B59" s="460"/>
      <c r="C59" s="796" t="s">
        <v>74</v>
      </c>
      <c r="D59" s="796" t="s">
        <v>253</v>
      </c>
      <c r="E59" s="796"/>
      <c r="F59" s="796"/>
      <c r="G59" s="1073"/>
      <c r="H59" s="1073"/>
      <c r="I59" s="1073"/>
      <c r="J59" s="1032"/>
      <c r="K59" s="1073"/>
      <c r="L59" s="1073"/>
      <c r="M59" s="1073"/>
      <c r="N59" s="1073"/>
      <c r="O59" s="1073"/>
      <c r="P59" s="1073"/>
      <c r="Q59" s="1073"/>
      <c r="R59" s="1073"/>
      <c r="S59" s="1073"/>
      <c r="T59" s="1073"/>
      <c r="U59" s="1073"/>
      <c r="V59" s="1073"/>
      <c r="W59" s="1073"/>
    </row>
    <row r="60" spans="1:23" s="103" customFormat="1" ht="16.5" x14ac:dyDescent="0.3">
      <c r="A60" s="1763"/>
      <c r="B60" s="460"/>
      <c r="C60" s="796"/>
      <c r="D60" s="1074"/>
      <c r="E60" s="796" t="s">
        <v>255</v>
      </c>
      <c r="F60" s="796"/>
      <c r="G60" s="1032">
        <v>-864.6</v>
      </c>
      <c r="H60" s="1032">
        <v>-973.8</v>
      </c>
      <c r="I60" s="1032">
        <v>-1090.5</v>
      </c>
      <c r="J60" s="1032">
        <v>-1147.5</v>
      </c>
      <c r="K60" s="1032">
        <v>-1222.3</v>
      </c>
      <c r="L60" s="1032">
        <v>-1277.5999999999999</v>
      </c>
      <c r="M60" s="1032">
        <v>-1486.6</v>
      </c>
      <c r="N60" s="1032">
        <v>-1512.9</v>
      </c>
      <c r="O60" s="1032">
        <v>-1625.9</v>
      </c>
      <c r="P60" s="1032">
        <v>-1677</v>
      </c>
      <c r="Q60" s="1032">
        <v>-1961.6201699999999</v>
      </c>
      <c r="R60" s="1032">
        <f>-1843.278487</f>
        <v>-1843.278487</v>
      </c>
      <c r="S60" s="1032">
        <v>-3185.7091170000003</v>
      </c>
      <c r="T60" s="1032">
        <v>-3470.1267080000002</v>
      </c>
      <c r="U60" s="1032">
        <v>-4116.5651639999996</v>
      </c>
      <c r="V60" s="1032">
        <v>-4882.9337959999993</v>
      </c>
      <c r="W60" s="1032"/>
    </row>
    <row r="61" spans="1:23" s="103" customFormat="1" ht="16.5" x14ac:dyDescent="0.3">
      <c r="A61" s="1763"/>
      <c r="B61" s="460"/>
      <c r="C61" s="796"/>
      <c r="D61" s="1074"/>
      <c r="E61" s="796" t="s">
        <v>3453</v>
      </c>
      <c r="F61" s="796"/>
      <c r="G61" s="1032">
        <v>-493.090058</v>
      </c>
      <c r="H61" s="1032">
        <v>-667.24210500000004</v>
      </c>
      <c r="I61" s="1032">
        <v>-900.24375199999997</v>
      </c>
      <c r="J61" s="1032">
        <v>-942.57819500000005</v>
      </c>
      <c r="K61" s="1032">
        <v>-1704.0547819999999</v>
      </c>
      <c r="L61" s="1032">
        <v>-2144.2346349999998</v>
      </c>
      <c r="M61" s="1032">
        <v>-2207.8586850000002</v>
      </c>
      <c r="N61" s="1032">
        <v>-2466.9693550000002</v>
      </c>
      <c r="O61" s="1032">
        <v>-2184.8453909999998</v>
      </c>
      <c r="P61" s="1032">
        <v>-2160.4878640000002</v>
      </c>
      <c r="Q61" s="1032">
        <v>-2398.1143179999999</v>
      </c>
      <c r="R61" s="1032">
        <v>-2726.971055</v>
      </c>
      <c r="S61" s="1032">
        <v>-3107.5395210000001</v>
      </c>
      <c r="T61" s="1032">
        <v>-3576.8396039999998</v>
      </c>
      <c r="U61" s="1032">
        <v>-3868.4568359999998</v>
      </c>
      <c r="V61" s="1032">
        <v>-4323.3017390000005</v>
      </c>
      <c r="W61" s="1032"/>
    </row>
    <row r="62" spans="1:23" s="103" customFormat="1" ht="16.5" x14ac:dyDescent="0.3">
      <c r="A62" s="1763"/>
      <c r="B62" s="460"/>
      <c r="C62" s="2147">
        <v>0.6</v>
      </c>
      <c r="D62" s="1074"/>
      <c r="E62" s="796" t="s">
        <v>3436</v>
      </c>
      <c r="F62" s="796"/>
      <c r="G62" s="1073">
        <v>-621.5245668</v>
      </c>
      <c r="H62" s="1073">
        <v>-679.80825659999994</v>
      </c>
      <c r="I62" s="1073">
        <v>-754.44060419999994</v>
      </c>
      <c r="J62" s="1073">
        <v>-838.80315359999997</v>
      </c>
      <c r="K62" s="1073">
        <v>-1186.8201443999999</v>
      </c>
      <c r="L62" s="1073">
        <v>-1952.2850375999999</v>
      </c>
      <c r="M62" s="1073">
        <v>-1850.5625856000001</v>
      </c>
      <c r="N62" s="1073">
        <v>-1708.1735891999999</v>
      </c>
      <c r="O62" s="1073">
        <v>-1594.8933425999999</v>
      </c>
      <c r="P62" s="1073">
        <v>-1750.0664717999998</v>
      </c>
      <c r="Q62" s="1073">
        <v>-2039.0638751999998</v>
      </c>
      <c r="R62" s="1073">
        <v>-1866.9249708</v>
      </c>
      <c r="S62" s="1073">
        <v>-1979.6076215999999</v>
      </c>
      <c r="T62" s="1073">
        <v>-1977.0230544000001</v>
      </c>
      <c r="U62" s="1073">
        <v>-2176.7939778</v>
      </c>
      <c r="V62" s="1073">
        <v>-2633.1501066000005</v>
      </c>
      <c r="W62" s="1073"/>
    </row>
    <row r="63" spans="1:23" s="103" customFormat="1" ht="16.5" x14ac:dyDescent="0.3">
      <c r="A63" s="1763"/>
      <c r="B63" s="460"/>
      <c r="C63" s="1075" t="s">
        <v>45</v>
      </c>
      <c r="D63" s="1075" t="s">
        <v>91</v>
      </c>
      <c r="E63" s="1075"/>
      <c r="F63" s="1075"/>
      <c r="G63" s="1076">
        <f>SUM(G58:G62)</f>
        <v>2753.0853752000003</v>
      </c>
      <c r="H63" s="1076">
        <f>SUM(H58:H62)</f>
        <v>2921.2496384000001</v>
      </c>
      <c r="I63" s="1076">
        <f>SUM(I58:I62)</f>
        <v>3367.7156437999993</v>
      </c>
      <c r="J63" s="1077">
        <f>SUM(J58:J62)</f>
        <v>4135.4186514000003</v>
      </c>
      <c r="K63" s="1077">
        <f t="shared" ref="K63:V63" si="18">SUM(K58:K62)</f>
        <v>3815.2250736000005</v>
      </c>
      <c r="L63" s="1077">
        <f t="shared" si="18"/>
        <v>3634.4803274000005</v>
      </c>
      <c r="M63" s="1077">
        <f t="shared" si="18"/>
        <v>3842.0787293999997</v>
      </c>
      <c r="N63" s="1077">
        <f t="shared" si="18"/>
        <v>3709.3570558000001</v>
      </c>
      <c r="O63" s="1077">
        <f t="shared" si="18"/>
        <v>4863.6612664000004</v>
      </c>
      <c r="P63" s="1077">
        <f t="shared" si="18"/>
        <v>5393.5456641999999</v>
      </c>
      <c r="Q63" s="1077">
        <f t="shared" si="18"/>
        <v>5014.3447808000019</v>
      </c>
      <c r="R63" s="1077">
        <f t="shared" si="18"/>
        <v>6167.8790562000004</v>
      </c>
      <c r="S63" s="1077">
        <f t="shared" si="18"/>
        <v>5075.3607124000009</v>
      </c>
      <c r="T63" s="1077">
        <f t="shared" si="18"/>
        <v>8118.4622225999992</v>
      </c>
      <c r="U63" s="1077">
        <f t="shared" si="18"/>
        <v>8752.1706611999998</v>
      </c>
      <c r="V63" s="1077">
        <f t="shared" si="18"/>
        <v>8891.1573754000001</v>
      </c>
      <c r="W63" s="1077"/>
    </row>
    <row r="64" spans="1:23" s="103" customFormat="1" ht="16.5" x14ac:dyDescent="0.3">
      <c r="A64" s="1763"/>
      <c r="B64" s="460"/>
      <c r="C64" s="796"/>
      <c r="D64" s="796"/>
      <c r="E64" s="796"/>
      <c r="F64" s="796"/>
      <c r="G64" s="460"/>
      <c r="H64" s="460"/>
      <c r="I64" s="460"/>
      <c r="J64" s="460"/>
      <c r="K64" s="460"/>
      <c r="L64" s="460"/>
      <c r="M64" s="460"/>
      <c r="N64" s="460"/>
      <c r="O64" s="460"/>
      <c r="P64" s="460"/>
      <c r="Q64" s="460"/>
      <c r="R64" s="460"/>
      <c r="S64" s="460"/>
      <c r="T64" s="460"/>
      <c r="U64" s="460"/>
      <c r="V64" s="460"/>
      <c r="W64" s="460"/>
    </row>
    <row r="65" spans="1:23" s="103" customFormat="1" ht="16.5" x14ac:dyDescent="0.3">
      <c r="A65" s="1763"/>
      <c r="B65" s="460"/>
      <c r="C65" s="796"/>
      <c r="D65" s="796" t="s">
        <v>257</v>
      </c>
      <c r="E65" s="796"/>
      <c r="F65" s="796"/>
      <c r="G65" s="1078">
        <f>1-G63/G58</f>
        <v>0.41823523969317244</v>
      </c>
      <c r="H65" s="1078">
        <f t="shared" ref="H65:V65" si="19">1-H63/H58</f>
        <v>0.4427329432097824</v>
      </c>
      <c r="I65" s="1078">
        <f t="shared" si="19"/>
        <v>0.44908052744196703</v>
      </c>
      <c r="J65" s="1078">
        <f t="shared" si="19"/>
        <v>0.41460319473974772</v>
      </c>
      <c r="K65" s="1078">
        <f t="shared" si="19"/>
        <v>0.51879003662781886</v>
      </c>
      <c r="L65" s="1078">
        <f t="shared" si="19"/>
        <v>0.59655436722687205</v>
      </c>
      <c r="M65" s="1078">
        <f t="shared" si="19"/>
        <v>0.59070653030222331</v>
      </c>
      <c r="N65" s="1078">
        <f t="shared" si="19"/>
        <v>0.60527836893183218</v>
      </c>
      <c r="O65" s="1078">
        <f t="shared" si="19"/>
        <v>0.52638823810775803</v>
      </c>
      <c r="P65" s="1078">
        <f t="shared" si="19"/>
        <v>0.50883375397728825</v>
      </c>
      <c r="Q65" s="1078">
        <f t="shared" si="19"/>
        <v>0.56065172253306128</v>
      </c>
      <c r="R65" s="1078">
        <f t="shared" si="19"/>
        <v>0.51068204332198497</v>
      </c>
      <c r="S65" s="1078">
        <f t="shared" si="19"/>
        <v>0.61977238435317816</v>
      </c>
      <c r="T65" s="1078">
        <f t="shared" si="19"/>
        <v>0.52641183319371487</v>
      </c>
      <c r="U65" s="1078">
        <f t="shared" si="19"/>
        <v>0.5372646270589343</v>
      </c>
      <c r="V65" s="1078">
        <f t="shared" si="19"/>
        <v>0.57110832224178387</v>
      </c>
      <c r="W65" s="1078"/>
    </row>
    <row r="66" spans="1:23" s="103" customFormat="1" ht="16.5" x14ac:dyDescent="0.3">
      <c r="A66" s="1763"/>
      <c r="B66" s="460"/>
      <c r="C66" s="796"/>
      <c r="D66" s="796"/>
      <c r="E66" s="796"/>
      <c r="F66" s="796"/>
      <c r="G66" s="460"/>
      <c r="H66" s="460"/>
      <c r="I66" s="460"/>
      <c r="J66" s="460"/>
      <c r="K66" s="460"/>
      <c r="L66" s="460"/>
      <c r="M66" s="460"/>
      <c r="N66" s="460"/>
      <c r="O66" s="460"/>
      <c r="P66" s="460"/>
      <c r="Q66" s="460"/>
      <c r="R66" s="460"/>
      <c r="S66" s="460"/>
      <c r="T66" s="460"/>
      <c r="U66" s="460"/>
      <c r="V66" s="460"/>
      <c r="W66" s="460"/>
    </row>
    <row r="67" spans="1:23" s="103" customFormat="1" ht="16.5" x14ac:dyDescent="0.3">
      <c r="A67" s="1763"/>
      <c r="B67" s="460"/>
      <c r="C67" s="796"/>
      <c r="D67" s="789" t="s">
        <v>1126</v>
      </c>
      <c r="E67" s="796"/>
      <c r="F67" s="796"/>
      <c r="G67" s="1072"/>
      <c r="H67" s="1072"/>
      <c r="I67" s="1072"/>
      <c r="J67" s="1072"/>
      <c r="K67" s="1072"/>
      <c r="L67" s="1072"/>
      <c r="M67" s="1072"/>
      <c r="N67" s="1072"/>
      <c r="O67" s="1072"/>
      <c r="P67" s="1072"/>
      <c r="Q67" s="1072"/>
      <c r="R67" s="1072"/>
      <c r="S67" s="1072"/>
      <c r="T67" s="1072"/>
      <c r="U67" s="1072"/>
      <c r="V67" s="1072"/>
      <c r="W67" s="1072"/>
    </row>
    <row r="68" spans="1:23" s="103" customFormat="1" ht="16.5" x14ac:dyDescent="0.3">
      <c r="A68" s="1763"/>
      <c r="B68" s="460"/>
      <c r="C68" s="796"/>
      <c r="D68" s="796"/>
      <c r="E68" s="796"/>
      <c r="F68" s="796"/>
      <c r="G68" s="461" t="s">
        <v>348</v>
      </c>
      <c r="H68" s="460"/>
      <c r="I68" s="460"/>
      <c r="J68" s="460"/>
      <c r="K68" s="460"/>
      <c r="L68" s="460"/>
      <c r="M68" s="460"/>
      <c r="N68" s="460"/>
      <c r="O68" s="460"/>
      <c r="P68" s="460"/>
      <c r="Q68" s="460"/>
      <c r="R68" s="460"/>
      <c r="S68" s="460"/>
      <c r="T68" s="460"/>
      <c r="U68" s="460"/>
      <c r="V68" s="460"/>
      <c r="W68" s="460"/>
    </row>
    <row r="69" spans="1:23" s="103" customFormat="1" ht="17.25" thickBot="1" x14ac:dyDescent="0.35">
      <c r="A69" s="1763"/>
      <c r="B69" s="460"/>
      <c r="C69" s="796"/>
      <c r="D69" s="1069"/>
      <c r="E69" s="1069" t="s">
        <v>286</v>
      </c>
      <c r="F69" s="1069"/>
      <c r="G69" s="694">
        <f>G8</f>
        <v>2010</v>
      </c>
      <c r="H69" s="694">
        <f t="shared" ref="H69:V69" si="20">H8</f>
        <v>2011</v>
      </c>
      <c r="I69" s="694">
        <f t="shared" si="20"/>
        <v>2012</v>
      </c>
      <c r="J69" s="694">
        <f t="shared" si="20"/>
        <v>2013</v>
      </c>
      <c r="K69" s="694">
        <f t="shared" si="20"/>
        <v>2014</v>
      </c>
      <c r="L69" s="694">
        <f t="shared" si="20"/>
        <v>2015</v>
      </c>
      <c r="M69" s="694">
        <f t="shared" si="20"/>
        <v>2016</v>
      </c>
      <c r="N69" s="694">
        <f t="shared" si="20"/>
        <v>2017</v>
      </c>
      <c r="O69" s="694">
        <f t="shared" si="20"/>
        <v>2018</v>
      </c>
      <c r="P69" s="694">
        <f t="shared" si="20"/>
        <v>2019</v>
      </c>
      <c r="Q69" s="694">
        <f t="shared" si="20"/>
        <v>2020</v>
      </c>
      <c r="R69" s="694">
        <f t="shared" si="20"/>
        <v>2021</v>
      </c>
      <c r="S69" s="694">
        <f t="shared" si="20"/>
        <v>2022</v>
      </c>
      <c r="T69" s="694">
        <f t="shared" si="20"/>
        <v>2023</v>
      </c>
      <c r="U69" s="694">
        <f t="shared" si="20"/>
        <v>2024</v>
      </c>
      <c r="V69" s="694">
        <f t="shared" si="20"/>
        <v>2025</v>
      </c>
      <c r="W69" s="1377"/>
    </row>
    <row r="70" spans="1:23" s="103" customFormat="1" ht="16.5" x14ac:dyDescent="0.3">
      <c r="A70" s="1763"/>
      <c r="B70" s="460"/>
      <c r="C70" s="796"/>
      <c r="D70" s="796" t="s">
        <v>1284</v>
      </c>
      <c r="E70" s="796"/>
      <c r="F70" s="796"/>
      <c r="G70" s="1032">
        <f>G20</f>
        <v>31480.512939</v>
      </c>
      <c r="H70" s="1032">
        <f t="shared" ref="H70:U70" si="21">H20</f>
        <v>39139.627571999998</v>
      </c>
      <c r="I70" s="1032">
        <f t="shared" si="21"/>
        <v>46860.261545000001</v>
      </c>
      <c r="J70" s="1032">
        <f t="shared" si="21"/>
        <v>54382.127765999998</v>
      </c>
      <c r="K70" s="1032">
        <f t="shared" si="21"/>
        <v>73423.808596000003</v>
      </c>
      <c r="L70" s="1032">
        <f t="shared" si="21"/>
        <v>77474.262327999997</v>
      </c>
      <c r="M70" s="1032">
        <f t="shared" si="21"/>
        <v>74092.991330000004</v>
      </c>
      <c r="N70" s="1032">
        <f t="shared" si="21"/>
        <v>77961.133994000003</v>
      </c>
      <c r="O70" s="1032">
        <f t="shared" si="21"/>
        <v>86231.980244000006</v>
      </c>
      <c r="P70" s="1032">
        <f t="shared" si="21"/>
        <v>88796.187569999995</v>
      </c>
      <c r="Q70" s="1032">
        <f t="shared" si="21"/>
        <v>104023.028628</v>
      </c>
      <c r="R70" s="1032">
        <f t="shared" si="21"/>
        <v>120536.62983000001</v>
      </c>
      <c r="S70" s="1032">
        <f t="shared" si="21"/>
        <v>134818.44652900001</v>
      </c>
      <c r="T70" s="1032">
        <f t="shared" si="21"/>
        <v>167830.40549500001</v>
      </c>
      <c r="U70" s="1032">
        <f t="shared" si="21"/>
        <v>199255.74115799999</v>
      </c>
      <c r="V70" s="1032">
        <v>210874.51928499999</v>
      </c>
      <c r="W70" s="1032"/>
    </row>
    <row r="71" spans="1:23" s="103" customFormat="1" ht="16.5" x14ac:dyDescent="0.3">
      <c r="A71" s="1763"/>
      <c r="B71" s="460"/>
      <c r="C71" s="796"/>
      <c r="D71" s="796" t="s">
        <v>1127</v>
      </c>
      <c r="E71" s="796"/>
      <c r="F71" s="796"/>
      <c r="G71" s="1032">
        <v>4339.1465790000002</v>
      </c>
      <c r="H71" s="1032">
        <v>4963.0292069999996</v>
      </c>
      <c r="I71" s="1032">
        <v>5911.0051590000003</v>
      </c>
      <c r="J71" s="1032">
        <v>6629.2125669999996</v>
      </c>
      <c r="K71" s="1032">
        <v>6921.8997419999996</v>
      </c>
      <c r="L71" s="1032">
        <v>7551.743931</v>
      </c>
      <c r="M71" s="1032">
        <v>8611.3962019999999</v>
      </c>
      <c r="N71" s="1032">
        <v>8962.9303390000005</v>
      </c>
      <c r="O71" s="1032">
        <v>9306.1348199999993</v>
      </c>
      <c r="P71" s="1032">
        <v>10009.200000000001</v>
      </c>
      <c r="Q71" s="1032">
        <v>10680.897521000001</v>
      </c>
      <c r="R71" s="1032">
        <v>11979.263913000001</v>
      </c>
      <c r="S71" s="1032">
        <v>13431.078239</v>
      </c>
      <c r="T71" s="1032">
        <v>15550.211088</v>
      </c>
      <c r="U71" s="1032">
        <v>17543.742073000001</v>
      </c>
      <c r="V71" s="1032">
        <v>20251.205494000002</v>
      </c>
      <c r="W71" s="1032"/>
    </row>
    <row r="72" spans="1:23" ht="15.75" x14ac:dyDescent="0.25">
      <c r="B72" s="21"/>
      <c r="C72" s="320"/>
      <c r="D72" s="1079" t="s">
        <v>1101</v>
      </c>
      <c r="E72" s="1079"/>
      <c r="F72" s="1079"/>
      <c r="G72" s="1080">
        <v>27549.768806</v>
      </c>
      <c r="H72" s="1080">
        <v>34039.115207000003</v>
      </c>
      <c r="I72" s="1080">
        <v>40118.637315</v>
      </c>
      <c r="J72" s="1080">
        <v>47591.03716</v>
      </c>
      <c r="K72" s="1080">
        <v>61253.228632999999</v>
      </c>
      <c r="L72" s="1080">
        <v>67889.140648000001</v>
      </c>
      <c r="M72" s="1080">
        <v>65950.826642</v>
      </c>
      <c r="N72" s="1080">
        <v>70548.317937999993</v>
      </c>
      <c r="O72" s="1080">
        <v>78015.673817000003</v>
      </c>
      <c r="P72" s="1080">
        <v>80722.221438999986</v>
      </c>
      <c r="Q72" s="1080">
        <v>94664.524717000008</v>
      </c>
      <c r="R72" s="1080">
        <v>109813.73095699999</v>
      </c>
      <c r="S72" s="1080">
        <v>119485.50848800001</v>
      </c>
      <c r="T72" s="1080">
        <v>130222.339529</v>
      </c>
      <c r="U72" s="1080">
        <v>162665.12388599999</v>
      </c>
      <c r="V72" s="1080">
        <v>189681.35585200001</v>
      </c>
      <c r="W72" s="1032"/>
    </row>
    <row r="73" spans="1:23" ht="15.75" x14ac:dyDescent="0.25">
      <c r="B73" s="21"/>
      <c r="C73" s="320"/>
      <c r="D73" s="1054" t="s">
        <v>845</v>
      </c>
      <c r="E73" s="1054"/>
      <c r="F73" s="1054"/>
      <c r="G73" s="1056">
        <v>22544.693918000001</v>
      </c>
      <c r="H73" s="1056">
        <v>26159.278487999996</v>
      </c>
      <c r="I73" s="1056">
        <v>32908.734859999997</v>
      </c>
      <c r="J73" s="1056">
        <v>39233.154525999998</v>
      </c>
      <c r="K73" s="1056">
        <v>45816.517902</v>
      </c>
      <c r="L73" s="1056">
        <v>61172.811533</v>
      </c>
      <c r="M73" s="1056">
        <v>65625.73646700001</v>
      </c>
      <c r="N73" s="1056">
        <v>62175.64540899999</v>
      </c>
      <c r="O73" s="1056">
        <v>65922.946689999997</v>
      </c>
      <c r="P73" s="1056">
        <v>73459.499937000001</v>
      </c>
      <c r="Q73" s="1056">
        <v>75104.669831000007</v>
      </c>
      <c r="R73" s="1056">
        <v>104975.62381600001</v>
      </c>
      <c r="S73" s="1056">
        <v>116752.54931000002</v>
      </c>
      <c r="T73" s="1056">
        <v>143180.114657</v>
      </c>
      <c r="U73" s="1056">
        <v>169711.33844299999</v>
      </c>
      <c r="V73" s="1056">
        <v>179595.10295499998</v>
      </c>
      <c r="W73" s="1032"/>
    </row>
    <row r="74" spans="1:23" ht="16.5" thickBot="1" x14ac:dyDescent="0.3">
      <c r="B74" s="21"/>
      <c r="C74" s="320"/>
      <c r="D74" s="796" t="s">
        <v>1283</v>
      </c>
      <c r="E74" s="796"/>
      <c r="F74" s="796"/>
      <c r="G74" s="1032">
        <v>26839.726881000002</v>
      </c>
      <c r="H74" s="1032">
        <v>33622.368735999997</v>
      </c>
      <c r="I74" s="1032">
        <v>39873.064489999997</v>
      </c>
      <c r="J74" s="1032">
        <v>47066.938845000004</v>
      </c>
      <c r="K74" s="1032">
        <v>62349.356366</v>
      </c>
      <c r="L74" s="1032">
        <v>67037.934261999995</v>
      </c>
      <c r="M74" s="1032">
        <v>64687.122052999999</v>
      </c>
      <c r="N74" s="1032">
        <v>68657.053447000013</v>
      </c>
      <c r="O74" s="1032">
        <v>75969.133024999988</v>
      </c>
      <c r="P74" s="1032">
        <v>77748.775030999997</v>
      </c>
      <c r="Q74" s="1032">
        <v>91650.775771999979</v>
      </c>
      <c r="R74" s="1032">
        <v>106659.03140899999</v>
      </c>
      <c r="S74" s="1032">
        <v>119955.55115</v>
      </c>
      <c r="T74" s="1032">
        <v>148395.165504</v>
      </c>
      <c r="U74" s="1032">
        <v>175357.35862300001</v>
      </c>
      <c r="V74" s="1032">
        <v>182135.76497899997</v>
      </c>
      <c r="W74" s="1032"/>
    </row>
    <row r="75" spans="1:23" ht="16.5" thickBot="1" x14ac:dyDescent="0.3">
      <c r="B75" s="21"/>
      <c r="C75" s="320"/>
      <c r="D75" s="1081" t="s">
        <v>1285</v>
      </c>
      <c r="E75" s="1081"/>
      <c r="F75" s="1081"/>
      <c r="G75" s="1082"/>
      <c r="H75" s="1082"/>
      <c r="I75" s="1082"/>
      <c r="J75" s="1082"/>
      <c r="K75" s="1082">
        <v>950000</v>
      </c>
      <c r="L75" s="1082">
        <v>950000</v>
      </c>
      <c r="M75" s="1082">
        <v>838000</v>
      </c>
      <c r="N75" s="1082">
        <f>M75*0.97</f>
        <v>812860</v>
      </c>
      <c r="O75" s="1082">
        <f>N75*0.97</f>
        <v>788474.2</v>
      </c>
      <c r="P75" s="1082">
        <f>O75*0.97</f>
        <v>764819.97399999993</v>
      </c>
      <c r="Q75" s="1082">
        <f>P75*0.97</f>
        <v>741875.37477999995</v>
      </c>
      <c r="R75" s="1082">
        <f>Q75</f>
        <v>741875.37477999995</v>
      </c>
      <c r="S75" s="1082">
        <f>R75</f>
        <v>741875.37477999995</v>
      </c>
      <c r="T75" s="1082">
        <f>S75*1.05</f>
        <v>778969.14351900003</v>
      </c>
      <c r="U75" s="1082">
        <f>T75*1.05</f>
        <v>817917.60069495009</v>
      </c>
      <c r="V75" s="1082">
        <f>U75</f>
        <v>817917.60069495009</v>
      </c>
      <c r="W75" s="1716"/>
    </row>
    <row r="76" spans="1:23" ht="15.75" x14ac:dyDescent="0.25">
      <c r="A76" s="1898" t="s">
        <v>3403</v>
      </c>
      <c r="B76" s="21"/>
      <c r="C76" s="320"/>
      <c r="D76" s="1897" t="s">
        <v>3404</v>
      </c>
      <c r="E76" s="1897"/>
      <c r="F76" s="1897"/>
      <c r="G76" s="1900"/>
      <c r="H76" s="1900"/>
      <c r="I76" s="1900"/>
      <c r="J76" s="1900"/>
      <c r="K76" s="1900"/>
      <c r="L76" s="1900"/>
      <c r="M76" s="1900"/>
      <c r="N76" s="1900"/>
      <c r="O76" s="1900"/>
      <c r="P76" s="1900">
        <v>0.01</v>
      </c>
      <c r="Q76" s="1900">
        <v>1.0999999999999999E-2</v>
      </c>
      <c r="R76" s="1900">
        <v>-1E-3</v>
      </c>
      <c r="S76" s="1900">
        <v>1.4999999999999999E-2</v>
      </c>
      <c r="T76" s="1900">
        <v>7.0000000000000001E-3</v>
      </c>
      <c r="U76" s="1900">
        <v>3.0000000000000001E-3</v>
      </c>
      <c r="V76" s="1900">
        <v>0.01</v>
      </c>
      <c r="W76" s="1032"/>
    </row>
    <row r="77" spans="1:23" ht="16.5" thickBot="1" x14ac:dyDescent="0.3">
      <c r="A77" s="1898"/>
      <c r="B77" s="21"/>
      <c r="C77" s="320"/>
      <c r="D77" s="1899" t="s">
        <v>3405</v>
      </c>
      <c r="E77" s="1899"/>
      <c r="F77" s="1899"/>
      <c r="G77" s="1901"/>
      <c r="H77" s="1901"/>
      <c r="I77" s="1901"/>
      <c r="J77" s="1901"/>
      <c r="K77" s="1901"/>
      <c r="L77" s="1901"/>
      <c r="M77" s="1901"/>
      <c r="N77" s="1901"/>
      <c r="O77" s="1901"/>
      <c r="P77" s="1901">
        <v>1.4E-2</v>
      </c>
      <c r="Q77" s="1901">
        <v>2.6499999999999999E-2</v>
      </c>
      <c r="R77" s="1901">
        <v>1.4999999999999999E-2</v>
      </c>
      <c r="S77" s="1901">
        <v>2.4E-2</v>
      </c>
      <c r="T77" s="1901">
        <v>1.7000000000000001E-2</v>
      </c>
      <c r="U77" s="1901">
        <v>2.3E-2</v>
      </c>
      <c r="V77" s="1901">
        <v>2.9000000000000001E-2</v>
      </c>
      <c r="W77" s="1032"/>
    </row>
    <row r="78" spans="1:23" ht="15.75" x14ac:dyDescent="0.25">
      <c r="B78" s="21"/>
      <c r="C78" s="320"/>
      <c r="D78" s="1979" t="s">
        <v>3418</v>
      </c>
      <c r="E78" s="1979"/>
      <c r="F78" s="1979"/>
      <c r="G78" s="1981"/>
      <c r="H78" s="1981"/>
      <c r="I78" s="1981"/>
      <c r="J78" s="1981"/>
      <c r="K78" s="1981"/>
      <c r="L78" s="1981"/>
      <c r="M78" s="1981"/>
      <c r="N78" s="1981"/>
      <c r="O78" s="1981"/>
      <c r="P78" s="1981"/>
      <c r="Q78" s="1981"/>
      <c r="R78" s="1981">
        <v>7688.3417200000004</v>
      </c>
      <c r="S78" s="1981">
        <v>8235.5816360000008</v>
      </c>
      <c r="T78" s="1981">
        <v>10045.779200000001</v>
      </c>
      <c r="U78" s="1981">
        <v>11042</v>
      </c>
      <c r="V78" s="1981">
        <v>14103.877038000001</v>
      </c>
      <c r="W78" s="1980"/>
    </row>
    <row r="79" spans="1:23" x14ac:dyDescent="0.25">
      <c r="B79" s="4"/>
      <c r="C79" s="6"/>
      <c r="D79" s="6"/>
      <c r="E79" s="6"/>
      <c r="F79" s="6"/>
      <c r="G79" s="4"/>
      <c r="H79" s="4"/>
      <c r="I79" s="4"/>
      <c r="J79" s="4"/>
      <c r="K79" s="4"/>
      <c r="L79" s="4"/>
      <c r="M79" s="4"/>
      <c r="N79" s="4"/>
      <c r="O79" s="4"/>
      <c r="P79" s="4"/>
      <c r="Q79" s="4"/>
      <c r="R79" s="4"/>
      <c r="S79" s="4"/>
      <c r="T79" s="4"/>
      <c r="U79" s="4"/>
      <c r="V79" s="4"/>
      <c r="W79" s="4"/>
    </row>
    <row r="80" spans="1:23" x14ac:dyDescent="0.25">
      <c r="B80" s="4"/>
      <c r="C80" s="6"/>
      <c r="D80" s="6"/>
      <c r="E80" s="6"/>
      <c r="F80" s="6"/>
      <c r="G80" s="4"/>
      <c r="H80" s="4"/>
      <c r="I80" s="4"/>
      <c r="J80" s="4"/>
      <c r="K80" s="4"/>
      <c r="L80" s="4"/>
      <c r="M80" s="4"/>
      <c r="N80" s="4"/>
      <c r="O80" s="4"/>
      <c r="P80" s="4"/>
      <c r="Q80" s="4"/>
      <c r="R80" s="4"/>
      <c r="S80" s="4"/>
      <c r="T80" s="4"/>
      <c r="U80" s="4"/>
      <c r="V80" s="4"/>
      <c r="W80" s="4"/>
    </row>
    <row r="81" spans="1:23" x14ac:dyDescent="0.25">
      <c r="B81" s="4"/>
      <c r="C81" s="6"/>
      <c r="D81" s="6"/>
      <c r="E81" s="6"/>
      <c r="F81" s="6"/>
      <c r="G81" s="4"/>
      <c r="H81" s="4"/>
      <c r="I81" s="4"/>
      <c r="J81" s="4"/>
      <c r="K81" s="4"/>
      <c r="L81" s="4"/>
      <c r="M81" s="4"/>
      <c r="N81" s="4"/>
      <c r="O81" s="4"/>
      <c r="P81" s="4"/>
      <c r="Q81" s="4"/>
      <c r="R81" s="4"/>
      <c r="S81" s="4"/>
      <c r="T81" s="4"/>
      <c r="U81" s="4"/>
      <c r="V81" s="4"/>
      <c r="W81" s="4"/>
    </row>
    <row r="82" spans="1:23" x14ac:dyDescent="0.25">
      <c r="B82" s="4"/>
      <c r="C82" s="6"/>
      <c r="D82" s="6"/>
      <c r="E82" s="6"/>
      <c r="F82" s="6"/>
      <c r="G82" s="4"/>
      <c r="H82" s="4"/>
      <c r="I82" s="4"/>
      <c r="J82" s="4"/>
      <c r="K82" s="4"/>
      <c r="L82" s="4"/>
      <c r="M82" s="4"/>
      <c r="N82" s="4"/>
      <c r="O82" s="4"/>
      <c r="P82" s="4"/>
      <c r="Q82" s="4"/>
      <c r="R82" s="4"/>
      <c r="S82" s="4"/>
      <c r="T82" s="4"/>
      <c r="U82" s="4"/>
      <c r="V82" s="4"/>
      <c r="W82" s="4"/>
    </row>
    <row r="83" spans="1:23" x14ac:dyDescent="0.25">
      <c r="B83" s="4"/>
      <c r="C83" s="6"/>
      <c r="D83" s="6"/>
      <c r="E83" s="6"/>
      <c r="F83" s="6"/>
      <c r="G83" s="4"/>
      <c r="H83" s="4"/>
      <c r="I83" s="4"/>
      <c r="J83" s="4"/>
      <c r="K83" s="4"/>
      <c r="L83" s="4"/>
      <c r="M83" s="4"/>
      <c r="N83" s="4"/>
      <c r="O83" s="4"/>
      <c r="P83" s="4"/>
      <c r="Q83" s="4"/>
      <c r="R83" s="4"/>
      <c r="S83" s="4"/>
      <c r="T83" s="4"/>
      <c r="U83" s="4"/>
      <c r="V83" s="4"/>
      <c r="W83" s="4"/>
    </row>
    <row r="84" spans="1:23" x14ac:dyDescent="0.25">
      <c r="B84" s="4"/>
      <c r="C84" s="6"/>
      <c r="D84" s="6"/>
      <c r="E84" s="6"/>
      <c r="F84" s="6"/>
      <c r="G84" s="4"/>
      <c r="H84" s="4"/>
      <c r="I84" s="4"/>
      <c r="J84" s="4"/>
      <c r="K84" s="4"/>
      <c r="L84" s="4"/>
      <c r="M84" s="4"/>
      <c r="N84" s="4"/>
      <c r="O84" s="4"/>
      <c r="P84" s="4"/>
      <c r="Q84" s="4"/>
      <c r="R84" s="4"/>
      <c r="S84" s="4"/>
      <c r="T84" s="4"/>
      <c r="U84" s="4"/>
      <c r="V84" s="4"/>
      <c r="W84" s="4"/>
    </row>
    <row r="85" spans="1:23" ht="18" x14ac:dyDescent="0.3">
      <c r="B85" s="159"/>
      <c r="C85" s="160"/>
      <c r="D85" s="466" t="s">
        <v>1002</v>
      </c>
      <c r="E85" s="160"/>
      <c r="F85" s="160"/>
      <c r="G85" s="161"/>
      <c r="H85" s="161"/>
      <c r="I85" s="161"/>
      <c r="J85" s="161"/>
      <c r="K85" s="159"/>
      <c r="L85" s="159"/>
      <c r="M85" s="159"/>
      <c r="N85" s="159"/>
      <c r="O85" s="159"/>
      <c r="P85" s="159"/>
      <c r="Q85" s="159"/>
      <c r="R85" s="159"/>
      <c r="S85" s="159"/>
      <c r="T85" s="159"/>
      <c r="U85" s="159"/>
      <c r="V85" s="159"/>
      <c r="W85" s="159"/>
    </row>
    <row r="86" spans="1:23" ht="16.5" x14ac:dyDescent="0.3">
      <c r="B86" s="460"/>
      <c r="C86" s="460"/>
      <c r="D86" s="460"/>
      <c r="E86" s="460"/>
      <c r="F86" s="103"/>
      <c r="G86" s="461" t="s">
        <v>348</v>
      </c>
      <c r="H86" s="460"/>
      <c r="I86" s="460"/>
      <c r="J86" s="460"/>
      <c r="K86" s="460"/>
      <c r="L86" s="460"/>
      <c r="M86" s="460"/>
      <c r="N86" s="460"/>
      <c r="O86" s="460"/>
      <c r="P86" s="460"/>
      <c r="Q86" s="460"/>
      <c r="R86" s="460"/>
      <c r="S86" s="460"/>
      <c r="T86" s="460"/>
      <c r="U86" s="460"/>
      <c r="V86" s="460"/>
      <c r="W86" s="460"/>
    </row>
    <row r="87" spans="1:23" ht="21" customHeight="1" thickBot="1" x14ac:dyDescent="0.35">
      <c r="B87" s="463"/>
      <c r="C87" s="463"/>
      <c r="D87" s="463"/>
      <c r="E87" s="463"/>
      <c r="F87" s="101"/>
      <c r="G87" s="464">
        <f>G8</f>
        <v>2010</v>
      </c>
      <c r="H87" s="464">
        <f t="shared" ref="H87:V87" si="22">H8</f>
        <v>2011</v>
      </c>
      <c r="I87" s="464">
        <f t="shared" si="22"/>
        <v>2012</v>
      </c>
      <c r="J87" s="464">
        <f t="shared" si="22"/>
        <v>2013</v>
      </c>
      <c r="K87" s="464">
        <f t="shared" si="22"/>
        <v>2014</v>
      </c>
      <c r="L87" s="464">
        <f t="shared" si="22"/>
        <v>2015</v>
      </c>
      <c r="M87" s="464">
        <f t="shared" si="22"/>
        <v>2016</v>
      </c>
      <c r="N87" s="464">
        <f t="shared" si="22"/>
        <v>2017</v>
      </c>
      <c r="O87" s="464">
        <f t="shared" si="22"/>
        <v>2018</v>
      </c>
      <c r="P87" s="464">
        <f t="shared" si="22"/>
        <v>2019</v>
      </c>
      <c r="Q87" s="464">
        <f t="shared" si="22"/>
        <v>2020</v>
      </c>
      <c r="R87" s="464">
        <f t="shared" si="22"/>
        <v>2021</v>
      </c>
      <c r="S87" s="464">
        <f t="shared" si="22"/>
        <v>2022</v>
      </c>
      <c r="T87" s="464">
        <f t="shared" si="22"/>
        <v>2023</v>
      </c>
      <c r="U87" s="464">
        <f t="shared" si="22"/>
        <v>2024</v>
      </c>
      <c r="V87" s="464">
        <f t="shared" si="22"/>
        <v>2025</v>
      </c>
      <c r="W87" s="1377"/>
    </row>
    <row r="88" spans="1:23" s="999" customFormat="1" ht="21" customHeight="1" x14ac:dyDescent="0.25">
      <c r="A88" s="1026"/>
      <c r="B88" s="997"/>
      <c r="C88" s="997"/>
      <c r="D88" s="997" t="s">
        <v>1002</v>
      </c>
      <c r="E88" s="997"/>
      <c r="F88" s="997"/>
      <c r="G88" s="998">
        <v>30.3505</v>
      </c>
      <c r="H88" s="998">
        <v>31.872900000000001</v>
      </c>
      <c r="I88" s="998">
        <v>30.421500000000002</v>
      </c>
      <c r="J88" s="998">
        <v>32.658700000000003</v>
      </c>
      <c r="K88" s="998">
        <v>56.258400000000002</v>
      </c>
      <c r="L88" s="998">
        <v>72.8827</v>
      </c>
      <c r="M88" s="998">
        <v>60.6569</v>
      </c>
      <c r="N88" s="998">
        <v>57.600200000000001</v>
      </c>
      <c r="O88" s="998">
        <v>69.470600000000005</v>
      </c>
      <c r="P88" s="998">
        <v>61.905700000000003</v>
      </c>
      <c r="Q88" s="998">
        <v>73.875699999999995</v>
      </c>
      <c r="R88" s="998">
        <v>75.131500000000003</v>
      </c>
      <c r="S88" s="998">
        <v>70.300200000000004</v>
      </c>
      <c r="T88" s="998">
        <v>90.403999999999996</v>
      </c>
      <c r="U88" s="998">
        <v>101.6797</v>
      </c>
      <c r="V88" s="998">
        <v>78.226699999999994</v>
      </c>
      <c r="W88" s="1717"/>
    </row>
    <row r="89" spans="1:23" x14ac:dyDescent="0.25">
      <c r="B89" s="4"/>
      <c r="C89" s="6"/>
      <c r="D89" s="6"/>
      <c r="E89" s="6"/>
      <c r="F89" s="6"/>
      <c r="G89" s="4"/>
      <c r="H89" s="4"/>
      <c r="I89" s="4"/>
      <c r="J89" s="4"/>
      <c r="K89" s="4"/>
      <c r="L89" s="4"/>
      <c r="M89" s="4"/>
      <c r="N89" s="4"/>
      <c r="O89" s="4"/>
      <c r="P89" s="4"/>
      <c r="Q89" s="4"/>
      <c r="R89" s="4"/>
      <c r="S89" s="4"/>
      <c r="T89" s="4"/>
      <c r="U89" s="4"/>
      <c r="V89" s="4"/>
      <c r="W89" s="4"/>
    </row>
    <row r="90" spans="1:23" x14ac:dyDescent="0.25">
      <c r="B90" s="4"/>
      <c r="C90" s="6"/>
      <c r="D90" s="6"/>
      <c r="E90" s="6"/>
      <c r="F90" s="6"/>
      <c r="G90" s="4"/>
      <c r="H90" s="4"/>
      <c r="I90" s="4"/>
      <c r="J90" s="4"/>
      <c r="K90" s="4"/>
      <c r="L90" s="4"/>
      <c r="M90" s="4"/>
      <c r="N90" s="4"/>
      <c r="O90" s="4"/>
      <c r="P90" s="4"/>
      <c r="Q90" s="4"/>
      <c r="R90" s="4"/>
      <c r="S90" s="4"/>
      <c r="T90" s="4"/>
      <c r="U90" s="4"/>
      <c r="V90" s="4"/>
      <c r="W90" s="4"/>
    </row>
    <row r="91" spans="1:23" s="999" customFormat="1" ht="24.75" customHeight="1" x14ac:dyDescent="0.25">
      <c r="A91" s="1026"/>
      <c r="B91" s="1000"/>
      <c r="C91" s="1000"/>
      <c r="D91" s="1001" t="s">
        <v>1282</v>
      </c>
      <c r="E91" s="1000"/>
      <c r="F91" s="1000"/>
      <c r="G91" s="1002"/>
      <c r="H91" s="1002"/>
      <c r="I91" s="1002"/>
      <c r="J91" s="1002"/>
      <c r="K91" s="1000"/>
      <c r="L91" s="1000"/>
      <c r="M91" s="1000"/>
      <c r="N91" s="1000"/>
      <c r="O91" s="1000"/>
      <c r="P91" s="1000"/>
      <c r="Q91" s="1000"/>
      <c r="R91" s="1000"/>
      <c r="S91" s="1000"/>
      <c r="T91" s="1000"/>
      <c r="U91" s="1000"/>
      <c r="V91" s="1000"/>
      <c r="W91" s="1000"/>
    </row>
    <row r="92" spans="1:23" s="999" customFormat="1" ht="24.75" customHeight="1" x14ac:dyDescent="0.25">
      <c r="A92" s="1026"/>
      <c r="B92" s="1004"/>
      <c r="C92" s="1004"/>
      <c r="D92" s="1003"/>
      <c r="E92" s="1004"/>
      <c r="F92" s="1004"/>
      <c r="G92" s="1005"/>
      <c r="H92" s="1005"/>
      <c r="I92" s="1005"/>
      <c r="J92" s="1005"/>
      <c r="K92" s="1004"/>
      <c r="L92" s="1004"/>
      <c r="M92" s="1004"/>
      <c r="N92" s="1004"/>
      <c r="O92" s="1004"/>
      <c r="P92" s="1004"/>
      <c r="Q92" s="1004"/>
      <c r="R92" s="1004"/>
      <c r="S92" s="1004"/>
      <c r="T92" s="1004"/>
      <c r="U92" s="1004"/>
      <c r="V92" s="1004"/>
      <c r="W92" s="1004"/>
    </row>
    <row r="93" spans="1:23" s="103" customFormat="1" ht="18.75" x14ac:dyDescent="0.3">
      <c r="A93" s="1763"/>
      <c r="B93" s="460"/>
      <c r="C93" s="460"/>
      <c r="D93" s="460"/>
      <c r="E93" s="460"/>
      <c r="F93" s="1086" t="s">
        <v>286</v>
      </c>
      <c r="G93" s="461" t="s">
        <v>348</v>
      </c>
      <c r="H93" s="460"/>
      <c r="I93" s="460"/>
      <c r="J93" s="460"/>
      <c r="K93" s="460"/>
      <c r="L93" s="460"/>
      <c r="M93" s="460"/>
      <c r="N93" s="460"/>
      <c r="O93" s="460"/>
      <c r="P93" s="460"/>
      <c r="Q93" s="460"/>
      <c r="R93" s="460"/>
      <c r="S93" s="460"/>
      <c r="T93" s="460"/>
      <c r="U93" s="460"/>
      <c r="V93" s="460"/>
      <c r="W93" s="460"/>
    </row>
    <row r="94" spans="1:23" s="103" customFormat="1" ht="16.5" x14ac:dyDescent="0.3">
      <c r="A94" s="1763">
        <v>1</v>
      </c>
      <c r="B94" s="463"/>
      <c r="C94" s="463"/>
      <c r="D94" s="463"/>
      <c r="E94" s="463"/>
      <c r="F94" s="1010"/>
      <c r="G94" s="464">
        <f>G8</f>
        <v>2010</v>
      </c>
      <c r="H94" s="464">
        <f t="shared" ref="H94:V94" si="23">H8</f>
        <v>2011</v>
      </c>
      <c r="I94" s="464">
        <f t="shared" si="23"/>
        <v>2012</v>
      </c>
      <c r="J94" s="464">
        <f t="shared" si="23"/>
        <v>2013</v>
      </c>
      <c r="K94" s="464">
        <f t="shared" si="23"/>
        <v>2014</v>
      </c>
      <c r="L94" s="464">
        <f t="shared" si="23"/>
        <v>2015</v>
      </c>
      <c r="M94" s="464">
        <f t="shared" si="23"/>
        <v>2016</v>
      </c>
      <c r="N94" s="464">
        <f t="shared" si="23"/>
        <v>2017</v>
      </c>
      <c r="O94" s="464">
        <f t="shared" si="23"/>
        <v>2018</v>
      </c>
      <c r="P94" s="464">
        <f t="shared" si="23"/>
        <v>2019</v>
      </c>
      <c r="Q94" s="464">
        <f t="shared" si="23"/>
        <v>2020</v>
      </c>
      <c r="R94" s="464">
        <f t="shared" si="23"/>
        <v>2021</v>
      </c>
      <c r="S94" s="464">
        <f t="shared" si="23"/>
        <v>2022</v>
      </c>
      <c r="T94" s="464">
        <f t="shared" si="23"/>
        <v>2023</v>
      </c>
      <c r="U94" s="464">
        <f t="shared" si="23"/>
        <v>2024</v>
      </c>
      <c r="V94" s="464">
        <f t="shared" si="23"/>
        <v>2025</v>
      </c>
      <c r="W94" s="1377"/>
    </row>
    <row r="95" spans="1:23" ht="25.5" customHeight="1" x14ac:dyDescent="0.25">
      <c r="A95" s="1762">
        <v>2</v>
      </c>
      <c r="B95" s="856" t="s">
        <v>811</v>
      </c>
      <c r="C95" s="491"/>
      <c r="D95" s="509"/>
      <c r="E95" s="509"/>
      <c r="F95" s="510"/>
      <c r="G95" s="572"/>
      <c r="H95" s="572"/>
      <c r="I95" s="572"/>
      <c r="J95" s="571"/>
      <c r="K95" s="571"/>
      <c r="L95" s="572"/>
      <c r="M95" s="572"/>
      <c r="N95" s="572"/>
      <c r="O95" s="572"/>
      <c r="P95" s="572"/>
      <c r="Q95" s="572"/>
      <c r="R95" s="572"/>
      <c r="S95" s="572"/>
      <c r="T95" s="572"/>
      <c r="U95" s="572"/>
      <c r="V95" s="572"/>
      <c r="W95" s="572"/>
    </row>
    <row r="96" spans="1:23" x14ac:dyDescent="0.25">
      <c r="A96" s="1762">
        <v>3</v>
      </c>
      <c r="B96" s="493">
        <v>1</v>
      </c>
      <c r="C96" s="492" t="s">
        <v>35</v>
      </c>
      <c r="D96" s="4"/>
      <c r="E96" s="4"/>
      <c r="F96" s="497"/>
      <c r="G96" s="573"/>
      <c r="H96" s="573"/>
      <c r="I96" s="573"/>
      <c r="J96" s="573">
        <v>3962.6</v>
      </c>
      <c r="K96" s="573">
        <v>4776.5</v>
      </c>
      <c r="L96" s="573">
        <v>5783.7999999999993</v>
      </c>
      <c r="M96" s="573">
        <f>6484.8+0.1</f>
        <v>6484.9000000000005</v>
      </c>
      <c r="N96" s="573">
        <f>5781.1+0.8</f>
        <v>5781.9000000000005</v>
      </c>
      <c r="O96" s="2001">
        <f>O97+O98+O104</f>
        <v>6179.0556759999999</v>
      </c>
      <c r="P96" s="2001">
        <f>P97+P98+P104</f>
        <v>6728.0226829999992</v>
      </c>
      <c r="Q96" s="2001">
        <f t="shared" ref="Q96:W96" si="24">Q97+Q98+Q104</f>
        <v>6422.7851799999989</v>
      </c>
      <c r="R96" s="2001">
        <f t="shared" si="24"/>
        <v>7217.4085550000009</v>
      </c>
      <c r="S96" s="2001">
        <f t="shared" si="24"/>
        <v>10512.364772999999</v>
      </c>
      <c r="T96" s="2001">
        <f t="shared" si="24"/>
        <v>13520.016988999998</v>
      </c>
      <c r="U96" s="2001">
        <f t="shared" si="24"/>
        <v>23633.132479999997</v>
      </c>
      <c r="V96" s="2001">
        <f t="shared" si="24"/>
        <v>29468.444785</v>
      </c>
      <c r="W96" s="2001">
        <f t="shared" si="24"/>
        <v>0</v>
      </c>
    </row>
    <row r="97" spans="1:23" x14ac:dyDescent="0.25">
      <c r="A97" s="1762">
        <v>4</v>
      </c>
      <c r="B97" s="489"/>
      <c r="C97" s="489" t="s">
        <v>4</v>
      </c>
      <c r="D97" s="492" t="s">
        <v>579</v>
      </c>
      <c r="E97" s="492"/>
      <c r="F97" s="499"/>
      <c r="G97" s="574"/>
      <c r="H97" s="574"/>
      <c r="I97" s="574"/>
      <c r="J97" s="574"/>
      <c r="K97" s="574"/>
      <c r="L97" s="574"/>
      <c r="M97" s="574"/>
      <c r="N97" s="574"/>
      <c r="O97" s="574">
        <v>608.276881</v>
      </c>
      <c r="P97" s="574">
        <v>619.35034399999995</v>
      </c>
      <c r="Q97" s="574">
        <v>436.440968</v>
      </c>
      <c r="R97" s="574">
        <v>518.26000999999997</v>
      </c>
      <c r="S97" s="574">
        <v>1174.717388</v>
      </c>
      <c r="T97" s="574">
        <v>1619.8675910000002</v>
      </c>
      <c r="U97" s="574">
        <v>3494.2594530000001</v>
      </c>
      <c r="V97" s="574">
        <v>4008.25146</v>
      </c>
      <c r="W97" s="574"/>
    </row>
    <row r="98" spans="1:23" x14ac:dyDescent="0.25">
      <c r="A98" s="1762">
        <v>5</v>
      </c>
      <c r="B98" s="489"/>
      <c r="C98" s="489" t="s">
        <v>5</v>
      </c>
      <c r="D98" s="492" t="s">
        <v>580</v>
      </c>
      <c r="E98" s="492"/>
      <c r="F98" s="499"/>
      <c r="G98" s="574"/>
      <c r="H98" s="574"/>
      <c r="I98" s="574"/>
      <c r="J98" s="574"/>
      <c r="K98" s="574"/>
      <c r="L98" s="574"/>
      <c r="M98" s="574"/>
      <c r="N98" s="574"/>
      <c r="O98" s="574">
        <v>4844.695009</v>
      </c>
      <c r="P98" s="2002">
        <f>SUM(P99:P102)</f>
        <v>5339.0922379999993</v>
      </c>
      <c r="Q98" s="2002">
        <f t="shared" ref="Q98:W98" si="25">SUM(Q99:Q102)</f>
        <v>5248.3828909999993</v>
      </c>
      <c r="R98" s="2002">
        <f t="shared" si="25"/>
        <v>5731.1741550000006</v>
      </c>
      <c r="S98" s="2002">
        <f t="shared" si="25"/>
        <v>8040.0349850000002</v>
      </c>
      <c r="T98" s="2002">
        <f t="shared" si="25"/>
        <v>10183.386761999998</v>
      </c>
      <c r="U98" s="2002">
        <f t="shared" si="25"/>
        <v>17425.323630999999</v>
      </c>
      <c r="V98" s="2002">
        <f t="shared" si="25"/>
        <v>21636.204077999999</v>
      </c>
      <c r="W98" s="2002">
        <f t="shared" si="25"/>
        <v>0</v>
      </c>
    </row>
    <row r="99" spans="1:23" s="783" customFormat="1" x14ac:dyDescent="0.25">
      <c r="A99" s="1762">
        <v>6</v>
      </c>
      <c r="B99" s="1727"/>
      <c r="C99" s="1728"/>
      <c r="D99" s="1209" t="s">
        <v>3343</v>
      </c>
      <c r="E99" s="1209"/>
      <c r="F99" s="1729"/>
      <c r="G99" s="1730"/>
      <c r="H99" s="1730"/>
      <c r="I99" s="1730"/>
      <c r="J99" s="1730"/>
      <c r="K99" s="1730"/>
      <c r="L99" s="1730"/>
      <c r="M99" s="1730"/>
      <c r="N99" s="1730"/>
      <c r="O99" s="1730"/>
      <c r="P99" s="1730">
        <v>3050.5432489999998</v>
      </c>
      <c r="Q99" s="1730">
        <v>2817.1400739999999</v>
      </c>
      <c r="R99" s="1730">
        <v>3077.7283870000001</v>
      </c>
      <c r="S99" s="1730">
        <v>4846.6389220000001</v>
      </c>
      <c r="T99" s="1730">
        <v>6247.6249559999997</v>
      </c>
      <c r="U99" s="1730">
        <v>11463.050293</v>
      </c>
      <c r="V99" s="1730">
        <v>14833.039574</v>
      </c>
      <c r="W99" s="1730"/>
    </row>
    <row r="100" spans="1:23" s="783" customFormat="1" x14ac:dyDescent="0.25">
      <c r="A100" s="1762">
        <v>7</v>
      </c>
      <c r="B100" s="1727"/>
      <c r="C100" s="1728"/>
      <c r="D100" s="1209" t="s">
        <v>3344</v>
      </c>
      <c r="E100" s="1209"/>
      <c r="F100" s="1729"/>
      <c r="G100" s="1730"/>
      <c r="H100" s="1730"/>
      <c r="I100" s="1730"/>
      <c r="J100" s="1730"/>
      <c r="K100" s="1730"/>
      <c r="L100" s="1730"/>
      <c r="M100" s="1730"/>
      <c r="N100" s="1730"/>
      <c r="O100" s="1730"/>
      <c r="P100" s="1730">
        <v>2215.3350409999998</v>
      </c>
      <c r="Q100" s="1730">
        <v>2369.5609009999998</v>
      </c>
      <c r="R100" s="1730">
        <v>2604.4796550000001</v>
      </c>
      <c r="S100" s="1730">
        <v>3141.293615</v>
      </c>
      <c r="T100" s="1730">
        <v>3831.9925499999999</v>
      </c>
      <c r="U100" s="1730">
        <v>5930.9829730000001</v>
      </c>
      <c r="V100" s="1730">
        <v>6733.5080690000004</v>
      </c>
      <c r="W100" s="1730"/>
    </row>
    <row r="101" spans="1:23" s="783" customFormat="1" x14ac:dyDescent="0.25">
      <c r="A101" s="1762">
        <v>8</v>
      </c>
      <c r="B101" s="1727"/>
      <c r="C101" s="1728"/>
      <c r="D101" s="1209" t="s">
        <v>3345</v>
      </c>
      <c r="E101" s="1209"/>
      <c r="F101" s="1729"/>
      <c r="G101" s="1730"/>
      <c r="H101" s="1730"/>
      <c r="I101" s="1730"/>
      <c r="J101" s="1730"/>
      <c r="K101" s="1730"/>
      <c r="L101" s="1730"/>
      <c r="M101" s="1730"/>
      <c r="N101" s="1730"/>
      <c r="O101" s="1730"/>
      <c r="P101" s="1730">
        <v>53.320436000000001</v>
      </c>
      <c r="Q101" s="1730">
        <v>46.195239000000001</v>
      </c>
      <c r="R101" s="1730">
        <v>35.722071</v>
      </c>
      <c r="S101" s="1730">
        <v>18.947603999999998</v>
      </c>
      <c r="T101" s="1730">
        <v>15.853417</v>
      </c>
      <c r="U101" s="1730">
        <v>26.342715999999999</v>
      </c>
      <c r="V101" s="1730">
        <v>61.589576000000001</v>
      </c>
      <c r="W101" s="1730"/>
    </row>
    <row r="102" spans="1:23" s="783" customFormat="1" x14ac:dyDescent="0.25">
      <c r="A102" s="1762">
        <v>9</v>
      </c>
      <c r="B102" s="1727"/>
      <c r="C102" s="1728"/>
      <c r="D102" s="1209" t="s">
        <v>522</v>
      </c>
      <c r="E102" s="1209"/>
      <c r="F102" s="1729"/>
      <c r="G102" s="1730"/>
      <c r="H102" s="1730"/>
      <c r="I102" s="1730"/>
      <c r="J102" s="1730"/>
      <c r="K102" s="1730"/>
      <c r="L102" s="1730"/>
      <c r="M102" s="1730"/>
      <c r="N102" s="1730"/>
      <c r="O102" s="1730"/>
      <c r="P102" s="1730">
        <v>19.893512000000001</v>
      </c>
      <c r="Q102" s="1730">
        <v>15.486677</v>
      </c>
      <c r="R102" s="1730">
        <v>13.244042</v>
      </c>
      <c r="S102" s="1730">
        <v>33.154843999999997</v>
      </c>
      <c r="T102" s="1730">
        <v>87.915839000000005</v>
      </c>
      <c r="U102" s="1730">
        <v>4.9476490000000002</v>
      </c>
      <c r="V102" s="1730">
        <v>8.0668589999999991</v>
      </c>
      <c r="W102" s="1730"/>
    </row>
    <row r="103" spans="1:23" x14ac:dyDescent="0.25">
      <c r="A103" s="1762">
        <v>10</v>
      </c>
      <c r="B103" s="489"/>
      <c r="C103" s="489" t="s">
        <v>14</v>
      </c>
      <c r="D103" s="492" t="s">
        <v>581</v>
      </c>
      <c r="E103" s="492"/>
      <c r="F103" s="499"/>
      <c r="G103" s="574"/>
      <c r="H103" s="574"/>
      <c r="I103" s="574"/>
      <c r="J103" s="574"/>
      <c r="K103" s="574"/>
      <c r="L103" s="574"/>
      <c r="M103" s="574"/>
      <c r="N103" s="574"/>
      <c r="O103" s="574"/>
      <c r="P103" s="574"/>
      <c r="Q103" s="574"/>
      <c r="R103" s="574"/>
      <c r="S103" s="574"/>
      <c r="T103" s="574"/>
      <c r="U103" s="574"/>
      <c r="V103" s="574"/>
      <c r="W103" s="574"/>
    </row>
    <row r="104" spans="1:23" x14ac:dyDescent="0.25">
      <c r="A104" s="1762">
        <v>11</v>
      </c>
      <c r="B104" s="854"/>
      <c r="C104" s="489" t="s">
        <v>540</v>
      </c>
      <c r="D104" s="492" t="s">
        <v>582</v>
      </c>
      <c r="E104" s="492"/>
      <c r="F104" s="499"/>
      <c r="G104" s="574"/>
      <c r="H104" s="574"/>
      <c r="I104" s="574"/>
      <c r="J104" s="574"/>
      <c r="K104" s="574"/>
      <c r="L104" s="574"/>
      <c r="M104" s="574"/>
      <c r="N104" s="574"/>
      <c r="O104" s="574">
        <v>726.08378600000003</v>
      </c>
      <c r="P104" s="574">
        <v>769.58010100000001</v>
      </c>
      <c r="Q104" s="574">
        <v>737.961321</v>
      </c>
      <c r="R104" s="574">
        <v>967.97438999999997</v>
      </c>
      <c r="S104" s="574">
        <v>1297.6124</v>
      </c>
      <c r="T104" s="574">
        <v>1716.7626359999999</v>
      </c>
      <c r="U104" s="574">
        <v>2713.5493959999999</v>
      </c>
      <c r="V104" s="574">
        <v>3823.989247</v>
      </c>
      <c r="W104" s="574"/>
    </row>
    <row r="105" spans="1:23" x14ac:dyDescent="0.25">
      <c r="A105" s="1762">
        <v>12</v>
      </c>
      <c r="B105" s="489">
        <v>2</v>
      </c>
      <c r="C105" s="489" t="s">
        <v>369</v>
      </c>
      <c r="D105" s="492"/>
      <c r="E105" s="492"/>
      <c r="F105" s="497"/>
      <c r="G105" s="573"/>
      <c r="H105" s="573"/>
      <c r="I105" s="573"/>
      <c r="J105" s="573">
        <v>-1987.6</v>
      </c>
      <c r="K105" s="573">
        <v>-2565.5</v>
      </c>
      <c r="L105" s="573">
        <v>-4162.3999999999996</v>
      </c>
      <c r="M105" s="573">
        <v>-3831.8</v>
      </c>
      <c r="N105" s="573">
        <v>-3189</v>
      </c>
      <c r="O105" s="2001">
        <f>O106+O107+O112</f>
        <v>-2989.4939359999998</v>
      </c>
      <c r="P105" s="2001">
        <f t="shared" ref="P105:W105" si="26">P106+P107+P112</f>
        <v>-3393.6431370000005</v>
      </c>
      <c r="Q105" s="2001">
        <f t="shared" si="26"/>
        <v>-2809.154814</v>
      </c>
      <c r="R105" s="2001">
        <f t="shared" si="26"/>
        <v>-3136.2910659999998</v>
      </c>
      <c r="S105" s="2001">
        <f t="shared" si="26"/>
        <v>-6315.8199850000001</v>
      </c>
      <c r="T105" s="2001">
        <f t="shared" si="26"/>
        <v>-7518.9389119999996</v>
      </c>
      <c r="U105" s="2001">
        <f t="shared" si="26"/>
        <v>-16974.750474999997</v>
      </c>
      <c r="V105" s="2001">
        <f t="shared" si="26"/>
        <v>-21697.184987000001</v>
      </c>
      <c r="W105" s="2001">
        <f t="shared" si="26"/>
        <v>0</v>
      </c>
    </row>
    <row r="106" spans="1:23" x14ac:dyDescent="0.25">
      <c r="A106" s="1762">
        <v>13</v>
      </c>
      <c r="B106" s="489"/>
      <c r="C106" s="493" t="s">
        <v>6</v>
      </c>
      <c r="D106" s="492" t="s">
        <v>584</v>
      </c>
      <c r="E106" s="492"/>
      <c r="F106" s="499"/>
      <c r="G106" s="574"/>
      <c r="H106" s="574"/>
      <c r="I106" s="574"/>
      <c r="J106" s="574"/>
      <c r="K106" s="574"/>
      <c r="L106" s="574"/>
      <c r="M106" s="574"/>
      <c r="N106" s="574"/>
      <c r="O106" s="574">
        <v>-545.02932599999997</v>
      </c>
      <c r="P106" s="574">
        <v>-532.30959500000006</v>
      </c>
      <c r="Q106" s="574">
        <v>-420.65905700000002</v>
      </c>
      <c r="R106" s="574">
        <v>-505.85505999999998</v>
      </c>
      <c r="S106" s="574">
        <v>-1122.5989770000001</v>
      </c>
      <c r="T106" s="574">
        <v>-1641.87194</v>
      </c>
      <c r="U106" s="574">
        <v>-3406.983373</v>
      </c>
      <c r="V106" s="574">
        <v>-3469.8282009999998</v>
      </c>
      <c r="W106" s="574"/>
    </row>
    <row r="107" spans="1:23" x14ac:dyDescent="0.25">
      <c r="A107" s="1762">
        <v>14</v>
      </c>
      <c r="B107" s="489"/>
      <c r="C107" s="489" t="s">
        <v>7</v>
      </c>
      <c r="D107" s="492" t="s">
        <v>585</v>
      </c>
      <c r="E107" s="492"/>
      <c r="F107" s="499"/>
      <c r="G107" s="574"/>
      <c r="H107" s="574"/>
      <c r="I107" s="574"/>
      <c r="J107" s="574"/>
      <c r="K107" s="574"/>
      <c r="L107" s="574"/>
      <c r="M107" s="574"/>
      <c r="N107" s="574"/>
      <c r="O107" s="574">
        <v>-2296.7636400000001</v>
      </c>
      <c r="P107" s="2002">
        <f>SUM(P108:P111)</f>
        <v>-2714.4729430000002</v>
      </c>
      <c r="Q107" s="2002">
        <f t="shared" ref="Q107:W107" si="27">SUM(Q108:Q111)</f>
        <v>-2225.5054640000003</v>
      </c>
      <c r="R107" s="2002">
        <f t="shared" si="27"/>
        <v>-2449.183896</v>
      </c>
      <c r="S107" s="2002">
        <f t="shared" si="27"/>
        <v>-4999.0080980000002</v>
      </c>
      <c r="T107" s="2002">
        <f t="shared" si="27"/>
        <v>-5676.9607979999992</v>
      </c>
      <c r="U107" s="2002">
        <f t="shared" si="27"/>
        <v>-13267.464641999999</v>
      </c>
      <c r="V107" s="2002">
        <f t="shared" si="27"/>
        <v>-17871.475077999999</v>
      </c>
      <c r="W107" s="2002">
        <f t="shared" si="27"/>
        <v>0</v>
      </c>
    </row>
    <row r="108" spans="1:23" s="783" customFormat="1" x14ac:dyDescent="0.25">
      <c r="A108" s="1762">
        <v>15</v>
      </c>
      <c r="B108" s="1727"/>
      <c r="C108" s="1728"/>
      <c r="D108" s="1209" t="s">
        <v>3346</v>
      </c>
      <c r="E108" s="1209"/>
      <c r="F108" s="1729"/>
      <c r="G108" s="1730"/>
      <c r="H108" s="1730"/>
      <c r="I108" s="1730"/>
      <c r="J108" s="1730"/>
      <c r="K108" s="1730"/>
      <c r="L108" s="1730"/>
      <c r="M108" s="1730"/>
      <c r="N108" s="1730"/>
      <c r="O108" s="1730"/>
      <c r="P108" s="1730">
        <v>-1124.706177</v>
      </c>
      <c r="Q108" s="1730">
        <v>-949.80694800000003</v>
      </c>
      <c r="R108" s="1730">
        <v>-1141.8172360000001</v>
      </c>
      <c r="S108" s="1730">
        <v>-2213.6863149999999</v>
      </c>
      <c r="T108" s="1730">
        <v>-2875.6829469999998</v>
      </c>
      <c r="U108" s="1730">
        <v>-6247.9227700000001</v>
      </c>
      <c r="V108" s="1730">
        <v>-7635.582746</v>
      </c>
      <c r="W108" s="1730"/>
    </row>
    <row r="109" spans="1:23" s="783" customFormat="1" x14ac:dyDescent="0.25">
      <c r="A109" s="1762">
        <v>16</v>
      </c>
      <c r="B109" s="1727"/>
      <c r="C109" s="1728"/>
      <c r="D109" s="1209" t="s">
        <v>3347</v>
      </c>
      <c r="E109" s="1209"/>
      <c r="F109" s="1729"/>
      <c r="G109" s="1730"/>
      <c r="H109" s="1730"/>
      <c r="I109" s="1730"/>
      <c r="J109" s="1730"/>
      <c r="K109" s="1730"/>
      <c r="L109" s="1730"/>
      <c r="M109" s="1730"/>
      <c r="N109" s="1730"/>
      <c r="O109" s="1730"/>
      <c r="P109" s="1730">
        <v>-1259.0357799999999</v>
      </c>
      <c r="Q109" s="1730">
        <v>-1061.2028760000001</v>
      </c>
      <c r="R109" s="1730">
        <v>-905.23868200000004</v>
      </c>
      <c r="S109" s="1730">
        <v>-2090.7653460000001</v>
      </c>
      <c r="T109" s="1730">
        <v>-2021.143456</v>
      </c>
      <c r="U109" s="1730">
        <v>-5172.9186579999996</v>
      </c>
      <c r="V109" s="1730">
        <v>-8372.8704390000003</v>
      </c>
      <c r="W109" s="1730"/>
    </row>
    <row r="110" spans="1:23" s="783" customFormat="1" x14ac:dyDescent="0.25">
      <c r="A110" s="1762">
        <v>17</v>
      </c>
      <c r="B110" s="1727"/>
      <c r="C110" s="1728"/>
      <c r="D110" s="1209" t="s">
        <v>3348</v>
      </c>
      <c r="E110" s="1209"/>
      <c r="F110" s="1729"/>
      <c r="G110" s="1730"/>
      <c r="H110" s="1730"/>
      <c r="I110" s="1730"/>
      <c r="J110" s="1730"/>
      <c r="K110" s="1730"/>
      <c r="L110" s="1730"/>
      <c r="M110" s="1730"/>
      <c r="N110" s="1730"/>
      <c r="O110" s="1730"/>
      <c r="P110" s="1730">
        <v>-327.31584900000001</v>
      </c>
      <c r="Q110" s="1730">
        <v>-211.87061</v>
      </c>
      <c r="R110" s="1730">
        <v>-399.97986100000003</v>
      </c>
      <c r="S110" s="1730">
        <v>-691.67707600000006</v>
      </c>
      <c r="T110" s="1730">
        <v>-779.93192399999998</v>
      </c>
      <c r="U110" s="1730">
        <v>-1833.568023</v>
      </c>
      <c r="V110" s="1730">
        <v>-1835.6296339999999</v>
      </c>
      <c r="W110" s="1730"/>
    </row>
    <row r="111" spans="1:23" s="783" customFormat="1" x14ac:dyDescent="0.25">
      <c r="A111" s="1762">
        <v>18</v>
      </c>
      <c r="B111" s="1727"/>
      <c r="C111" s="1728"/>
      <c r="D111" s="1209" t="s">
        <v>522</v>
      </c>
      <c r="E111" s="1209"/>
      <c r="F111" s="1729"/>
      <c r="G111" s="1730"/>
      <c r="H111" s="1730"/>
      <c r="I111" s="1730"/>
      <c r="J111" s="1730"/>
      <c r="K111" s="1730"/>
      <c r="L111" s="1730"/>
      <c r="M111" s="1730"/>
      <c r="N111" s="1730"/>
      <c r="O111" s="1730"/>
      <c r="P111" s="1730">
        <v>-3.4151370000000001</v>
      </c>
      <c r="Q111" s="1730">
        <v>-2.6250300000000002</v>
      </c>
      <c r="R111" s="1730">
        <v>-2.1481170000000001</v>
      </c>
      <c r="S111" s="1730">
        <v>-2.8793609999999998</v>
      </c>
      <c r="T111" s="1730">
        <v>-0.20247100000000001</v>
      </c>
      <c r="U111" s="1730">
        <v>-13.055191000000001</v>
      </c>
      <c r="V111" s="1730">
        <v>-27.392258999999999</v>
      </c>
      <c r="W111" s="1730"/>
    </row>
    <row r="112" spans="1:23" x14ac:dyDescent="0.25">
      <c r="A112" s="1762">
        <v>19</v>
      </c>
      <c r="B112" s="489"/>
      <c r="C112" s="493" t="s">
        <v>9</v>
      </c>
      <c r="D112" s="492" t="s">
        <v>586</v>
      </c>
      <c r="E112" s="492"/>
      <c r="F112" s="499"/>
      <c r="G112" s="574"/>
      <c r="H112" s="574"/>
      <c r="I112" s="574"/>
      <c r="J112" s="574"/>
      <c r="K112" s="574"/>
      <c r="L112" s="574"/>
      <c r="M112" s="574"/>
      <c r="N112" s="574"/>
      <c r="O112" s="574">
        <v>-147.70097000000001</v>
      </c>
      <c r="P112" s="574">
        <v>-146.86059900000001</v>
      </c>
      <c r="Q112" s="574">
        <v>-162.99029300000001</v>
      </c>
      <c r="R112" s="574">
        <v>-181.25210999999999</v>
      </c>
      <c r="S112" s="574">
        <v>-194.21290999999999</v>
      </c>
      <c r="T112" s="574">
        <v>-200.10617400000001</v>
      </c>
      <c r="U112" s="574">
        <v>-300.30246</v>
      </c>
      <c r="V112" s="574">
        <v>-355.881708</v>
      </c>
      <c r="W112" s="574"/>
    </row>
    <row r="113" spans="1:23" x14ac:dyDescent="0.25">
      <c r="A113" s="1762">
        <v>20</v>
      </c>
      <c r="B113" s="857"/>
      <c r="C113" s="504" t="s">
        <v>370</v>
      </c>
      <c r="D113" s="505"/>
      <c r="E113" s="505"/>
      <c r="F113" s="506"/>
      <c r="G113" s="575"/>
      <c r="H113" s="575"/>
      <c r="I113" s="575"/>
      <c r="J113" s="2003">
        <f t="shared" ref="J113:T113" si="28">J96+J105</f>
        <v>1975</v>
      </c>
      <c r="K113" s="2003">
        <f t="shared" si="28"/>
        <v>2211</v>
      </c>
      <c r="L113" s="2003">
        <f t="shared" si="28"/>
        <v>1621.3999999999996</v>
      </c>
      <c r="M113" s="2003">
        <f t="shared" si="28"/>
        <v>2653.1000000000004</v>
      </c>
      <c r="N113" s="2003">
        <f t="shared" si="28"/>
        <v>2592.9000000000005</v>
      </c>
      <c r="O113" s="2003">
        <f t="shared" si="28"/>
        <v>3189.5617400000001</v>
      </c>
      <c r="P113" s="2003">
        <f t="shared" si="28"/>
        <v>3334.3795459999988</v>
      </c>
      <c r="Q113" s="2003">
        <f t="shared" si="28"/>
        <v>3613.630365999999</v>
      </c>
      <c r="R113" s="2003">
        <f t="shared" si="28"/>
        <v>4081.1174890000011</v>
      </c>
      <c r="S113" s="2003">
        <f t="shared" si="28"/>
        <v>4196.5447879999992</v>
      </c>
      <c r="T113" s="2003">
        <f t="shared" si="28"/>
        <v>6001.0780769999983</v>
      </c>
      <c r="U113" s="2003">
        <f t="shared" ref="U113:V113" si="29">U96+U105</f>
        <v>6658.3820049999995</v>
      </c>
      <c r="V113" s="2003">
        <f t="shared" si="29"/>
        <v>7771.2597979999991</v>
      </c>
      <c r="W113" s="772"/>
    </row>
    <row r="114" spans="1:23" x14ac:dyDescent="0.25">
      <c r="A114" s="1762">
        <v>21</v>
      </c>
      <c r="B114" s="489">
        <v>3</v>
      </c>
      <c r="C114" s="494" t="s">
        <v>372</v>
      </c>
      <c r="D114" s="492"/>
      <c r="E114" s="492"/>
      <c r="F114" s="497"/>
      <c r="G114" s="573"/>
      <c r="H114" s="573"/>
      <c r="I114" s="573"/>
      <c r="J114" s="573">
        <v>806.4</v>
      </c>
      <c r="K114" s="573">
        <v>906.6</v>
      </c>
      <c r="L114" s="573">
        <v>974.7</v>
      </c>
      <c r="M114" s="573">
        <v>1132.8</v>
      </c>
      <c r="N114" s="573">
        <v>1180.5999999999999</v>
      </c>
      <c r="O114" s="573">
        <v>1396.8643939999999</v>
      </c>
      <c r="P114" s="2001">
        <f>SUM(P115:P120)</f>
        <v>1616.360733</v>
      </c>
      <c r="Q114" s="2001">
        <f t="shared" ref="Q114:T114" si="30">SUM(Q115:Q120)</f>
        <v>1775.589246</v>
      </c>
      <c r="R114" s="2001">
        <f t="shared" si="30"/>
        <v>2180.1526050000002</v>
      </c>
      <c r="S114" s="2001">
        <f t="shared" si="30"/>
        <v>2218.343691</v>
      </c>
      <c r="T114" s="2001">
        <f t="shared" si="30"/>
        <v>2623.6674210000001</v>
      </c>
      <c r="U114" s="2001">
        <f t="shared" ref="U114:V114" si="31">SUM(U115:U120)</f>
        <v>3048.576008</v>
      </c>
      <c r="V114" s="2001">
        <f t="shared" si="31"/>
        <v>3331.2069000000006</v>
      </c>
      <c r="W114" s="573"/>
    </row>
    <row r="115" spans="1:23" s="783" customFormat="1" x14ac:dyDescent="0.25">
      <c r="A115" s="1762">
        <v>22</v>
      </c>
      <c r="B115" s="1727"/>
      <c r="C115" s="1208"/>
      <c r="D115" s="1209" t="s">
        <v>1172</v>
      </c>
      <c r="E115" s="1209"/>
      <c r="F115" s="1731"/>
      <c r="G115" s="1732"/>
      <c r="H115" s="1732"/>
      <c r="I115" s="1732"/>
      <c r="J115" s="1732"/>
      <c r="K115" s="1732"/>
      <c r="L115" s="1732"/>
      <c r="M115" s="1732"/>
      <c r="N115" s="1732"/>
      <c r="O115" s="1732"/>
      <c r="P115" s="1732">
        <v>626.79264799999999</v>
      </c>
      <c r="Q115" s="1732">
        <v>667.41277300000002</v>
      </c>
      <c r="R115" s="1732">
        <v>825.26458200000002</v>
      </c>
      <c r="S115" s="1732">
        <v>855.54453599999999</v>
      </c>
      <c r="T115" s="1732">
        <v>1020.113038</v>
      </c>
      <c r="U115" s="1732">
        <v>1175.296196</v>
      </c>
      <c r="V115" s="1732">
        <v>1240.6632970000001</v>
      </c>
      <c r="W115" s="1722"/>
    </row>
    <row r="116" spans="1:23" s="783" customFormat="1" x14ac:dyDescent="0.25">
      <c r="A116" s="1762">
        <v>23</v>
      </c>
      <c r="B116" s="1727"/>
      <c r="C116" s="1208"/>
      <c r="D116" s="1209" t="s">
        <v>1174</v>
      </c>
      <c r="E116" s="1209"/>
      <c r="F116" s="1731"/>
      <c r="G116" s="1732"/>
      <c r="H116" s="1732"/>
      <c r="I116" s="1732"/>
      <c r="J116" s="1732"/>
      <c r="K116" s="1732"/>
      <c r="L116" s="1732"/>
      <c r="M116" s="1732"/>
      <c r="N116" s="1732"/>
      <c r="O116" s="1732"/>
      <c r="P116" s="1732">
        <v>427.65523400000001</v>
      </c>
      <c r="Q116" s="1732">
        <v>465.18119999999999</v>
      </c>
      <c r="R116" s="1732">
        <v>575.32478000000003</v>
      </c>
      <c r="S116" s="1732">
        <v>626.18397100000004</v>
      </c>
      <c r="T116" s="1732">
        <v>749.21483899999998</v>
      </c>
      <c r="U116" s="1732">
        <v>939.013417</v>
      </c>
      <c r="V116" s="1732">
        <v>1055.5101030000001</v>
      </c>
      <c r="W116" s="1722"/>
    </row>
    <row r="117" spans="1:23" s="783" customFormat="1" x14ac:dyDescent="0.25">
      <c r="A117" s="1762">
        <v>24</v>
      </c>
      <c r="B117" s="1727"/>
      <c r="C117" s="1208"/>
      <c r="D117" s="1209" t="s">
        <v>1195</v>
      </c>
      <c r="E117" s="1209"/>
      <c r="F117" s="1731"/>
      <c r="G117" s="1732"/>
      <c r="H117" s="1732"/>
      <c r="I117" s="1732"/>
      <c r="J117" s="1732"/>
      <c r="K117" s="1732"/>
      <c r="L117" s="1732"/>
      <c r="M117" s="1732"/>
      <c r="N117" s="1732"/>
      <c r="O117" s="1732"/>
      <c r="P117" s="1732">
        <v>118.05368799999999</v>
      </c>
      <c r="Q117" s="1732">
        <v>124.858395</v>
      </c>
      <c r="R117" s="1732">
        <v>122.45219400000001</v>
      </c>
      <c r="S117" s="1732">
        <v>161.23954000000001</v>
      </c>
      <c r="T117" s="1732">
        <v>172.32718299999999</v>
      </c>
      <c r="U117" s="1732">
        <v>180.02868900000001</v>
      </c>
      <c r="V117" s="1732">
        <v>179.668826</v>
      </c>
      <c r="W117" s="1722"/>
    </row>
    <row r="118" spans="1:23" s="783" customFormat="1" x14ac:dyDescent="0.25">
      <c r="A118" s="1762">
        <v>25</v>
      </c>
      <c r="B118" s="1727"/>
      <c r="C118" s="1208"/>
      <c r="D118" s="1209" t="s">
        <v>3349</v>
      </c>
      <c r="E118" s="1209"/>
      <c r="F118" s="1731"/>
      <c r="G118" s="1732"/>
      <c r="H118" s="1732"/>
      <c r="I118" s="1732"/>
      <c r="J118" s="1732"/>
      <c r="K118" s="1732"/>
      <c r="L118" s="1732"/>
      <c r="M118" s="1732"/>
      <c r="N118" s="1732"/>
      <c r="O118" s="1732"/>
      <c r="P118" s="1732">
        <v>145.62435199999999</v>
      </c>
      <c r="Q118" s="1732">
        <v>186.768033</v>
      </c>
      <c r="R118" s="1732">
        <v>245.00166999999999</v>
      </c>
      <c r="S118" s="1732">
        <v>175.07454999999999</v>
      </c>
      <c r="T118" s="1732">
        <v>183.79507899999999</v>
      </c>
      <c r="U118" s="1732">
        <v>203.65015700000001</v>
      </c>
      <c r="V118" s="1732">
        <v>252.86067299999999</v>
      </c>
      <c r="W118" s="1722"/>
    </row>
    <row r="119" spans="1:23" s="783" customFormat="1" x14ac:dyDescent="0.25">
      <c r="A119" s="1762">
        <v>26</v>
      </c>
      <c r="B119" s="1727"/>
      <c r="C119" s="1208"/>
      <c r="D119" s="1209" t="s">
        <v>3350</v>
      </c>
      <c r="E119" s="1209"/>
      <c r="F119" s="1731"/>
      <c r="G119" s="1732"/>
      <c r="H119" s="1732"/>
      <c r="I119" s="1732"/>
      <c r="J119" s="1732"/>
      <c r="K119" s="1732"/>
      <c r="L119" s="1732"/>
      <c r="M119" s="1732"/>
      <c r="N119" s="1732"/>
      <c r="O119" s="1732"/>
      <c r="P119" s="1732">
        <v>75.327003000000005</v>
      </c>
      <c r="Q119" s="1732">
        <v>97.994758000000004</v>
      </c>
      <c r="R119" s="1732">
        <v>120.17035</v>
      </c>
      <c r="S119" s="1732">
        <v>146.724807</v>
      </c>
      <c r="T119" s="1732">
        <v>195.007272</v>
      </c>
      <c r="U119" s="1732">
        <v>233.985128</v>
      </c>
      <c r="V119" s="1732">
        <v>240.393316</v>
      </c>
      <c r="W119" s="1722"/>
    </row>
    <row r="120" spans="1:23" s="783" customFormat="1" x14ac:dyDescent="0.25">
      <c r="A120" s="1762">
        <v>27</v>
      </c>
      <c r="B120" s="1727"/>
      <c r="C120" s="1208"/>
      <c r="D120" s="1209" t="s">
        <v>522</v>
      </c>
      <c r="E120" s="1209"/>
      <c r="F120" s="1731"/>
      <c r="G120" s="1732"/>
      <c r="H120" s="1732"/>
      <c r="I120" s="1732"/>
      <c r="J120" s="1732"/>
      <c r="K120" s="1732"/>
      <c r="L120" s="1732"/>
      <c r="M120" s="1732"/>
      <c r="N120" s="1732"/>
      <c r="O120" s="1732"/>
      <c r="P120" s="1732">
        <v>222.90780799999999</v>
      </c>
      <c r="Q120" s="1732">
        <v>233.374087</v>
      </c>
      <c r="R120" s="1732">
        <v>291.939029</v>
      </c>
      <c r="S120" s="1732">
        <v>253.57628700000001</v>
      </c>
      <c r="T120" s="1732">
        <v>303.21001000000001</v>
      </c>
      <c r="U120" s="1732">
        <v>316.60242099999999</v>
      </c>
      <c r="V120" s="1732">
        <v>362.11068499999999</v>
      </c>
      <c r="W120" s="1722"/>
    </row>
    <row r="121" spans="1:23" x14ac:dyDescent="0.25">
      <c r="A121" s="1762">
        <v>28</v>
      </c>
      <c r="B121" s="489">
        <v>4</v>
      </c>
      <c r="C121" s="494" t="s">
        <v>373</v>
      </c>
      <c r="D121" s="492"/>
      <c r="E121" s="492"/>
      <c r="F121" s="497"/>
      <c r="G121" s="573"/>
      <c r="H121" s="573"/>
      <c r="I121" s="573"/>
      <c r="J121" s="573">
        <v>-152.19999999999999</v>
      </c>
      <c r="K121" s="573">
        <v>-181.4</v>
      </c>
      <c r="L121" s="573">
        <v>-202.3</v>
      </c>
      <c r="M121" s="573">
        <v>-239.3</v>
      </c>
      <c r="N121" s="573">
        <v>-254.4</v>
      </c>
      <c r="O121" s="573">
        <v>-356.18191000000002</v>
      </c>
      <c r="P121" s="2001">
        <f>SUM(P122:P123)</f>
        <v>-443.15333299999998</v>
      </c>
      <c r="Q121" s="2001">
        <f t="shared" ref="Q121:V121" si="32">SUM(Q122:Q123)</f>
        <v>-490.82061999999996</v>
      </c>
      <c r="R121" s="2001">
        <f t="shared" si="32"/>
        <v>-644.331324</v>
      </c>
      <c r="S121" s="2001">
        <f t="shared" si="32"/>
        <v>-595.45047199999999</v>
      </c>
      <c r="T121" s="2001">
        <f t="shared" si="32"/>
        <v>-674.14804500000002</v>
      </c>
      <c r="U121" s="2001">
        <f t="shared" si="32"/>
        <v>-854.60092699999996</v>
      </c>
      <c r="V121" s="2001">
        <f t="shared" si="32"/>
        <v>-959.46800200000007</v>
      </c>
      <c r="W121" s="573"/>
    </row>
    <row r="122" spans="1:23" s="783" customFormat="1" x14ac:dyDescent="0.25">
      <c r="A122" s="1762">
        <v>29</v>
      </c>
      <c r="B122" s="1727"/>
      <c r="C122" s="1208"/>
      <c r="D122" s="1209" t="s">
        <v>3351</v>
      </c>
      <c r="E122" s="1209"/>
      <c r="F122" s="1731"/>
      <c r="G122" s="1732"/>
      <c r="H122" s="1732"/>
      <c r="I122" s="1732"/>
      <c r="J122" s="1732"/>
      <c r="K122" s="1732"/>
      <c r="L122" s="1732"/>
      <c r="M122" s="1732"/>
      <c r="N122" s="1732"/>
      <c r="O122" s="1732"/>
      <c r="P122" s="1732">
        <v>-286.13096899999999</v>
      </c>
      <c r="Q122" s="1732">
        <v>-317.37406099999998</v>
      </c>
      <c r="R122" s="1732">
        <v>-421.70387699999998</v>
      </c>
      <c r="S122" s="1732">
        <v>-356.323759</v>
      </c>
      <c r="T122" s="1732">
        <v>-386.530394</v>
      </c>
      <c r="U122" s="1732">
        <v>-440.19214399999998</v>
      </c>
      <c r="V122" s="1732">
        <v>-493.19870700000001</v>
      </c>
      <c r="W122" s="1722"/>
    </row>
    <row r="123" spans="1:23" s="783" customFormat="1" x14ac:dyDescent="0.25">
      <c r="A123" s="1762">
        <v>30</v>
      </c>
      <c r="B123" s="1727"/>
      <c r="C123" s="1208"/>
      <c r="D123" s="1209" t="s">
        <v>522</v>
      </c>
      <c r="E123" s="1209"/>
      <c r="F123" s="1731"/>
      <c r="G123" s="1732"/>
      <c r="H123" s="1732"/>
      <c r="I123" s="1732"/>
      <c r="J123" s="1732"/>
      <c r="K123" s="1732"/>
      <c r="L123" s="1732"/>
      <c r="M123" s="1732"/>
      <c r="N123" s="1732"/>
      <c r="O123" s="1732"/>
      <c r="P123" s="1732">
        <v>-157.02236399999998</v>
      </c>
      <c r="Q123" s="1732">
        <v>-173.44655899999998</v>
      </c>
      <c r="R123" s="1732">
        <v>-222.62744699999999</v>
      </c>
      <c r="S123" s="1732">
        <v>-239.126713</v>
      </c>
      <c r="T123" s="1732">
        <v>-287.61765100000002</v>
      </c>
      <c r="U123" s="1732">
        <v>-414.40878300000003</v>
      </c>
      <c r="V123" s="1732">
        <v>-466.269295</v>
      </c>
      <c r="W123" s="1722"/>
    </row>
    <row r="124" spans="1:23" x14ac:dyDescent="0.25">
      <c r="A124" s="1762">
        <v>31</v>
      </c>
      <c r="B124" s="489" t="s">
        <v>483</v>
      </c>
      <c r="C124" s="494" t="s">
        <v>1151</v>
      </c>
      <c r="D124" s="492"/>
      <c r="E124" s="492"/>
      <c r="F124" s="497"/>
      <c r="G124" s="573"/>
      <c r="H124" s="573"/>
      <c r="I124" s="573"/>
      <c r="J124" s="573">
        <v>-1179.5999999999999</v>
      </c>
      <c r="K124" s="573">
        <v>-1246.0999999999999</v>
      </c>
      <c r="L124" s="573">
        <v>-1239.9000000000001</v>
      </c>
      <c r="M124" s="573">
        <v>-1731</v>
      </c>
      <c r="N124" s="573">
        <v>-1821.3</v>
      </c>
      <c r="O124" s="573">
        <v>-1873.3037629999999</v>
      </c>
      <c r="P124" s="573">
        <v>-2066.5873369999999</v>
      </c>
      <c r="Q124" s="573">
        <v>-2118.1850380000001</v>
      </c>
      <c r="R124" s="573">
        <v>-2415.8212780000003</v>
      </c>
      <c r="S124" s="573">
        <v>-2578.6204029999999</v>
      </c>
      <c r="T124" s="573">
        <v>-3070.0103340000001</v>
      </c>
      <c r="U124" s="573">
        <v>-3660.895622</v>
      </c>
      <c r="V124" s="573">
        <v>-4151.750849</v>
      </c>
      <c r="W124" s="573"/>
    </row>
    <row r="125" spans="1:23" x14ac:dyDescent="0.25">
      <c r="A125" s="1762">
        <v>32</v>
      </c>
      <c r="B125" s="489" t="s">
        <v>484</v>
      </c>
      <c r="C125" s="494" t="s">
        <v>1132</v>
      </c>
      <c r="D125" s="492"/>
      <c r="E125" s="492"/>
      <c r="F125" s="497"/>
      <c r="G125" s="573"/>
      <c r="H125" s="573"/>
      <c r="I125" s="573"/>
      <c r="J125" s="573"/>
      <c r="K125" s="573"/>
      <c r="L125" s="573"/>
      <c r="M125" s="573"/>
      <c r="N125" s="573"/>
      <c r="O125" s="573">
        <v>-102.44557999999995</v>
      </c>
      <c r="P125" s="573">
        <v>-109.0244790000001</v>
      </c>
      <c r="Q125" s="573">
        <v>-154.26119900000015</v>
      </c>
      <c r="R125" s="573">
        <v>-155.608137</v>
      </c>
      <c r="S125" s="573">
        <v>-167.17704599999999</v>
      </c>
      <c r="T125" s="573">
        <v>-159.97969900000001</v>
      </c>
      <c r="U125" s="573">
        <v>-334.23578700000002</v>
      </c>
      <c r="V125" s="573">
        <v>-333.63099999999997</v>
      </c>
      <c r="W125" s="573"/>
    </row>
    <row r="126" spans="1:23" ht="21.75" customHeight="1" x14ac:dyDescent="0.25">
      <c r="A126" s="1762">
        <v>33</v>
      </c>
      <c r="B126" s="858"/>
      <c r="C126" s="521" t="s">
        <v>816</v>
      </c>
      <c r="D126" s="522"/>
      <c r="E126" s="522"/>
      <c r="F126" s="523"/>
      <c r="G126" s="577"/>
      <c r="H126" s="577"/>
      <c r="I126" s="577"/>
      <c r="J126" s="2004">
        <f>J114+J121+J124+J125</f>
        <v>-525.39999999999986</v>
      </c>
      <c r="K126" s="2004">
        <f t="shared" ref="K126:T126" si="33">K114+K121+K124+K125</f>
        <v>-520.89999999999986</v>
      </c>
      <c r="L126" s="2004">
        <f t="shared" si="33"/>
        <v>-467.5</v>
      </c>
      <c r="M126" s="2004">
        <f t="shared" si="33"/>
        <v>-837.5</v>
      </c>
      <c r="N126" s="2004">
        <f t="shared" si="33"/>
        <v>-895.1</v>
      </c>
      <c r="O126" s="2004">
        <f t="shared" si="33"/>
        <v>-935.06685899999991</v>
      </c>
      <c r="P126" s="2004">
        <f t="shared" si="33"/>
        <v>-1002.4044160000001</v>
      </c>
      <c r="Q126" s="2004">
        <f t="shared" si="33"/>
        <v>-987.67761100000018</v>
      </c>
      <c r="R126" s="2004">
        <f t="shared" si="33"/>
        <v>-1035.6081340000001</v>
      </c>
      <c r="S126" s="2004">
        <f t="shared" si="33"/>
        <v>-1122.9042299999999</v>
      </c>
      <c r="T126" s="2004">
        <f t="shared" si="33"/>
        <v>-1280.4706569999998</v>
      </c>
      <c r="U126" s="2004">
        <f t="shared" ref="U126:V126" si="34">U114+U121+U124+U125</f>
        <v>-1801.156328</v>
      </c>
      <c r="V126" s="2004">
        <f t="shared" si="34"/>
        <v>-2113.6429509999994</v>
      </c>
      <c r="W126" s="1718"/>
    </row>
    <row r="127" spans="1:23" ht="24" customHeight="1" x14ac:dyDescent="0.25">
      <c r="A127" s="1762">
        <v>34</v>
      </c>
      <c r="B127" s="516"/>
      <c r="C127" s="516" t="s">
        <v>978</v>
      </c>
      <c r="D127" s="517"/>
      <c r="E127" s="517"/>
      <c r="F127" s="518"/>
      <c r="G127" s="578"/>
      <c r="H127" s="578"/>
      <c r="I127" s="578"/>
      <c r="J127" s="2005">
        <f>J113+J126</f>
        <v>1449.6000000000001</v>
      </c>
      <c r="K127" s="2005">
        <f t="shared" ref="K127:T127" si="35">K113+K126</f>
        <v>1690.1000000000001</v>
      </c>
      <c r="L127" s="2005">
        <f t="shared" si="35"/>
        <v>1153.8999999999996</v>
      </c>
      <c r="M127" s="2005">
        <f t="shared" si="35"/>
        <v>1815.6000000000004</v>
      </c>
      <c r="N127" s="2005">
        <f t="shared" si="35"/>
        <v>1697.8000000000006</v>
      </c>
      <c r="O127" s="2005">
        <f t="shared" si="35"/>
        <v>2254.4948810000001</v>
      </c>
      <c r="P127" s="2005">
        <f t="shared" si="35"/>
        <v>2331.9751299999989</v>
      </c>
      <c r="Q127" s="2005">
        <f t="shared" si="35"/>
        <v>2625.9527549999989</v>
      </c>
      <c r="R127" s="2005">
        <f t="shared" si="35"/>
        <v>3045.5093550000011</v>
      </c>
      <c r="S127" s="2005">
        <f t="shared" si="35"/>
        <v>3073.6405579999991</v>
      </c>
      <c r="T127" s="2005">
        <f t="shared" si="35"/>
        <v>4720.6074199999985</v>
      </c>
      <c r="U127" s="2005">
        <f t="shared" ref="U127:V127" si="36">U113+U126</f>
        <v>4857.2256769999995</v>
      </c>
      <c r="V127" s="2005">
        <f t="shared" si="36"/>
        <v>5657.6168469999993</v>
      </c>
      <c r="W127" s="1719"/>
    </row>
    <row r="128" spans="1:23" ht="28.5" customHeight="1" x14ac:dyDescent="0.25">
      <c r="A128" s="1762">
        <v>35</v>
      </c>
      <c r="B128" s="856" t="s">
        <v>819</v>
      </c>
      <c r="C128" s="491"/>
      <c r="D128" s="509"/>
      <c r="E128" s="509"/>
      <c r="F128" s="510"/>
      <c r="G128" s="572"/>
      <c r="H128" s="572"/>
      <c r="I128" s="572"/>
      <c r="J128" s="571"/>
      <c r="K128" s="571"/>
      <c r="L128" s="572"/>
      <c r="M128" s="572"/>
      <c r="N128" s="572"/>
      <c r="O128" s="572"/>
      <c r="P128" s="572"/>
      <c r="Q128" s="572"/>
      <c r="R128" s="572"/>
      <c r="S128" s="572"/>
      <c r="T128" s="572"/>
      <c r="U128" s="572"/>
      <c r="V128" s="572"/>
      <c r="W128" s="572"/>
    </row>
    <row r="129" spans="1:23" x14ac:dyDescent="0.25">
      <c r="A129" s="1762">
        <v>36</v>
      </c>
      <c r="B129" s="1012">
        <v>6</v>
      </c>
      <c r="C129" s="1013" t="s">
        <v>820</v>
      </c>
      <c r="D129" s="1014"/>
      <c r="E129" s="1014"/>
      <c r="F129" s="1015"/>
      <c r="G129" s="1016"/>
      <c r="H129" s="1016"/>
      <c r="I129" s="1016"/>
      <c r="J129" s="1016">
        <v>344.20000000000005</v>
      </c>
      <c r="K129" s="1016">
        <v>227.5</v>
      </c>
      <c r="L129" s="1016">
        <v>640.09999999999991</v>
      </c>
      <c r="M129" s="1016">
        <v>416.8</v>
      </c>
      <c r="N129" s="1016">
        <v>258.2</v>
      </c>
      <c r="O129" s="1016">
        <v>157.27817899999999</v>
      </c>
      <c r="P129" s="2006">
        <f>SUM(P130:P133)</f>
        <v>428.85386199999999</v>
      </c>
      <c r="Q129" s="2006">
        <f t="shared" ref="Q129:V129" si="37">SUM(Q130:Q133)</f>
        <v>337.32999200000006</v>
      </c>
      <c r="R129" s="2006">
        <f t="shared" si="37"/>
        <v>-53.766841000000007</v>
      </c>
      <c r="S129" s="2006">
        <f t="shared" si="37"/>
        <v>-106.948812</v>
      </c>
      <c r="T129" s="2006">
        <f t="shared" si="37"/>
        <v>-33.909755000000004</v>
      </c>
      <c r="U129" s="2006">
        <f t="shared" si="37"/>
        <v>90.370060999999993</v>
      </c>
      <c r="V129" s="2006">
        <f t="shared" si="37"/>
        <v>338.51511199999999</v>
      </c>
      <c r="W129" s="573"/>
    </row>
    <row r="130" spans="1:23" x14ac:dyDescent="0.25">
      <c r="A130" s="1762">
        <v>37</v>
      </c>
      <c r="B130" s="489"/>
      <c r="C130" s="489" t="s">
        <v>29</v>
      </c>
      <c r="D130" s="492" t="s">
        <v>3352</v>
      </c>
      <c r="E130" s="492"/>
      <c r="F130" s="499"/>
      <c r="G130" s="574"/>
      <c r="H130" s="574"/>
      <c r="I130" s="574"/>
      <c r="J130" s="574"/>
      <c r="K130" s="574"/>
      <c r="L130" s="574"/>
      <c r="M130" s="574"/>
      <c r="N130" s="574"/>
      <c r="O130" s="574"/>
      <c r="P130" s="574">
        <v>358.95992000000001</v>
      </c>
      <c r="Q130" s="574">
        <v>313.27868100000001</v>
      </c>
      <c r="R130" s="574">
        <v>-116.672943</v>
      </c>
      <c r="S130" s="574">
        <v>-114.189403</v>
      </c>
      <c r="T130" s="574">
        <v>-184.651385</v>
      </c>
      <c r="U130" s="574">
        <v>42.083756000000001</v>
      </c>
      <c r="V130" s="574">
        <v>225.35257799999999</v>
      </c>
      <c r="W130" s="574"/>
    </row>
    <row r="131" spans="1:23" x14ac:dyDescent="0.25">
      <c r="A131" s="1762">
        <v>38</v>
      </c>
      <c r="B131" s="489"/>
      <c r="C131" s="489" t="s">
        <v>31</v>
      </c>
      <c r="D131" s="492" t="s">
        <v>3353</v>
      </c>
      <c r="E131" s="492"/>
      <c r="F131" s="499"/>
      <c r="G131" s="574"/>
      <c r="H131" s="574"/>
      <c r="I131" s="574"/>
      <c r="J131" s="574"/>
      <c r="K131" s="574"/>
      <c r="L131" s="574"/>
      <c r="M131" s="574"/>
      <c r="N131" s="574"/>
      <c r="O131" s="574"/>
      <c r="P131" s="574">
        <v>79.580926000000005</v>
      </c>
      <c r="Q131" s="574">
        <v>44.427832000000002</v>
      </c>
      <c r="R131" s="574">
        <v>68.095366999999996</v>
      </c>
      <c r="S131" s="574">
        <v>-70.690301000000005</v>
      </c>
      <c r="T131" s="574">
        <v>134.133566</v>
      </c>
      <c r="U131" s="574">
        <v>3.7184819999999998</v>
      </c>
      <c r="V131" s="574">
        <v>92.795888000000005</v>
      </c>
      <c r="W131" s="574"/>
    </row>
    <row r="132" spans="1:23" x14ac:dyDescent="0.25">
      <c r="A132" s="1762">
        <v>39</v>
      </c>
      <c r="B132" s="489"/>
      <c r="C132" s="489" t="s">
        <v>34</v>
      </c>
      <c r="D132" s="492" t="s">
        <v>3354</v>
      </c>
      <c r="E132" s="492"/>
      <c r="F132" s="499"/>
      <c r="G132" s="574"/>
      <c r="H132" s="574"/>
      <c r="I132" s="574"/>
      <c r="J132" s="574"/>
      <c r="K132" s="574"/>
      <c r="L132" s="574"/>
      <c r="M132" s="574"/>
      <c r="N132" s="574"/>
      <c r="O132" s="574"/>
      <c r="P132" s="574">
        <v>2.8073169999999998</v>
      </c>
      <c r="Q132" s="574">
        <v>8.4362150000000007</v>
      </c>
      <c r="R132" s="574">
        <v>1.073472</v>
      </c>
      <c r="S132" s="574">
        <v>2.1994120000000001</v>
      </c>
      <c r="T132" s="574">
        <v>6.3914590000000002</v>
      </c>
      <c r="U132" s="574">
        <v>38.356623999999996</v>
      </c>
      <c r="V132" s="574">
        <v>27.326174000000002</v>
      </c>
      <c r="W132" s="574"/>
    </row>
    <row r="133" spans="1:23" x14ac:dyDescent="0.25">
      <c r="A133" s="1762">
        <v>40</v>
      </c>
      <c r="B133" s="489"/>
      <c r="C133" s="489" t="s">
        <v>1061</v>
      </c>
      <c r="D133" s="492" t="s">
        <v>3355</v>
      </c>
      <c r="E133" s="492"/>
      <c r="F133" s="499"/>
      <c r="G133" s="574"/>
      <c r="H133" s="574"/>
      <c r="I133" s="574"/>
      <c r="J133" s="574"/>
      <c r="K133" s="574"/>
      <c r="L133" s="574"/>
      <c r="M133" s="574"/>
      <c r="N133" s="574"/>
      <c r="O133" s="574"/>
      <c r="P133" s="574">
        <v>-12.494301</v>
      </c>
      <c r="Q133" s="574">
        <v>-28.812736000000001</v>
      </c>
      <c r="R133" s="574">
        <v>-6.2627370000000004</v>
      </c>
      <c r="S133" s="574">
        <v>75.731480000000005</v>
      </c>
      <c r="T133" s="574">
        <v>10.216604999999999</v>
      </c>
      <c r="U133" s="574">
        <v>6.2111989999999997</v>
      </c>
      <c r="V133" s="574">
        <v>-6.9595279999999997</v>
      </c>
      <c r="W133" s="574"/>
    </row>
    <row r="134" spans="1:23" x14ac:dyDescent="0.25">
      <c r="A134" s="1762">
        <v>41</v>
      </c>
      <c r="B134" s="1017">
        <v>7</v>
      </c>
      <c r="C134" s="1018" t="s">
        <v>3356</v>
      </c>
      <c r="D134" s="1019"/>
      <c r="E134" s="1019"/>
      <c r="F134" s="1020"/>
      <c r="G134" s="1011"/>
      <c r="H134" s="1011"/>
      <c r="I134" s="1021"/>
      <c r="J134" s="2202">
        <v>110.299999999999</v>
      </c>
      <c r="K134" s="2202">
        <v>421</v>
      </c>
      <c r="L134" s="2202">
        <v>450.39999999999401</v>
      </c>
      <c r="M134" s="2202">
        <v>24.9</v>
      </c>
      <c r="N134" s="2202">
        <v>92</v>
      </c>
      <c r="O134" s="2202">
        <v>353.64498900000001</v>
      </c>
      <c r="P134" s="2202">
        <v>-46.427084999999998</v>
      </c>
      <c r="Q134" s="2202">
        <v>428.07030700000001</v>
      </c>
      <c r="R134" s="2202">
        <v>58.533833000000001</v>
      </c>
      <c r="S134" s="2202">
        <v>-211.68178499999999</v>
      </c>
      <c r="T134" s="2202">
        <v>1135.077828</v>
      </c>
      <c r="U134" s="2202">
        <v>848.22810900000104</v>
      </c>
      <c r="V134" s="2202">
        <v>647.05055600000003</v>
      </c>
      <c r="W134" s="586"/>
    </row>
    <row r="135" spans="1:23" ht="14.25" customHeight="1" x14ac:dyDescent="0.25">
      <c r="B135" s="493">
        <v>8</v>
      </c>
      <c r="C135" s="494" t="s">
        <v>822</v>
      </c>
      <c r="D135" s="492"/>
      <c r="E135" s="492"/>
      <c r="F135" s="497"/>
      <c r="G135" s="573"/>
      <c r="H135" s="573"/>
      <c r="I135" s="1022"/>
      <c r="J135" s="2203"/>
      <c r="K135" s="2203"/>
      <c r="L135" s="2203"/>
      <c r="M135" s="2203"/>
      <c r="N135" s="2203"/>
      <c r="O135" s="2203"/>
      <c r="P135" s="2203"/>
      <c r="Q135" s="2203"/>
      <c r="R135" s="2203"/>
      <c r="S135" s="2203"/>
      <c r="T135" s="2203"/>
      <c r="U135" s="2203"/>
      <c r="V135" s="2203"/>
      <c r="W135" s="1720"/>
    </row>
    <row r="136" spans="1:23" ht="14.25" customHeight="1" x14ac:dyDescent="0.25">
      <c r="B136" s="493">
        <v>9</v>
      </c>
      <c r="C136" s="494" t="s">
        <v>1053</v>
      </c>
      <c r="D136" s="492"/>
      <c r="E136" s="492"/>
      <c r="F136" s="497"/>
      <c r="G136" s="573"/>
      <c r="H136" s="573"/>
      <c r="I136" s="573"/>
      <c r="J136" s="2204"/>
      <c r="K136" s="2204"/>
      <c r="L136" s="2204"/>
      <c r="M136" s="2204"/>
      <c r="N136" s="2204"/>
      <c r="O136" s="2204"/>
      <c r="P136" s="2204"/>
      <c r="Q136" s="2204"/>
      <c r="R136" s="2204"/>
      <c r="S136" s="2204"/>
      <c r="T136" s="2204"/>
      <c r="U136" s="2204"/>
      <c r="V136" s="2204"/>
      <c r="W136" s="1720"/>
    </row>
    <row r="137" spans="1:23" ht="26.25" customHeight="1" x14ac:dyDescent="0.25">
      <c r="A137" s="1762">
        <v>44</v>
      </c>
      <c r="B137" s="516"/>
      <c r="C137" s="516" t="s">
        <v>823</v>
      </c>
      <c r="D137" s="517"/>
      <c r="E137" s="517"/>
      <c r="F137" s="518"/>
      <c r="G137" s="578"/>
      <c r="H137" s="578"/>
      <c r="I137" s="578"/>
      <c r="J137" s="2005">
        <f>J129+J134</f>
        <v>454.49999999999903</v>
      </c>
      <c r="K137" s="2005">
        <f t="shared" ref="K137:V137" si="38">K129+K134</f>
        <v>648.5</v>
      </c>
      <c r="L137" s="2005">
        <f t="shared" si="38"/>
        <v>1090.4999999999939</v>
      </c>
      <c r="M137" s="2005">
        <f t="shared" si="38"/>
        <v>441.7</v>
      </c>
      <c r="N137" s="2005">
        <f t="shared" si="38"/>
        <v>350.2</v>
      </c>
      <c r="O137" s="2005">
        <f t="shared" si="38"/>
        <v>510.92316800000003</v>
      </c>
      <c r="P137" s="2005">
        <f t="shared" si="38"/>
        <v>382.42677700000002</v>
      </c>
      <c r="Q137" s="2005">
        <f t="shared" si="38"/>
        <v>765.40029900000013</v>
      </c>
      <c r="R137" s="2005">
        <f t="shared" si="38"/>
        <v>4.7669919999999948</v>
      </c>
      <c r="S137" s="2005">
        <f t="shared" si="38"/>
        <v>-318.63059699999997</v>
      </c>
      <c r="T137" s="2005">
        <f t="shared" si="38"/>
        <v>1101.168073</v>
      </c>
      <c r="U137" s="2005">
        <f t="shared" si="38"/>
        <v>938.59817000000101</v>
      </c>
      <c r="V137" s="2005">
        <f t="shared" si="38"/>
        <v>985.56566799999996</v>
      </c>
      <c r="W137" s="1719"/>
    </row>
    <row r="138" spans="1:23" ht="24" customHeight="1" x14ac:dyDescent="0.25">
      <c r="A138" s="1762">
        <v>45</v>
      </c>
      <c r="B138" s="856" t="s">
        <v>825</v>
      </c>
      <c r="C138" s="491"/>
      <c r="D138" s="509"/>
      <c r="E138" s="509"/>
      <c r="F138" s="510"/>
      <c r="G138" s="572"/>
      <c r="H138" s="572"/>
      <c r="I138" s="572"/>
      <c r="J138" s="571"/>
      <c r="K138" s="571"/>
      <c r="L138" s="572"/>
      <c r="M138" s="572"/>
      <c r="N138" s="572"/>
      <c r="O138" s="572"/>
      <c r="P138" s="572"/>
      <c r="Q138" s="572"/>
      <c r="R138" s="572"/>
      <c r="S138" s="572"/>
      <c r="T138" s="572"/>
      <c r="U138" s="572"/>
      <c r="V138" s="572"/>
      <c r="W138" s="572"/>
    </row>
    <row r="139" spans="1:23" x14ac:dyDescent="0.25">
      <c r="A139" s="1762">
        <v>46</v>
      </c>
      <c r="B139" s="1012">
        <v>15</v>
      </c>
      <c r="C139" s="1013" t="s">
        <v>980</v>
      </c>
      <c r="D139" s="1014"/>
      <c r="E139" s="1014"/>
      <c r="F139" s="1015"/>
      <c r="G139" s="1016"/>
      <c r="H139" s="1016"/>
      <c r="I139" s="1016"/>
      <c r="J139" s="1016">
        <v>-613.19999999999982</v>
      </c>
      <c r="K139" s="1016">
        <v>-1505.3999999999996</v>
      </c>
      <c r="L139" s="1016">
        <v>-1716.6000000000004</v>
      </c>
      <c r="M139" s="1016">
        <v>-664.50000000000023</v>
      </c>
      <c r="N139" s="1016">
        <v>-1433.2999999999997</v>
      </c>
      <c r="O139" s="1016">
        <v>-1631.8136549999999</v>
      </c>
      <c r="P139" s="1016">
        <v>-874.59689200000003</v>
      </c>
      <c r="Q139" s="1016">
        <v>-1760.1126589999999</v>
      </c>
      <c r="R139" s="1016">
        <v>-486.255269</v>
      </c>
      <c r="S139" s="1016">
        <v>-2410.6403359999999</v>
      </c>
      <c r="T139" s="1016">
        <v>-2058.4029190000001</v>
      </c>
      <c r="U139" s="1016">
        <v>-1882.720069</v>
      </c>
      <c r="V139" s="1016">
        <v>-2273.372492</v>
      </c>
      <c r="W139" s="573"/>
    </row>
    <row r="140" spans="1:23" x14ac:dyDescent="0.25">
      <c r="A140" s="1762">
        <v>47</v>
      </c>
      <c r="B140" s="489"/>
      <c r="C140" s="489" t="s">
        <v>831</v>
      </c>
      <c r="D140" s="492" t="s">
        <v>981</v>
      </c>
      <c r="E140" s="492"/>
      <c r="F140" s="499"/>
      <c r="G140" s="574"/>
      <c r="H140" s="574"/>
      <c r="I140" s="574"/>
      <c r="J140" s="574"/>
      <c r="K140" s="574"/>
      <c r="L140" s="574"/>
      <c r="M140" s="574">
        <v>-506.10000000000036</v>
      </c>
      <c r="N140" s="574">
        <v>-972.89999999999964</v>
      </c>
      <c r="O140" s="574">
        <v>-1320.904644</v>
      </c>
      <c r="P140" s="574">
        <v>-241.434426</v>
      </c>
      <c r="Q140" s="574">
        <v>-1193.355716</v>
      </c>
      <c r="R140" s="574">
        <v>-294.83792699999998</v>
      </c>
      <c r="S140" s="574">
        <v>-1310.3445360000001</v>
      </c>
      <c r="T140" s="574">
        <v>-1222.6792250000001</v>
      </c>
      <c r="U140" s="574">
        <v>-1189.370885</v>
      </c>
      <c r="V140" s="574">
        <v>-2002.439126</v>
      </c>
      <c r="W140" s="574"/>
    </row>
    <row r="141" spans="1:23" x14ac:dyDescent="0.25">
      <c r="A141" s="1762">
        <v>48</v>
      </c>
      <c r="B141" s="489"/>
      <c r="C141" s="489" t="s">
        <v>832</v>
      </c>
      <c r="D141" s="492" t="s">
        <v>593</v>
      </c>
      <c r="E141" s="492"/>
      <c r="F141" s="499"/>
      <c r="G141" s="574"/>
      <c r="H141" s="574"/>
      <c r="I141" s="574"/>
      <c r="J141" s="2205"/>
      <c r="K141" s="2205"/>
      <c r="L141" s="2205"/>
      <c r="M141" s="2205">
        <v>-158.39999999999986</v>
      </c>
      <c r="N141" s="2205">
        <v>-460.40000000000009</v>
      </c>
      <c r="O141" s="2205">
        <v>-310.90901100000002</v>
      </c>
      <c r="P141" s="2205">
        <v>-633.16246599999999</v>
      </c>
      <c r="Q141" s="2205">
        <v>-566.75694299999998</v>
      </c>
      <c r="R141" s="2205">
        <v>-191.41734199999999</v>
      </c>
      <c r="S141" s="2205">
        <v>-1099.1073120000001</v>
      </c>
      <c r="T141" s="2205">
        <v>-834.56552899999997</v>
      </c>
      <c r="U141" s="2205">
        <v>-693.34918400000004</v>
      </c>
      <c r="V141" s="2205">
        <v>-270.93336599999998</v>
      </c>
      <c r="W141" s="574"/>
    </row>
    <row r="142" spans="1:23" x14ac:dyDescent="0.25">
      <c r="B142" s="489"/>
      <c r="C142" s="489" t="s">
        <v>833</v>
      </c>
      <c r="D142" s="492" t="s">
        <v>594</v>
      </c>
      <c r="E142" s="492"/>
      <c r="F142" s="499"/>
      <c r="G142" s="574"/>
      <c r="H142" s="574"/>
      <c r="I142" s="574"/>
      <c r="J142" s="2206"/>
      <c r="K142" s="2206"/>
      <c r="L142" s="2206"/>
      <c r="M142" s="2206"/>
      <c r="N142" s="2206"/>
      <c r="O142" s="2206"/>
      <c r="P142" s="2206"/>
      <c r="Q142" s="2206"/>
      <c r="R142" s="2206"/>
      <c r="S142" s="2206"/>
      <c r="T142" s="2206"/>
      <c r="U142" s="2206"/>
      <c r="V142" s="2206"/>
      <c r="W142" s="1721"/>
    </row>
    <row r="143" spans="1:23" x14ac:dyDescent="0.25">
      <c r="B143" s="489"/>
      <c r="C143" s="489" t="s">
        <v>982</v>
      </c>
      <c r="D143" s="492" t="s">
        <v>595</v>
      </c>
      <c r="E143" s="492"/>
      <c r="F143" s="499"/>
      <c r="G143" s="574"/>
      <c r="H143" s="574"/>
      <c r="I143" s="574"/>
      <c r="J143" s="2207"/>
      <c r="K143" s="2207"/>
      <c r="L143" s="2207"/>
      <c r="M143" s="2207"/>
      <c r="N143" s="2207"/>
      <c r="O143" s="2207"/>
      <c r="P143" s="2207"/>
      <c r="Q143" s="2207"/>
      <c r="R143" s="2207"/>
      <c r="S143" s="2207"/>
      <c r="T143" s="2207"/>
      <c r="U143" s="2207"/>
      <c r="V143" s="2207"/>
      <c r="W143" s="1721"/>
    </row>
    <row r="144" spans="1:23" x14ac:dyDescent="0.25">
      <c r="A144" s="1762">
        <v>51</v>
      </c>
      <c r="B144" s="489">
        <v>16</v>
      </c>
      <c r="C144" s="494" t="s">
        <v>592</v>
      </c>
      <c r="D144" s="492"/>
      <c r="E144" s="492"/>
      <c r="F144" s="497"/>
      <c r="G144" s="573"/>
      <c r="H144" s="573"/>
      <c r="I144" s="573"/>
      <c r="J144" s="573"/>
      <c r="K144" s="573"/>
      <c r="L144" s="573"/>
      <c r="M144" s="573"/>
      <c r="N144" s="573"/>
      <c r="O144" s="573">
        <v>89.122749999999996</v>
      </c>
      <c r="P144" s="573">
        <v>105.768697</v>
      </c>
      <c r="Q144" s="573">
        <v>138.29815500000001</v>
      </c>
      <c r="R144" s="573">
        <v>164.614001</v>
      </c>
      <c r="S144" s="573">
        <v>91.19538</v>
      </c>
      <c r="T144" s="573">
        <v>273.15018700000002</v>
      </c>
      <c r="U144" s="573">
        <v>642.62147800000002</v>
      </c>
      <c r="V144" s="573">
        <v>31.727209999999999</v>
      </c>
      <c r="W144" s="573"/>
    </row>
    <row r="145" spans="1:25" x14ac:dyDescent="0.25">
      <c r="A145" s="1762">
        <v>52</v>
      </c>
      <c r="B145" s="489">
        <v>17</v>
      </c>
      <c r="C145" s="494" t="s">
        <v>596</v>
      </c>
      <c r="D145" s="492"/>
      <c r="E145" s="492"/>
      <c r="F145" s="497"/>
      <c r="G145" s="573"/>
      <c r="H145" s="573"/>
      <c r="I145" s="573"/>
      <c r="J145" s="573">
        <v>-297</v>
      </c>
      <c r="K145" s="573">
        <v>-242.40000000000055</v>
      </c>
      <c r="L145" s="573">
        <v>-335.19999999999982</v>
      </c>
      <c r="M145" s="573">
        <v>-663.69999999999982</v>
      </c>
      <c r="N145" s="573">
        <v>170.40000000000009</v>
      </c>
      <c r="O145" s="573">
        <v>122.10129999999999</v>
      </c>
      <c r="P145" s="573">
        <v>92.258907999999991</v>
      </c>
      <c r="Q145" s="573">
        <v>204.05188999999999</v>
      </c>
      <c r="R145" s="573">
        <v>175.44922200000002</v>
      </c>
      <c r="S145" s="573">
        <v>-180.04246799999999</v>
      </c>
      <c r="T145" s="573">
        <v>51.270985999999979</v>
      </c>
      <c r="U145" s="573">
        <v>208.27966600000002</v>
      </c>
      <c r="V145" s="573">
        <v>133.27268400000003</v>
      </c>
      <c r="W145" s="573"/>
    </row>
    <row r="146" spans="1:25" s="999" customFormat="1" ht="22.5" customHeight="1" x14ac:dyDescent="0.25">
      <c r="A146" s="1762">
        <v>53</v>
      </c>
      <c r="B146" s="516"/>
      <c r="C146" s="516" t="s">
        <v>828</v>
      </c>
      <c r="D146" s="517"/>
      <c r="E146" s="517"/>
      <c r="F146" s="518"/>
      <c r="G146" s="578"/>
      <c r="H146" s="578"/>
      <c r="I146" s="578"/>
      <c r="J146" s="2005">
        <f>SUM(J139,J144:J145)</f>
        <v>-910.19999999999982</v>
      </c>
      <c r="K146" s="2005">
        <f t="shared" ref="K146:T146" si="39">SUM(K139,K144:K145)</f>
        <v>-1747.8000000000002</v>
      </c>
      <c r="L146" s="2005">
        <f t="shared" si="39"/>
        <v>-2051.8000000000002</v>
      </c>
      <c r="M146" s="2005">
        <f t="shared" si="39"/>
        <v>-1328.2</v>
      </c>
      <c r="N146" s="2005">
        <f t="shared" si="39"/>
        <v>-1262.8999999999996</v>
      </c>
      <c r="O146" s="2005">
        <f t="shared" si="39"/>
        <v>-1420.5896049999999</v>
      </c>
      <c r="P146" s="2005">
        <f t="shared" si="39"/>
        <v>-676.56928700000003</v>
      </c>
      <c r="Q146" s="2005">
        <f t="shared" si="39"/>
        <v>-1417.762614</v>
      </c>
      <c r="R146" s="2005">
        <f t="shared" si="39"/>
        <v>-146.19204599999995</v>
      </c>
      <c r="S146" s="2005">
        <f t="shared" si="39"/>
        <v>-2499.4874239999999</v>
      </c>
      <c r="T146" s="2005">
        <f t="shared" si="39"/>
        <v>-1733.9817460000002</v>
      </c>
      <c r="U146" s="2005">
        <f t="shared" ref="U146:V146" si="40">SUM(U139,U144:U145)</f>
        <v>-1031.818925</v>
      </c>
      <c r="V146" s="2005">
        <f t="shared" si="40"/>
        <v>-2108.3725979999999</v>
      </c>
      <c r="W146" s="1719"/>
    </row>
    <row r="147" spans="1:25" s="999" customFormat="1" ht="22.5" customHeight="1" x14ac:dyDescent="0.25">
      <c r="A147" s="1762">
        <v>54</v>
      </c>
      <c r="B147" s="516"/>
      <c r="C147" s="516" t="s">
        <v>37</v>
      </c>
      <c r="D147" s="517"/>
      <c r="E147" s="517"/>
      <c r="F147" s="518"/>
      <c r="G147" s="578"/>
      <c r="H147" s="578"/>
      <c r="I147" s="578"/>
      <c r="J147" s="2005">
        <f t="shared" ref="J147:O147" si="41">J127+J137+J146</f>
        <v>993.89999999999941</v>
      </c>
      <c r="K147" s="2005">
        <f t="shared" si="41"/>
        <v>590.80000000000018</v>
      </c>
      <c r="L147" s="2005">
        <f t="shared" si="41"/>
        <v>192.59999999999309</v>
      </c>
      <c r="M147" s="2005">
        <f t="shared" si="41"/>
        <v>929.10000000000014</v>
      </c>
      <c r="N147" s="2005">
        <f t="shared" si="41"/>
        <v>785.10000000000082</v>
      </c>
      <c r="O147" s="2005">
        <f t="shared" si="41"/>
        <v>1344.828444</v>
      </c>
      <c r="P147" s="2005">
        <f t="shared" ref="P147:T147" si="42">P127+P137+P146</f>
        <v>2037.832619999999</v>
      </c>
      <c r="Q147" s="2005">
        <f t="shared" si="42"/>
        <v>1973.5904399999993</v>
      </c>
      <c r="R147" s="2005">
        <f t="shared" si="42"/>
        <v>2904.0843010000008</v>
      </c>
      <c r="S147" s="2005">
        <f t="shared" si="42"/>
        <v>255.52253699999937</v>
      </c>
      <c r="T147" s="2005">
        <f t="shared" si="42"/>
        <v>4087.7937469999979</v>
      </c>
      <c r="U147" s="2005">
        <f t="shared" ref="U147:V147" si="43">U127+U137+U146</f>
        <v>4764.0049220000001</v>
      </c>
      <c r="V147" s="2005">
        <f t="shared" si="43"/>
        <v>4534.8099169999996</v>
      </c>
      <c r="W147" s="1719"/>
    </row>
    <row r="148" spans="1:25" s="999" customFormat="1" ht="22.5" customHeight="1" x14ac:dyDescent="0.25">
      <c r="A148" s="1762">
        <v>55</v>
      </c>
      <c r="B148" s="1006"/>
      <c r="C148" s="1007" t="s">
        <v>600</v>
      </c>
      <c r="D148" s="1008"/>
      <c r="E148" s="1008"/>
      <c r="F148" s="1009"/>
      <c r="G148" s="586"/>
      <c r="H148" s="586"/>
      <c r="I148" s="586"/>
      <c r="J148" s="586"/>
      <c r="K148" s="586"/>
      <c r="L148" s="586"/>
      <c r="M148" s="586"/>
      <c r="N148" s="586"/>
      <c r="O148" s="586">
        <v>-346.93974700000001</v>
      </c>
      <c r="P148" s="586">
        <v>-321.74955499999999</v>
      </c>
      <c r="Q148" s="586">
        <v>-365.46755899999999</v>
      </c>
      <c r="R148" s="586">
        <v>-535.45748400000002</v>
      </c>
      <c r="S148" s="586">
        <v>-56.519430999999997</v>
      </c>
      <c r="T148" s="586">
        <v>-804.47727599999996</v>
      </c>
      <c r="U148" s="586">
        <v>-722.33883199999991</v>
      </c>
      <c r="V148" s="586">
        <v>-845.88261299999999</v>
      </c>
      <c r="W148" s="586"/>
      <c r="Y148" s="611" t="s">
        <v>1286</v>
      </c>
    </row>
    <row r="149" spans="1:25" s="999" customFormat="1" ht="22.5" customHeight="1" x14ac:dyDescent="0.25">
      <c r="A149" s="1762">
        <v>56</v>
      </c>
      <c r="B149" s="516"/>
      <c r="C149" s="516" t="s">
        <v>1287</v>
      </c>
      <c r="D149" s="517"/>
      <c r="E149" s="517"/>
      <c r="F149" s="518"/>
      <c r="G149" s="578"/>
      <c r="H149" s="578"/>
      <c r="I149" s="578"/>
      <c r="J149" s="578"/>
      <c r="K149" s="578"/>
      <c r="L149" s="578"/>
      <c r="M149" s="578"/>
      <c r="N149" s="578"/>
      <c r="O149" s="578">
        <v>-165.37343999999999</v>
      </c>
      <c r="P149" s="578">
        <v>188.18244799999999</v>
      </c>
      <c r="Q149" s="578">
        <v>22.378857</v>
      </c>
      <c r="R149" s="578">
        <v>-353.25487099999998</v>
      </c>
      <c r="S149" s="578">
        <v>-38.495564999999999</v>
      </c>
      <c r="T149" s="578">
        <v>-121.222724</v>
      </c>
      <c r="U149" s="578">
        <v>-442.23089900000002</v>
      </c>
      <c r="V149" s="578">
        <v>374.84340300000002</v>
      </c>
      <c r="W149" s="1719"/>
    </row>
    <row r="150" spans="1:25" s="999" customFormat="1" ht="22.5" customHeight="1" thickBot="1" x14ac:dyDescent="0.3">
      <c r="A150" s="1762">
        <v>57</v>
      </c>
      <c r="B150" s="1006"/>
      <c r="C150" s="1007" t="s">
        <v>1055</v>
      </c>
      <c r="D150" s="1008"/>
      <c r="E150" s="1008"/>
      <c r="F150" s="1009"/>
      <c r="G150" s="586"/>
      <c r="H150" s="586"/>
      <c r="I150" s="586"/>
      <c r="J150" s="586"/>
      <c r="K150" s="586"/>
      <c r="L150" s="586"/>
      <c r="M150" s="586"/>
      <c r="N150" s="586"/>
      <c r="O150" s="586"/>
      <c r="P150" s="586"/>
      <c r="Q150" s="586"/>
      <c r="R150" s="586"/>
      <c r="S150" s="586"/>
      <c r="T150" s="586"/>
      <c r="U150" s="586"/>
      <c r="V150" s="586"/>
      <c r="W150" s="586"/>
    </row>
    <row r="151" spans="1:25" s="999" customFormat="1" ht="27.75" customHeight="1" thickBot="1" x14ac:dyDescent="0.3">
      <c r="A151" s="1762">
        <v>58</v>
      </c>
      <c r="B151" s="513"/>
      <c r="C151" s="513" t="s">
        <v>395</v>
      </c>
      <c r="D151" s="514"/>
      <c r="E151" s="514"/>
      <c r="F151" s="527"/>
      <c r="G151" s="579"/>
      <c r="H151" s="579"/>
      <c r="I151" s="579"/>
      <c r="J151" s="1029">
        <f>J127+J137+J146</f>
        <v>993.89999999999941</v>
      </c>
      <c r="K151" s="1029">
        <f>K127+K137+K146</f>
        <v>590.80000000000018</v>
      </c>
      <c r="L151" s="1029">
        <f>L127+L137+L146</f>
        <v>192.59999999999309</v>
      </c>
      <c r="M151" s="1029">
        <f>M127+M137+M146</f>
        <v>929.10000000000014</v>
      </c>
      <c r="N151" s="1029">
        <f>N127+N137+N146</f>
        <v>785.10000000000082</v>
      </c>
      <c r="O151" s="2007">
        <f>SUM(O147:O149)</f>
        <v>832.51525700000002</v>
      </c>
      <c r="P151" s="2007">
        <f t="shared" ref="P151:V151" si="44">SUM(P147:P149)</f>
        <v>1904.2655129999989</v>
      </c>
      <c r="Q151" s="2007">
        <f t="shared" si="44"/>
        <v>1630.5017379999992</v>
      </c>
      <c r="R151" s="2007">
        <f t="shared" si="44"/>
        <v>2015.3719460000007</v>
      </c>
      <c r="S151" s="2007">
        <f t="shared" si="44"/>
        <v>160.50754099999938</v>
      </c>
      <c r="T151" s="2007">
        <f t="shared" si="44"/>
        <v>3162.0937469999976</v>
      </c>
      <c r="U151" s="2007">
        <f t="shared" si="44"/>
        <v>3599.435191</v>
      </c>
      <c r="V151" s="2007">
        <f t="shared" si="44"/>
        <v>4063.7707069999997</v>
      </c>
      <c r="W151" s="1719"/>
    </row>
    <row r="152" spans="1:25" x14ac:dyDescent="0.25">
      <c r="B152" s="4"/>
      <c r="C152" s="6"/>
      <c r="D152" s="6"/>
      <c r="E152" s="6"/>
      <c r="F152" s="6"/>
      <c r="G152" s="4"/>
      <c r="H152" s="4"/>
      <c r="I152" s="4"/>
      <c r="J152" s="4"/>
      <c r="K152" s="4"/>
      <c r="L152" s="4"/>
      <c r="M152" s="4"/>
      <c r="N152" s="4"/>
      <c r="O152" s="4"/>
      <c r="P152" s="4"/>
      <c r="Q152" s="4"/>
      <c r="R152" s="4"/>
      <c r="S152" s="4"/>
      <c r="T152" s="4"/>
      <c r="U152" s="4"/>
      <c r="V152" s="4"/>
      <c r="W152" s="4"/>
    </row>
    <row r="153" spans="1:25" x14ac:dyDescent="0.25">
      <c r="B153" s="4"/>
      <c r="C153" s="6"/>
      <c r="D153" s="6"/>
      <c r="E153" s="6"/>
      <c r="F153" s="6"/>
      <c r="G153" s="4"/>
      <c r="H153" s="4"/>
      <c r="I153" s="4"/>
      <c r="J153" s="4"/>
      <c r="K153" s="4"/>
      <c r="L153" s="4"/>
      <c r="M153" s="4"/>
      <c r="N153" s="4"/>
      <c r="O153" s="4"/>
      <c r="P153" s="4"/>
      <c r="Q153" s="4"/>
      <c r="R153" s="4"/>
      <c r="S153" s="4"/>
      <c r="T153" s="4"/>
      <c r="U153" s="4"/>
      <c r="V153" s="4"/>
      <c r="W153" s="4"/>
    </row>
    <row r="154" spans="1:25" x14ac:dyDescent="0.25">
      <c r="B154" s="4"/>
      <c r="C154" s="6"/>
      <c r="D154" s="6"/>
      <c r="E154" s="6"/>
      <c r="F154" s="6"/>
      <c r="G154" s="4"/>
      <c r="H154" s="4"/>
      <c r="I154" s="4"/>
      <c r="J154" s="4"/>
      <c r="K154" s="4"/>
      <c r="L154" s="4"/>
      <c r="M154" s="4"/>
      <c r="N154" s="4"/>
      <c r="O154" s="4"/>
      <c r="P154" s="4"/>
      <c r="Q154" s="4"/>
      <c r="R154" s="4"/>
      <c r="S154" s="4"/>
      <c r="T154" s="4"/>
      <c r="U154" s="2107"/>
      <c r="V154" s="2107"/>
      <c r="W154" s="4"/>
    </row>
    <row r="155" spans="1:25" x14ac:dyDescent="0.25">
      <c r="B155" s="4"/>
      <c r="C155" s="6"/>
      <c r="D155" s="6"/>
      <c r="E155" s="6"/>
      <c r="F155" s="6"/>
      <c r="G155" s="4"/>
      <c r="H155" s="4"/>
      <c r="I155" s="4"/>
      <c r="J155" s="4"/>
      <c r="K155" s="4"/>
      <c r="L155" s="4"/>
      <c r="M155" s="4"/>
      <c r="N155" s="4"/>
      <c r="O155" s="4"/>
      <c r="P155" s="4"/>
      <c r="Q155" s="4"/>
      <c r="R155" s="4"/>
      <c r="S155" s="4"/>
      <c r="T155" s="4"/>
      <c r="U155" s="4"/>
      <c r="V155" s="4"/>
      <c r="W155" s="4"/>
    </row>
    <row r="156" spans="1:25" x14ac:dyDescent="0.25">
      <c r="B156" s="4"/>
      <c r="C156" s="6"/>
      <c r="D156" s="6"/>
      <c r="E156" s="6"/>
      <c r="F156" s="6"/>
      <c r="G156" s="4"/>
      <c r="H156" s="4"/>
      <c r="I156" s="4"/>
      <c r="J156" s="4"/>
      <c r="K156" s="4"/>
      <c r="L156" s="4"/>
      <c r="M156" s="4"/>
      <c r="N156" s="4"/>
      <c r="O156" s="4"/>
      <c r="P156" s="4"/>
      <c r="Q156" s="4"/>
      <c r="R156" s="4"/>
      <c r="S156" s="4"/>
      <c r="T156" s="4"/>
      <c r="U156" s="4"/>
      <c r="V156" s="4"/>
      <c r="W156" s="4"/>
    </row>
    <row r="157" spans="1:25" x14ac:dyDescent="0.25">
      <c r="B157" s="4"/>
      <c r="C157" s="6"/>
      <c r="D157" s="6"/>
      <c r="E157" s="6"/>
      <c r="F157" s="6"/>
      <c r="G157" s="4"/>
      <c r="H157" s="4"/>
      <c r="I157" s="4"/>
      <c r="J157" s="4"/>
      <c r="K157" s="4"/>
      <c r="L157" s="4"/>
      <c r="M157" s="4"/>
      <c r="N157" s="4"/>
      <c r="O157" s="4"/>
      <c r="P157" s="4"/>
      <c r="Q157" s="4"/>
      <c r="R157" s="4"/>
      <c r="S157" s="4"/>
      <c r="T157" s="4"/>
      <c r="U157" s="4"/>
      <c r="V157" s="4"/>
      <c r="W157" s="4"/>
    </row>
    <row r="158" spans="1:25" x14ac:dyDescent="0.25">
      <c r="B158" s="4"/>
      <c r="C158" s="6" t="s">
        <v>3439</v>
      </c>
      <c r="D158" s="6"/>
      <c r="E158" s="6"/>
      <c r="F158" s="6"/>
      <c r="G158" s="4"/>
      <c r="H158" s="4"/>
      <c r="I158" s="4"/>
      <c r="J158" s="4"/>
      <c r="K158" s="4"/>
      <c r="L158" s="4"/>
      <c r="M158" s="4"/>
      <c r="N158" s="4"/>
      <c r="O158" s="4"/>
      <c r="P158" s="4"/>
      <c r="Q158" s="4"/>
      <c r="R158" s="4"/>
      <c r="S158" s="4"/>
      <c r="T158" s="4"/>
      <c r="U158" s="4"/>
      <c r="V158" s="4"/>
      <c r="W158" s="4"/>
    </row>
    <row r="159" spans="1:25" x14ac:dyDescent="0.25">
      <c r="B159" s="4"/>
      <c r="C159" s="2109" t="s">
        <v>3438</v>
      </c>
      <c r="D159" s="6"/>
      <c r="E159" s="6"/>
      <c r="F159" s="6"/>
      <c r="G159" s="4"/>
      <c r="H159" s="4"/>
      <c r="I159" s="4"/>
      <c r="J159" s="4"/>
      <c r="K159" s="4"/>
      <c r="L159" s="4"/>
      <c r="M159" s="4"/>
      <c r="N159" s="4"/>
      <c r="O159" s="4"/>
      <c r="P159" s="4"/>
      <c r="Q159" s="4"/>
      <c r="R159" s="4"/>
      <c r="S159" s="4"/>
      <c r="T159" s="4"/>
      <c r="U159" s="4"/>
      <c r="V159" s="4"/>
      <c r="W159" s="4"/>
    </row>
    <row r="160" spans="1:25" x14ac:dyDescent="0.25">
      <c r="B160" s="4"/>
      <c r="C160" s="6"/>
      <c r="D160" s="6"/>
      <c r="E160" s="6"/>
      <c r="F160" s="6"/>
      <c r="G160" s="4"/>
      <c r="H160" s="4"/>
      <c r="I160" s="4"/>
      <c r="J160" s="4"/>
      <c r="K160" s="4"/>
      <c r="L160" s="4"/>
      <c r="M160" s="4"/>
      <c r="N160" s="4"/>
      <c r="O160" s="4"/>
      <c r="P160" s="4"/>
      <c r="Q160" s="4"/>
      <c r="R160" s="4"/>
      <c r="S160" s="4"/>
      <c r="T160" s="4"/>
      <c r="U160" s="4"/>
      <c r="V160" s="4"/>
      <c r="W160" s="4"/>
    </row>
    <row r="161" spans="1:23" ht="18" x14ac:dyDescent="0.25">
      <c r="B161" s="1000"/>
      <c r="C161" s="1000"/>
      <c r="D161" s="1001" t="s">
        <v>3367</v>
      </c>
      <c r="E161" s="1000"/>
      <c r="F161" s="1000"/>
      <c r="G161" s="1002"/>
      <c r="H161" s="1002"/>
      <c r="I161" s="1002"/>
      <c r="J161" s="1002"/>
      <c r="K161" s="1000"/>
      <c r="L161" s="1000"/>
      <c r="M161" s="1000"/>
      <c r="N161" s="1000"/>
      <c r="O161" s="1000"/>
      <c r="P161" s="1000"/>
      <c r="Q161" s="1000"/>
      <c r="R161" s="1000"/>
      <c r="S161" s="1000"/>
      <c r="T161" s="1000"/>
      <c r="U161" s="1000"/>
      <c r="V161" s="1000"/>
      <c r="W161" s="1000"/>
    </row>
    <row r="162" spans="1:23" ht="18" x14ac:dyDescent="0.25">
      <c r="B162" s="1004"/>
      <c r="C162" s="1004"/>
      <c r="D162" s="1003"/>
      <c r="E162" s="1004"/>
      <c r="F162" s="1004"/>
      <c r="G162" s="1005"/>
      <c r="H162" s="1005"/>
      <c r="I162" s="1005"/>
      <c r="J162" s="1005"/>
      <c r="K162" s="1004"/>
      <c r="L162" s="1004"/>
      <c r="M162" s="1004"/>
      <c r="N162" s="1004"/>
      <c r="O162" s="1004"/>
      <c r="P162" s="1004"/>
      <c r="Q162" s="1004"/>
      <c r="R162" s="1004"/>
      <c r="S162" s="1004"/>
      <c r="T162" s="1004"/>
      <c r="U162" s="1004"/>
      <c r="V162" s="1004"/>
      <c r="W162" s="1004"/>
    </row>
    <row r="163" spans="1:23" ht="15.75" x14ac:dyDescent="0.25">
      <c r="B163" s="460"/>
      <c r="C163" s="460"/>
      <c r="D163" s="460"/>
      <c r="E163" s="460"/>
      <c r="F163" s="1039" t="s">
        <v>868</v>
      </c>
      <c r="G163" s="461" t="s">
        <v>348</v>
      </c>
      <c r="H163" s="460"/>
      <c r="I163" s="460"/>
      <c r="J163" s="460"/>
      <c r="K163" s="460"/>
      <c r="L163" s="460"/>
      <c r="M163" s="460"/>
      <c r="N163" s="460"/>
      <c r="O163" s="460"/>
      <c r="P163" s="460"/>
      <c r="Q163" s="460"/>
      <c r="R163" s="460"/>
      <c r="S163" s="460"/>
      <c r="T163" s="460"/>
      <c r="U163" s="460"/>
      <c r="V163" s="460"/>
      <c r="W163" s="460"/>
    </row>
    <row r="164" spans="1:23" ht="16.5" x14ac:dyDescent="0.3">
      <c r="A164" s="1762">
        <v>1</v>
      </c>
      <c r="B164" s="463"/>
      <c r="C164" s="1736" t="s">
        <v>3358</v>
      </c>
      <c r="D164" s="463"/>
      <c r="E164" s="463"/>
      <c r="F164" s="1010"/>
      <c r="G164" s="464">
        <f>G8</f>
        <v>2010</v>
      </c>
      <c r="H164" s="464">
        <f t="shared" ref="H164:V164" si="45">H8</f>
        <v>2011</v>
      </c>
      <c r="I164" s="464">
        <f t="shared" si="45"/>
        <v>2012</v>
      </c>
      <c r="J164" s="464">
        <f t="shared" si="45"/>
        <v>2013</v>
      </c>
      <c r="K164" s="464">
        <f t="shared" si="45"/>
        <v>2014</v>
      </c>
      <c r="L164" s="464">
        <f t="shared" si="45"/>
        <v>2015</v>
      </c>
      <c r="M164" s="464">
        <f t="shared" si="45"/>
        <v>2016</v>
      </c>
      <c r="N164" s="464">
        <f t="shared" si="45"/>
        <v>2017</v>
      </c>
      <c r="O164" s="464">
        <f t="shared" si="45"/>
        <v>2018</v>
      </c>
      <c r="P164" s="464">
        <f t="shared" si="45"/>
        <v>2019</v>
      </c>
      <c r="Q164" s="464">
        <f t="shared" si="45"/>
        <v>2020</v>
      </c>
      <c r="R164" s="464">
        <f t="shared" si="45"/>
        <v>2021</v>
      </c>
      <c r="S164" s="464">
        <f t="shared" si="45"/>
        <v>2022</v>
      </c>
      <c r="T164" s="464">
        <f t="shared" si="45"/>
        <v>2023</v>
      </c>
      <c r="U164" s="464">
        <f t="shared" si="45"/>
        <v>2024</v>
      </c>
      <c r="V164" s="464">
        <f t="shared" si="45"/>
        <v>2025</v>
      </c>
      <c r="W164" s="1377"/>
    </row>
    <row r="165" spans="1:23" x14ac:dyDescent="0.25">
      <c r="A165" s="1762">
        <v>2</v>
      </c>
      <c r="B165" s="493"/>
      <c r="C165" s="492" t="s">
        <v>1288</v>
      </c>
      <c r="D165" s="4"/>
      <c r="E165" s="4"/>
      <c r="F165" s="497"/>
      <c r="G165" s="573">
        <v>536.89565000000005</v>
      </c>
      <c r="H165" s="573">
        <v>507.533368</v>
      </c>
      <c r="I165" s="573">
        <v>486.67170799999997</v>
      </c>
      <c r="J165" s="573">
        <v>470.37372800000003</v>
      </c>
      <c r="K165" s="573">
        <v>469.77848</v>
      </c>
      <c r="L165" s="573">
        <v>478.50438600000001</v>
      </c>
      <c r="M165" s="573">
        <v>515.79295999999999</v>
      </c>
      <c r="N165" s="573">
        <v>572.27632700000004</v>
      </c>
      <c r="O165" s="573">
        <v>661.06027399999994</v>
      </c>
      <c r="P165" s="573">
        <v>705.39843599999995</v>
      </c>
      <c r="Q165" s="573">
        <v>603.76560300000006</v>
      </c>
      <c r="R165" s="573">
        <v>563.56889000000001</v>
      </c>
      <c r="S165" s="573">
        <v>750.89358300000004</v>
      </c>
      <c r="T165" s="573">
        <v>1149.9923349999999</v>
      </c>
      <c r="U165" s="573">
        <v>1267.795001</v>
      </c>
      <c r="V165" s="573">
        <v>1246.2846386666668</v>
      </c>
      <c r="W165" s="573"/>
    </row>
    <row r="166" spans="1:23" x14ac:dyDescent="0.25">
      <c r="A166" s="1762">
        <v>3</v>
      </c>
      <c r="B166" s="489"/>
      <c r="C166" s="489" t="s">
        <v>1289</v>
      </c>
      <c r="D166" s="492"/>
      <c r="E166" s="492"/>
      <c r="F166" s="497"/>
      <c r="G166" s="573">
        <v>-106.886077</v>
      </c>
      <c r="H166" s="573">
        <v>-84.835182000000003</v>
      </c>
      <c r="I166" s="573">
        <v>-65.902229000000005</v>
      </c>
      <c r="J166" s="573">
        <v>-53.285815999999997</v>
      </c>
      <c r="K166" s="573">
        <v>-47.127972</v>
      </c>
      <c r="L166" s="573">
        <v>-46.874995000000006</v>
      </c>
      <c r="M166" s="573">
        <v>-54.390819999999998</v>
      </c>
      <c r="N166" s="573">
        <v>-73.254159000000001</v>
      </c>
      <c r="O166" s="573">
        <v>-119.799216</v>
      </c>
      <c r="P166" s="573">
        <v>-158.730861</v>
      </c>
      <c r="Q166" s="573">
        <v>-77.098649999999992</v>
      </c>
      <c r="R166" s="573">
        <v>-36.142634000000001</v>
      </c>
      <c r="S166" s="573">
        <v>-117.57908400000001</v>
      </c>
      <c r="T166" s="573">
        <v>-451.82950699999998</v>
      </c>
      <c r="U166" s="573">
        <v>-584.90418599999998</v>
      </c>
      <c r="V166" s="573">
        <v>-601.0450013333334</v>
      </c>
      <c r="W166" s="573"/>
    </row>
    <row r="167" spans="1:23" x14ac:dyDescent="0.25">
      <c r="A167" s="1762">
        <v>4</v>
      </c>
      <c r="B167" s="857"/>
      <c r="C167" s="504" t="s">
        <v>1290</v>
      </c>
      <c r="D167" s="505"/>
      <c r="E167" s="505"/>
      <c r="F167" s="506"/>
      <c r="G167" s="575">
        <f t="shared" ref="G167:S167" si="46">SUM(G165:G166)</f>
        <v>430.00957300000005</v>
      </c>
      <c r="H167" s="575">
        <f t="shared" si="46"/>
        <v>422.69818599999996</v>
      </c>
      <c r="I167" s="575">
        <f t="shared" si="46"/>
        <v>420.76947899999993</v>
      </c>
      <c r="J167" s="575">
        <f t="shared" si="46"/>
        <v>417.08791200000002</v>
      </c>
      <c r="K167" s="575">
        <f t="shared" si="46"/>
        <v>422.650508</v>
      </c>
      <c r="L167" s="575">
        <f t="shared" si="46"/>
        <v>431.629391</v>
      </c>
      <c r="M167" s="575">
        <f t="shared" si="46"/>
        <v>461.40213999999997</v>
      </c>
      <c r="N167" s="575">
        <f t="shared" si="46"/>
        <v>499.02216800000002</v>
      </c>
      <c r="O167" s="575">
        <f t="shared" si="46"/>
        <v>541.26105799999993</v>
      </c>
      <c r="P167" s="575">
        <f t="shared" si="46"/>
        <v>546.66757499999994</v>
      </c>
      <c r="Q167" s="575">
        <f t="shared" si="46"/>
        <v>526.66695300000003</v>
      </c>
      <c r="R167" s="575">
        <f t="shared" si="46"/>
        <v>527.42625599999997</v>
      </c>
      <c r="S167" s="575">
        <f t="shared" si="46"/>
        <v>633.31449900000007</v>
      </c>
      <c r="T167" s="575">
        <f>SUM(T165:T166)</f>
        <v>698.16282799999999</v>
      </c>
      <c r="U167" s="575">
        <f t="shared" ref="U167:V167" si="47">SUM(U165:U166)</f>
        <v>682.89081499999998</v>
      </c>
      <c r="V167" s="575">
        <f t="shared" si="47"/>
        <v>645.23963733333335</v>
      </c>
      <c r="W167" s="772"/>
    </row>
    <row r="168" spans="1:23" s="783" customFormat="1" x14ac:dyDescent="0.25">
      <c r="A168" s="1762">
        <v>5</v>
      </c>
      <c r="B168" s="1092"/>
      <c r="C168" s="1093" t="s">
        <v>1291</v>
      </c>
      <c r="D168" s="1094"/>
      <c r="E168" s="1094"/>
      <c r="F168" s="1095"/>
      <c r="G168" s="1096">
        <v>-157.98861400000001</v>
      </c>
      <c r="H168" s="1096">
        <v>-77.555384000000004</v>
      </c>
      <c r="I168" s="1096">
        <v>-57.794445000000003</v>
      </c>
      <c r="J168" s="1096">
        <v>-32.418033000000001</v>
      </c>
      <c r="K168" s="1096">
        <v>-29.798745999999998</v>
      </c>
      <c r="L168" s="1096">
        <v>-37.138911</v>
      </c>
      <c r="M168" s="1096">
        <v>-48.096766000000002</v>
      </c>
      <c r="N168" s="1096">
        <v>-51.135244</v>
      </c>
      <c r="O168" s="1096">
        <v>-50.033506000000003</v>
      </c>
      <c r="P168" s="1096">
        <v>-55.101123000000001</v>
      </c>
      <c r="Q168" s="1096">
        <v>-132.259534</v>
      </c>
      <c r="R168" s="1096">
        <v>30.997741000000001</v>
      </c>
      <c r="S168" s="1096">
        <v>-51.629048000000004</v>
      </c>
      <c r="T168" s="1096">
        <v>-86.610377999999997</v>
      </c>
      <c r="U168" s="1096">
        <v>-89.905548999999993</v>
      </c>
      <c r="V168" s="1096">
        <v>-97.792246666666657</v>
      </c>
      <c r="W168" s="1722"/>
    </row>
    <row r="169" spans="1:23" s="2" customFormat="1" x14ac:dyDescent="0.25">
      <c r="A169" s="1762">
        <v>6</v>
      </c>
      <c r="B169" s="1087"/>
      <c r="C169" s="505" t="s">
        <v>1292</v>
      </c>
      <c r="D169" s="16"/>
      <c r="E169" s="16"/>
      <c r="F169" s="506"/>
      <c r="G169" s="1088">
        <v>235.66790799999998</v>
      </c>
      <c r="H169" s="1088">
        <v>230.13556</v>
      </c>
      <c r="I169" s="1088">
        <v>248.72286199999999</v>
      </c>
      <c r="J169" s="1088">
        <v>252.51885999999999</v>
      </c>
      <c r="K169" s="1088">
        <v>247.858114</v>
      </c>
      <c r="L169" s="1088">
        <v>253.317849</v>
      </c>
      <c r="M169" s="1088">
        <v>253.590948</v>
      </c>
      <c r="N169" s="1088">
        <v>255.18781799999999</v>
      </c>
      <c r="O169" s="1088">
        <v>266.08349499999997</v>
      </c>
      <c r="P169" s="1088">
        <v>264.37684999999999</v>
      </c>
      <c r="Q169" s="1088">
        <v>280.220823</v>
      </c>
      <c r="R169" s="1088">
        <v>300.41677899999996</v>
      </c>
      <c r="S169" s="1088">
        <v>290.84359699999999</v>
      </c>
      <c r="T169" s="1088">
        <v>305.396975</v>
      </c>
      <c r="U169" s="1088">
        <v>311.494237</v>
      </c>
      <c r="V169" s="1088">
        <v>337.7653626666667</v>
      </c>
      <c r="W169" s="1723"/>
    </row>
    <row r="170" spans="1:23" x14ac:dyDescent="0.25">
      <c r="A170" s="1762">
        <v>7</v>
      </c>
      <c r="B170" s="489"/>
      <c r="C170" s="489" t="s">
        <v>1293</v>
      </c>
      <c r="D170" s="492"/>
      <c r="E170" s="492"/>
      <c r="F170" s="499"/>
      <c r="G170" s="574">
        <v>25.550824000000002</v>
      </c>
      <c r="H170" s="574">
        <v>27.117740000000001</v>
      </c>
      <c r="I170" s="574">
        <v>28.765575999999999</v>
      </c>
      <c r="J170" s="574">
        <v>30.992281999999999</v>
      </c>
      <c r="K170" s="574">
        <v>32.515196000000003</v>
      </c>
      <c r="L170" s="574">
        <v>32.889212000000001</v>
      </c>
      <c r="M170" s="574">
        <v>33.405269999999994</v>
      </c>
      <c r="N170" s="574">
        <v>35.857201000000003</v>
      </c>
      <c r="O170" s="574">
        <v>37.511014000000003</v>
      </c>
      <c r="P170" s="574">
        <v>36.841186</v>
      </c>
      <c r="Q170" s="574">
        <v>38.539894999999994</v>
      </c>
      <c r="R170" s="574">
        <v>42.622706000000001</v>
      </c>
      <c r="S170" s="574">
        <v>41.249661000000003</v>
      </c>
      <c r="T170" s="574">
        <v>40.965923000000004</v>
      </c>
      <c r="U170" s="574">
        <v>44.768349999999998</v>
      </c>
      <c r="V170" s="574">
        <v>47.652726666666659</v>
      </c>
      <c r="W170" s="574"/>
    </row>
    <row r="171" spans="1:23" x14ac:dyDescent="0.25">
      <c r="A171" s="1762">
        <v>8</v>
      </c>
      <c r="B171" s="489"/>
      <c r="C171" s="489" t="s">
        <v>1294</v>
      </c>
      <c r="D171" s="492"/>
      <c r="E171" s="492"/>
      <c r="F171" s="499"/>
      <c r="G171" s="574">
        <v>36.209212000000001</v>
      </c>
      <c r="H171" s="574">
        <v>34.068798000000001</v>
      </c>
      <c r="I171" s="574">
        <v>33.786699999999996</v>
      </c>
      <c r="J171" s="574">
        <v>33.739093999999994</v>
      </c>
      <c r="K171" s="574">
        <v>34.084296000000002</v>
      </c>
      <c r="L171" s="574">
        <v>34.588182000000003</v>
      </c>
      <c r="M171" s="574">
        <v>35.71311</v>
      </c>
      <c r="N171" s="574">
        <v>36.095939000000001</v>
      </c>
      <c r="O171" s="574">
        <v>35.745201999999999</v>
      </c>
      <c r="P171" s="574">
        <v>35.500216999999999</v>
      </c>
      <c r="Q171" s="574">
        <v>32.197980000000001</v>
      </c>
      <c r="R171" s="574">
        <v>33.970730000000003</v>
      </c>
      <c r="S171" s="574">
        <v>33.081558999999999</v>
      </c>
      <c r="T171" s="574">
        <v>30.292306</v>
      </c>
      <c r="U171" s="574">
        <v>32.051164999999997</v>
      </c>
      <c r="V171" s="574">
        <v>34.803329333333338</v>
      </c>
      <c r="W171" s="574"/>
    </row>
    <row r="172" spans="1:23" x14ac:dyDescent="0.25">
      <c r="A172" s="1762">
        <v>9</v>
      </c>
      <c r="B172" s="489"/>
      <c r="C172" s="489" t="s">
        <v>1295</v>
      </c>
      <c r="D172" s="492"/>
      <c r="E172" s="492"/>
      <c r="F172" s="499"/>
      <c r="G172" s="574">
        <v>23.539100999999999</v>
      </c>
      <c r="H172" s="574">
        <v>25.647991999999999</v>
      </c>
      <c r="I172" s="574">
        <v>18.409504999999999</v>
      </c>
      <c r="J172" s="574">
        <v>22.140823000000001</v>
      </c>
      <c r="K172" s="574">
        <v>22.705483000000001</v>
      </c>
      <c r="L172" s="574">
        <v>22.792060000000003</v>
      </c>
      <c r="M172" s="574">
        <v>25.155018999999999</v>
      </c>
      <c r="N172" s="574">
        <v>27.820686000000002</v>
      </c>
      <c r="O172" s="574">
        <v>26.619171999999999</v>
      </c>
      <c r="P172" s="574">
        <v>33.259572999999996</v>
      </c>
      <c r="Q172" s="574">
        <v>34.706483999999996</v>
      </c>
      <c r="R172" s="574">
        <v>33.451644000000002</v>
      </c>
      <c r="S172" s="574">
        <v>43.716301000000001</v>
      </c>
      <c r="T172" s="574">
        <v>56.492578000000002</v>
      </c>
      <c r="U172" s="574">
        <v>63.628441000000009</v>
      </c>
      <c r="V172" s="574">
        <v>67.031650666666664</v>
      </c>
      <c r="W172" s="574"/>
    </row>
    <row r="173" spans="1:23" x14ac:dyDescent="0.25">
      <c r="A173" s="1762">
        <v>10</v>
      </c>
      <c r="B173" s="489"/>
      <c r="C173" s="489" t="s">
        <v>3368</v>
      </c>
      <c r="D173" s="492"/>
      <c r="E173" s="492"/>
      <c r="F173" s="499"/>
      <c r="G173" s="574">
        <v>9.507695</v>
      </c>
      <c r="H173" s="574">
        <v>9.0496160000000003</v>
      </c>
      <c r="I173" s="574">
        <v>9.1315159999999995</v>
      </c>
      <c r="J173" s="574">
        <v>9.9429470000000002</v>
      </c>
      <c r="K173" s="574">
        <v>10.426978999999999</v>
      </c>
      <c r="L173" s="574">
        <v>9.7242450000000016</v>
      </c>
      <c r="M173" s="574">
        <v>10.932409999999999</v>
      </c>
      <c r="N173" s="574">
        <v>12.056786000000001</v>
      </c>
      <c r="O173" s="574">
        <v>10.920133</v>
      </c>
      <c r="P173" s="574">
        <v>10.710214000000001</v>
      </c>
      <c r="Q173" s="574">
        <v>10.991279</v>
      </c>
      <c r="R173" s="574">
        <v>15.227771000000001</v>
      </c>
      <c r="S173" s="574">
        <v>13.154736999999999</v>
      </c>
      <c r="T173" s="574">
        <v>11.606116999999999</v>
      </c>
      <c r="U173" s="574">
        <v>14.191625999999998</v>
      </c>
      <c r="V173" s="574">
        <v>15.239875999999999</v>
      </c>
      <c r="W173" s="574"/>
    </row>
    <row r="174" spans="1:23" x14ac:dyDescent="0.25">
      <c r="A174" s="1762">
        <v>11</v>
      </c>
      <c r="B174" s="489"/>
      <c r="C174" s="489" t="s">
        <v>3372</v>
      </c>
      <c r="D174" s="492"/>
      <c r="E174" s="492"/>
      <c r="F174" s="499"/>
      <c r="G174" s="574">
        <v>0.10180800000000001</v>
      </c>
      <c r="H174" s="574">
        <v>6.5486000000000003E-2</v>
      </c>
      <c r="I174" s="574">
        <v>6.5675999999999998E-2</v>
      </c>
      <c r="J174" s="574">
        <v>1.7940000000000001E-2</v>
      </c>
      <c r="K174" s="574">
        <v>5.9771999999999999E-2</v>
      </c>
      <c r="L174" s="574">
        <v>8.3614000000000008E-2</v>
      </c>
      <c r="M174" s="574">
        <v>0.117381</v>
      </c>
      <c r="N174" s="574">
        <v>-1.593E-3</v>
      </c>
      <c r="O174" s="574">
        <v>5.9823999999999995E-2</v>
      </c>
      <c r="P174" s="574">
        <v>9.6742000000000009E-2</v>
      </c>
      <c r="Q174" s="574">
        <v>0.17444999999999999</v>
      </c>
      <c r="R174" s="574">
        <v>0.23017599999999999</v>
      </c>
      <c r="S174" s="574">
        <v>8.7972999999999996E-2</v>
      </c>
      <c r="T174" s="574">
        <v>3.8162000000000001E-2</v>
      </c>
      <c r="U174" s="574">
        <v>9.2929999999999999E-2</v>
      </c>
      <c r="V174" s="574">
        <v>0.12710933333333335</v>
      </c>
      <c r="W174" s="574"/>
    </row>
    <row r="175" spans="1:23" x14ac:dyDescent="0.25">
      <c r="A175" s="1762">
        <v>12</v>
      </c>
      <c r="B175" s="489"/>
      <c r="C175" s="489" t="s">
        <v>3373</v>
      </c>
      <c r="D175" s="492"/>
      <c r="E175" s="492"/>
      <c r="F175" s="499"/>
      <c r="G175" s="574">
        <v>16.496247</v>
      </c>
      <c r="H175" s="574">
        <v>7.2233320000000001</v>
      </c>
      <c r="I175" s="574">
        <v>11.338291</v>
      </c>
      <c r="J175" s="574">
        <v>17.848903</v>
      </c>
      <c r="K175" s="574">
        <v>8.9818529999999992</v>
      </c>
      <c r="L175" s="574">
        <v>10.488386</v>
      </c>
      <c r="M175" s="574">
        <v>9.507007999999999</v>
      </c>
      <c r="N175" s="574">
        <v>9.4686170000000001</v>
      </c>
      <c r="O175" s="574">
        <v>10.527495</v>
      </c>
      <c r="P175" s="574">
        <v>3.5943449999999997</v>
      </c>
      <c r="Q175" s="574">
        <v>0.37382499999999996</v>
      </c>
      <c r="R175" s="574">
        <v>6.9974069999999999</v>
      </c>
      <c r="S175" s="574">
        <v>12.567952</v>
      </c>
      <c r="T175" s="574">
        <v>8.074166</v>
      </c>
      <c r="U175" s="574">
        <v>8.9306630000000009</v>
      </c>
      <c r="V175" s="574">
        <v>7.9553440000000002</v>
      </c>
      <c r="W175" s="574"/>
    </row>
    <row r="176" spans="1:23" x14ac:dyDescent="0.25">
      <c r="A176" s="1762">
        <v>13</v>
      </c>
      <c r="B176" s="489"/>
      <c r="C176" s="489" t="s">
        <v>3369</v>
      </c>
      <c r="D176" s="492"/>
      <c r="E176" s="492"/>
      <c r="F176" s="499"/>
      <c r="G176" s="574">
        <v>0.482906</v>
      </c>
      <c r="H176" s="574">
        <v>0.65220699999999998</v>
      </c>
      <c r="I176" s="574">
        <v>1.461851</v>
      </c>
      <c r="J176" s="574">
        <v>1.394774</v>
      </c>
      <c r="K176" s="574">
        <v>1.313426</v>
      </c>
      <c r="L176" s="574">
        <v>1.220928</v>
      </c>
      <c r="M176" s="574">
        <v>0.89876900000000004</v>
      </c>
      <c r="N176" s="574">
        <v>1.3620380000000001</v>
      </c>
      <c r="O176" s="574">
        <v>0.229652</v>
      </c>
      <c r="P176" s="574">
        <v>0.35008300000000003</v>
      </c>
      <c r="Q176" s="574">
        <v>0.24523</v>
      </c>
      <c r="R176" s="574">
        <v>0.50756599999999996</v>
      </c>
      <c r="S176" s="574">
        <v>1.5752000000000002E-2</v>
      </c>
      <c r="T176" s="574">
        <v>0.17024899999999998</v>
      </c>
      <c r="U176" s="574">
        <v>0.19416600000000003</v>
      </c>
      <c r="V176" s="574">
        <v>0.649424</v>
      </c>
      <c r="W176" s="574"/>
    </row>
    <row r="177" spans="1:24" x14ac:dyDescent="0.25">
      <c r="A177" s="1762">
        <v>14</v>
      </c>
      <c r="B177" s="489"/>
      <c r="C177" s="489" t="s">
        <v>3370</v>
      </c>
      <c r="D177" s="492"/>
      <c r="E177" s="492"/>
      <c r="F177" s="499"/>
      <c r="G177" s="574">
        <v>3.7824759999999999</v>
      </c>
      <c r="H177" s="574">
        <v>4.3185649999999995</v>
      </c>
      <c r="I177" s="574">
        <v>3.805879</v>
      </c>
      <c r="J177" s="574">
        <v>4.2417499999999997</v>
      </c>
      <c r="K177" s="574">
        <v>3.9924620000000002</v>
      </c>
      <c r="L177" s="574">
        <v>4.2495249999999993</v>
      </c>
      <c r="M177" s="574">
        <v>4.4217969999999998</v>
      </c>
      <c r="N177" s="574">
        <v>4.532737</v>
      </c>
      <c r="O177" s="574">
        <v>4.5734669999999999</v>
      </c>
      <c r="P177" s="574">
        <v>4.7358560000000001</v>
      </c>
      <c r="Q177" s="574">
        <v>4.6998519999999999</v>
      </c>
      <c r="R177" s="574">
        <v>5.1459610000000007</v>
      </c>
      <c r="S177" s="574">
        <v>5.6222070000000004</v>
      </c>
      <c r="T177" s="574">
        <v>5.7320929999999999</v>
      </c>
      <c r="U177" s="574">
        <v>2.4600529999999998</v>
      </c>
      <c r="V177" s="574">
        <v>2.4916853333333333</v>
      </c>
      <c r="W177" s="574"/>
    </row>
    <row r="178" spans="1:24" x14ac:dyDescent="0.25">
      <c r="A178" s="1762">
        <v>15</v>
      </c>
      <c r="B178" s="1089"/>
      <c r="C178" s="1089" t="s">
        <v>3371</v>
      </c>
      <c r="D178" s="1090"/>
      <c r="E178" s="1090"/>
      <c r="F178" s="708"/>
      <c r="G178" s="1091">
        <v>107.988043</v>
      </c>
      <c r="H178" s="1091">
        <v>110.675251</v>
      </c>
      <c r="I178" s="1091">
        <v>141.95786799999999</v>
      </c>
      <c r="J178" s="1091">
        <v>132.20034700000002</v>
      </c>
      <c r="K178" s="1091">
        <v>133.77864700000001</v>
      </c>
      <c r="L178" s="1091">
        <v>137.28169699999998</v>
      </c>
      <c r="M178" s="1091">
        <v>133.44018400000002</v>
      </c>
      <c r="N178" s="1091">
        <v>127.995407</v>
      </c>
      <c r="O178" s="1091">
        <v>139.897536</v>
      </c>
      <c r="P178" s="1091">
        <v>139.288634</v>
      </c>
      <c r="Q178" s="1091">
        <v>158.29182799999998</v>
      </c>
      <c r="R178" s="1091">
        <v>162.26281800000001</v>
      </c>
      <c r="S178" s="1091">
        <v>141.347455</v>
      </c>
      <c r="T178" s="1091">
        <v>152.02538099999998</v>
      </c>
      <c r="U178" s="1091">
        <v>136.81024299999999</v>
      </c>
      <c r="V178" s="1091">
        <v>151.78741733333331</v>
      </c>
      <c r="W178" s="574"/>
    </row>
    <row r="179" spans="1:24" s="2" customFormat="1" x14ac:dyDescent="0.25">
      <c r="A179" s="1762">
        <v>16</v>
      </c>
      <c r="B179" s="1087"/>
      <c r="C179" s="505" t="s">
        <v>1296</v>
      </c>
      <c r="D179" s="16"/>
      <c r="E179" s="16"/>
      <c r="F179" s="506"/>
      <c r="G179" s="1088">
        <v>-391.81149399999998</v>
      </c>
      <c r="H179" s="1088">
        <v>-411.78582900000004</v>
      </c>
      <c r="I179" s="1088">
        <v>-421.21883700000001</v>
      </c>
      <c r="J179" s="1088">
        <v>-416.75010800000001</v>
      </c>
      <c r="K179" s="1088">
        <v>-422.80585300000001</v>
      </c>
      <c r="L179" s="1088">
        <v>-416.937792</v>
      </c>
      <c r="M179" s="1088">
        <v>-423.62618900000001</v>
      </c>
      <c r="N179" s="1088">
        <v>-442.873807</v>
      </c>
      <c r="O179" s="1088">
        <v>-459.31667800000002</v>
      </c>
      <c r="P179" s="1088">
        <v>-466.14507400000002</v>
      </c>
      <c r="Q179" s="1088">
        <v>-498.96256199999999</v>
      </c>
      <c r="R179" s="1088">
        <v>-510.15765399999998</v>
      </c>
      <c r="S179" s="1088">
        <v>-538.05618200000004</v>
      </c>
      <c r="T179" s="1088">
        <v>-592.72556499999996</v>
      </c>
      <c r="U179" s="1088">
        <v>-568.42490300000009</v>
      </c>
      <c r="V179" s="1088">
        <v>-512.1329453333334</v>
      </c>
      <c r="W179" s="1723"/>
    </row>
    <row r="180" spans="1:24" x14ac:dyDescent="0.25">
      <c r="A180" s="1762">
        <v>17</v>
      </c>
      <c r="B180" s="489"/>
      <c r="C180" s="489" t="s">
        <v>1297</v>
      </c>
      <c r="D180" s="492"/>
      <c r="E180" s="492"/>
      <c r="F180" s="499"/>
      <c r="G180" s="574">
        <v>-169.05554999999998</v>
      </c>
      <c r="H180" s="574">
        <v>-177.00381899999999</v>
      </c>
      <c r="I180" s="574">
        <v>-185.40467200000001</v>
      </c>
      <c r="J180" s="574">
        <v>-187.68934400000001</v>
      </c>
      <c r="K180" s="574">
        <v>-189.67321200000001</v>
      </c>
      <c r="L180" s="574">
        <v>-192.91315</v>
      </c>
      <c r="M180" s="574">
        <v>-199.22263899999999</v>
      </c>
      <c r="N180" s="574">
        <v>-209.416505</v>
      </c>
      <c r="O180" s="574">
        <v>-217.65504000000001</v>
      </c>
      <c r="P180" s="574">
        <v>-223.58779999999999</v>
      </c>
      <c r="Q180" s="574">
        <v>-237.79831099999998</v>
      </c>
      <c r="R180" s="574">
        <v>-252.30505199999999</v>
      </c>
      <c r="S180" s="574">
        <v>-261.146929</v>
      </c>
      <c r="T180" s="574">
        <v>-274.82171099999999</v>
      </c>
      <c r="U180" s="574">
        <v>-280.161811</v>
      </c>
      <c r="V180" s="574">
        <v>-292.98992000000004</v>
      </c>
      <c r="W180" s="574"/>
    </row>
    <row r="181" spans="1:24" x14ac:dyDescent="0.25">
      <c r="A181" s="1762">
        <v>18</v>
      </c>
      <c r="B181" s="489"/>
      <c r="C181" s="489" t="s">
        <v>1298</v>
      </c>
      <c r="D181" s="492"/>
      <c r="E181" s="492"/>
      <c r="F181" s="499"/>
      <c r="G181" s="574">
        <v>-44.608044</v>
      </c>
      <c r="H181" s="574">
        <v>-44.848930000000003</v>
      </c>
      <c r="I181" s="574">
        <v>-44.218941000000001</v>
      </c>
      <c r="J181" s="574">
        <v>-43.870928999999997</v>
      </c>
      <c r="K181" s="574">
        <v>-44.760858999999996</v>
      </c>
      <c r="L181" s="574">
        <v>-44.970082999999995</v>
      </c>
      <c r="M181" s="574">
        <v>-45.182718999999999</v>
      </c>
      <c r="N181" s="574">
        <v>-44.333531999999998</v>
      </c>
      <c r="O181" s="574">
        <v>-44.546703999999998</v>
      </c>
      <c r="P181" s="574">
        <v>-45.722574999999999</v>
      </c>
      <c r="Q181" s="574">
        <v>-48.324455</v>
      </c>
      <c r="R181" s="574">
        <v>-48.040593999999999</v>
      </c>
      <c r="S181" s="574">
        <v>-47.738174000000001</v>
      </c>
      <c r="T181" s="574">
        <v>-48.538232999999998</v>
      </c>
      <c r="U181" s="574">
        <f>-49.984723</f>
        <v>-49.984723000000002</v>
      </c>
      <c r="V181" s="574">
        <v>-51.443344000000003</v>
      </c>
      <c r="W181" s="574"/>
    </row>
    <row r="182" spans="1:24" x14ac:dyDescent="0.25">
      <c r="A182" s="1762">
        <v>19</v>
      </c>
      <c r="B182" s="489"/>
      <c r="C182" s="489" t="s">
        <v>3359</v>
      </c>
      <c r="D182" s="492"/>
      <c r="E182" s="492"/>
      <c r="F182" s="499"/>
      <c r="G182" s="574">
        <v>-166.93198800000002</v>
      </c>
      <c r="H182" s="574">
        <v>-178.86949200000001</v>
      </c>
      <c r="I182" s="574">
        <v>-183.47843599999999</v>
      </c>
      <c r="J182" s="574">
        <v>-173.277264</v>
      </c>
      <c r="K182" s="574">
        <v>-180.701155</v>
      </c>
      <c r="L182" s="574">
        <v>-172.41404299999999</v>
      </c>
      <c r="M182" s="574">
        <v>-173.094978</v>
      </c>
      <c r="N182" s="574">
        <v>-183.63147800000002</v>
      </c>
      <c r="O182" s="574">
        <v>-192.16456099999999</v>
      </c>
      <c r="P182" s="574">
        <v>-190.428359</v>
      </c>
      <c r="Q182" s="574">
        <v>-196.698564</v>
      </c>
      <c r="R182" s="574">
        <v>-205.87812400000001</v>
      </c>
      <c r="S182" s="574">
        <v>-224.82372800000002</v>
      </c>
      <c r="T182" s="574">
        <v>-253.415989</v>
      </c>
      <c r="U182" s="2108">
        <f>-248.923175+4.10017199999999</f>
        <v>-244.823003</v>
      </c>
      <c r="V182" s="2108">
        <f>-250.471150666667+80.2020626666666</f>
        <v>-170.26908800000041</v>
      </c>
      <c r="W182" s="574"/>
      <c r="X182" s="65" t="s">
        <v>3437</v>
      </c>
    </row>
    <row r="183" spans="1:24" x14ac:dyDescent="0.25">
      <c r="A183" s="1762">
        <v>20</v>
      </c>
      <c r="B183" s="489"/>
      <c r="C183" s="489" t="s">
        <v>3361</v>
      </c>
      <c r="D183" s="492"/>
      <c r="E183" s="492"/>
      <c r="F183" s="499"/>
      <c r="G183" s="574">
        <v>-11.215911999999999</v>
      </c>
      <c r="H183" s="574">
        <v>-11.063587</v>
      </c>
      <c r="I183" s="574">
        <v>-8.1167879999999997</v>
      </c>
      <c r="J183" s="574">
        <v>-11.912570000000001</v>
      </c>
      <c r="K183" s="574">
        <v>-7.6706270000000005</v>
      </c>
      <c r="L183" s="574">
        <v>-6.6405159999999999</v>
      </c>
      <c r="M183" s="574">
        <v>-6.1258530000000002</v>
      </c>
      <c r="N183" s="574">
        <v>-5.492292</v>
      </c>
      <c r="O183" s="574">
        <v>-4.9503729999999999</v>
      </c>
      <c r="P183" s="574">
        <v>-6.4063400000000001</v>
      </c>
      <c r="Q183" s="574">
        <v>-16.141231999999999</v>
      </c>
      <c r="R183" s="574">
        <v>-3.9338839999999999</v>
      </c>
      <c r="S183" s="574">
        <v>-4.3473509999999997</v>
      </c>
      <c r="T183" s="574">
        <v>-15.949631999999999</v>
      </c>
      <c r="U183" s="574">
        <v>-5.8344769999999997</v>
      </c>
      <c r="V183" s="574">
        <v>-6.1405866666666666</v>
      </c>
      <c r="W183" s="574"/>
    </row>
    <row r="184" spans="1:24" s="2" customFormat="1" x14ac:dyDescent="0.25">
      <c r="A184" s="1762">
        <v>21</v>
      </c>
      <c r="B184" s="1087"/>
      <c r="C184" s="505" t="s">
        <v>1299</v>
      </c>
      <c r="D184" s="16"/>
      <c r="E184" s="16"/>
      <c r="F184" s="506"/>
      <c r="G184" s="1088">
        <v>9.1228979999999993</v>
      </c>
      <c r="H184" s="1088">
        <v>5.5104480000000002</v>
      </c>
      <c r="I184" s="1088">
        <v>9.6799410000000012</v>
      </c>
      <c r="J184" s="1088">
        <v>4.4732950000000002</v>
      </c>
      <c r="K184" s="1088">
        <v>3.2024789999999999</v>
      </c>
      <c r="L184" s="1088">
        <v>3.6352130000000002</v>
      </c>
      <c r="M184" s="1088">
        <v>3.7864469999999999</v>
      </c>
      <c r="N184" s="1088">
        <v>2.1286329999999998</v>
      </c>
      <c r="O184" s="1088">
        <v>0.32796600000000004</v>
      </c>
      <c r="P184" s="1088">
        <v>3.9772859999999999</v>
      </c>
      <c r="Q184" s="1088">
        <v>8.1425269999999994</v>
      </c>
      <c r="R184" s="1088">
        <v>3.009852</v>
      </c>
      <c r="S184" s="1088">
        <v>-3.9034319999999996</v>
      </c>
      <c r="T184" s="1088">
        <v>-11.493725</v>
      </c>
      <c r="U184" s="1088">
        <v>6.1895550000000004</v>
      </c>
      <c r="V184" s="1088">
        <v>4.3549946666666663</v>
      </c>
      <c r="W184" s="1723"/>
    </row>
    <row r="185" spans="1:24" s="999" customFormat="1" ht="22.5" customHeight="1" x14ac:dyDescent="0.25">
      <c r="A185" s="1762">
        <v>22</v>
      </c>
      <c r="B185" s="516"/>
      <c r="C185" s="516" t="s">
        <v>3360</v>
      </c>
      <c r="D185" s="517"/>
      <c r="E185" s="517"/>
      <c r="F185" s="518"/>
      <c r="G185" s="578">
        <v>125.000271</v>
      </c>
      <c r="H185" s="578">
        <v>169.002982</v>
      </c>
      <c r="I185" s="578">
        <v>200.15899999999999</v>
      </c>
      <c r="J185" s="578">
        <v>224.91192599999999</v>
      </c>
      <c r="K185" s="578">
        <v>221.10650200000001</v>
      </c>
      <c r="L185" s="578">
        <v>234.50575000000001</v>
      </c>
      <c r="M185" s="578">
        <v>247.05658099999999</v>
      </c>
      <c r="N185" s="578">
        <v>262.32956800000005</v>
      </c>
      <c r="O185" s="578">
        <v>298.322337</v>
      </c>
      <c r="P185" s="578">
        <v>293.77551400000004</v>
      </c>
      <c r="Q185" s="578">
        <v>183.80820800000001</v>
      </c>
      <c r="R185" s="578">
        <v>351.69297499999999</v>
      </c>
      <c r="S185" s="578">
        <v>330.569434</v>
      </c>
      <c r="T185" s="578">
        <v>312.73013400000002</v>
      </c>
      <c r="U185" s="578">
        <v>329.86504400000001</v>
      </c>
      <c r="V185" s="578">
        <v>368.72480933333333</v>
      </c>
      <c r="W185" s="1719"/>
    </row>
    <row r="186" spans="1:24" x14ac:dyDescent="0.25">
      <c r="A186" s="1762">
        <v>23</v>
      </c>
      <c r="B186" s="489"/>
      <c r="C186" s="1" t="s">
        <v>1300</v>
      </c>
      <c r="D186" s="492"/>
      <c r="E186" s="492"/>
      <c r="F186" s="499"/>
      <c r="G186" s="574">
        <v>-38.411425000000001</v>
      </c>
      <c r="H186" s="574">
        <v>-50.691989999999997</v>
      </c>
      <c r="I186" s="574">
        <v>-58.323566</v>
      </c>
      <c r="J186" s="574">
        <v>-70.027222999999992</v>
      </c>
      <c r="K186" s="574">
        <v>-68.173803000000007</v>
      </c>
      <c r="L186" s="574">
        <v>-70.569873999999999</v>
      </c>
      <c r="M186" s="574">
        <v>-75.884488000000005</v>
      </c>
      <c r="N186" s="574">
        <v>-97.814974000000007</v>
      </c>
      <c r="O186" s="574">
        <v>-61.002480000000006</v>
      </c>
      <c r="P186" s="574">
        <v>-60.926404999999995</v>
      </c>
      <c r="Q186" s="574">
        <v>-36.339601000000002</v>
      </c>
      <c r="R186" s="574">
        <v>-72.408598999999995</v>
      </c>
      <c r="S186" s="574">
        <v>-67.317034000000007</v>
      </c>
      <c r="T186" s="574">
        <v>-59.052087</v>
      </c>
      <c r="U186" s="574">
        <v>-66.364909000000011</v>
      </c>
      <c r="V186" s="574">
        <v>-75.396030666666675</v>
      </c>
      <c r="W186" s="574"/>
    </row>
    <row r="187" spans="1:24" x14ac:dyDescent="0.25">
      <c r="A187" s="1762">
        <v>24</v>
      </c>
      <c r="B187" s="489"/>
      <c r="C187" s="489" t="s">
        <v>3362</v>
      </c>
      <c r="D187" s="492"/>
      <c r="E187" s="492"/>
      <c r="F187" s="499"/>
      <c r="G187" s="574">
        <v>-0.44972300000000004</v>
      </c>
      <c r="H187" s="574">
        <v>0.926423</v>
      </c>
      <c r="I187" s="574">
        <v>-0.18304200000000001</v>
      </c>
      <c r="J187" s="574">
        <v>0.21220800000000001</v>
      </c>
      <c r="K187" s="574">
        <v>-5.5405000000000003E-2</v>
      </c>
      <c r="L187" s="574">
        <v>-1.1207E-2</v>
      </c>
      <c r="M187" s="574">
        <v>-0.32256799999999997</v>
      </c>
      <c r="N187" s="574">
        <v>-8.7287000000000003E-2</v>
      </c>
      <c r="O187" s="574">
        <v>-0.267457</v>
      </c>
      <c r="P187" s="574">
        <v>0.16395599999999999</v>
      </c>
      <c r="Q187" s="574">
        <v>-0.10109</v>
      </c>
      <c r="R187" s="574">
        <v>4.7247999999999998E-2</v>
      </c>
      <c r="S187" s="574">
        <v>-0.23257</v>
      </c>
      <c r="T187" s="574">
        <v>0.87174300000000005</v>
      </c>
      <c r="U187" s="574">
        <v>5.0923609999999995</v>
      </c>
      <c r="V187" s="574">
        <v>-8.2546666666666654E-3</v>
      </c>
      <c r="W187" s="574"/>
    </row>
    <row r="188" spans="1:24" s="999" customFormat="1" ht="22.5" customHeight="1" x14ac:dyDescent="0.25">
      <c r="A188" s="1762">
        <v>25</v>
      </c>
      <c r="B188" s="516"/>
      <c r="C188" s="516" t="s">
        <v>3365</v>
      </c>
      <c r="D188" s="517"/>
      <c r="E188" s="517"/>
      <c r="F188" s="518"/>
      <c r="G188" s="578">
        <v>86.139123000000012</v>
      </c>
      <c r="H188" s="578">
        <v>119.237415</v>
      </c>
      <c r="I188" s="578">
        <v>141.65239300000002</v>
      </c>
      <c r="J188" s="578">
        <v>155.096912</v>
      </c>
      <c r="K188" s="578">
        <v>152.87729400000001</v>
      </c>
      <c r="L188" s="578">
        <v>163.92466899999999</v>
      </c>
      <c r="M188" s="578">
        <v>170.849525</v>
      </c>
      <c r="N188" s="578">
        <v>164.42730700000001</v>
      </c>
      <c r="O188" s="578">
        <v>237.05240000000001</v>
      </c>
      <c r="P188" s="578">
        <v>233.01306500000001</v>
      </c>
      <c r="Q188" s="578">
        <v>147.36751699999999</v>
      </c>
      <c r="R188" s="578">
        <v>279.33162400000003</v>
      </c>
      <c r="S188" s="578">
        <v>263.01983000000001</v>
      </c>
      <c r="T188" s="578">
        <v>254.54979</v>
      </c>
      <c r="U188" s="578">
        <v>268.59249599999998</v>
      </c>
      <c r="V188" s="578">
        <v>293.32052399999998</v>
      </c>
      <c r="W188" s="1719"/>
    </row>
    <row r="189" spans="1:24" x14ac:dyDescent="0.25">
      <c r="A189" s="1762">
        <v>26</v>
      </c>
      <c r="B189" s="1740"/>
      <c r="C189" s="1740" t="s">
        <v>3363</v>
      </c>
      <c r="D189" s="1741"/>
      <c r="E189" s="1741"/>
      <c r="F189" s="1742"/>
      <c r="G189" s="1743">
        <v>85.486238999999998</v>
      </c>
      <c r="H189" s="1743">
        <v>118.412322</v>
      </c>
      <c r="I189" s="1743">
        <v>141.04217499999999</v>
      </c>
      <c r="J189" s="1743">
        <v>154.31210400000001</v>
      </c>
      <c r="K189" s="1743">
        <v>152.24717999999999</v>
      </c>
      <c r="L189" s="1743">
        <v>163.438625</v>
      </c>
      <c r="M189" s="1743">
        <v>170.509019</v>
      </c>
      <c r="N189" s="1743">
        <v>164.091498</v>
      </c>
      <c r="O189" s="1743">
        <v>236.764847</v>
      </c>
      <c r="P189" s="1743">
        <v>232.77706000000001</v>
      </c>
      <c r="Q189" s="1743">
        <v>147.13093700000002</v>
      </c>
      <c r="R189" s="1743">
        <v>279.12908299999998</v>
      </c>
      <c r="S189" s="1743">
        <v>262.76286499999998</v>
      </c>
      <c r="T189" s="1743">
        <v>254.13919899999999</v>
      </c>
      <c r="U189" s="1743">
        <v>268.18802900000003</v>
      </c>
      <c r="V189" s="1743">
        <v>292.98268133333329</v>
      </c>
      <c r="W189" s="574"/>
    </row>
    <row r="190" spans="1:24" x14ac:dyDescent="0.25">
      <c r="A190" s="1762">
        <v>27</v>
      </c>
      <c r="B190" s="1737"/>
      <c r="C190" s="1737" t="s">
        <v>3364</v>
      </c>
      <c r="D190" s="1738"/>
      <c r="E190" s="1738"/>
      <c r="F190" s="1739"/>
      <c r="G190" s="1724">
        <v>0.65288400000000002</v>
      </c>
      <c r="H190" s="1724">
        <v>0.82509299999999997</v>
      </c>
      <c r="I190" s="1724">
        <v>0.61021799999999993</v>
      </c>
      <c r="J190" s="1724">
        <v>0.78480799999999995</v>
      </c>
      <c r="K190" s="1724">
        <v>0.63011400000000006</v>
      </c>
      <c r="L190" s="1724">
        <v>0.48604399999999998</v>
      </c>
      <c r="M190" s="1724">
        <v>0.34050599999999998</v>
      </c>
      <c r="N190" s="1724">
        <v>0.33580900000000002</v>
      </c>
      <c r="O190" s="1724">
        <v>0.287553</v>
      </c>
      <c r="P190" s="1724">
        <v>0.23600499999999999</v>
      </c>
      <c r="Q190" s="1724">
        <v>0.23658000000000001</v>
      </c>
      <c r="R190" s="1724">
        <v>0.202541</v>
      </c>
      <c r="S190" s="1724">
        <v>0.256965</v>
      </c>
      <c r="T190" s="1724">
        <v>0.41059099999999998</v>
      </c>
      <c r="U190" s="1724">
        <v>0.40446700000000002</v>
      </c>
      <c r="V190" s="1724">
        <v>0.33784266666666668</v>
      </c>
      <c r="W190" s="1724"/>
    </row>
    <row r="191" spans="1:24" x14ac:dyDescent="0.25">
      <c r="A191" s="1762">
        <v>28</v>
      </c>
      <c r="B191" s="1744"/>
      <c r="C191" s="1744" t="s">
        <v>1301</v>
      </c>
      <c r="D191" s="1745"/>
      <c r="E191" s="1745"/>
      <c r="F191" s="604"/>
      <c r="G191" s="1746">
        <v>-187.63610200000002</v>
      </c>
      <c r="H191" s="1746">
        <v>-113.291735</v>
      </c>
      <c r="I191" s="1746">
        <v>-82.210170000000005</v>
      </c>
      <c r="J191" s="1746">
        <v>-53.541919999999998</v>
      </c>
      <c r="K191" s="1746">
        <v>-39.557425000000002</v>
      </c>
      <c r="L191" s="1746">
        <v>-37.282640000000001</v>
      </c>
      <c r="M191" s="1746">
        <v>-42.420817999999997</v>
      </c>
      <c r="N191" s="1746">
        <v>-46.807577999999999</v>
      </c>
      <c r="O191" s="1746">
        <v>-47.504212000000003</v>
      </c>
      <c r="P191" s="1746">
        <v>-52.164319999999996</v>
      </c>
      <c r="Q191" s="1746">
        <v>-54.113038000000003</v>
      </c>
      <c r="R191" s="1746">
        <v>-27.358566</v>
      </c>
      <c r="S191" s="1746">
        <v>-31.456083</v>
      </c>
      <c r="T191" s="1746">
        <v>-63.023002999999996</v>
      </c>
      <c r="U191" s="1746">
        <v>-84.846747000000008</v>
      </c>
      <c r="V191" s="1746">
        <v>-81.040410666666673</v>
      </c>
      <c r="W191" s="574"/>
    </row>
    <row r="192" spans="1:24" x14ac:dyDescent="0.25">
      <c r="A192" s="1762">
        <v>29</v>
      </c>
      <c r="B192" s="489"/>
      <c r="C192" s="489" t="s">
        <v>1302</v>
      </c>
      <c r="D192" s="492"/>
      <c r="E192" s="492"/>
      <c r="F192" s="499"/>
      <c r="G192" s="574">
        <v>53.903728999999998</v>
      </c>
      <c r="H192" s="574">
        <v>77.938459000000009</v>
      </c>
      <c r="I192" s="574">
        <v>96.411563999999998</v>
      </c>
      <c r="J192" s="574">
        <v>92.169209000000009</v>
      </c>
      <c r="K192" s="574">
        <v>90.195555999999996</v>
      </c>
      <c r="L192" s="574">
        <v>104.529185</v>
      </c>
      <c r="M192" s="574">
        <v>102.761353</v>
      </c>
      <c r="N192" s="574">
        <v>121.41328999999999</v>
      </c>
      <c r="O192" s="574">
        <v>164.80179199999998</v>
      </c>
      <c r="P192" s="574">
        <v>182.42573899999999</v>
      </c>
      <c r="Q192" s="574">
        <v>84.071218999999999</v>
      </c>
      <c r="R192" s="574">
        <v>156.17656400000001</v>
      </c>
      <c r="S192" s="574">
        <v>152.36760999999998</v>
      </c>
      <c r="T192" s="574">
        <v>213.11966899999999</v>
      </c>
      <c r="U192" s="574">
        <v>179.50653400000002</v>
      </c>
      <c r="V192" s="574">
        <v>211.72873866666666</v>
      </c>
      <c r="W192" s="574"/>
    </row>
    <row r="193" spans="1:23" x14ac:dyDescent="0.25">
      <c r="A193" s="1762">
        <v>30</v>
      </c>
      <c r="B193" s="489"/>
      <c r="C193" s="489" t="s">
        <v>3366</v>
      </c>
      <c r="D193" s="492"/>
      <c r="E193" s="492"/>
      <c r="F193" s="499"/>
      <c r="G193" s="574">
        <v>31.582509999999999</v>
      </c>
      <c r="H193" s="574">
        <v>40.473862999999994</v>
      </c>
      <c r="I193" s="574">
        <v>44.630610999999995</v>
      </c>
      <c r="J193" s="574">
        <v>62.142894999999996</v>
      </c>
      <c r="K193" s="574">
        <v>62.051624000000004</v>
      </c>
      <c r="L193" s="574">
        <v>58.909440000000004</v>
      </c>
      <c r="M193" s="574">
        <v>67.747665999999995</v>
      </c>
      <c r="N193" s="574">
        <v>42.678207999999998</v>
      </c>
      <c r="O193" s="574">
        <v>71.963054999999997</v>
      </c>
      <c r="P193" s="574">
        <v>50.351321000000006</v>
      </c>
      <c r="Q193" s="574">
        <v>63.059718000000004</v>
      </c>
      <c r="R193" s="574">
        <v>122.952519</v>
      </c>
      <c r="S193" s="574">
        <v>110.39525500000001</v>
      </c>
      <c r="T193" s="574">
        <v>41.019529999999996</v>
      </c>
      <c r="U193" s="574">
        <v>88.681494999999998</v>
      </c>
      <c r="V193" s="574">
        <v>81.25394266666666</v>
      </c>
      <c r="W193" s="574"/>
    </row>
    <row r="194" spans="1:23" s="999" customFormat="1" ht="22.5" customHeight="1" x14ac:dyDescent="0.25">
      <c r="A194" s="1762">
        <v>31</v>
      </c>
      <c r="B194" s="516"/>
      <c r="C194" s="516" t="s">
        <v>1303</v>
      </c>
      <c r="D194" s="517"/>
      <c r="E194" s="517"/>
      <c r="F194" s="518"/>
      <c r="G194" s="578">
        <v>79.542279949999866</v>
      </c>
      <c r="H194" s="578">
        <v>114.22465064000005</v>
      </c>
      <c r="I194" s="578">
        <v>134.51431315000028</v>
      </c>
      <c r="J194" s="578">
        <v>151.75583134999994</v>
      </c>
      <c r="K194" s="578">
        <v>150.65228206999961</v>
      </c>
      <c r="L194" s="578">
        <v>161.36714637999992</v>
      </c>
      <c r="M194" s="578">
        <v>168.51188306000017</v>
      </c>
      <c r="N194" s="578">
        <v>162.99730732000006</v>
      </c>
      <c r="O194" s="578">
        <v>237.07464804</v>
      </c>
      <c r="P194" s="578">
        <v>229.63851703000014</v>
      </c>
      <c r="Q194" s="578">
        <v>140.60568877000017</v>
      </c>
      <c r="R194" s="578">
        <v>276.85041399999989</v>
      </c>
      <c r="S194" s="578">
        <v>266.61464572</v>
      </c>
      <c r="T194" s="578">
        <v>263.07055951999979</v>
      </c>
      <c r="U194" s="578">
        <v>268.99014447999997</v>
      </c>
      <c r="V194" s="578">
        <v>297.06989546666665</v>
      </c>
      <c r="W194" s="1719"/>
    </row>
    <row r="195" spans="1:23" x14ac:dyDescent="0.25">
      <c r="B195" s="4"/>
      <c r="C195" s="6"/>
      <c r="D195" s="6"/>
      <c r="E195" s="6"/>
      <c r="F195" s="6"/>
      <c r="G195" s="4"/>
      <c r="H195" s="4"/>
      <c r="I195" s="4"/>
      <c r="J195" s="4"/>
      <c r="K195" s="4"/>
      <c r="L195" s="4"/>
      <c r="M195" s="4"/>
      <c r="N195" s="4"/>
      <c r="O195" s="4"/>
      <c r="P195" s="4"/>
      <c r="Q195" s="4"/>
      <c r="R195" s="4"/>
      <c r="S195" s="4"/>
      <c r="T195" s="4"/>
      <c r="U195" s="4"/>
      <c r="V195" s="4"/>
      <c r="W195" s="4"/>
    </row>
    <row r="196" spans="1:23" x14ac:dyDescent="0.25">
      <c r="B196" s="4"/>
      <c r="C196" s="6"/>
      <c r="D196" s="6"/>
      <c r="E196" s="6"/>
      <c r="F196" s="6"/>
      <c r="G196" s="4"/>
      <c r="H196" s="4"/>
      <c r="I196" s="4"/>
      <c r="J196" s="4"/>
      <c r="K196" s="4"/>
      <c r="L196" s="4"/>
      <c r="M196" s="4"/>
      <c r="N196" s="4"/>
      <c r="O196" s="4"/>
      <c r="P196" s="4"/>
      <c r="Q196" s="4"/>
      <c r="R196" s="4"/>
      <c r="S196" s="4"/>
      <c r="T196" s="4"/>
      <c r="U196" s="4"/>
      <c r="V196" s="4"/>
      <c r="W196" s="4"/>
    </row>
    <row r="197" spans="1:23" ht="15.75" x14ac:dyDescent="0.25">
      <c r="B197" s="4"/>
      <c r="C197" s="6"/>
      <c r="D197" s="789" t="s">
        <v>1126</v>
      </c>
      <c r="E197" s="796"/>
      <c r="F197" s="796"/>
      <c r="G197" s="1072"/>
      <c r="H197" s="1072"/>
      <c r="I197" s="1072"/>
      <c r="J197" s="1072"/>
      <c r="K197" s="1072"/>
      <c r="L197" s="1072"/>
      <c r="M197" s="1072"/>
      <c r="N197" s="1072"/>
      <c r="O197" s="1072"/>
      <c r="P197" s="1072"/>
      <c r="Q197" s="1072"/>
      <c r="R197" s="1072"/>
      <c r="S197" s="1072"/>
      <c r="T197" s="1072"/>
      <c r="U197" s="1072"/>
      <c r="V197" s="1072"/>
      <c r="W197" s="1072"/>
    </row>
    <row r="198" spans="1:23" ht="15.75" x14ac:dyDescent="0.25">
      <c r="B198" s="4"/>
      <c r="C198" s="6"/>
      <c r="D198" s="796"/>
      <c r="E198" s="796"/>
      <c r="F198" s="1039" t="s">
        <v>868</v>
      </c>
      <c r="G198" s="461" t="s">
        <v>348</v>
      </c>
      <c r="H198" s="460"/>
      <c r="I198" s="460"/>
      <c r="J198" s="460"/>
      <c r="K198" s="460"/>
      <c r="L198" s="460"/>
      <c r="M198" s="460"/>
      <c r="N198" s="460"/>
      <c r="O198" s="460"/>
      <c r="P198" s="460"/>
      <c r="Q198" s="460"/>
      <c r="R198" s="460"/>
      <c r="S198" s="460"/>
      <c r="T198" s="460"/>
      <c r="U198" s="460"/>
      <c r="V198" s="460"/>
      <c r="W198" s="460"/>
    </row>
    <row r="199" spans="1:23" ht="16.5" thickBot="1" x14ac:dyDescent="0.3">
      <c r="B199" s="4"/>
      <c r="C199" s="6"/>
      <c r="D199" s="1735" t="s">
        <v>3357</v>
      </c>
      <c r="E199" s="1069"/>
      <c r="F199" s="1069"/>
      <c r="G199" s="694">
        <f>G8</f>
        <v>2010</v>
      </c>
      <c r="H199" s="694">
        <f t="shared" ref="H199:V199" si="48">H8</f>
        <v>2011</v>
      </c>
      <c r="I199" s="694">
        <f t="shared" si="48"/>
        <v>2012</v>
      </c>
      <c r="J199" s="694">
        <f t="shared" si="48"/>
        <v>2013</v>
      </c>
      <c r="K199" s="694">
        <f t="shared" si="48"/>
        <v>2014</v>
      </c>
      <c r="L199" s="694">
        <f t="shared" si="48"/>
        <v>2015</v>
      </c>
      <c r="M199" s="694">
        <f t="shared" si="48"/>
        <v>2016</v>
      </c>
      <c r="N199" s="694">
        <f t="shared" si="48"/>
        <v>2017</v>
      </c>
      <c r="O199" s="694">
        <f t="shared" si="48"/>
        <v>2018</v>
      </c>
      <c r="P199" s="694">
        <f t="shared" si="48"/>
        <v>2019</v>
      </c>
      <c r="Q199" s="694">
        <f t="shared" si="48"/>
        <v>2020</v>
      </c>
      <c r="R199" s="694">
        <f t="shared" si="48"/>
        <v>2021</v>
      </c>
      <c r="S199" s="694">
        <f t="shared" si="48"/>
        <v>2022</v>
      </c>
      <c r="T199" s="694">
        <f t="shared" si="48"/>
        <v>2023</v>
      </c>
      <c r="U199" s="694">
        <f t="shared" si="48"/>
        <v>2024</v>
      </c>
      <c r="V199" s="694">
        <f t="shared" si="48"/>
        <v>2025</v>
      </c>
      <c r="W199" s="1377"/>
    </row>
    <row r="200" spans="1:23" ht="15.75" x14ac:dyDescent="0.25">
      <c r="B200" s="4"/>
      <c r="C200" s="1105">
        <v>2</v>
      </c>
      <c r="D200" s="796" t="s">
        <v>1284</v>
      </c>
      <c r="E200" s="796"/>
      <c r="F200" s="796"/>
      <c r="G200" s="1032">
        <v>13318.922958000001</v>
      </c>
      <c r="H200" s="1032">
        <v>13891.344755999999</v>
      </c>
      <c r="I200" s="1032">
        <v>14450.403761</v>
      </c>
      <c r="J200" s="1032">
        <v>14730.790515000001</v>
      </c>
      <c r="K200" s="1032">
        <v>15553.728396</v>
      </c>
      <c r="L200" s="1032">
        <v>15967.662111</v>
      </c>
      <c r="M200" s="1032">
        <v>16779.681324000001</v>
      </c>
      <c r="N200" s="1032">
        <v>17415.409638000001</v>
      </c>
      <c r="O200" s="1032">
        <v>17942.991760000001</v>
      </c>
      <c r="P200" s="1032">
        <v>18645.042703000003</v>
      </c>
      <c r="Q200" s="1032">
        <v>21868.541076000001</v>
      </c>
      <c r="R200" s="1032">
        <v>23719.746340000002</v>
      </c>
      <c r="S200" s="1032">
        <v>23595.377497000001</v>
      </c>
      <c r="T200" s="1032">
        <v>23666.424311999999</v>
      </c>
      <c r="U200" s="1032">
        <v>23756.9</v>
      </c>
      <c r="V200" s="1032">
        <v>24697.3</v>
      </c>
      <c r="W200" s="1032"/>
    </row>
    <row r="201" spans="1:23" ht="15.75" x14ac:dyDescent="0.25">
      <c r="B201" s="4"/>
      <c r="C201" s="1105">
        <v>3</v>
      </c>
      <c r="D201" s="796" t="s">
        <v>1127</v>
      </c>
      <c r="E201" s="796"/>
      <c r="F201" s="796"/>
      <c r="G201" s="1032">
        <v>1484.509094</v>
      </c>
      <c r="H201" s="1032">
        <v>1550.8071480000001</v>
      </c>
      <c r="I201" s="1032">
        <v>1613.684743</v>
      </c>
      <c r="J201" s="1032">
        <v>1642.9729499999999</v>
      </c>
      <c r="K201" s="1032">
        <v>1733.528002</v>
      </c>
      <c r="L201" s="1032">
        <v>1794.3385800000001</v>
      </c>
      <c r="M201" s="1032">
        <v>1862.945136</v>
      </c>
      <c r="N201" s="1032">
        <v>1953.692102</v>
      </c>
      <c r="O201" s="1032">
        <v>2019.1294069999999</v>
      </c>
      <c r="P201" s="1032">
        <v>2110.7080000000001</v>
      </c>
      <c r="Q201" s="1032">
        <v>2224.349604</v>
      </c>
      <c r="R201" s="1032">
        <v>2357.4221889999999</v>
      </c>
      <c r="S201" s="1032">
        <v>2204.2626540000001</v>
      </c>
      <c r="T201" s="1032">
        <v>2291.7918410000002</v>
      </c>
      <c r="U201" s="1032">
        <v>2320.5</v>
      </c>
      <c r="V201" s="1032">
        <v>2476.8000000000002</v>
      </c>
      <c r="W201" s="1032"/>
    </row>
    <row r="202" spans="1:23" ht="15.75" x14ac:dyDescent="0.25">
      <c r="B202" s="4"/>
      <c r="C202" s="1105">
        <v>4</v>
      </c>
      <c r="D202" s="1079" t="s">
        <v>1101</v>
      </c>
      <c r="E202" s="1079"/>
      <c r="F202" s="1079"/>
      <c r="G202" s="1080">
        <v>8049.5245320000004</v>
      </c>
      <c r="H202" s="1080">
        <v>8198.9033349999991</v>
      </c>
      <c r="I202" s="1080">
        <v>8508.2738800000006</v>
      </c>
      <c r="J202" s="1080">
        <v>8810.9189729999998</v>
      </c>
      <c r="K202" s="1080">
        <v>9306.8379789999999</v>
      </c>
      <c r="L202" s="1080">
        <v>9980.6356279999982</v>
      </c>
      <c r="M202" s="1080">
        <v>10593.722478</v>
      </c>
      <c r="N202" s="1080">
        <v>11179.648083999999</v>
      </c>
      <c r="O202" s="1080">
        <v>11902.062218000001</v>
      </c>
      <c r="P202" s="1080">
        <v>12108.731696000001</v>
      </c>
      <c r="Q202" s="1080">
        <v>12986.017413000001</v>
      </c>
      <c r="R202" s="1080">
        <v>13966.800435000001</v>
      </c>
      <c r="S202" s="1080">
        <v>15660.351304000002</v>
      </c>
      <c r="T202" s="1080">
        <v>15567.034901000001</v>
      </c>
      <c r="U202" s="1080">
        <v>17999.599999999999</v>
      </c>
      <c r="V202" s="1080">
        <v>19020.599999999999</v>
      </c>
      <c r="W202" s="1032"/>
    </row>
    <row r="203" spans="1:23" ht="15.75" x14ac:dyDescent="0.25">
      <c r="B203" s="4"/>
      <c r="C203" s="1105">
        <v>5</v>
      </c>
      <c r="D203" s="1054" t="s">
        <v>845</v>
      </c>
      <c r="E203" s="1054"/>
      <c r="F203" s="1054"/>
      <c r="G203" s="1056">
        <v>11196.306128000002</v>
      </c>
      <c r="H203" s="1056">
        <v>11656.863995</v>
      </c>
      <c r="I203" s="1056">
        <v>12187.901875000001</v>
      </c>
      <c r="J203" s="1056">
        <v>12510.772825999999</v>
      </c>
      <c r="K203" s="1056">
        <v>13165.628716999998</v>
      </c>
      <c r="L203" s="1056">
        <v>13586.840666999999</v>
      </c>
      <c r="M203" s="1056">
        <v>14299.392082999999</v>
      </c>
      <c r="N203" s="1056">
        <v>14859.051141</v>
      </c>
      <c r="O203" s="1056">
        <v>15303.408072999999</v>
      </c>
      <c r="P203" s="1056">
        <v>15907.740291999999</v>
      </c>
      <c r="Q203" s="1056">
        <v>18885.621597000001</v>
      </c>
      <c r="R203" s="1056">
        <v>20617.422833000001</v>
      </c>
      <c r="S203" s="1056">
        <v>20510.842553999999</v>
      </c>
      <c r="T203" s="1056">
        <v>20467.506698000001</v>
      </c>
      <c r="U203" s="1056">
        <f>17948.5+2171.7</f>
        <v>20120.2</v>
      </c>
      <c r="V203" s="1056">
        <f>18717.8+2087.2</f>
        <v>20805</v>
      </c>
      <c r="W203" s="1032"/>
    </row>
    <row r="204" spans="1:23" ht="16.5" thickBot="1" x14ac:dyDescent="0.3">
      <c r="B204" s="4"/>
      <c r="C204" s="1105">
        <v>6</v>
      </c>
      <c r="D204" s="796" t="s">
        <v>1283</v>
      </c>
      <c r="E204" s="796"/>
      <c r="F204" s="796"/>
      <c r="G204" s="1032">
        <v>11554.943088</v>
      </c>
      <c r="H204" s="1032">
        <v>12073.599596</v>
      </c>
      <c r="I204" s="1032">
        <v>12682.068271</v>
      </c>
      <c r="J204" s="1032">
        <v>13075.959458000001</v>
      </c>
      <c r="K204" s="1032">
        <v>13882.514741000001</v>
      </c>
      <c r="L204" s="1032">
        <v>14353.353165999999</v>
      </c>
      <c r="M204" s="1032">
        <v>15103.304413</v>
      </c>
      <c r="N204" s="1032">
        <v>15760.885561000001</v>
      </c>
      <c r="O204" s="1032">
        <v>16255.716505</v>
      </c>
      <c r="P204" s="1032">
        <v>16870.461653999999</v>
      </c>
      <c r="Q204" s="1032">
        <v>19920.078745999999</v>
      </c>
      <c r="R204" s="1032">
        <v>21767.688136000001</v>
      </c>
      <c r="S204" s="1032">
        <v>21397.100280999999</v>
      </c>
      <c r="T204" s="1032">
        <v>21484.033028999998</v>
      </c>
      <c r="U204" s="1032">
        <f>17999.6+658.6+6+1962.3</f>
        <v>20626.499999999996</v>
      </c>
      <c r="V204" s="1032">
        <f>19020.6+816.9+5.9+2085.3</f>
        <v>21928.7</v>
      </c>
      <c r="W204" s="1032"/>
    </row>
    <row r="205" spans="1:23" ht="15.75" x14ac:dyDescent="0.25">
      <c r="B205" s="4"/>
      <c r="C205" s="1105">
        <v>7</v>
      </c>
      <c r="D205" s="1081" t="s">
        <v>1285</v>
      </c>
      <c r="E205" s="1081"/>
      <c r="F205" s="1081"/>
      <c r="G205" s="1082">
        <v>2088579</v>
      </c>
      <c r="H205" s="1082">
        <v>2108598</v>
      </c>
      <c r="I205" s="1082">
        <v>2110276</v>
      </c>
      <c r="J205" s="1082">
        <v>2068719</v>
      </c>
      <c r="K205" s="1082">
        <v>2047945</v>
      </c>
      <c r="L205" s="1082">
        <v>2033727</v>
      </c>
      <c r="M205" s="1082">
        <v>2052978</v>
      </c>
      <c r="N205" s="1082">
        <v>2076128</v>
      </c>
      <c r="O205" s="1082">
        <v>2067089</v>
      </c>
      <c r="P205" s="1082">
        <v>2063060</v>
      </c>
      <c r="Q205" s="1082">
        <v>2065530</v>
      </c>
      <c r="R205" s="1082">
        <v>2069043</v>
      </c>
      <c r="S205" s="1082">
        <v>2125175</v>
      </c>
      <c r="T205" s="1082">
        <v>2078686</v>
      </c>
      <c r="U205" s="1082">
        <v>2059515</v>
      </c>
      <c r="V205" s="1082">
        <v>2047338</v>
      </c>
      <c r="W205" s="1716"/>
    </row>
    <row r="206" spans="1:23" x14ac:dyDescent="0.25">
      <c r="B206" s="4"/>
      <c r="C206" s="6"/>
      <c r="D206" s="6"/>
      <c r="E206" s="6"/>
      <c r="F206" s="6"/>
      <c r="G206" s="4"/>
      <c r="H206" s="4"/>
      <c r="I206" s="4"/>
      <c r="J206" s="4"/>
      <c r="K206" s="4"/>
      <c r="L206" s="4"/>
      <c r="M206" s="4"/>
      <c r="N206" s="4"/>
      <c r="O206" s="4"/>
      <c r="P206" s="4"/>
      <c r="Q206" s="4"/>
      <c r="R206" s="4"/>
      <c r="S206" s="4"/>
      <c r="T206" s="4"/>
      <c r="U206" s="4"/>
      <c r="V206" s="4"/>
      <c r="W206" s="4"/>
    </row>
    <row r="207" spans="1:23" x14ac:dyDescent="0.25">
      <c r="B207" s="4"/>
      <c r="C207" s="6"/>
      <c r="D207" s="6"/>
      <c r="E207" s="6"/>
      <c r="F207" s="6"/>
      <c r="G207" s="4"/>
      <c r="H207" s="4"/>
      <c r="I207" s="4"/>
      <c r="J207" s="4"/>
      <c r="K207" s="4"/>
      <c r="L207" s="4"/>
      <c r="M207" s="4"/>
      <c r="N207" s="4"/>
      <c r="O207" s="4"/>
      <c r="P207" s="4"/>
      <c r="Q207" s="4"/>
      <c r="R207" s="4"/>
      <c r="S207" s="4"/>
      <c r="T207" s="4"/>
      <c r="U207" s="4"/>
      <c r="V207" s="4"/>
      <c r="W207" s="4"/>
    </row>
    <row r="208" spans="1:23" x14ac:dyDescent="0.25">
      <c r="B208" s="4"/>
      <c r="C208" s="6"/>
      <c r="D208" s="6"/>
      <c r="E208" s="6"/>
      <c r="F208" s="6"/>
      <c r="G208" s="4"/>
      <c r="H208" s="4"/>
      <c r="I208" s="4"/>
      <c r="J208" s="4"/>
      <c r="K208" s="4"/>
      <c r="L208" s="4"/>
      <c r="M208" s="4"/>
      <c r="N208" s="4"/>
      <c r="O208" s="4"/>
      <c r="P208" s="4"/>
      <c r="Q208" s="4"/>
      <c r="R208" s="4"/>
      <c r="S208" s="4"/>
      <c r="T208" s="4"/>
      <c r="U208" s="4"/>
      <c r="V208" s="4"/>
      <c r="W208" s="4"/>
    </row>
    <row r="209" spans="2:23" x14ac:dyDescent="0.25">
      <c r="B209" s="4"/>
      <c r="C209" s="6"/>
      <c r="D209" s="6"/>
      <c r="E209" s="6"/>
      <c r="F209" s="6"/>
      <c r="G209" s="4"/>
      <c r="H209" s="4"/>
      <c r="I209" s="4"/>
      <c r="J209" s="4"/>
      <c r="K209" s="4"/>
      <c r="L209" s="4"/>
      <c r="M209" s="4"/>
      <c r="N209" s="4"/>
      <c r="O209" s="4"/>
      <c r="P209" s="4"/>
      <c r="Q209" s="4"/>
      <c r="R209" s="4"/>
      <c r="S209" s="4"/>
      <c r="T209" s="4"/>
      <c r="U209" s="4"/>
      <c r="V209" s="4"/>
      <c r="W209" s="4"/>
    </row>
    <row r="210" spans="2:23" x14ac:dyDescent="0.25">
      <c r="B210" s="4"/>
      <c r="C210" s="6"/>
      <c r="D210" s="6"/>
      <c r="E210" s="6"/>
      <c r="F210" s="6"/>
      <c r="G210" s="4"/>
      <c r="H210" s="4"/>
      <c r="I210" s="4"/>
      <c r="J210" s="4"/>
      <c r="K210" s="4"/>
      <c r="L210" s="4"/>
      <c r="M210" s="4"/>
      <c r="N210" s="4"/>
      <c r="O210" s="4"/>
      <c r="P210" s="4"/>
      <c r="Q210" s="4"/>
      <c r="R210" s="4"/>
      <c r="S210" s="4"/>
      <c r="T210" s="4"/>
      <c r="U210" s="4"/>
      <c r="V210" s="4"/>
      <c r="W210" s="4"/>
    </row>
    <row r="211" spans="2:23" x14ac:dyDescent="0.25">
      <c r="B211" s="4"/>
      <c r="C211" s="6"/>
      <c r="D211" s="6"/>
      <c r="E211" s="6"/>
      <c r="F211" s="6"/>
      <c r="G211" s="4"/>
      <c r="H211" s="4"/>
      <c r="I211" s="4"/>
      <c r="J211" s="4"/>
      <c r="K211" s="4"/>
      <c r="L211" s="4"/>
      <c r="M211" s="4"/>
      <c r="N211" s="4"/>
      <c r="O211" s="4"/>
      <c r="P211" s="4"/>
      <c r="Q211" s="4"/>
      <c r="R211" s="4"/>
      <c r="S211" s="4"/>
      <c r="T211" s="4"/>
      <c r="U211" s="4"/>
      <c r="V211" s="4"/>
      <c r="W211" s="4"/>
    </row>
    <row r="212" spans="2:23" x14ac:dyDescent="0.25">
      <c r="B212" s="4"/>
      <c r="C212" s="6"/>
      <c r="D212" s="6"/>
      <c r="E212" s="6"/>
      <c r="F212" s="6"/>
      <c r="G212" s="4"/>
      <c r="H212" s="4"/>
      <c r="I212" s="4"/>
      <c r="J212" s="4"/>
      <c r="K212" s="4"/>
      <c r="L212" s="4"/>
      <c r="M212" s="4"/>
      <c r="N212" s="4"/>
      <c r="O212" s="4"/>
      <c r="P212" s="4"/>
      <c r="Q212" s="4"/>
      <c r="R212" s="4"/>
      <c r="S212" s="4"/>
      <c r="T212" s="4"/>
      <c r="U212" s="4"/>
      <c r="V212" s="4"/>
      <c r="W212" s="4"/>
    </row>
    <row r="213" spans="2:23" x14ac:dyDescent="0.25">
      <c r="B213" s="4"/>
      <c r="C213" s="6"/>
      <c r="D213" s="6"/>
      <c r="E213" s="6"/>
      <c r="F213" s="6"/>
      <c r="G213" s="4"/>
      <c r="H213" s="4"/>
      <c r="I213" s="4"/>
      <c r="J213" s="4"/>
      <c r="K213" s="4"/>
      <c r="L213" s="4"/>
      <c r="M213" s="4"/>
      <c r="N213" s="4"/>
      <c r="O213" s="4"/>
      <c r="P213" s="4"/>
      <c r="Q213" s="4"/>
      <c r="R213" s="4"/>
      <c r="S213" s="4"/>
      <c r="T213" s="4"/>
      <c r="U213" s="4"/>
      <c r="V213" s="4"/>
      <c r="W213" s="4"/>
    </row>
    <row r="214" spans="2:23" x14ac:dyDescent="0.25">
      <c r="B214" s="4"/>
      <c r="C214" s="6"/>
      <c r="D214" s="6"/>
      <c r="E214" s="6"/>
      <c r="F214" s="6"/>
      <c r="G214" s="4"/>
      <c r="H214" s="4"/>
      <c r="I214" s="4"/>
      <c r="J214" s="4"/>
      <c r="K214" s="4"/>
      <c r="L214" s="4"/>
      <c r="M214" s="4"/>
      <c r="N214" s="4"/>
      <c r="O214" s="4"/>
      <c r="P214" s="4"/>
      <c r="Q214" s="4"/>
      <c r="R214" s="4"/>
      <c r="S214" s="4"/>
      <c r="T214" s="4"/>
      <c r="U214" s="4"/>
      <c r="V214" s="4"/>
      <c r="W214" s="4"/>
    </row>
    <row r="215" spans="2:23" x14ac:dyDescent="0.25">
      <c r="B215" s="4"/>
      <c r="C215" s="6"/>
      <c r="D215" s="6"/>
      <c r="E215" s="6"/>
      <c r="F215" s="6"/>
      <c r="G215" s="4"/>
      <c r="H215" s="4"/>
      <c r="I215" s="4"/>
      <c r="J215" s="4"/>
      <c r="K215" s="4"/>
      <c r="L215" s="4"/>
      <c r="M215" s="4"/>
      <c r="N215" s="4"/>
      <c r="O215" s="4"/>
      <c r="P215" s="4"/>
      <c r="Q215" s="4"/>
      <c r="R215" s="4"/>
      <c r="S215" s="4"/>
      <c r="T215" s="4"/>
      <c r="U215" s="4"/>
      <c r="V215" s="4"/>
      <c r="W215" s="4"/>
    </row>
    <row r="216" spans="2:23" x14ac:dyDescent="0.25">
      <c r="B216" s="4"/>
      <c r="C216" s="6"/>
      <c r="D216" s="6"/>
      <c r="E216" s="6"/>
      <c r="F216" s="6"/>
      <c r="G216" s="4"/>
      <c r="H216" s="4"/>
      <c r="I216" s="4"/>
      <c r="J216" s="4"/>
      <c r="K216" s="4"/>
      <c r="L216" s="4"/>
      <c r="M216" s="4"/>
      <c r="N216" s="4"/>
      <c r="O216" s="4"/>
      <c r="P216" s="4"/>
      <c r="Q216" s="4"/>
      <c r="R216" s="4"/>
      <c r="S216" s="4"/>
      <c r="T216" s="4"/>
      <c r="U216" s="4"/>
      <c r="V216" s="4"/>
      <c r="W216" s="4"/>
    </row>
    <row r="217" spans="2:23" x14ac:dyDescent="0.25">
      <c r="B217" s="4"/>
      <c r="C217" s="6"/>
      <c r="D217" s="6"/>
      <c r="E217" s="6"/>
      <c r="F217" s="6"/>
      <c r="G217" s="4"/>
      <c r="H217" s="4"/>
      <c r="I217" s="4"/>
      <c r="J217" s="4"/>
      <c r="K217" s="4"/>
      <c r="L217" s="4"/>
      <c r="M217" s="4"/>
      <c r="N217" s="4"/>
      <c r="O217" s="4"/>
      <c r="P217" s="4"/>
      <c r="Q217" s="4"/>
      <c r="R217" s="4"/>
      <c r="S217" s="4"/>
      <c r="T217" s="4"/>
      <c r="U217" s="4"/>
      <c r="V217" s="4"/>
      <c r="W217" s="4"/>
    </row>
    <row r="218" spans="2:23" x14ac:dyDescent="0.25">
      <c r="B218" s="4"/>
      <c r="C218" s="6"/>
      <c r="D218" s="6"/>
      <c r="E218" s="6"/>
      <c r="F218" s="6"/>
      <c r="G218" s="4"/>
      <c r="H218" s="4"/>
      <c r="I218" s="4"/>
      <c r="J218" s="4"/>
      <c r="K218" s="4"/>
      <c r="L218" s="4"/>
      <c r="M218" s="4"/>
      <c r="N218" s="4"/>
      <c r="O218" s="4"/>
      <c r="P218" s="4"/>
      <c r="Q218" s="4"/>
      <c r="R218" s="4"/>
      <c r="S218" s="4"/>
      <c r="T218" s="4"/>
      <c r="U218" s="4"/>
      <c r="V218" s="4"/>
      <c r="W218" s="4"/>
    </row>
    <row r="219" spans="2:23" x14ac:dyDescent="0.25">
      <c r="B219" s="4"/>
      <c r="C219" s="6"/>
      <c r="D219" s="6"/>
      <c r="E219" s="6"/>
      <c r="F219" s="6"/>
      <c r="G219" s="4"/>
      <c r="H219" s="4"/>
      <c r="I219" s="4"/>
      <c r="J219" s="4"/>
      <c r="K219" s="4"/>
      <c r="L219" s="4"/>
      <c r="M219" s="4"/>
      <c r="N219" s="4"/>
      <c r="O219" s="4"/>
      <c r="P219" s="4"/>
      <c r="Q219" s="4"/>
      <c r="R219" s="4"/>
      <c r="S219" s="4"/>
      <c r="T219" s="4"/>
      <c r="U219" s="4"/>
      <c r="V219" s="4"/>
      <c r="W219" s="4"/>
    </row>
    <row r="220" spans="2:23" x14ac:dyDescent="0.25">
      <c r="B220" s="4"/>
      <c r="C220" s="6"/>
      <c r="D220" s="6"/>
      <c r="E220" s="6"/>
      <c r="F220" s="6"/>
      <c r="G220" s="4"/>
      <c r="H220" s="4"/>
      <c r="I220" s="4"/>
      <c r="J220" s="4"/>
      <c r="K220" s="4"/>
      <c r="L220" s="4"/>
      <c r="M220" s="4"/>
      <c r="N220" s="4"/>
      <c r="O220" s="4"/>
      <c r="P220" s="4"/>
      <c r="Q220" s="4"/>
      <c r="R220" s="4"/>
      <c r="S220" s="4"/>
      <c r="T220" s="4"/>
      <c r="U220" s="4"/>
      <c r="V220" s="4"/>
      <c r="W220" s="4"/>
    </row>
    <row r="221" spans="2:23" x14ac:dyDescent="0.25">
      <c r="B221" s="4"/>
      <c r="C221" s="6"/>
      <c r="D221" s="6"/>
      <c r="E221" s="6"/>
      <c r="F221" s="6"/>
      <c r="G221" s="4"/>
      <c r="H221" s="4"/>
      <c r="I221" s="4"/>
      <c r="J221" s="4"/>
      <c r="K221" s="4"/>
      <c r="L221" s="4"/>
      <c r="M221" s="4"/>
      <c r="N221" s="4"/>
      <c r="O221" s="4"/>
      <c r="P221" s="4"/>
      <c r="Q221" s="4"/>
      <c r="R221" s="4"/>
      <c r="S221" s="4"/>
      <c r="T221" s="4"/>
      <c r="U221" s="4"/>
      <c r="V221" s="4"/>
      <c r="W221" s="4"/>
    </row>
    <row r="222" spans="2:23" x14ac:dyDescent="0.25">
      <c r="B222" s="4"/>
      <c r="C222" s="6"/>
      <c r="D222" s="6"/>
      <c r="E222" s="6"/>
      <c r="F222" s="6"/>
      <c r="G222" s="4"/>
      <c r="H222" s="4"/>
      <c r="I222" s="4"/>
      <c r="J222" s="4"/>
      <c r="K222" s="4"/>
      <c r="L222" s="4"/>
      <c r="M222" s="4"/>
      <c r="N222" s="4"/>
      <c r="O222" s="4"/>
      <c r="P222" s="4"/>
      <c r="Q222" s="4"/>
      <c r="R222" s="4"/>
      <c r="S222" s="4"/>
      <c r="T222" s="4"/>
      <c r="U222" s="4"/>
      <c r="V222" s="4"/>
      <c r="W222" s="4"/>
    </row>
    <row r="223" spans="2:23" x14ac:dyDescent="0.25">
      <c r="B223" s="4"/>
      <c r="C223" s="6"/>
      <c r="D223" s="6"/>
      <c r="E223" s="6"/>
      <c r="F223" s="6"/>
      <c r="G223" s="4"/>
      <c r="H223" s="4"/>
      <c r="I223" s="4"/>
      <c r="J223" s="4"/>
      <c r="K223" s="4"/>
      <c r="L223" s="4"/>
      <c r="M223" s="4"/>
      <c r="N223" s="4"/>
      <c r="O223" s="4"/>
      <c r="P223" s="4"/>
      <c r="Q223" s="4"/>
      <c r="R223" s="4"/>
      <c r="S223" s="4"/>
      <c r="T223" s="4"/>
      <c r="U223" s="4"/>
      <c r="V223" s="4"/>
      <c r="W223" s="4"/>
    </row>
    <row r="224" spans="2:23" x14ac:dyDescent="0.25">
      <c r="B224" s="4"/>
      <c r="C224" s="6"/>
      <c r="D224" s="6"/>
      <c r="E224" s="6"/>
      <c r="F224" s="6"/>
      <c r="G224" s="4"/>
      <c r="H224" s="4"/>
      <c r="I224" s="4"/>
      <c r="J224" s="4"/>
      <c r="K224" s="4"/>
      <c r="L224" s="4"/>
      <c r="M224" s="4"/>
      <c r="N224" s="4"/>
      <c r="O224" s="4"/>
      <c r="P224" s="4"/>
      <c r="Q224" s="4"/>
      <c r="R224" s="4"/>
      <c r="S224" s="4"/>
      <c r="T224" s="4"/>
      <c r="U224" s="4"/>
      <c r="V224" s="4"/>
      <c r="W224" s="4"/>
    </row>
    <row r="225" spans="2:23" x14ac:dyDescent="0.25">
      <c r="B225" s="4"/>
      <c r="C225" s="6"/>
      <c r="D225" s="6"/>
      <c r="E225" s="6"/>
      <c r="F225" s="6"/>
      <c r="G225" s="4"/>
      <c r="H225" s="4"/>
      <c r="I225" s="4"/>
      <c r="J225" s="4"/>
      <c r="K225" s="4"/>
      <c r="L225" s="4"/>
      <c r="M225" s="4"/>
      <c r="N225" s="4"/>
      <c r="O225" s="4"/>
      <c r="P225" s="4"/>
      <c r="Q225" s="4"/>
      <c r="R225" s="4"/>
      <c r="S225" s="4"/>
      <c r="T225" s="4"/>
      <c r="U225" s="4"/>
      <c r="V225" s="4"/>
      <c r="W225" s="4"/>
    </row>
    <row r="226" spans="2:23" x14ac:dyDescent="0.25">
      <c r="B226" s="4"/>
      <c r="C226" s="6"/>
      <c r="D226" s="6"/>
      <c r="E226" s="6"/>
      <c r="F226" s="6"/>
      <c r="G226" s="4"/>
      <c r="H226" s="4"/>
      <c r="I226" s="4"/>
      <c r="J226" s="4"/>
      <c r="K226" s="4"/>
      <c r="L226" s="4"/>
      <c r="M226" s="4"/>
      <c r="N226" s="4"/>
      <c r="O226" s="4"/>
      <c r="P226" s="4"/>
      <c r="Q226" s="4"/>
      <c r="R226" s="4"/>
      <c r="S226" s="4"/>
      <c r="T226" s="4"/>
      <c r="U226" s="4"/>
      <c r="V226" s="4"/>
      <c r="W226" s="4"/>
    </row>
    <row r="227" spans="2:23" x14ac:dyDescent="0.25">
      <c r="B227" s="4"/>
      <c r="C227" s="6"/>
      <c r="D227" s="6"/>
      <c r="E227" s="6"/>
      <c r="F227" s="6"/>
      <c r="G227" s="4"/>
      <c r="H227" s="4"/>
      <c r="I227" s="4"/>
      <c r="J227" s="4"/>
      <c r="K227" s="4"/>
      <c r="L227" s="4"/>
      <c r="M227" s="4"/>
      <c r="N227" s="4"/>
      <c r="O227" s="4"/>
      <c r="P227" s="4"/>
      <c r="Q227" s="4"/>
      <c r="R227" s="4"/>
      <c r="S227" s="4"/>
      <c r="T227" s="4"/>
      <c r="U227" s="4"/>
      <c r="V227" s="4"/>
      <c r="W227" s="4"/>
    </row>
    <row r="228" spans="2:23" x14ac:dyDescent="0.25">
      <c r="B228" s="4"/>
      <c r="C228" s="6"/>
      <c r="D228" s="6"/>
      <c r="E228" s="6"/>
      <c r="F228" s="6"/>
      <c r="G228" s="4"/>
      <c r="H228" s="4"/>
      <c r="I228" s="4"/>
      <c r="J228" s="4"/>
      <c r="K228" s="4"/>
      <c r="L228" s="4"/>
      <c r="M228" s="4"/>
      <c r="N228" s="4"/>
      <c r="O228" s="4"/>
      <c r="P228" s="4"/>
      <c r="Q228" s="4"/>
      <c r="R228" s="4"/>
      <c r="S228" s="4"/>
      <c r="T228" s="4"/>
      <c r="U228" s="4"/>
      <c r="V228" s="4"/>
      <c r="W228" s="4"/>
    </row>
    <row r="229" spans="2:23" x14ac:dyDescent="0.25">
      <c r="B229" s="4"/>
      <c r="C229" s="6"/>
      <c r="D229" s="6"/>
      <c r="E229" s="6"/>
      <c r="F229" s="6"/>
      <c r="G229" s="4"/>
      <c r="H229" s="4"/>
      <c r="I229" s="4"/>
      <c r="J229" s="4"/>
      <c r="K229" s="4"/>
      <c r="L229" s="4"/>
      <c r="M229" s="4"/>
      <c r="N229" s="4"/>
      <c r="O229" s="4"/>
      <c r="P229" s="4"/>
      <c r="Q229" s="4"/>
      <c r="R229" s="4"/>
      <c r="S229" s="4"/>
      <c r="T229" s="4"/>
      <c r="U229" s="4"/>
      <c r="V229" s="4"/>
      <c r="W229" s="4"/>
    </row>
    <row r="230" spans="2:23" x14ac:dyDescent="0.25">
      <c r="B230" s="4"/>
      <c r="C230" s="6"/>
      <c r="D230" s="6"/>
      <c r="E230" s="6"/>
      <c r="F230" s="6"/>
      <c r="G230" s="4"/>
      <c r="H230" s="4"/>
      <c r="I230" s="4"/>
      <c r="J230" s="4"/>
      <c r="K230" s="4"/>
      <c r="L230" s="4"/>
      <c r="M230" s="4"/>
      <c r="N230" s="4"/>
      <c r="O230" s="4"/>
      <c r="P230" s="4"/>
      <c r="Q230" s="4"/>
      <c r="R230" s="4"/>
      <c r="S230" s="4"/>
      <c r="T230" s="4"/>
      <c r="U230" s="4"/>
      <c r="V230" s="4"/>
      <c r="W230" s="4"/>
    </row>
    <row r="231" spans="2:23" x14ac:dyDescent="0.25">
      <c r="B231" s="4"/>
      <c r="C231" s="6"/>
      <c r="D231" s="6"/>
      <c r="E231" s="6"/>
      <c r="F231" s="6"/>
      <c r="G231" s="4"/>
      <c r="H231" s="4"/>
      <c r="I231" s="4"/>
      <c r="J231" s="4"/>
      <c r="K231" s="4"/>
      <c r="L231" s="4"/>
      <c r="M231" s="4"/>
      <c r="N231" s="4"/>
      <c r="O231" s="4"/>
      <c r="P231" s="4"/>
      <c r="Q231" s="4"/>
      <c r="R231" s="4"/>
      <c r="S231" s="4"/>
      <c r="T231" s="4"/>
      <c r="U231" s="4"/>
      <c r="V231" s="4"/>
      <c r="W231" s="4"/>
    </row>
    <row r="232" spans="2:23" x14ac:dyDescent="0.25">
      <c r="B232" s="4"/>
      <c r="C232" s="6"/>
      <c r="D232" s="6"/>
      <c r="E232" s="6"/>
      <c r="F232" s="6"/>
      <c r="G232" s="4"/>
      <c r="H232" s="4"/>
      <c r="I232" s="4"/>
      <c r="J232" s="4"/>
      <c r="K232" s="4"/>
      <c r="L232" s="4"/>
      <c r="M232" s="4"/>
      <c r="N232" s="4"/>
      <c r="O232" s="4"/>
      <c r="P232" s="4"/>
      <c r="Q232" s="4"/>
      <c r="R232" s="4"/>
      <c r="S232" s="4"/>
      <c r="T232" s="4"/>
      <c r="U232" s="4"/>
      <c r="V232" s="4"/>
      <c r="W232" s="4"/>
    </row>
    <row r="233" spans="2:23" x14ac:dyDescent="0.25">
      <c r="B233" s="4"/>
      <c r="C233" s="6"/>
      <c r="D233" s="6"/>
      <c r="E233" s="6"/>
      <c r="F233" s="6"/>
      <c r="G233" s="4"/>
      <c r="H233" s="4"/>
      <c r="I233" s="4"/>
      <c r="J233" s="4"/>
      <c r="K233" s="4"/>
      <c r="L233" s="4"/>
      <c r="M233" s="4"/>
      <c r="N233" s="4"/>
      <c r="O233" s="4"/>
      <c r="P233" s="4"/>
      <c r="Q233" s="4"/>
      <c r="R233" s="4"/>
      <c r="S233" s="4"/>
      <c r="T233" s="4"/>
      <c r="U233" s="4"/>
      <c r="V233" s="4"/>
      <c r="W233" s="4"/>
    </row>
    <row r="234" spans="2:23" x14ac:dyDescent="0.25">
      <c r="B234" s="4"/>
      <c r="C234" s="6"/>
      <c r="D234" s="6"/>
      <c r="E234" s="6"/>
      <c r="F234" s="6"/>
      <c r="G234" s="4"/>
      <c r="H234" s="4"/>
      <c r="I234" s="4"/>
      <c r="J234" s="4"/>
      <c r="K234" s="4"/>
      <c r="L234" s="4"/>
      <c r="M234" s="4"/>
      <c r="N234" s="4"/>
      <c r="O234" s="4"/>
      <c r="P234" s="4"/>
      <c r="Q234" s="4"/>
      <c r="R234" s="4"/>
      <c r="S234" s="4"/>
      <c r="T234" s="4"/>
      <c r="U234" s="4"/>
      <c r="V234" s="4"/>
      <c r="W234" s="4"/>
    </row>
    <row r="235" spans="2:23" x14ac:dyDescent="0.25">
      <c r="B235" s="4"/>
      <c r="C235" s="6"/>
      <c r="D235" s="6"/>
      <c r="E235" s="6"/>
      <c r="F235" s="6"/>
      <c r="G235" s="4"/>
      <c r="H235" s="4"/>
      <c r="I235" s="4"/>
      <c r="J235" s="4"/>
      <c r="K235" s="4"/>
      <c r="L235" s="4"/>
      <c r="M235" s="4"/>
      <c r="N235" s="4"/>
      <c r="O235" s="4"/>
      <c r="P235" s="4"/>
      <c r="Q235" s="4"/>
      <c r="R235" s="4"/>
      <c r="S235" s="4"/>
      <c r="T235" s="4"/>
      <c r="U235" s="4"/>
      <c r="V235" s="4"/>
      <c r="W235" s="4"/>
    </row>
    <row r="236" spans="2:23" x14ac:dyDescent="0.25">
      <c r="B236" s="4"/>
      <c r="C236" s="6"/>
      <c r="D236" s="6"/>
      <c r="E236" s="6"/>
      <c r="F236" s="6"/>
      <c r="G236" s="4"/>
      <c r="H236" s="4"/>
      <c r="I236" s="4"/>
      <c r="J236" s="4"/>
      <c r="K236" s="4"/>
      <c r="L236" s="4"/>
      <c r="M236" s="4"/>
      <c r="N236" s="4"/>
      <c r="O236" s="4"/>
      <c r="P236" s="4"/>
      <c r="Q236" s="4"/>
      <c r="R236" s="4"/>
      <c r="S236" s="4"/>
      <c r="T236" s="4"/>
      <c r="U236" s="4"/>
      <c r="V236" s="4"/>
      <c r="W236" s="4"/>
    </row>
    <row r="237" spans="2:23" x14ac:dyDescent="0.25">
      <c r="B237" s="4"/>
      <c r="C237" s="6"/>
      <c r="D237" s="6"/>
      <c r="E237" s="6"/>
      <c r="F237" s="6"/>
      <c r="G237" s="4"/>
      <c r="H237" s="4"/>
      <c r="I237" s="4"/>
      <c r="J237" s="4"/>
      <c r="K237" s="4"/>
      <c r="L237" s="4"/>
      <c r="M237" s="4"/>
      <c r="N237" s="4"/>
      <c r="O237" s="4"/>
      <c r="P237" s="4"/>
      <c r="Q237" s="4"/>
      <c r="R237" s="4"/>
      <c r="S237" s="4"/>
      <c r="T237" s="4"/>
      <c r="U237" s="4"/>
      <c r="V237" s="4"/>
      <c r="W237" s="4"/>
    </row>
    <row r="238" spans="2:23" x14ac:dyDescent="0.25">
      <c r="B238" s="4"/>
      <c r="C238" s="6"/>
      <c r="D238" s="6"/>
      <c r="E238" s="6"/>
      <c r="F238" s="6"/>
      <c r="G238" s="4"/>
      <c r="H238" s="4"/>
      <c r="I238" s="4"/>
      <c r="J238" s="4"/>
      <c r="K238" s="4"/>
      <c r="L238" s="4"/>
      <c r="M238" s="4"/>
      <c r="N238" s="4"/>
      <c r="O238" s="4"/>
      <c r="P238" s="4"/>
      <c r="Q238" s="4"/>
      <c r="R238" s="4"/>
      <c r="S238" s="4"/>
      <c r="T238" s="4"/>
      <c r="U238" s="4"/>
      <c r="V238" s="4"/>
      <c r="W238" s="4"/>
    </row>
    <row r="239" spans="2:23" x14ac:dyDescent="0.25">
      <c r="B239" s="4"/>
      <c r="C239" s="6"/>
      <c r="D239" s="6"/>
      <c r="E239" s="6"/>
      <c r="F239" s="6"/>
      <c r="G239" s="4"/>
      <c r="H239" s="4"/>
      <c r="I239" s="4"/>
      <c r="J239" s="4"/>
      <c r="K239" s="4"/>
      <c r="L239" s="4"/>
      <c r="M239" s="4"/>
      <c r="N239" s="4"/>
      <c r="O239" s="4"/>
      <c r="P239" s="4"/>
      <c r="Q239" s="4"/>
      <c r="R239" s="4"/>
      <c r="S239" s="4"/>
      <c r="T239" s="4"/>
      <c r="U239" s="4"/>
      <c r="V239" s="4"/>
      <c r="W239" s="4"/>
    </row>
    <row r="240" spans="2:23" x14ac:dyDescent="0.25">
      <c r="B240" s="4"/>
      <c r="C240" s="6"/>
      <c r="D240" s="6"/>
      <c r="E240" s="6"/>
      <c r="F240" s="6"/>
      <c r="G240" s="4"/>
      <c r="H240" s="4"/>
      <c r="I240" s="4"/>
      <c r="J240" s="4"/>
      <c r="K240" s="4"/>
      <c r="L240" s="4"/>
      <c r="M240" s="4"/>
      <c r="N240" s="4"/>
      <c r="O240" s="4"/>
      <c r="P240" s="4"/>
      <c r="Q240" s="4"/>
      <c r="R240" s="4"/>
      <c r="S240" s="4"/>
      <c r="T240" s="4"/>
      <c r="U240" s="4"/>
      <c r="V240" s="4"/>
      <c r="W240" s="4"/>
    </row>
    <row r="241" spans="2:23" x14ac:dyDescent="0.25">
      <c r="B241" s="4"/>
      <c r="C241" s="6"/>
      <c r="D241" s="6"/>
      <c r="E241" s="6"/>
      <c r="F241" s="6"/>
      <c r="G241" s="4"/>
      <c r="H241" s="4"/>
      <c r="I241" s="4"/>
      <c r="J241" s="4"/>
      <c r="K241" s="4"/>
      <c r="L241" s="4"/>
      <c r="M241" s="4"/>
      <c r="N241" s="4"/>
      <c r="O241" s="4"/>
      <c r="P241" s="4"/>
      <c r="Q241" s="4"/>
      <c r="R241" s="4"/>
      <c r="S241" s="4"/>
      <c r="T241" s="4"/>
      <c r="U241" s="4"/>
      <c r="V241" s="4"/>
      <c r="W241" s="4"/>
    </row>
    <row r="242" spans="2:23" x14ac:dyDescent="0.25">
      <c r="B242" s="4"/>
      <c r="C242" s="6"/>
      <c r="D242" s="6"/>
      <c r="E242" s="6"/>
      <c r="F242" s="6"/>
      <c r="G242" s="4"/>
      <c r="H242" s="4"/>
      <c r="I242" s="4"/>
      <c r="J242" s="4"/>
      <c r="K242" s="4"/>
      <c r="L242" s="4"/>
      <c r="M242" s="4"/>
      <c r="N242" s="4"/>
      <c r="O242" s="4"/>
      <c r="P242" s="4"/>
      <c r="Q242" s="4"/>
      <c r="R242" s="4"/>
      <c r="S242" s="4"/>
      <c r="T242" s="4"/>
      <c r="U242" s="4"/>
      <c r="V242" s="4"/>
      <c r="W242" s="4"/>
    </row>
    <row r="243" spans="2:23" x14ac:dyDescent="0.25">
      <c r="B243" s="4"/>
      <c r="C243" s="6"/>
      <c r="D243" s="6"/>
      <c r="E243" s="6"/>
      <c r="F243" s="6"/>
      <c r="G243" s="4"/>
      <c r="H243" s="4"/>
      <c r="I243" s="4"/>
      <c r="J243" s="4"/>
      <c r="K243" s="4"/>
      <c r="L243" s="4"/>
      <c r="M243" s="4"/>
      <c r="N243" s="4"/>
      <c r="O243" s="4"/>
      <c r="P243" s="4"/>
      <c r="Q243" s="4"/>
      <c r="R243" s="4"/>
      <c r="S243" s="4"/>
      <c r="T243" s="4"/>
      <c r="U243" s="4"/>
      <c r="V243" s="4"/>
      <c r="W243" s="4"/>
    </row>
    <row r="244" spans="2:23" x14ac:dyDescent="0.25">
      <c r="B244" s="4"/>
      <c r="C244" s="6"/>
      <c r="D244" s="6"/>
      <c r="E244" s="6"/>
      <c r="F244" s="6"/>
      <c r="G244" s="4"/>
      <c r="H244" s="4"/>
      <c r="I244" s="4"/>
      <c r="J244" s="4"/>
      <c r="K244" s="4"/>
      <c r="L244" s="4"/>
      <c r="M244" s="4"/>
      <c r="N244" s="4"/>
      <c r="O244" s="4"/>
      <c r="P244" s="4"/>
      <c r="Q244" s="4"/>
      <c r="R244" s="4"/>
      <c r="S244" s="4"/>
      <c r="T244" s="4"/>
      <c r="U244" s="4"/>
      <c r="V244" s="4"/>
      <c r="W244" s="4"/>
    </row>
    <row r="245" spans="2:23" x14ac:dyDescent="0.25">
      <c r="B245" s="4"/>
      <c r="C245" s="6"/>
      <c r="D245" s="6"/>
      <c r="E245" s="6"/>
      <c r="F245" s="6"/>
      <c r="G245" s="4"/>
      <c r="H245" s="4"/>
      <c r="I245" s="4"/>
      <c r="J245" s="4"/>
      <c r="K245" s="4"/>
      <c r="L245" s="4"/>
      <c r="M245" s="4"/>
      <c r="N245" s="4"/>
      <c r="O245" s="4"/>
      <c r="P245" s="4"/>
      <c r="Q245" s="4"/>
      <c r="R245" s="4"/>
      <c r="S245" s="4"/>
      <c r="T245" s="4"/>
      <c r="U245" s="4"/>
      <c r="V245" s="4"/>
      <c r="W245" s="4"/>
    </row>
    <row r="246" spans="2:23" x14ac:dyDescent="0.25">
      <c r="B246" s="4"/>
      <c r="C246" s="6"/>
      <c r="D246" s="6"/>
      <c r="E246" s="6"/>
      <c r="F246" s="6"/>
      <c r="G246" s="4"/>
      <c r="H246" s="4"/>
      <c r="I246" s="4"/>
      <c r="J246" s="4"/>
      <c r="K246" s="4"/>
      <c r="L246" s="4"/>
      <c r="M246" s="4"/>
      <c r="N246" s="4"/>
      <c r="O246" s="4"/>
      <c r="P246" s="4"/>
      <c r="Q246" s="4"/>
      <c r="R246" s="4"/>
      <c r="S246" s="4"/>
      <c r="T246" s="4"/>
      <c r="U246" s="4"/>
      <c r="V246" s="4"/>
      <c r="W246" s="4"/>
    </row>
    <row r="247" spans="2:23" x14ac:dyDescent="0.25">
      <c r="B247" s="4"/>
      <c r="C247" s="6"/>
      <c r="D247" s="6"/>
      <c r="E247" s="6"/>
      <c r="F247" s="6"/>
      <c r="G247" s="4"/>
      <c r="H247" s="4"/>
      <c r="I247" s="4"/>
      <c r="J247" s="4"/>
      <c r="K247" s="4"/>
      <c r="L247" s="4"/>
      <c r="M247" s="4"/>
      <c r="N247" s="4"/>
      <c r="O247" s="4"/>
      <c r="P247" s="4"/>
      <c r="Q247" s="4"/>
      <c r="R247" s="4"/>
      <c r="S247" s="4"/>
      <c r="T247" s="4"/>
      <c r="U247" s="4"/>
      <c r="V247" s="4"/>
      <c r="W247" s="4"/>
    </row>
    <row r="248" spans="2:23" x14ac:dyDescent="0.25">
      <c r="B248" s="4"/>
      <c r="C248" s="6"/>
      <c r="D248" s="6"/>
      <c r="E248" s="6"/>
      <c r="F248" s="6"/>
      <c r="G248" s="4"/>
      <c r="H248" s="4"/>
      <c r="I248" s="4"/>
      <c r="J248" s="4"/>
      <c r="K248" s="4"/>
      <c r="L248" s="4"/>
      <c r="M248" s="4"/>
      <c r="N248" s="4"/>
      <c r="O248" s="4"/>
      <c r="P248" s="4"/>
      <c r="Q248" s="4"/>
      <c r="R248" s="4"/>
      <c r="S248" s="4"/>
      <c r="T248" s="4"/>
      <c r="U248" s="4"/>
      <c r="V248" s="4"/>
      <c r="W248" s="4"/>
    </row>
    <row r="249" spans="2:23" x14ac:dyDescent="0.25">
      <c r="B249" s="4"/>
      <c r="C249" s="6"/>
      <c r="D249" s="6"/>
      <c r="E249" s="6"/>
      <c r="F249" s="6"/>
      <c r="G249" s="4"/>
      <c r="H249" s="4"/>
      <c r="I249" s="4"/>
      <c r="J249" s="4"/>
      <c r="K249" s="4"/>
      <c r="L249" s="4"/>
      <c r="M249" s="4"/>
      <c r="N249" s="4"/>
      <c r="O249" s="4"/>
      <c r="P249" s="4"/>
      <c r="Q249" s="4"/>
      <c r="R249" s="4"/>
      <c r="S249" s="4"/>
      <c r="T249" s="4"/>
      <c r="U249" s="4"/>
      <c r="V249" s="4"/>
      <c r="W249" s="4"/>
    </row>
    <row r="250" spans="2:23" x14ac:dyDescent="0.25">
      <c r="B250" s="4"/>
      <c r="C250" s="6"/>
      <c r="D250" s="6"/>
      <c r="E250" s="6"/>
      <c r="F250" s="6"/>
      <c r="G250" s="4"/>
      <c r="H250" s="4"/>
      <c r="I250" s="4"/>
      <c r="J250" s="4"/>
      <c r="K250" s="4"/>
      <c r="L250" s="4"/>
      <c r="M250" s="4"/>
      <c r="N250" s="4"/>
      <c r="O250" s="4"/>
      <c r="P250" s="4"/>
      <c r="Q250" s="4"/>
      <c r="R250" s="4"/>
      <c r="S250" s="4"/>
      <c r="T250" s="4"/>
      <c r="U250" s="4"/>
      <c r="V250" s="4"/>
      <c r="W250" s="4"/>
    </row>
    <row r="251" spans="2:23" x14ac:dyDescent="0.25">
      <c r="B251" s="4"/>
      <c r="C251" s="6"/>
      <c r="D251" s="6"/>
      <c r="E251" s="6"/>
      <c r="F251" s="6"/>
      <c r="G251" s="4"/>
      <c r="H251" s="4"/>
      <c r="I251" s="4"/>
      <c r="J251" s="4"/>
      <c r="K251" s="4"/>
      <c r="L251" s="4"/>
      <c r="M251" s="4"/>
      <c r="N251" s="4"/>
      <c r="O251" s="4"/>
      <c r="P251" s="4"/>
      <c r="Q251" s="4"/>
      <c r="R251" s="4"/>
      <c r="S251" s="4"/>
      <c r="T251" s="4"/>
      <c r="U251" s="4"/>
      <c r="V251" s="4"/>
      <c r="W251" s="4"/>
    </row>
    <row r="252" spans="2:23" x14ac:dyDescent="0.25">
      <c r="B252" s="4"/>
      <c r="C252" s="6"/>
      <c r="D252" s="6"/>
      <c r="E252" s="6"/>
      <c r="F252" s="6"/>
      <c r="G252" s="4"/>
      <c r="H252" s="4"/>
      <c r="I252" s="4"/>
      <c r="J252" s="4"/>
      <c r="K252" s="4"/>
      <c r="L252" s="4"/>
      <c r="M252" s="4"/>
      <c r="N252" s="4"/>
      <c r="O252" s="4"/>
      <c r="P252" s="4"/>
      <c r="Q252" s="4"/>
      <c r="R252" s="4"/>
      <c r="S252" s="4"/>
      <c r="T252" s="4"/>
      <c r="U252" s="4"/>
      <c r="V252" s="4"/>
      <c r="W252" s="4"/>
    </row>
    <row r="253" spans="2:23" x14ac:dyDescent="0.25">
      <c r="B253" s="4"/>
      <c r="C253" s="6"/>
      <c r="D253" s="6"/>
      <c r="E253" s="6"/>
      <c r="F253" s="6"/>
      <c r="G253" s="4"/>
      <c r="H253" s="4"/>
      <c r="I253" s="4"/>
      <c r="J253" s="4"/>
      <c r="K253" s="4"/>
      <c r="L253" s="4"/>
      <c r="M253" s="4"/>
      <c r="N253" s="4"/>
      <c r="O253" s="4"/>
      <c r="P253" s="4"/>
      <c r="Q253" s="4"/>
      <c r="R253" s="4"/>
      <c r="S253" s="4"/>
      <c r="T253" s="4"/>
      <c r="U253" s="4"/>
      <c r="V253" s="4"/>
      <c r="W253" s="4"/>
    </row>
    <row r="254" spans="2:23" x14ac:dyDescent="0.25">
      <c r="B254" s="4"/>
      <c r="C254" s="6"/>
      <c r="D254" s="6"/>
      <c r="E254" s="6"/>
      <c r="F254" s="6"/>
      <c r="G254" s="4"/>
      <c r="H254" s="4"/>
      <c r="I254" s="4"/>
      <c r="J254" s="4"/>
      <c r="K254" s="4"/>
      <c r="L254" s="4"/>
      <c r="M254" s="4"/>
      <c r="N254" s="4"/>
      <c r="O254" s="4"/>
      <c r="P254" s="4"/>
      <c r="Q254" s="4"/>
      <c r="R254" s="4"/>
      <c r="S254" s="4"/>
      <c r="T254" s="4"/>
      <c r="U254" s="4"/>
      <c r="V254" s="4"/>
      <c r="W254" s="4"/>
    </row>
    <row r="255" spans="2:23" x14ac:dyDescent="0.25">
      <c r="B255" s="4"/>
      <c r="C255" s="6"/>
      <c r="D255" s="6"/>
      <c r="E255" s="6"/>
      <c r="F255" s="6"/>
      <c r="G255" s="4"/>
      <c r="H255" s="4"/>
      <c r="I255" s="4"/>
      <c r="J255" s="4"/>
      <c r="K255" s="4"/>
      <c r="L255" s="4"/>
      <c r="M255" s="4"/>
      <c r="N255" s="4"/>
      <c r="O255" s="4"/>
      <c r="P255" s="4"/>
      <c r="Q255" s="4"/>
      <c r="R255" s="4"/>
      <c r="S255" s="4"/>
      <c r="T255" s="4"/>
      <c r="U255" s="4"/>
      <c r="V255" s="4"/>
      <c r="W255" s="4"/>
    </row>
    <row r="256" spans="2:23" x14ac:dyDescent="0.25">
      <c r="B256" s="4"/>
      <c r="C256" s="6"/>
      <c r="D256" s="6"/>
      <c r="E256" s="6"/>
      <c r="F256" s="6"/>
      <c r="G256" s="4"/>
      <c r="H256" s="4"/>
      <c r="I256" s="4"/>
      <c r="J256" s="4"/>
      <c r="K256" s="4"/>
      <c r="L256" s="4"/>
      <c r="M256" s="4"/>
      <c r="N256" s="4"/>
      <c r="O256" s="4"/>
      <c r="P256" s="4"/>
      <c r="Q256" s="4"/>
      <c r="R256" s="4"/>
      <c r="S256" s="4"/>
      <c r="T256" s="4"/>
      <c r="U256" s="4"/>
      <c r="V256" s="4"/>
      <c r="W256" s="4"/>
    </row>
    <row r="257" spans="2:23" x14ac:dyDescent="0.25">
      <c r="B257" s="4"/>
      <c r="C257" s="6"/>
      <c r="D257" s="6"/>
      <c r="E257" s="6"/>
      <c r="F257" s="6"/>
      <c r="G257" s="4"/>
      <c r="H257" s="4"/>
      <c r="I257" s="4"/>
      <c r="J257" s="4"/>
      <c r="K257" s="4"/>
      <c r="L257" s="4"/>
      <c r="M257" s="4"/>
      <c r="N257" s="4"/>
      <c r="O257" s="4"/>
      <c r="P257" s="4"/>
      <c r="Q257" s="4"/>
      <c r="R257" s="4"/>
      <c r="S257" s="4"/>
      <c r="T257" s="4"/>
      <c r="U257" s="4"/>
      <c r="V257" s="4"/>
      <c r="W257" s="4"/>
    </row>
    <row r="258" spans="2:23" x14ac:dyDescent="0.25">
      <c r="B258" s="4"/>
      <c r="C258" s="6"/>
      <c r="D258" s="6"/>
      <c r="E258" s="6"/>
      <c r="F258" s="6"/>
      <c r="G258" s="4"/>
      <c r="H258" s="4"/>
      <c r="I258" s="4"/>
      <c r="J258" s="4"/>
      <c r="K258" s="4"/>
      <c r="L258" s="4"/>
      <c r="M258" s="4"/>
      <c r="N258" s="4"/>
      <c r="O258" s="4"/>
      <c r="P258" s="4"/>
      <c r="Q258" s="4"/>
      <c r="R258" s="4"/>
      <c r="S258" s="4"/>
      <c r="T258" s="4"/>
      <c r="U258" s="4"/>
      <c r="V258" s="4"/>
      <c r="W258" s="4"/>
    </row>
    <row r="259" spans="2:23" x14ac:dyDescent="0.25">
      <c r="B259" s="4"/>
      <c r="C259" s="6"/>
      <c r="D259" s="6"/>
      <c r="E259" s="6"/>
      <c r="F259" s="6"/>
      <c r="G259" s="4"/>
      <c r="H259" s="4"/>
      <c r="I259" s="4"/>
      <c r="J259" s="4"/>
      <c r="K259" s="4"/>
      <c r="L259" s="4"/>
      <c r="M259" s="4"/>
      <c r="N259" s="4"/>
      <c r="O259" s="4"/>
      <c r="P259" s="4"/>
      <c r="Q259" s="4"/>
      <c r="R259" s="4"/>
      <c r="S259" s="4"/>
      <c r="T259" s="4"/>
      <c r="U259" s="4"/>
      <c r="V259" s="4"/>
      <c r="W259" s="4"/>
    </row>
    <row r="260" spans="2:23" x14ac:dyDescent="0.25">
      <c r="B260" s="4"/>
      <c r="C260" s="6"/>
      <c r="D260" s="6"/>
      <c r="E260" s="6"/>
      <c r="F260" s="6"/>
      <c r="G260" s="4"/>
      <c r="H260" s="4"/>
      <c r="I260" s="4"/>
      <c r="J260" s="4"/>
      <c r="K260" s="4"/>
      <c r="L260" s="4"/>
      <c r="M260" s="4"/>
      <c r="N260" s="4"/>
      <c r="O260" s="4"/>
      <c r="P260" s="4"/>
      <c r="Q260" s="4"/>
      <c r="R260" s="4"/>
      <c r="S260" s="4"/>
      <c r="T260" s="4"/>
      <c r="U260" s="4"/>
      <c r="V260" s="4"/>
      <c r="W260" s="4"/>
    </row>
    <row r="261" spans="2:23" x14ac:dyDescent="0.25">
      <c r="B261" s="4"/>
      <c r="C261" s="6"/>
      <c r="D261" s="6"/>
      <c r="E261" s="6"/>
      <c r="F261" s="6"/>
      <c r="G261" s="4"/>
      <c r="H261" s="4"/>
      <c r="I261" s="4"/>
      <c r="J261" s="4"/>
      <c r="K261" s="4"/>
      <c r="L261" s="4"/>
      <c r="M261" s="4"/>
      <c r="N261" s="4"/>
      <c r="O261" s="4"/>
      <c r="P261" s="4"/>
      <c r="Q261" s="4"/>
      <c r="R261" s="4"/>
      <c r="S261" s="4"/>
      <c r="T261" s="4"/>
      <c r="U261" s="4"/>
      <c r="V261" s="4"/>
      <c r="W261" s="4"/>
    </row>
    <row r="262" spans="2:23" x14ac:dyDescent="0.25">
      <c r="B262" s="4"/>
      <c r="C262" s="6"/>
      <c r="D262" s="6"/>
      <c r="E262" s="6"/>
      <c r="F262" s="6"/>
      <c r="G262" s="4"/>
      <c r="H262" s="4"/>
      <c r="I262" s="4"/>
      <c r="J262" s="4"/>
      <c r="K262" s="4"/>
      <c r="L262" s="4"/>
      <c r="M262" s="4"/>
      <c r="N262" s="4"/>
      <c r="O262" s="4"/>
      <c r="P262" s="4"/>
      <c r="Q262" s="4"/>
      <c r="R262" s="4"/>
      <c r="S262" s="4"/>
      <c r="T262" s="4"/>
      <c r="U262" s="4"/>
      <c r="V262" s="4"/>
      <c r="W262" s="4"/>
    </row>
    <row r="263" spans="2:23" x14ac:dyDescent="0.25">
      <c r="B263" s="4"/>
      <c r="C263" s="6"/>
      <c r="D263" s="6"/>
      <c r="E263" s="6"/>
      <c r="F263" s="6"/>
      <c r="G263" s="4"/>
      <c r="H263" s="4"/>
      <c r="I263" s="4"/>
      <c r="J263" s="4"/>
      <c r="K263" s="4"/>
      <c r="L263" s="4"/>
      <c r="M263" s="4"/>
      <c r="N263" s="4"/>
      <c r="O263" s="4"/>
      <c r="P263" s="4"/>
      <c r="Q263" s="4"/>
      <c r="R263" s="4"/>
      <c r="S263" s="4"/>
      <c r="T263" s="4"/>
      <c r="U263" s="4"/>
      <c r="V263" s="4"/>
      <c r="W263" s="4"/>
    </row>
    <row r="264" spans="2:23" x14ac:dyDescent="0.25">
      <c r="B264" s="4"/>
      <c r="C264" s="6"/>
      <c r="D264" s="6"/>
      <c r="E264" s="6"/>
      <c r="F264" s="6"/>
      <c r="G264" s="4"/>
      <c r="H264" s="4"/>
      <c r="I264" s="4"/>
      <c r="J264" s="4"/>
      <c r="K264" s="4"/>
      <c r="L264" s="4"/>
      <c r="M264" s="4"/>
      <c r="N264" s="4"/>
      <c r="O264" s="4"/>
      <c r="P264" s="4"/>
      <c r="Q264" s="4"/>
      <c r="R264" s="4"/>
      <c r="S264" s="4"/>
      <c r="T264" s="4"/>
      <c r="U264" s="4"/>
      <c r="V264" s="4"/>
      <c r="W264" s="4"/>
    </row>
    <row r="265" spans="2:23" x14ac:dyDescent="0.25">
      <c r="B265" s="4"/>
      <c r="C265" s="6"/>
      <c r="D265" s="6"/>
      <c r="E265" s="6"/>
      <c r="F265" s="6"/>
      <c r="G265" s="4"/>
      <c r="H265" s="4"/>
      <c r="I265" s="4"/>
      <c r="J265" s="4"/>
      <c r="K265" s="4"/>
      <c r="L265" s="4"/>
      <c r="M265" s="4"/>
      <c r="N265" s="4"/>
      <c r="O265" s="4"/>
      <c r="P265" s="4"/>
      <c r="Q265" s="4"/>
      <c r="R265" s="4"/>
      <c r="S265" s="4"/>
      <c r="T265" s="4"/>
      <c r="U265" s="4"/>
      <c r="V265" s="4"/>
      <c r="W265" s="4"/>
    </row>
    <row r="266" spans="2:23" x14ac:dyDescent="0.25">
      <c r="B266" s="4"/>
      <c r="C266" s="6"/>
      <c r="D266" s="6"/>
      <c r="E266" s="6"/>
      <c r="F266" s="6"/>
      <c r="G266" s="4"/>
      <c r="H266" s="4"/>
      <c r="I266" s="4"/>
      <c r="J266" s="4"/>
      <c r="K266" s="4"/>
      <c r="L266" s="4"/>
      <c r="M266" s="4"/>
      <c r="N266" s="4"/>
      <c r="O266" s="4"/>
      <c r="P266" s="4"/>
      <c r="Q266" s="4"/>
      <c r="R266" s="4"/>
      <c r="S266" s="4"/>
      <c r="T266" s="4"/>
      <c r="U266" s="4"/>
      <c r="V266" s="4"/>
      <c r="W266" s="4"/>
    </row>
    <row r="267" spans="2:23" x14ac:dyDescent="0.25">
      <c r="B267" s="4"/>
      <c r="C267" s="6"/>
      <c r="D267" s="6"/>
      <c r="E267" s="6"/>
      <c r="F267" s="6"/>
      <c r="G267" s="4"/>
      <c r="H267" s="4"/>
      <c r="I267" s="4"/>
      <c r="J267" s="4"/>
      <c r="K267" s="4"/>
      <c r="L267" s="4"/>
      <c r="M267" s="4"/>
      <c r="N267" s="4"/>
      <c r="O267" s="4"/>
      <c r="P267" s="4"/>
      <c r="Q267" s="4"/>
      <c r="R267" s="4"/>
      <c r="S267" s="4"/>
      <c r="T267" s="4"/>
      <c r="U267" s="4"/>
      <c r="V267" s="4"/>
      <c r="W267" s="4"/>
    </row>
    <row r="268" spans="2:23" x14ac:dyDescent="0.25">
      <c r="B268" s="4"/>
      <c r="C268" s="6"/>
      <c r="D268" s="6"/>
      <c r="E268" s="6"/>
      <c r="F268" s="6"/>
      <c r="G268" s="4"/>
      <c r="H268" s="4"/>
      <c r="I268" s="4"/>
      <c r="J268" s="4"/>
      <c r="K268" s="4"/>
      <c r="L268" s="4"/>
      <c r="M268" s="4"/>
      <c r="N268" s="4"/>
      <c r="O268" s="4"/>
      <c r="P268" s="4"/>
      <c r="Q268" s="4"/>
      <c r="R268" s="4"/>
      <c r="S268" s="4"/>
      <c r="T268" s="4"/>
      <c r="U268" s="4"/>
      <c r="V268" s="4"/>
      <c r="W268" s="4"/>
    </row>
    <row r="269" spans="2:23" x14ac:dyDescent="0.25">
      <c r="B269" s="4"/>
      <c r="C269" s="6"/>
      <c r="D269" s="6"/>
      <c r="E269" s="6"/>
      <c r="F269" s="6"/>
      <c r="G269" s="4"/>
      <c r="H269" s="4"/>
      <c r="I269" s="4"/>
      <c r="J269" s="4"/>
      <c r="K269" s="4"/>
      <c r="L269" s="4"/>
      <c r="M269" s="4"/>
      <c r="N269" s="4"/>
      <c r="O269" s="4"/>
      <c r="P269" s="4"/>
      <c r="Q269" s="4"/>
      <c r="R269" s="4"/>
      <c r="S269" s="4"/>
      <c r="T269" s="4"/>
      <c r="U269" s="4"/>
      <c r="V269" s="4"/>
      <c r="W269" s="4"/>
    </row>
    <row r="270" spans="2:23" x14ac:dyDescent="0.25">
      <c r="B270" s="4"/>
      <c r="C270" s="6"/>
      <c r="D270" s="6"/>
      <c r="E270" s="6"/>
      <c r="F270" s="6"/>
      <c r="G270" s="4"/>
      <c r="H270" s="4"/>
      <c r="I270" s="4"/>
      <c r="J270" s="4"/>
      <c r="K270" s="4"/>
      <c r="L270" s="4"/>
      <c r="M270" s="4"/>
      <c r="N270" s="4"/>
      <c r="O270" s="4"/>
      <c r="P270" s="4"/>
      <c r="Q270" s="4"/>
      <c r="R270" s="4"/>
      <c r="S270" s="4"/>
      <c r="T270" s="4"/>
      <c r="U270" s="4"/>
      <c r="V270" s="4"/>
      <c r="W270" s="4"/>
    </row>
    <row r="271" spans="2:23" x14ac:dyDescent="0.25">
      <c r="B271" s="4"/>
      <c r="C271" s="6"/>
      <c r="D271" s="6"/>
      <c r="E271" s="6"/>
      <c r="F271" s="6"/>
      <c r="G271" s="4"/>
      <c r="H271" s="4"/>
      <c r="I271" s="4"/>
      <c r="J271" s="4"/>
      <c r="K271" s="4"/>
      <c r="L271" s="4"/>
      <c r="M271" s="4"/>
      <c r="N271" s="4"/>
      <c r="O271" s="4"/>
      <c r="P271" s="4"/>
      <c r="Q271" s="4"/>
      <c r="R271" s="4"/>
      <c r="S271" s="4"/>
      <c r="T271" s="4"/>
      <c r="U271" s="4"/>
      <c r="V271" s="4"/>
      <c r="W271" s="4"/>
    </row>
    <row r="272" spans="2:23" x14ac:dyDescent="0.25">
      <c r="B272" s="4"/>
      <c r="C272" s="6"/>
      <c r="D272" s="6"/>
      <c r="E272" s="6"/>
      <c r="F272" s="6"/>
      <c r="G272" s="4"/>
      <c r="H272" s="4"/>
      <c r="I272" s="4"/>
      <c r="J272" s="4"/>
      <c r="K272" s="4"/>
      <c r="L272" s="4"/>
      <c r="M272" s="4"/>
      <c r="N272" s="4"/>
      <c r="O272" s="4"/>
      <c r="P272" s="4"/>
      <c r="Q272" s="4"/>
      <c r="R272" s="4"/>
      <c r="S272" s="4"/>
      <c r="T272" s="4"/>
      <c r="U272" s="4"/>
      <c r="V272" s="4"/>
      <c r="W272" s="4"/>
    </row>
    <row r="273" spans="2:23" x14ac:dyDescent="0.25">
      <c r="B273" s="4"/>
      <c r="C273" s="6"/>
      <c r="D273" s="6"/>
      <c r="E273" s="6"/>
      <c r="F273" s="6"/>
      <c r="G273" s="4"/>
      <c r="H273" s="4"/>
      <c r="I273" s="4"/>
      <c r="J273" s="4"/>
      <c r="K273" s="4"/>
      <c r="L273" s="4"/>
      <c r="M273" s="4"/>
      <c r="N273" s="4"/>
      <c r="O273" s="4"/>
      <c r="P273" s="4"/>
      <c r="Q273" s="4"/>
      <c r="R273" s="4"/>
      <c r="S273" s="4"/>
      <c r="T273" s="4"/>
      <c r="U273" s="4"/>
      <c r="V273" s="4"/>
      <c r="W273" s="4"/>
    </row>
    <row r="274" spans="2:23" x14ac:dyDescent="0.25">
      <c r="B274" s="4"/>
      <c r="C274" s="6"/>
      <c r="D274" s="6"/>
      <c r="E274" s="6"/>
      <c r="F274" s="6"/>
      <c r="G274" s="4"/>
      <c r="H274" s="4"/>
      <c r="I274" s="4"/>
      <c r="J274" s="4"/>
      <c r="K274" s="4"/>
      <c r="L274" s="4"/>
      <c r="M274" s="4"/>
      <c r="N274" s="4"/>
      <c r="O274" s="4"/>
      <c r="P274" s="4"/>
      <c r="Q274" s="4"/>
      <c r="R274" s="4"/>
      <c r="S274" s="4"/>
      <c r="T274" s="4"/>
      <c r="U274" s="4"/>
      <c r="V274" s="4"/>
      <c r="W274" s="4"/>
    </row>
    <row r="275" spans="2:23" x14ac:dyDescent="0.25">
      <c r="B275" s="4"/>
      <c r="C275" s="6"/>
      <c r="D275" s="6"/>
      <c r="E275" s="6"/>
      <c r="F275" s="6"/>
      <c r="G275" s="4"/>
      <c r="H275" s="4"/>
      <c r="I275" s="4"/>
      <c r="J275" s="4"/>
      <c r="K275" s="4"/>
      <c r="L275" s="4"/>
      <c r="M275" s="4"/>
      <c r="N275" s="4"/>
      <c r="O275" s="4"/>
      <c r="P275" s="4"/>
      <c r="Q275" s="4"/>
      <c r="R275" s="4"/>
      <c r="S275" s="4"/>
      <c r="T275" s="4"/>
      <c r="U275" s="4"/>
      <c r="V275" s="4"/>
      <c r="W275" s="4"/>
    </row>
    <row r="276" spans="2:23" x14ac:dyDescent="0.25">
      <c r="B276" s="4"/>
      <c r="C276" s="6"/>
      <c r="D276" s="6"/>
      <c r="E276" s="6"/>
      <c r="F276" s="6"/>
      <c r="G276" s="4"/>
      <c r="H276" s="4"/>
      <c r="I276" s="4"/>
      <c r="J276" s="4"/>
      <c r="K276" s="4"/>
      <c r="L276" s="4"/>
      <c r="M276" s="4"/>
      <c r="N276" s="4"/>
      <c r="O276" s="4"/>
      <c r="P276" s="4"/>
      <c r="Q276" s="4"/>
      <c r="R276" s="4"/>
      <c r="S276" s="4"/>
      <c r="T276" s="4"/>
      <c r="U276" s="4"/>
      <c r="V276" s="4"/>
      <c r="W276" s="4"/>
    </row>
    <row r="277" spans="2:23" x14ac:dyDescent="0.25">
      <c r="B277" s="4"/>
      <c r="C277" s="6"/>
      <c r="D277" s="6"/>
      <c r="E277" s="6"/>
      <c r="F277" s="6"/>
      <c r="G277" s="4"/>
      <c r="H277" s="4"/>
      <c r="I277" s="4"/>
      <c r="J277" s="4"/>
      <c r="K277" s="4"/>
      <c r="L277" s="4"/>
      <c r="M277" s="4"/>
      <c r="N277" s="4"/>
      <c r="O277" s="4"/>
      <c r="P277" s="4"/>
      <c r="Q277" s="4"/>
      <c r="R277" s="4"/>
      <c r="S277" s="4"/>
      <c r="T277" s="4"/>
      <c r="U277" s="4"/>
      <c r="V277" s="4"/>
      <c r="W277" s="4"/>
    </row>
    <row r="278" spans="2:23" x14ac:dyDescent="0.25">
      <c r="B278" s="4"/>
      <c r="C278" s="6"/>
      <c r="D278" s="6"/>
      <c r="E278" s="6"/>
      <c r="F278" s="6"/>
      <c r="G278" s="4"/>
      <c r="H278" s="4"/>
      <c r="I278" s="4"/>
      <c r="J278" s="4"/>
      <c r="K278" s="4"/>
      <c r="L278" s="4"/>
      <c r="M278" s="4"/>
      <c r="N278" s="4"/>
      <c r="O278" s="4"/>
      <c r="P278" s="4"/>
      <c r="Q278" s="4"/>
      <c r="R278" s="4"/>
      <c r="S278" s="4"/>
      <c r="T278" s="4"/>
      <c r="U278" s="4"/>
      <c r="V278" s="4"/>
      <c r="W278" s="4"/>
    </row>
    <row r="279" spans="2:23" x14ac:dyDescent="0.25">
      <c r="B279" s="4"/>
      <c r="C279" s="6"/>
      <c r="D279" s="6"/>
      <c r="E279" s="6"/>
      <c r="F279" s="6"/>
      <c r="G279" s="4"/>
      <c r="H279" s="4"/>
      <c r="I279" s="4"/>
      <c r="J279" s="4"/>
      <c r="K279" s="4"/>
      <c r="L279" s="4"/>
      <c r="M279" s="4"/>
      <c r="N279" s="4"/>
      <c r="O279" s="4"/>
      <c r="P279" s="4"/>
      <c r="Q279" s="4"/>
      <c r="R279" s="4"/>
      <c r="S279" s="4"/>
      <c r="T279" s="4"/>
      <c r="U279" s="4"/>
      <c r="V279" s="4"/>
      <c r="W279" s="4"/>
    </row>
    <row r="280" spans="2:23" x14ac:dyDescent="0.25">
      <c r="B280" s="4"/>
      <c r="C280" s="6"/>
      <c r="D280" s="6"/>
      <c r="E280" s="6"/>
      <c r="F280" s="6"/>
      <c r="G280" s="4"/>
      <c r="H280" s="4"/>
      <c r="I280" s="4"/>
      <c r="J280" s="4"/>
      <c r="K280" s="4"/>
      <c r="L280" s="4"/>
      <c r="M280" s="4"/>
      <c r="N280" s="4"/>
      <c r="O280" s="4"/>
      <c r="P280" s="4"/>
      <c r="Q280" s="4"/>
      <c r="R280" s="4"/>
      <c r="S280" s="4"/>
      <c r="T280" s="4"/>
      <c r="U280" s="4"/>
      <c r="V280" s="4"/>
      <c r="W280" s="4"/>
    </row>
    <row r="281" spans="2:23" x14ac:dyDescent="0.25">
      <c r="B281" s="4"/>
      <c r="C281" s="6"/>
      <c r="D281" s="6"/>
      <c r="E281" s="6"/>
      <c r="F281" s="6"/>
      <c r="G281" s="4"/>
      <c r="H281" s="4"/>
      <c r="I281" s="4"/>
      <c r="J281" s="4"/>
      <c r="K281" s="4"/>
      <c r="L281" s="4"/>
      <c r="M281" s="4"/>
      <c r="N281" s="4"/>
      <c r="O281" s="4"/>
      <c r="P281" s="4"/>
      <c r="Q281" s="4"/>
      <c r="R281" s="4"/>
      <c r="S281" s="4"/>
      <c r="T281" s="4"/>
      <c r="U281" s="4"/>
      <c r="V281" s="4"/>
      <c r="W281" s="4"/>
    </row>
    <row r="282" spans="2:23" x14ac:dyDescent="0.25">
      <c r="B282" s="4"/>
      <c r="C282" s="6"/>
      <c r="D282" s="6"/>
      <c r="E282" s="6"/>
      <c r="F282" s="6"/>
      <c r="G282" s="4"/>
      <c r="H282" s="4"/>
      <c r="I282" s="4"/>
      <c r="J282" s="4"/>
      <c r="K282" s="4"/>
      <c r="L282" s="4"/>
      <c r="M282" s="4"/>
      <c r="N282" s="4"/>
      <c r="O282" s="4"/>
      <c r="P282" s="4"/>
      <c r="Q282" s="4"/>
      <c r="R282" s="4"/>
      <c r="S282" s="4"/>
      <c r="T282" s="4"/>
      <c r="U282" s="4"/>
      <c r="V282" s="4"/>
      <c r="W282" s="4"/>
    </row>
    <row r="283" spans="2:23" x14ac:dyDescent="0.25">
      <c r="B283" s="4"/>
      <c r="C283" s="6"/>
      <c r="D283" s="6"/>
      <c r="E283" s="6"/>
      <c r="F283" s="6"/>
      <c r="G283" s="4"/>
      <c r="H283" s="4"/>
      <c r="I283" s="4"/>
      <c r="J283" s="4"/>
      <c r="K283" s="4"/>
      <c r="L283" s="4"/>
      <c r="M283" s="4"/>
      <c r="N283" s="4"/>
      <c r="O283" s="4"/>
      <c r="P283" s="4"/>
      <c r="Q283" s="4"/>
      <c r="R283" s="4"/>
      <c r="S283" s="4"/>
      <c r="T283" s="4"/>
      <c r="U283" s="4"/>
      <c r="V283" s="4"/>
      <c r="W283" s="4"/>
    </row>
    <row r="284" spans="2:23" x14ac:dyDescent="0.25">
      <c r="B284" s="4"/>
      <c r="C284" s="6"/>
      <c r="D284" s="6"/>
      <c r="E284" s="6"/>
      <c r="F284" s="6"/>
      <c r="G284" s="4"/>
      <c r="H284" s="4"/>
      <c r="I284" s="4"/>
      <c r="J284" s="4"/>
      <c r="K284" s="4"/>
      <c r="L284" s="4"/>
      <c r="M284" s="4"/>
      <c r="N284" s="4"/>
      <c r="O284" s="4"/>
      <c r="P284" s="4"/>
      <c r="Q284" s="4"/>
      <c r="R284" s="4"/>
      <c r="S284" s="4"/>
      <c r="T284" s="4"/>
      <c r="U284" s="4"/>
      <c r="V284" s="4"/>
      <c r="W284" s="4"/>
    </row>
    <row r="285" spans="2:23" x14ac:dyDescent="0.25">
      <c r="B285" s="4"/>
      <c r="C285" s="6"/>
      <c r="D285" s="6"/>
      <c r="E285" s="6"/>
      <c r="F285" s="6"/>
      <c r="G285" s="4"/>
      <c r="H285" s="4"/>
      <c r="I285" s="4"/>
      <c r="J285" s="4"/>
      <c r="K285" s="4"/>
      <c r="L285" s="4"/>
      <c r="M285" s="4"/>
      <c r="N285" s="4"/>
      <c r="O285" s="4"/>
      <c r="P285" s="4"/>
      <c r="Q285" s="4"/>
      <c r="R285" s="4"/>
      <c r="S285" s="4"/>
      <c r="T285" s="4"/>
      <c r="U285" s="4"/>
      <c r="V285" s="4"/>
      <c r="W285" s="4"/>
    </row>
    <row r="286" spans="2:23" x14ac:dyDescent="0.25">
      <c r="B286" s="4"/>
      <c r="C286" s="6"/>
      <c r="D286" s="6"/>
      <c r="E286" s="6"/>
      <c r="F286" s="6"/>
      <c r="G286" s="4"/>
      <c r="H286" s="4"/>
      <c r="I286" s="4"/>
      <c r="J286" s="4"/>
      <c r="K286" s="4"/>
      <c r="L286" s="4"/>
      <c r="M286" s="4"/>
      <c r="N286" s="4"/>
      <c r="O286" s="4"/>
      <c r="P286" s="4"/>
      <c r="Q286" s="4"/>
      <c r="R286" s="4"/>
      <c r="S286" s="4"/>
      <c r="T286" s="4"/>
      <c r="U286" s="4"/>
      <c r="V286" s="4"/>
      <c r="W286" s="4"/>
    </row>
    <row r="287" spans="2:23" x14ac:dyDescent="0.25">
      <c r="B287" s="4"/>
      <c r="C287" s="6"/>
      <c r="D287" s="6"/>
      <c r="E287" s="6"/>
      <c r="F287" s="6"/>
      <c r="G287" s="4"/>
      <c r="H287" s="4"/>
      <c r="I287" s="4"/>
      <c r="J287" s="4"/>
      <c r="K287" s="4"/>
      <c r="L287" s="4"/>
      <c r="M287" s="4"/>
      <c r="N287" s="4"/>
      <c r="O287" s="4"/>
      <c r="P287" s="4"/>
      <c r="Q287" s="4"/>
      <c r="R287" s="4"/>
      <c r="S287" s="4"/>
      <c r="T287" s="4"/>
      <c r="U287" s="4"/>
      <c r="V287" s="4"/>
      <c r="W287" s="4"/>
    </row>
    <row r="288" spans="2:23" x14ac:dyDescent="0.25">
      <c r="B288" s="4"/>
      <c r="C288" s="6"/>
      <c r="D288" s="6"/>
      <c r="E288" s="6"/>
      <c r="F288" s="6"/>
      <c r="G288" s="4"/>
      <c r="H288" s="4"/>
      <c r="I288" s="4"/>
      <c r="J288" s="4"/>
      <c r="K288" s="4"/>
      <c r="L288" s="4"/>
      <c r="M288" s="4"/>
      <c r="N288" s="4"/>
      <c r="O288" s="4"/>
      <c r="P288" s="4"/>
      <c r="Q288" s="4"/>
      <c r="R288" s="4"/>
      <c r="S288" s="4"/>
      <c r="T288" s="4"/>
      <c r="U288" s="4"/>
      <c r="V288" s="4"/>
      <c r="W288" s="4"/>
    </row>
    <row r="289" spans="2:23" x14ac:dyDescent="0.25">
      <c r="B289" s="4"/>
      <c r="C289" s="6"/>
      <c r="D289" s="6"/>
      <c r="E289" s="6"/>
      <c r="F289" s="6"/>
      <c r="G289" s="4"/>
      <c r="H289" s="4"/>
      <c r="I289" s="4"/>
      <c r="J289" s="4"/>
      <c r="K289" s="4"/>
      <c r="L289" s="4"/>
      <c r="M289" s="4"/>
      <c r="N289" s="4"/>
      <c r="O289" s="4"/>
      <c r="P289" s="4"/>
      <c r="Q289" s="4"/>
      <c r="R289" s="4"/>
      <c r="S289" s="4"/>
      <c r="T289" s="4"/>
      <c r="U289" s="4"/>
      <c r="V289" s="4"/>
      <c r="W289" s="4"/>
    </row>
    <row r="290" spans="2:23" x14ac:dyDescent="0.25">
      <c r="B290" s="4"/>
      <c r="C290" s="6"/>
      <c r="D290" s="6"/>
      <c r="E290" s="6"/>
      <c r="F290" s="6"/>
      <c r="G290" s="4"/>
      <c r="H290" s="4"/>
      <c r="I290" s="4"/>
      <c r="J290" s="4"/>
      <c r="K290" s="4"/>
      <c r="L290" s="4"/>
      <c r="M290" s="4"/>
      <c r="N290" s="4"/>
      <c r="O290" s="4"/>
      <c r="P290" s="4"/>
      <c r="Q290" s="4"/>
      <c r="R290" s="4"/>
      <c r="S290" s="4"/>
      <c r="T290" s="4"/>
      <c r="U290" s="4"/>
      <c r="V290" s="4"/>
      <c r="W290" s="4"/>
    </row>
    <row r="291" spans="2:23" x14ac:dyDescent="0.25">
      <c r="B291" s="4"/>
      <c r="C291" s="6"/>
      <c r="D291" s="6"/>
      <c r="E291" s="6"/>
      <c r="F291" s="6"/>
      <c r="G291" s="4"/>
      <c r="H291" s="4"/>
      <c r="I291" s="4"/>
      <c r="J291" s="4"/>
      <c r="K291" s="4"/>
      <c r="L291" s="4"/>
      <c r="M291" s="4"/>
      <c r="N291" s="4"/>
      <c r="O291" s="4"/>
      <c r="P291" s="4"/>
      <c r="Q291" s="4"/>
      <c r="R291" s="4"/>
      <c r="S291" s="4"/>
      <c r="T291" s="4"/>
      <c r="U291" s="4"/>
      <c r="V291" s="4"/>
      <c r="W291" s="4"/>
    </row>
    <row r="292" spans="2:23" x14ac:dyDescent="0.25">
      <c r="B292" s="4"/>
      <c r="C292" s="6"/>
      <c r="D292" s="6"/>
      <c r="E292" s="6"/>
      <c r="F292" s="6"/>
      <c r="G292" s="4"/>
      <c r="H292" s="4"/>
      <c r="I292" s="4"/>
      <c r="J292" s="4"/>
      <c r="K292" s="4"/>
      <c r="L292" s="4"/>
      <c r="M292" s="4"/>
      <c r="N292" s="4"/>
      <c r="O292" s="4"/>
      <c r="P292" s="4"/>
      <c r="Q292" s="4"/>
      <c r="R292" s="4"/>
      <c r="S292" s="4"/>
      <c r="T292" s="4"/>
      <c r="U292" s="4"/>
      <c r="V292" s="4"/>
      <c r="W292" s="4"/>
    </row>
    <row r="293" spans="2:23" x14ac:dyDescent="0.25">
      <c r="B293" s="4"/>
      <c r="C293" s="6"/>
      <c r="D293" s="6"/>
      <c r="E293" s="6"/>
      <c r="F293" s="6"/>
      <c r="G293" s="4"/>
      <c r="H293" s="4"/>
      <c r="I293" s="4"/>
      <c r="J293" s="4"/>
      <c r="K293" s="4"/>
      <c r="L293" s="4"/>
      <c r="M293" s="4"/>
      <c r="N293" s="4"/>
      <c r="O293" s="4"/>
      <c r="P293" s="4"/>
      <c r="Q293" s="4"/>
      <c r="R293" s="4"/>
      <c r="S293" s="4"/>
      <c r="T293" s="4"/>
      <c r="U293" s="4"/>
      <c r="V293" s="4"/>
      <c r="W293" s="4"/>
    </row>
    <row r="294" spans="2:23" x14ac:dyDescent="0.25">
      <c r="B294" s="4"/>
      <c r="C294" s="6"/>
      <c r="D294" s="6"/>
      <c r="E294" s="6"/>
      <c r="F294" s="6"/>
      <c r="G294" s="4"/>
      <c r="H294" s="4"/>
      <c r="I294" s="4"/>
      <c r="J294" s="4"/>
      <c r="K294" s="4"/>
      <c r="L294" s="4"/>
      <c r="M294" s="4"/>
      <c r="N294" s="4"/>
      <c r="O294" s="4"/>
      <c r="P294" s="4"/>
      <c r="Q294" s="4"/>
      <c r="R294" s="4"/>
      <c r="S294" s="4"/>
      <c r="T294" s="4"/>
      <c r="U294" s="4"/>
      <c r="V294" s="4"/>
      <c r="W294" s="4"/>
    </row>
    <row r="295" spans="2:23" x14ac:dyDescent="0.25">
      <c r="B295" s="4"/>
      <c r="C295" s="6"/>
      <c r="D295" s="6"/>
      <c r="E295" s="6"/>
      <c r="F295" s="6"/>
      <c r="G295" s="4"/>
      <c r="H295" s="4"/>
      <c r="I295" s="4"/>
      <c r="J295" s="4"/>
      <c r="K295" s="4"/>
      <c r="L295" s="4"/>
      <c r="M295" s="4"/>
      <c r="N295" s="4"/>
      <c r="O295" s="4"/>
      <c r="P295" s="4"/>
      <c r="Q295" s="4"/>
      <c r="R295" s="4"/>
      <c r="S295" s="4"/>
      <c r="T295" s="4"/>
      <c r="U295" s="4"/>
      <c r="V295" s="4"/>
      <c r="W295" s="4"/>
    </row>
    <row r="296" spans="2:23" x14ac:dyDescent="0.25">
      <c r="B296" s="4"/>
      <c r="C296" s="6"/>
      <c r="D296" s="6"/>
      <c r="E296" s="6"/>
      <c r="F296" s="6"/>
      <c r="G296" s="4"/>
      <c r="H296" s="4"/>
      <c r="I296" s="4"/>
      <c r="J296" s="4"/>
      <c r="K296" s="4"/>
      <c r="L296" s="4"/>
      <c r="M296" s="4"/>
      <c r="N296" s="4"/>
      <c r="O296" s="4"/>
      <c r="P296" s="4"/>
      <c r="Q296" s="4"/>
      <c r="R296" s="4"/>
      <c r="S296" s="4"/>
      <c r="T296" s="4"/>
      <c r="U296" s="4"/>
      <c r="V296" s="4"/>
      <c r="W296" s="4"/>
    </row>
    <row r="297" spans="2:23" x14ac:dyDescent="0.25">
      <c r="B297" s="4"/>
      <c r="C297" s="6"/>
      <c r="D297" s="6"/>
      <c r="E297" s="6"/>
      <c r="F297" s="6"/>
      <c r="G297" s="4"/>
      <c r="H297" s="4"/>
      <c r="I297" s="4"/>
      <c r="J297" s="4"/>
      <c r="K297" s="4"/>
      <c r="L297" s="4"/>
      <c r="M297" s="4"/>
      <c r="N297" s="4"/>
      <c r="O297" s="4"/>
      <c r="P297" s="4"/>
      <c r="Q297" s="4"/>
      <c r="R297" s="4"/>
      <c r="S297" s="4"/>
      <c r="T297" s="4"/>
      <c r="U297" s="4"/>
      <c r="V297" s="4"/>
      <c r="W297" s="4"/>
    </row>
    <row r="298" spans="2:23" x14ac:dyDescent="0.25">
      <c r="B298" s="4"/>
      <c r="C298" s="6"/>
      <c r="D298" s="6"/>
      <c r="E298" s="6"/>
      <c r="F298" s="6"/>
      <c r="G298" s="4"/>
      <c r="H298" s="4"/>
      <c r="I298" s="4"/>
      <c r="J298" s="4"/>
      <c r="K298" s="4"/>
      <c r="L298" s="4"/>
      <c r="M298" s="4"/>
      <c r="N298" s="4"/>
      <c r="O298" s="4"/>
      <c r="P298" s="4"/>
      <c r="Q298" s="4"/>
      <c r="R298" s="4"/>
      <c r="S298" s="4"/>
      <c r="T298" s="4"/>
      <c r="U298" s="4"/>
      <c r="V298" s="4"/>
      <c r="W298" s="4"/>
    </row>
    <row r="299" spans="2:23" x14ac:dyDescent="0.25">
      <c r="B299" s="4"/>
      <c r="C299" s="6"/>
      <c r="D299" s="6"/>
      <c r="E299" s="6"/>
      <c r="F299" s="6"/>
      <c r="G299" s="4"/>
      <c r="H299" s="4"/>
      <c r="I299" s="4"/>
      <c r="J299" s="4"/>
      <c r="K299" s="4"/>
      <c r="L299" s="4"/>
      <c r="M299" s="4"/>
      <c r="N299" s="4"/>
      <c r="O299" s="4"/>
      <c r="P299" s="4"/>
      <c r="Q299" s="4"/>
      <c r="R299" s="4"/>
      <c r="S299" s="4"/>
      <c r="T299" s="4"/>
      <c r="U299" s="4"/>
      <c r="V299" s="4"/>
      <c r="W299" s="4"/>
    </row>
    <row r="300" spans="2:23" x14ac:dyDescent="0.25">
      <c r="B300" s="4"/>
      <c r="C300" s="6"/>
      <c r="D300" s="6"/>
      <c r="E300" s="6"/>
      <c r="F300" s="6"/>
      <c r="G300" s="4"/>
      <c r="H300" s="4"/>
      <c r="I300" s="4"/>
      <c r="J300" s="4"/>
      <c r="K300" s="4"/>
      <c r="L300" s="4"/>
      <c r="M300" s="4"/>
      <c r="N300" s="4"/>
      <c r="O300" s="4"/>
      <c r="P300" s="4"/>
      <c r="Q300" s="4"/>
      <c r="R300" s="4"/>
      <c r="S300" s="4"/>
      <c r="T300" s="4"/>
      <c r="U300" s="4"/>
      <c r="V300" s="4"/>
      <c r="W300" s="4"/>
    </row>
    <row r="301" spans="2:23" x14ac:dyDescent="0.25">
      <c r="B301" s="4"/>
      <c r="C301" s="6"/>
      <c r="D301" s="6"/>
      <c r="E301" s="6"/>
      <c r="F301" s="6"/>
      <c r="G301" s="4"/>
      <c r="H301" s="4"/>
      <c r="I301" s="4"/>
      <c r="J301" s="4"/>
      <c r="K301" s="4"/>
      <c r="L301" s="4"/>
      <c r="M301" s="4"/>
      <c r="N301" s="4"/>
      <c r="O301" s="4"/>
      <c r="P301" s="4"/>
      <c r="Q301" s="4"/>
      <c r="R301" s="4"/>
      <c r="S301" s="4"/>
      <c r="T301" s="4"/>
      <c r="U301" s="4"/>
      <c r="V301" s="4"/>
      <c r="W301" s="4"/>
    </row>
    <row r="302" spans="2:23" x14ac:dyDescent="0.25">
      <c r="B302" s="4"/>
      <c r="C302" s="6"/>
      <c r="D302" s="6"/>
      <c r="E302" s="6"/>
      <c r="F302" s="6"/>
      <c r="G302" s="4"/>
      <c r="H302" s="4"/>
      <c r="I302" s="4"/>
      <c r="J302" s="4"/>
      <c r="K302" s="4"/>
      <c r="L302" s="4"/>
      <c r="M302" s="4"/>
      <c r="N302" s="4"/>
      <c r="O302" s="4"/>
      <c r="P302" s="4"/>
      <c r="Q302" s="4"/>
      <c r="R302" s="4"/>
      <c r="S302" s="4"/>
      <c r="T302" s="4"/>
      <c r="U302" s="4"/>
      <c r="V302" s="4"/>
      <c r="W302" s="4"/>
    </row>
    <row r="303" spans="2:23" x14ac:dyDescent="0.25">
      <c r="B303" s="4"/>
      <c r="C303" s="6"/>
      <c r="D303" s="6"/>
      <c r="E303" s="6"/>
      <c r="F303" s="6"/>
      <c r="G303" s="4"/>
      <c r="H303" s="4"/>
      <c r="I303" s="4"/>
      <c r="J303" s="4"/>
      <c r="K303" s="4"/>
      <c r="L303" s="4"/>
      <c r="M303" s="4"/>
      <c r="N303" s="4"/>
      <c r="O303" s="4"/>
      <c r="P303" s="4"/>
      <c r="Q303" s="4"/>
      <c r="R303" s="4"/>
      <c r="S303" s="4"/>
      <c r="T303" s="4"/>
      <c r="U303" s="4"/>
      <c r="V303" s="4"/>
      <c r="W303" s="4"/>
    </row>
    <row r="304" spans="2:23" x14ac:dyDescent="0.25">
      <c r="B304" s="4"/>
      <c r="C304" s="6"/>
      <c r="D304" s="6"/>
      <c r="E304" s="6"/>
      <c r="F304" s="6"/>
      <c r="G304" s="4"/>
      <c r="H304" s="4"/>
      <c r="I304" s="4"/>
      <c r="J304" s="4"/>
      <c r="K304" s="4"/>
      <c r="L304" s="4"/>
      <c r="M304" s="4"/>
      <c r="N304" s="4"/>
      <c r="O304" s="4"/>
      <c r="P304" s="4"/>
      <c r="Q304" s="4"/>
      <c r="R304" s="4"/>
      <c r="S304" s="4"/>
      <c r="T304" s="4"/>
      <c r="U304" s="4"/>
      <c r="V304" s="4"/>
      <c r="W304" s="4"/>
    </row>
    <row r="305" spans="2:23" x14ac:dyDescent="0.25">
      <c r="B305" s="4"/>
      <c r="C305" s="6"/>
      <c r="D305" s="6"/>
      <c r="E305" s="6"/>
      <c r="F305" s="6"/>
      <c r="G305" s="4"/>
      <c r="H305" s="4"/>
      <c r="I305" s="4"/>
      <c r="J305" s="4"/>
      <c r="K305" s="4"/>
      <c r="L305" s="4"/>
      <c r="M305" s="4"/>
      <c r="N305" s="4"/>
      <c r="O305" s="4"/>
      <c r="P305" s="4"/>
      <c r="Q305" s="4"/>
      <c r="R305" s="4"/>
      <c r="S305" s="4"/>
      <c r="T305" s="4"/>
      <c r="U305" s="4"/>
      <c r="V305" s="4"/>
      <c r="W305" s="4"/>
    </row>
    <row r="306" spans="2:23" x14ac:dyDescent="0.25">
      <c r="B306" s="4"/>
      <c r="C306" s="6"/>
      <c r="D306" s="6"/>
      <c r="E306" s="6"/>
      <c r="F306" s="6"/>
      <c r="G306" s="4"/>
      <c r="H306" s="4"/>
      <c r="I306" s="4"/>
      <c r="J306" s="4"/>
      <c r="K306" s="4"/>
      <c r="L306" s="4"/>
      <c r="M306" s="4"/>
      <c r="N306" s="4"/>
      <c r="O306" s="4"/>
      <c r="P306" s="4"/>
      <c r="Q306" s="4"/>
      <c r="R306" s="4"/>
      <c r="S306" s="4"/>
      <c r="T306" s="4"/>
      <c r="U306" s="4"/>
      <c r="V306" s="4"/>
      <c r="W306" s="4"/>
    </row>
    <row r="307" spans="2:23" x14ac:dyDescent="0.25">
      <c r="B307" s="4"/>
      <c r="C307" s="6"/>
      <c r="D307" s="6"/>
      <c r="E307" s="6"/>
      <c r="F307" s="6"/>
      <c r="G307" s="4"/>
      <c r="H307" s="4"/>
      <c r="I307" s="4"/>
      <c r="J307" s="4"/>
      <c r="K307" s="4"/>
      <c r="L307" s="4"/>
      <c r="M307" s="4"/>
      <c r="N307" s="4"/>
      <c r="O307" s="4"/>
      <c r="P307" s="4"/>
      <c r="Q307" s="4"/>
      <c r="R307" s="4"/>
      <c r="S307" s="4"/>
      <c r="T307" s="4"/>
      <c r="U307" s="4"/>
      <c r="V307" s="4"/>
      <c r="W307" s="4"/>
    </row>
    <row r="308" spans="2:23" x14ac:dyDescent="0.25">
      <c r="B308" s="4"/>
      <c r="C308" s="6"/>
      <c r="D308" s="6"/>
      <c r="E308" s="6"/>
      <c r="F308" s="6"/>
      <c r="G308" s="4"/>
      <c r="H308" s="4"/>
      <c r="I308" s="4"/>
      <c r="J308" s="4"/>
      <c r="K308" s="4"/>
      <c r="L308" s="4"/>
      <c r="M308" s="4"/>
      <c r="N308" s="4"/>
      <c r="O308" s="4"/>
      <c r="P308" s="4"/>
      <c r="Q308" s="4"/>
      <c r="R308" s="4"/>
      <c r="S308" s="4"/>
      <c r="T308" s="4"/>
      <c r="U308" s="4"/>
      <c r="V308" s="4"/>
      <c r="W308" s="4"/>
    </row>
    <row r="309" spans="2:23" x14ac:dyDescent="0.25">
      <c r="B309" s="4"/>
      <c r="C309" s="6"/>
      <c r="D309" s="6"/>
      <c r="E309" s="6"/>
      <c r="F309" s="6"/>
      <c r="G309" s="4"/>
      <c r="H309" s="4"/>
      <c r="I309" s="4"/>
      <c r="J309" s="4"/>
      <c r="K309" s="4"/>
      <c r="L309" s="4"/>
      <c r="M309" s="4"/>
      <c r="N309" s="4"/>
      <c r="O309" s="4"/>
      <c r="P309" s="4"/>
      <c r="Q309" s="4"/>
      <c r="R309" s="4"/>
      <c r="S309" s="4"/>
      <c r="T309" s="4"/>
      <c r="U309" s="4"/>
      <c r="V309" s="4"/>
      <c r="W309" s="4"/>
    </row>
    <row r="310" spans="2:23" x14ac:dyDescent="0.25">
      <c r="B310" s="4"/>
      <c r="C310" s="6"/>
      <c r="D310" s="6"/>
      <c r="E310" s="6"/>
      <c r="F310" s="6"/>
      <c r="G310" s="4"/>
      <c r="H310" s="4"/>
      <c r="I310" s="4"/>
      <c r="J310" s="4"/>
      <c r="K310" s="4"/>
      <c r="L310" s="4"/>
      <c r="M310" s="4"/>
      <c r="N310" s="4"/>
      <c r="O310" s="4"/>
      <c r="P310" s="4"/>
      <c r="Q310" s="4"/>
      <c r="R310" s="4"/>
      <c r="S310" s="4"/>
      <c r="T310" s="4"/>
      <c r="U310" s="4"/>
      <c r="V310" s="4"/>
      <c r="W310" s="4"/>
    </row>
    <row r="311" spans="2:23" x14ac:dyDescent="0.25">
      <c r="B311" s="4"/>
      <c r="C311" s="6"/>
      <c r="D311" s="6"/>
      <c r="E311" s="6"/>
      <c r="F311" s="6"/>
      <c r="G311" s="4"/>
      <c r="H311" s="4"/>
      <c r="I311" s="4"/>
      <c r="J311" s="4"/>
      <c r="K311" s="4"/>
      <c r="L311" s="4"/>
      <c r="M311" s="4"/>
      <c r="N311" s="4"/>
      <c r="O311" s="4"/>
      <c r="P311" s="4"/>
      <c r="Q311" s="4"/>
      <c r="R311" s="4"/>
      <c r="S311" s="4"/>
      <c r="T311" s="4"/>
      <c r="U311" s="4"/>
      <c r="V311" s="4"/>
      <c r="W311" s="4"/>
    </row>
    <row r="312" spans="2:23" x14ac:dyDescent="0.25">
      <c r="B312" s="4"/>
      <c r="C312" s="6"/>
      <c r="D312" s="6"/>
      <c r="E312" s="6"/>
      <c r="F312" s="6"/>
      <c r="G312" s="4"/>
      <c r="H312" s="4"/>
      <c r="I312" s="4"/>
      <c r="J312" s="4"/>
      <c r="K312" s="4"/>
      <c r="L312" s="4"/>
      <c r="M312" s="4"/>
      <c r="N312" s="4"/>
      <c r="O312" s="4"/>
      <c r="P312" s="4"/>
      <c r="Q312" s="4"/>
      <c r="R312" s="4"/>
      <c r="S312" s="4"/>
      <c r="T312" s="4"/>
      <c r="U312" s="4"/>
      <c r="V312" s="4"/>
      <c r="W312" s="4"/>
    </row>
    <row r="313" spans="2:23" x14ac:dyDescent="0.25">
      <c r="B313" s="4"/>
      <c r="C313" s="6"/>
      <c r="D313" s="6"/>
      <c r="E313" s="6"/>
      <c r="F313" s="6"/>
      <c r="G313" s="4"/>
      <c r="H313" s="4"/>
      <c r="I313" s="4"/>
      <c r="J313" s="4"/>
      <c r="K313" s="4"/>
      <c r="L313" s="4"/>
      <c r="M313" s="4"/>
      <c r="N313" s="4"/>
      <c r="O313" s="4"/>
      <c r="P313" s="4"/>
      <c r="Q313" s="4"/>
      <c r="R313" s="4"/>
      <c r="S313" s="4"/>
      <c r="T313" s="4"/>
      <c r="U313" s="4"/>
      <c r="V313" s="4"/>
      <c r="W313" s="4"/>
    </row>
    <row r="314" spans="2:23" x14ac:dyDescent="0.25">
      <c r="B314" s="4"/>
      <c r="C314" s="6"/>
      <c r="D314" s="6"/>
      <c r="E314" s="6"/>
      <c r="F314" s="6"/>
      <c r="G314" s="4"/>
      <c r="H314" s="4"/>
      <c r="I314" s="4"/>
      <c r="J314" s="4"/>
      <c r="K314" s="4"/>
      <c r="L314" s="4"/>
      <c r="M314" s="4"/>
      <c r="N314" s="4"/>
      <c r="O314" s="4"/>
      <c r="P314" s="4"/>
      <c r="Q314" s="4"/>
      <c r="R314" s="4"/>
      <c r="S314" s="4"/>
      <c r="T314" s="4"/>
      <c r="U314" s="4"/>
      <c r="V314" s="4"/>
      <c r="W314" s="4"/>
    </row>
    <row r="315" spans="2:23" x14ac:dyDescent="0.25">
      <c r="B315" s="4"/>
      <c r="C315" s="6"/>
      <c r="D315" s="6"/>
      <c r="E315" s="6"/>
      <c r="F315" s="6"/>
      <c r="G315" s="4"/>
      <c r="H315" s="4"/>
      <c r="I315" s="4"/>
      <c r="J315" s="4"/>
      <c r="K315" s="4"/>
      <c r="L315" s="4"/>
      <c r="M315" s="4"/>
      <c r="N315" s="4"/>
      <c r="O315" s="4"/>
      <c r="P315" s="4"/>
      <c r="Q315" s="4"/>
      <c r="R315" s="4"/>
      <c r="S315" s="4"/>
      <c r="T315" s="4"/>
      <c r="U315" s="4"/>
      <c r="V315" s="4"/>
      <c r="W315" s="4"/>
    </row>
    <row r="316" spans="2:23" x14ac:dyDescent="0.25">
      <c r="B316" s="4"/>
      <c r="C316" s="6"/>
      <c r="D316" s="6"/>
      <c r="E316" s="6"/>
      <c r="F316" s="6"/>
      <c r="G316" s="4"/>
      <c r="H316" s="4"/>
      <c r="I316" s="4"/>
      <c r="J316" s="4"/>
      <c r="K316" s="4"/>
      <c r="L316" s="4"/>
      <c r="M316" s="4"/>
      <c r="N316" s="4"/>
      <c r="O316" s="4"/>
      <c r="P316" s="4"/>
      <c r="Q316" s="4"/>
      <c r="R316" s="4"/>
      <c r="S316" s="4"/>
      <c r="T316" s="4"/>
      <c r="U316" s="4"/>
      <c r="V316" s="4"/>
      <c r="W316" s="4"/>
    </row>
    <row r="317" spans="2:23" x14ac:dyDescent="0.25">
      <c r="B317" s="4"/>
      <c r="C317" s="6"/>
      <c r="D317" s="6"/>
      <c r="E317" s="6"/>
      <c r="F317" s="6"/>
      <c r="G317" s="4"/>
      <c r="H317" s="4"/>
      <c r="I317" s="4"/>
      <c r="J317" s="4"/>
      <c r="K317" s="4"/>
      <c r="L317" s="4"/>
      <c r="M317" s="4"/>
      <c r="N317" s="4"/>
      <c r="O317" s="4"/>
      <c r="P317" s="4"/>
      <c r="Q317" s="4"/>
      <c r="R317" s="4"/>
      <c r="S317" s="4"/>
      <c r="T317" s="4"/>
      <c r="U317" s="4"/>
      <c r="V317" s="4"/>
      <c r="W317" s="4"/>
    </row>
    <row r="318" spans="2:23" x14ac:dyDescent="0.25">
      <c r="B318" s="4"/>
      <c r="C318" s="6"/>
      <c r="D318" s="6"/>
      <c r="E318" s="6"/>
      <c r="F318" s="6"/>
      <c r="G318" s="4"/>
      <c r="H318" s="4"/>
      <c r="I318" s="4"/>
      <c r="J318" s="4"/>
      <c r="K318" s="4"/>
      <c r="L318" s="4"/>
      <c r="M318" s="4"/>
      <c r="N318" s="4"/>
      <c r="O318" s="4"/>
      <c r="P318" s="4"/>
      <c r="Q318" s="4"/>
      <c r="R318" s="4"/>
      <c r="S318" s="4"/>
      <c r="T318" s="4"/>
      <c r="U318" s="4"/>
      <c r="V318" s="4"/>
      <c r="W318" s="4"/>
    </row>
    <row r="319" spans="2:23" x14ac:dyDescent="0.25">
      <c r="B319" s="4"/>
      <c r="C319" s="6"/>
      <c r="D319" s="6"/>
      <c r="E319" s="6"/>
      <c r="F319" s="6"/>
      <c r="G319" s="4"/>
      <c r="H319" s="4"/>
      <c r="I319" s="4"/>
      <c r="J319" s="4"/>
      <c r="K319" s="4"/>
      <c r="L319" s="4"/>
      <c r="M319" s="4"/>
      <c r="N319" s="4"/>
      <c r="O319" s="4"/>
      <c r="P319" s="4"/>
      <c r="Q319" s="4"/>
      <c r="R319" s="4"/>
      <c r="S319" s="4"/>
      <c r="T319" s="4"/>
      <c r="U319" s="4"/>
      <c r="V319" s="4"/>
      <c r="W319" s="4"/>
    </row>
    <row r="320" spans="2:23" x14ac:dyDescent="0.25">
      <c r="B320" s="4"/>
      <c r="C320" s="6"/>
      <c r="D320" s="6"/>
      <c r="E320" s="6"/>
      <c r="F320" s="6"/>
      <c r="G320" s="4"/>
      <c r="H320" s="4"/>
      <c r="I320" s="4"/>
      <c r="J320" s="4"/>
      <c r="K320" s="4"/>
      <c r="L320" s="4"/>
      <c r="M320" s="4"/>
      <c r="N320" s="4"/>
      <c r="O320" s="4"/>
      <c r="P320" s="4"/>
      <c r="Q320" s="4"/>
      <c r="R320" s="4"/>
      <c r="S320" s="4"/>
      <c r="T320" s="4"/>
      <c r="U320" s="4"/>
      <c r="V320" s="4"/>
      <c r="W320" s="4"/>
    </row>
    <row r="321" spans="2:23" x14ac:dyDescent="0.25">
      <c r="B321" s="4"/>
      <c r="C321" s="6"/>
      <c r="D321" s="6"/>
      <c r="E321" s="6"/>
      <c r="F321" s="6"/>
      <c r="G321" s="4"/>
      <c r="H321" s="4"/>
      <c r="I321" s="4"/>
      <c r="J321" s="4"/>
      <c r="K321" s="4"/>
      <c r="L321" s="4"/>
      <c r="M321" s="4"/>
      <c r="N321" s="4"/>
      <c r="O321" s="4"/>
      <c r="P321" s="4"/>
      <c r="Q321" s="4"/>
      <c r="R321" s="4"/>
      <c r="S321" s="4"/>
      <c r="T321" s="4"/>
      <c r="U321" s="4"/>
      <c r="V321" s="4"/>
      <c r="W321" s="4"/>
    </row>
    <row r="322" spans="2:23" x14ac:dyDescent="0.25">
      <c r="B322" s="4"/>
      <c r="C322" s="6"/>
      <c r="D322" s="6"/>
      <c r="E322" s="6"/>
      <c r="F322" s="6"/>
      <c r="G322" s="4"/>
      <c r="H322" s="4"/>
      <c r="I322" s="4"/>
      <c r="J322" s="4"/>
      <c r="K322" s="4"/>
      <c r="L322" s="4"/>
      <c r="M322" s="4"/>
      <c r="N322" s="4"/>
      <c r="O322" s="4"/>
      <c r="P322" s="4"/>
      <c r="Q322" s="4"/>
      <c r="R322" s="4"/>
      <c r="S322" s="4"/>
      <c r="T322" s="4"/>
      <c r="U322" s="4"/>
      <c r="V322" s="4"/>
      <c r="W322" s="4"/>
    </row>
    <row r="323" spans="2:23" x14ac:dyDescent="0.25">
      <c r="B323" s="4"/>
      <c r="C323" s="6"/>
      <c r="D323" s="6"/>
      <c r="E323" s="6"/>
      <c r="F323" s="6"/>
      <c r="G323" s="4"/>
      <c r="H323" s="4"/>
      <c r="I323" s="4"/>
      <c r="J323" s="4"/>
      <c r="K323" s="4"/>
      <c r="L323" s="4"/>
      <c r="M323" s="4"/>
      <c r="N323" s="4"/>
      <c r="O323" s="4"/>
      <c r="P323" s="4"/>
      <c r="Q323" s="4"/>
      <c r="R323" s="4"/>
      <c r="S323" s="4"/>
      <c r="T323" s="4"/>
      <c r="U323" s="4"/>
      <c r="V323" s="4"/>
      <c r="W323" s="4"/>
    </row>
    <row r="324" spans="2:23" x14ac:dyDescent="0.25">
      <c r="B324" s="4"/>
      <c r="C324" s="6"/>
      <c r="D324" s="6"/>
      <c r="E324" s="6"/>
      <c r="F324" s="6"/>
      <c r="G324" s="4"/>
      <c r="H324" s="4"/>
      <c r="I324" s="4"/>
      <c r="J324" s="4"/>
      <c r="K324" s="4"/>
      <c r="L324" s="4"/>
      <c r="M324" s="4"/>
      <c r="N324" s="4"/>
      <c r="O324" s="4"/>
      <c r="P324" s="4"/>
      <c r="Q324" s="4"/>
      <c r="R324" s="4"/>
      <c r="S324" s="4"/>
      <c r="T324" s="4"/>
      <c r="U324" s="4"/>
      <c r="V324" s="4"/>
      <c r="W324" s="4"/>
    </row>
    <row r="325" spans="2:23" x14ac:dyDescent="0.25">
      <c r="B325" s="4"/>
      <c r="C325" s="6"/>
      <c r="D325" s="6"/>
      <c r="E325" s="6"/>
      <c r="F325" s="6"/>
      <c r="G325" s="4"/>
      <c r="H325" s="4"/>
      <c r="I325" s="4"/>
      <c r="J325" s="4"/>
      <c r="K325" s="4"/>
      <c r="L325" s="4"/>
      <c r="M325" s="4"/>
      <c r="N325" s="4"/>
      <c r="O325" s="4"/>
      <c r="P325" s="4"/>
      <c r="Q325" s="4"/>
      <c r="R325" s="4"/>
      <c r="S325" s="4"/>
      <c r="T325" s="4"/>
      <c r="U325" s="4"/>
      <c r="V325" s="4"/>
      <c r="W325" s="4"/>
    </row>
    <row r="326" spans="2:23" x14ac:dyDescent="0.25">
      <c r="B326" s="4"/>
      <c r="C326" s="6"/>
      <c r="D326" s="6"/>
      <c r="E326" s="6"/>
      <c r="F326" s="6"/>
      <c r="G326" s="4"/>
      <c r="H326" s="4"/>
      <c r="I326" s="4"/>
      <c r="J326" s="4"/>
      <c r="K326" s="4"/>
      <c r="L326" s="4"/>
      <c r="M326" s="4"/>
      <c r="N326" s="4"/>
      <c r="O326" s="4"/>
      <c r="P326" s="4"/>
      <c r="Q326" s="4"/>
      <c r="R326" s="4"/>
      <c r="S326" s="4"/>
      <c r="T326" s="4"/>
      <c r="U326" s="4"/>
      <c r="V326" s="4"/>
      <c r="W326" s="4"/>
    </row>
    <row r="327" spans="2:23" x14ac:dyDescent="0.25">
      <c r="B327" s="4"/>
      <c r="C327" s="6"/>
      <c r="D327" s="6"/>
      <c r="E327" s="6"/>
      <c r="F327" s="6"/>
      <c r="G327" s="4"/>
      <c r="H327" s="4"/>
      <c r="I327" s="4"/>
      <c r="J327" s="4"/>
      <c r="K327" s="4"/>
      <c r="L327" s="4"/>
      <c r="M327" s="4"/>
      <c r="N327" s="4"/>
      <c r="O327" s="4"/>
      <c r="P327" s="4"/>
      <c r="Q327" s="4"/>
      <c r="R327" s="4"/>
      <c r="S327" s="4"/>
      <c r="T327" s="4"/>
      <c r="U327" s="4"/>
      <c r="V327" s="4"/>
      <c r="W327" s="4"/>
    </row>
    <row r="328" spans="2:23" x14ac:dyDescent="0.25">
      <c r="B328" s="4"/>
      <c r="C328" s="6"/>
      <c r="D328" s="6"/>
      <c r="E328" s="6"/>
      <c r="F328" s="6"/>
      <c r="G328" s="4"/>
      <c r="H328" s="4"/>
      <c r="I328" s="4"/>
      <c r="J328" s="4"/>
      <c r="K328" s="4"/>
      <c r="L328" s="4"/>
      <c r="M328" s="4"/>
      <c r="N328" s="4"/>
      <c r="O328" s="4"/>
      <c r="P328" s="4"/>
      <c r="Q328" s="4"/>
      <c r="R328" s="4"/>
      <c r="S328" s="4"/>
      <c r="T328" s="4"/>
      <c r="U328" s="4"/>
      <c r="V328" s="4"/>
      <c r="W328" s="4"/>
    </row>
    <row r="329" spans="2:23" x14ac:dyDescent="0.25">
      <c r="B329" s="4"/>
      <c r="C329" s="6"/>
      <c r="D329" s="6"/>
      <c r="E329" s="6"/>
      <c r="F329" s="6"/>
      <c r="G329" s="4"/>
      <c r="H329" s="4"/>
      <c r="I329" s="4"/>
      <c r="J329" s="4"/>
      <c r="K329" s="4"/>
      <c r="L329" s="4"/>
      <c r="M329" s="4"/>
      <c r="N329" s="4"/>
      <c r="O329" s="4"/>
      <c r="P329" s="4"/>
      <c r="Q329" s="4"/>
      <c r="R329" s="4"/>
      <c r="S329" s="4"/>
      <c r="T329" s="4"/>
      <c r="U329" s="4"/>
      <c r="V329" s="4"/>
      <c r="W329" s="4"/>
    </row>
    <row r="330" spans="2:23" x14ac:dyDescent="0.25">
      <c r="B330" s="4"/>
      <c r="C330" s="6"/>
      <c r="D330" s="6"/>
      <c r="E330" s="6"/>
      <c r="F330" s="6"/>
      <c r="G330" s="4"/>
      <c r="H330" s="4"/>
      <c r="I330" s="4"/>
      <c r="J330" s="4"/>
      <c r="K330" s="4"/>
      <c r="L330" s="4"/>
      <c r="M330" s="4"/>
      <c r="N330" s="4"/>
      <c r="O330" s="4"/>
      <c r="P330" s="4"/>
      <c r="Q330" s="4"/>
      <c r="R330" s="4"/>
      <c r="S330" s="4"/>
      <c r="T330" s="4"/>
      <c r="U330" s="4"/>
      <c r="V330" s="4"/>
      <c r="W330" s="4"/>
    </row>
    <row r="331" spans="2:23" x14ac:dyDescent="0.25">
      <c r="B331" s="4"/>
      <c r="C331" s="6"/>
      <c r="D331" s="6"/>
      <c r="E331" s="6"/>
      <c r="F331" s="6"/>
      <c r="G331" s="4"/>
      <c r="H331" s="4"/>
      <c r="I331" s="4"/>
      <c r="J331" s="4"/>
      <c r="K331" s="4"/>
      <c r="L331" s="4"/>
      <c r="M331" s="4"/>
      <c r="N331" s="4"/>
      <c r="O331" s="4"/>
      <c r="P331" s="4"/>
      <c r="Q331" s="4"/>
      <c r="R331" s="4"/>
      <c r="S331" s="4"/>
      <c r="T331" s="4"/>
      <c r="U331" s="4"/>
      <c r="V331" s="4"/>
      <c r="W331" s="4"/>
    </row>
    <row r="332" spans="2:23" x14ac:dyDescent="0.25">
      <c r="B332" s="4"/>
      <c r="C332" s="6"/>
      <c r="D332" s="6"/>
      <c r="E332" s="6"/>
      <c r="F332" s="6"/>
      <c r="G332" s="4"/>
      <c r="H332" s="4"/>
      <c r="I332" s="4"/>
      <c r="J332" s="4"/>
      <c r="K332" s="4"/>
      <c r="L332" s="4"/>
      <c r="M332" s="4"/>
      <c r="N332" s="4"/>
      <c r="O332" s="4"/>
      <c r="P332" s="4"/>
      <c r="Q332" s="4"/>
      <c r="R332" s="4"/>
      <c r="S332" s="4"/>
      <c r="T332" s="4"/>
      <c r="U332" s="4"/>
      <c r="V332" s="4"/>
      <c r="W332" s="4"/>
    </row>
    <row r="333" spans="2:23" x14ac:dyDescent="0.25">
      <c r="B333" s="4"/>
      <c r="C333" s="6"/>
      <c r="D333" s="6"/>
      <c r="E333" s="6"/>
      <c r="F333" s="6"/>
      <c r="G333" s="4"/>
      <c r="H333" s="4"/>
      <c r="I333" s="4"/>
      <c r="J333" s="4"/>
      <c r="K333" s="4"/>
      <c r="L333" s="4"/>
      <c r="M333" s="4"/>
      <c r="N333" s="4"/>
      <c r="O333" s="4"/>
      <c r="P333" s="4"/>
      <c r="Q333" s="4"/>
      <c r="R333" s="4"/>
      <c r="S333" s="4"/>
      <c r="T333" s="4"/>
      <c r="U333" s="4"/>
      <c r="V333" s="4"/>
      <c r="W333" s="4"/>
    </row>
    <row r="334" spans="2:23" x14ac:dyDescent="0.25">
      <c r="B334" s="4"/>
      <c r="C334" s="6"/>
      <c r="D334" s="6"/>
      <c r="E334" s="6"/>
      <c r="F334" s="6"/>
      <c r="G334" s="4"/>
      <c r="H334" s="4"/>
      <c r="I334" s="4"/>
      <c r="J334" s="4"/>
      <c r="K334" s="4"/>
      <c r="L334" s="4"/>
      <c r="M334" s="4"/>
      <c r="N334" s="4"/>
      <c r="O334" s="4"/>
      <c r="P334" s="4"/>
      <c r="Q334" s="4"/>
      <c r="R334" s="4"/>
      <c r="S334" s="4"/>
      <c r="T334" s="4"/>
      <c r="U334" s="4"/>
      <c r="V334" s="4"/>
      <c r="W334" s="4"/>
    </row>
    <row r="335" spans="2:23" x14ac:dyDescent="0.25">
      <c r="B335" s="4"/>
      <c r="C335" s="6"/>
      <c r="D335" s="6"/>
      <c r="E335" s="6"/>
      <c r="F335" s="6"/>
      <c r="G335" s="4"/>
      <c r="H335" s="4"/>
      <c r="I335" s="4"/>
      <c r="J335" s="4"/>
      <c r="K335" s="4"/>
      <c r="L335" s="4"/>
      <c r="M335" s="4"/>
      <c r="N335" s="4"/>
      <c r="O335" s="4"/>
      <c r="P335" s="4"/>
      <c r="Q335" s="4"/>
      <c r="R335" s="4"/>
      <c r="S335" s="4"/>
      <c r="T335" s="4"/>
      <c r="U335" s="4"/>
      <c r="V335" s="4"/>
      <c r="W335" s="4"/>
    </row>
    <row r="336" spans="2:23" x14ac:dyDescent="0.25">
      <c r="B336" s="4"/>
      <c r="C336" s="6"/>
      <c r="D336" s="6"/>
      <c r="E336" s="6"/>
      <c r="F336" s="6"/>
      <c r="G336" s="4"/>
      <c r="H336" s="4"/>
      <c r="I336" s="4"/>
      <c r="J336" s="4"/>
      <c r="K336" s="4"/>
      <c r="L336" s="4"/>
      <c r="M336" s="4"/>
      <c r="N336" s="4"/>
      <c r="O336" s="4"/>
      <c r="P336" s="4"/>
      <c r="Q336" s="4"/>
      <c r="R336" s="4"/>
      <c r="S336" s="4"/>
      <c r="T336" s="4"/>
      <c r="U336" s="4"/>
      <c r="V336" s="4"/>
      <c r="W336" s="4"/>
    </row>
    <row r="337" spans="2:23" x14ac:dyDescent="0.25">
      <c r="B337" s="4"/>
      <c r="C337" s="6"/>
      <c r="D337" s="6"/>
      <c r="E337" s="6"/>
      <c r="F337" s="6"/>
      <c r="G337" s="4"/>
      <c r="H337" s="4"/>
      <c r="I337" s="4"/>
      <c r="J337" s="4"/>
      <c r="K337" s="4"/>
      <c r="L337" s="4"/>
      <c r="M337" s="4"/>
      <c r="N337" s="4"/>
      <c r="O337" s="4"/>
      <c r="P337" s="4"/>
      <c r="Q337" s="4"/>
      <c r="R337" s="4"/>
      <c r="S337" s="4"/>
      <c r="T337" s="4"/>
      <c r="U337" s="4"/>
      <c r="V337" s="4"/>
      <c r="W337" s="4"/>
    </row>
    <row r="338" spans="2:23" x14ac:dyDescent="0.25">
      <c r="B338" s="4"/>
      <c r="C338" s="6"/>
      <c r="D338" s="6"/>
      <c r="E338" s="6"/>
      <c r="F338" s="6"/>
      <c r="G338" s="4"/>
      <c r="H338" s="4"/>
      <c r="I338" s="4"/>
      <c r="J338" s="4"/>
      <c r="K338" s="4"/>
      <c r="L338" s="4"/>
      <c r="M338" s="4"/>
      <c r="N338" s="4"/>
      <c r="O338" s="4"/>
      <c r="P338" s="4"/>
      <c r="Q338" s="4"/>
      <c r="R338" s="4"/>
      <c r="S338" s="4"/>
      <c r="T338" s="4"/>
      <c r="U338" s="4"/>
      <c r="V338" s="4"/>
      <c r="W338" s="4"/>
    </row>
    <row r="339" spans="2:23" x14ac:dyDescent="0.25">
      <c r="B339" s="4"/>
      <c r="C339" s="6"/>
      <c r="D339" s="6"/>
      <c r="E339" s="6"/>
      <c r="F339" s="6"/>
      <c r="G339" s="4"/>
      <c r="H339" s="4"/>
      <c r="I339" s="4"/>
      <c r="J339" s="4"/>
      <c r="K339" s="4"/>
      <c r="L339" s="4"/>
      <c r="M339" s="4"/>
      <c r="N339" s="4"/>
      <c r="O339" s="4"/>
      <c r="P339" s="4"/>
      <c r="Q339" s="4"/>
      <c r="R339" s="4"/>
      <c r="S339" s="4"/>
      <c r="T339" s="4"/>
      <c r="U339" s="4"/>
      <c r="V339" s="4"/>
      <c r="W339" s="4"/>
    </row>
    <row r="340" spans="2:23" x14ac:dyDescent="0.25">
      <c r="B340" s="4"/>
      <c r="C340" s="6"/>
      <c r="D340" s="6"/>
      <c r="E340" s="6"/>
      <c r="F340" s="6"/>
      <c r="G340" s="4"/>
      <c r="H340" s="4"/>
      <c r="I340" s="4"/>
      <c r="J340" s="4"/>
      <c r="K340" s="4"/>
      <c r="L340" s="4"/>
      <c r="M340" s="4"/>
      <c r="N340" s="4"/>
      <c r="O340" s="4"/>
      <c r="P340" s="4"/>
      <c r="Q340" s="4"/>
      <c r="R340" s="4"/>
      <c r="S340" s="4"/>
      <c r="T340" s="4"/>
      <c r="U340" s="4"/>
      <c r="V340" s="4"/>
      <c r="W340" s="4"/>
    </row>
    <row r="341" spans="2:23" x14ac:dyDescent="0.25">
      <c r="B341" s="4"/>
      <c r="C341" s="6"/>
      <c r="D341" s="6"/>
      <c r="E341" s="6"/>
      <c r="F341" s="6"/>
      <c r="G341" s="4"/>
      <c r="H341" s="4"/>
      <c r="I341" s="4"/>
      <c r="J341" s="4"/>
      <c r="K341" s="4"/>
      <c r="L341" s="4"/>
      <c r="M341" s="4"/>
      <c r="N341" s="4"/>
      <c r="O341" s="4"/>
      <c r="P341" s="4"/>
      <c r="Q341" s="4"/>
      <c r="R341" s="4"/>
      <c r="S341" s="4"/>
      <c r="T341" s="4"/>
      <c r="U341" s="4"/>
      <c r="V341" s="4"/>
      <c r="W341" s="4"/>
    </row>
    <row r="342" spans="2:23" x14ac:dyDescent="0.25">
      <c r="B342" s="4"/>
      <c r="C342" s="6"/>
      <c r="D342" s="6"/>
      <c r="E342" s="6"/>
      <c r="F342" s="6"/>
      <c r="G342" s="4"/>
      <c r="H342" s="4"/>
      <c r="I342" s="4"/>
      <c r="J342" s="4"/>
      <c r="K342" s="4"/>
      <c r="L342" s="4"/>
      <c r="M342" s="4"/>
      <c r="N342" s="4"/>
      <c r="O342" s="4"/>
      <c r="P342" s="4"/>
      <c r="Q342" s="4"/>
      <c r="R342" s="4"/>
      <c r="S342" s="4"/>
      <c r="T342" s="4"/>
      <c r="U342" s="4"/>
      <c r="V342" s="4"/>
      <c r="W342" s="4"/>
    </row>
    <row r="343" spans="2:23" x14ac:dyDescent="0.25">
      <c r="B343" s="4"/>
      <c r="C343" s="6"/>
      <c r="D343" s="6"/>
      <c r="E343" s="6"/>
      <c r="F343" s="6"/>
      <c r="G343" s="4"/>
      <c r="H343" s="4"/>
      <c r="I343" s="4"/>
      <c r="J343" s="4"/>
      <c r="K343" s="4"/>
      <c r="L343" s="4"/>
      <c r="M343" s="4"/>
      <c r="N343" s="4"/>
      <c r="O343" s="4"/>
      <c r="P343" s="4"/>
      <c r="Q343" s="4"/>
      <c r="R343" s="4"/>
      <c r="S343" s="4"/>
      <c r="T343" s="4"/>
      <c r="U343" s="4"/>
      <c r="V343" s="4"/>
      <c r="W343" s="4"/>
    </row>
    <row r="344" spans="2:23" x14ac:dyDescent="0.25">
      <c r="B344" s="4"/>
      <c r="C344" s="6"/>
      <c r="D344" s="6"/>
      <c r="E344" s="6"/>
      <c r="F344" s="6"/>
      <c r="G344" s="4"/>
      <c r="H344" s="4"/>
      <c r="I344" s="4"/>
      <c r="J344" s="4"/>
      <c r="K344" s="4"/>
      <c r="L344" s="4"/>
      <c r="M344" s="4"/>
      <c r="N344" s="4"/>
      <c r="O344" s="4"/>
      <c r="P344" s="4"/>
      <c r="Q344" s="4"/>
      <c r="R344" s="4"/>
      <c r="S344" s="4"/>
      <c r="T344" s="4"/>
      <c r="U344" s="4"/>
      <c r="V344" s="4"/>
      <c r="W344" s="4"/>
    </row>
    <row r="345" spans="2:23" x14ac:dyDescent="0.25">
      <c r="B345" s="4"/>
      <c r="C345" s="6"/>
      <c r="D345" s="6"/>
      <c r="E345" s="6"/>
      <c r="F345" s="6"/>
      <c r="G345" s="4"/>
      <c r="H345" s="4"/>
      <c r="I345" s="4"/>
      <c r="J345" s="4"/>
      <c r="K345" s="4"/>
      <c r="L345" s="4"/>
      <c r="M345" s="4"/>
      <c r="N345" s="4"/>
      <c r="O345" s="4"/>
      <c r="P345" s="4"/>
      <c r="Q345" s="4"/>
      <c r="R345" s="4"/>
      <c r="S345" s="4"/>
      <c r="T345" s="4"/>
      <c r="U345" s="4"/>
      <c r="V345" s="4"/>
      <c r="W345" s="4"/>
    </row>
    <row r="346" spans="2:23" x14ac:dyDescent="0.25">
      <c r="B346" s="4"/>
      <c r="C346" s="6"/>
      <c r="D346" s="6"/>
      <c r="E346" s="6"/>
      <c r="F346" s="6"/>
      <c r="G346" s="4"/>
      <c r="H346" s="4"/>
      <c r="I346" s="4"/>
      <c r="J346" s="4"/>
      <c r="K346" s="4"/>
      <c r="L346" s="4"/>
      <c r="M346" s="4"/>
      <c r="N346" s="4"/>
      <c r="O346" s="4"/>
      <c r="P346" s="4"/>
      <c r="Q346" s="4"/>
      <c r="R346" s="4"/>
      <c r="S346" s="4"/>
      <c r="T346" s="4"/>
      <c r="U346" s="4"/>
      <c r="V346" s="4"/>
      <c r="W346" s="4"/>
    </row>
    <row r="347" spans="2:23" x14ac:dyDescent="0.25">
      <c r="B347" s="4"/>
      <c r="C347" s="6"/>
      <c r="D347" s="6"/>
      <c r="E347" s="6"/>
      <c r="F347" s="6"/>
      <c r="G347" s="4"/>
      <c r="H347" s="4"/>
      <c r="I347" s="4"/>
      <c r="J347" s="4"/>
      <c r="K347" s="4"/>
      <c r="L347" s="4"/>
      <c r="M347" s="4"/>
      <c r="N347" s="4"/>
      <c r="O347" s="4"/>
      <c r="P347" s="4"/>
      <c r="Q347" s="4"/>
      <c r="R347" s="4"/>
      <c r="S347" s="4"/>
      <c r="T347" s="4"/>
      <c r="U347" s="4"/>
      <c r="V347" s="4"/>
      <c r="W347" s="4"/>
    </row>
    <row r="348" spans="2:23" x14ac:dyDescent="0.25">
      <c r="B348" s="4"/>
      <c r="C348" s="6"/>
      <c r="D348" s="6"/>
      <c r="E348" s="6"/>
      <c r="F348" s="6"/>
      <c r="G348" s="4"/>
      <c r="H348" s="4"/>
      <c r="I348" s="4"/>
      <c r="J348" s="4"/>
      <c r="K348" s="4"/>
      <c r="L348" s="4"/>
      <c r="M348" s="4"/>
      <c r="N348" s="4"/>
      <c r="O348" s="4"/>
      <c r="P348" s="4"/>
      <c r="Q348" s="4"/>
      <c r="R348" s="4"/>
      <c r="S348" s="4"/>
      <c r="T348" s="4"/>
      <c r="U348" s="4"/>
      <c r="V348" s="4"/>
      <c r="W348" s="4"/>
    </row>
    <row r="349" spans="2:23" x14ac:dyDescent="0.25">
      <c r="B349" s="4"/>
      <c r="C349" s="6"/>
      <c r="D349" s="6"/>
      <c r="E349" s="6"/>
      <c r="F349" s="6"/>
      <c r="G349" s="4"/>
      <c r="H349" s="4"/>
      <c r="I349" s="4"/>
      <c r="J349" s="4"/>
      <c r="K349" s="4"/>
      <c r="L349" s="4"/>
      <c r="M349" s="4"/>
      <c r="N349" s="4"/>
      <c r="O349" s="4"/>
      <c r="P349" s="4"/>
      <c r="Q349" s="4"/>
      <c r="R349" s="4"/>
      <c r="S349" s="4"/>
      <c r="T349" s="4"/>
      <c r="U349" s="4"/>
      <c r="V349" s="4"/>
      <c r="W349" s="4"/>
    </row>
    <row r="350" spans="2:23" x14ac:dyDescent="0.25">
      <c r="B350" s="4"/>
      <c r="C350" s="6"/>
      <c r="D350" s="6"/>
      <c r="E350" s="6"/>
      <c r="F350" s="6"/>
      <c r="G350" s="4"/>
      <c r="H350" s="4"/>
      <c r="I350" s="4"/>
      <c r="J350" s="4"/>
      <c r="K350" s="4"/>
      <c r="L350" s="4"/>
      <c r="M350" s="4"/>
      <c r="N350" s="4"/>
      <c r="O350" s="4"/>
      <c r="P350" s="4"/>
      <c r="Q350" s="4"/>
      <c r="R350" s="4"/>
      <c r="S350" s="4"/>
      <c r="T350" s="4"/>
      <c r="U350" s="4"/>
      <c r="V350" s="4"/>
      <c r="W350" s="4"/>
    </row>
    <row r="351" spans="2:23" x14ac:dyDescent="0.25">
      <c r="B351" s="4"/>
      <c r="C351" s="6"/>
      <c r="D351" s="6"/>
      <c r="E351" s="6"/>
      <c r="F351" s="6"/>
      <c r="G351" s="4"/>
      <c r="H351" s="4"/>
      <c r="I351" s="4"/>
      <c r="J351" s="4"/>
      <c r="K351" s="4"/>
      <c r="L351" s="4"/>
      <c r="M351" s="4"/>
      <c r="N351" s="4"/>
      <c r="O351" s="4"/>
      <c r="P351" s="4"/>
      <c r="Q351" s="4"/>
      <c r="R351" s="4"/>
      <c r="S351" s="4"/>
      <c r="T351" s="4"/>
      <c r="U351" s="4"/>
      <c r="V351" s="4"/>
      <c r="W351" s="4"/>
    </row>
    <row r="352" spans="2:23" x14ac:dyDescent="0.25">
      <c r="B352" s="4"/>
      <c r="C352" s="6"/>
      <c r="D352" s="6"/>
      <c r="E352" s="6"/>
      <c r="F352" s="6"/>
      <c r="G352" s="4"/>
      <c r="H352" s="4"/>
      <c r="I352" s="4"/>
      <c r="J352" s="4"/>
      <c r="K352" s="4"/>
      <c r="L352" s="4"/>
      <c r="M352" s="4"/>
      <c r="N352" s="4"/>
      <c r="O352" s="4"/>
      <c r="P352" s="4"/>
      <c r="Q352" s="4"/>
      <c r="R352" s="4"/>
      <c r="S352" s="4"/>
      <c r="T352" s="4"/>
      <c r="U352" s="4"/>
      <c r="V352" s="4"/>
      <c r="W352" s="4"/>
    </row>
    <row r="353" spans="2:23" x14ac:dyDescent="0.25">
      <c r="B353" s="4"/>
      <c r="C353" s="6"/>
      <c r="D353" s="6"/>
      <c r="E353" s="6"/>
      <c r="F353" s="6"/>
      <c r="G353" s="4"/>
      <c r="H353" s="4"/>
      <c r="I353" s="4"/>
      <c r="J353" s="4"/>
      <c r="K353" s="4"/>
      <c r="L353" s="4"/>
      <c r="M353" s="4"/>
      <c r="N353" s="4"/>
      <c r="O353" s="4"/>
      <c r="P353" s="4"/>
      <c r="Q353" s="4"/>
      <c r="R353" s="4"/>
      <c r="S353" s="4"/>
      <c r="T353" s="4"/>
      <c r="U353" s="4"/>
      <c r="V353" s="4"/>
      <c r="W353" s="4"/>
    </row>
    <row r="354" spans="2:23" x14ac:dyDescent="0.25">
      <c r="B354" s="4"/>
      <c r="C354" s="6"/>
      <c r="D354" s="6"/>
      <c r="E354" s="6"/>
      <c r="F354" s="6"/>
      <c r="G354" s="4"/>
      <c r="H354" s="4"/>
      <c r="I354" s="4"/>
      <c r="J354" s="4"/>
      <c r="K354" s="4"/>
      <c r="L354" s="4"/>
      <c r="M354" s="4"/>
      <c r="N354" s="4"/>
      <c r="O354" s="4"/>
      <c r="P354" s="4"/>
      <c r="Q354" s="4"/>
      <c r="R354" s="4"/>
      <c r="S354" s="4"/>
      <c r="T354" s="4"/>
      <c r="U354" s="4"/>
      <c r="V354" s="4"/>
      <c r="W354" s="4"/>
    </row>
    <row r="355" spans="2:23" x14ac:dyDescent="0.25">
      <c r="B355" s="4"/>
      <c r="C355" s="6"/>
      <c r="D355" s="6"/>
      <c r="E355" s="6"/>
      <c r="F355" s="6"/>
      <c r="G355" s="4"/>
      <c r="H355" s="4"/>
      <c r="I355" s="4"/>
      <c r="J355" s="4"/>
      <c r="K355" s="4"/>
      <c r="L355" s="4"/>
      <c r="M355" s="4"/>
      <c r="N355" s="4"/>
      <c r="O355" s="4"/>
      <c r="P355" s="4"/>
      <c r="Q355" s="4"/>
      <c r="R355" s="4"/>
      <c r="S355" s="4"/>
      <c r="T355" s="4"/>
      <c r="U355" s="4"/>
      <c r="V355" s="4"/>
      <c r="W355" s="4"/>
    </row>
    <row r="356" spans="2:23" x14ac:dyDescent="0.25">
      <c r="B356" s="4"/>
      <c r="C356" s="6"/>
      <c r="D356" s="6"/>
      <c r="E356" s="6"/>
      <c r="F356" s="6"/>
      <c r="G356" s="4"/>
      <c r="H356" s="4"/>
      <c r="I356" s="4"/>
      <c r="J356" s="4"/>
      <c r="K356" s="4"/>
      <c r="L356" s="4"/>
      <c r="M356" s="4"/>
      <c r="N356" s="4"/>
      <c r="O356" s="4"/>
      <c r="P356" s="4"/>
      <c r="Q356" s="4"/>
      <c r="R356" s="4"/>
      <c r="S356" s="4"/>
      <c r="T356" s="4"/>
      <c r="U356" s="4"/>
      <c r="V356" s="4"/>
      <c r="W356" s="4"/>
    </row>
    <row r="357" spans="2:23" x14ac:dyDescent="0.25">
      <c r="B357" s="4"/>
      <c r="C357" s="6"/>
      <c r="D357" s="6"/>
      <c r="E357" s="6"/>
      <c r="F357" s="6"/>
      <c r="G357" s="4"/>
      <c r="H357" s="4"/>
      <c r="I357" s="4"/>
      <c r="J357" s="4"/>
      <c r="K357" s="4"/>
      <c r="L357" s="4"/>
      <c r="M357" s="4"/>
      <c r="N357" s="4"/>
      <c r="O357" s="4"/>
      <c r="P357" s="4"/>
      <c r="Q357" s="4"/>
      <c r="R357" s="4"/>
      <c r="S357" s="4"/>
      <c r="T357" s="4"/>
      <c r="U357" s="4"/>
      <c r="V357" s="4"/>
      <c r="W357" s="4"/>
    </row>
    <row r="358" spans="2:23" x14ac:dyDescent="0.25">
      <c r="B358" s="4"/>
      <c r="C358" s="6"/>
      <c r="D358" s="6"/>
      <c r="E358" s="6"/>
      <c r="F358" s="6"/>
      <c r="G358" s="4"/>
      <c r="H358" s="4"/>
      <c r="I358" s="4"/>
      <c r="J358" s="4"/>
      <c r="K358" s="4"/>
      <c r="L358" s="4"/>
      <c r="M358" s="4"/>
      <c r="N358" s="4"/>
      <c r="O358" s="4"/>
      <c r="P358" s="4"/>
      <c r="Q358" s="4"/>
      <c r="R358" s="4"/>
      <c r="S358" s="4"/>
      <c r="T358" s="4"/>
      <c r="U358" s="4"/>
      <c r="V358" s="4"/>
      <c r="W358" s="4"/>
    </row>
    <row r="359" spans="2:23" x14ac:dyDescent="0.25">
      <c r="B359" s="4"/>
      <c r="C359" s="6"/>
      <c r="D359" s="6"/>
      <c r="E359" s="6"/>
      <c r="F359" s="6"/>
      <c r="G359" s="4"/>
      <c r="H359" s="4"/>
      <c r="I359" s="4"/>
      <c r="J359" s="4"/>
      <c r="K359" s="4"/>
      <c r="L359" s="4"/>
      <c r="M359" s="4"/>
      <c r="N359" s="4"/>
      <c r="O359" s="4"/>
      <c r="P359" s="4"/>
      <c r="Q359" s="4"/>
      <c r="R359" s="4"/>
      <c r="S359" s="4"/>
      <c r="T359" s="4"/>
      <c r="U359" s="4"/>
      <c r="V359" s="4"/>
      <c r="W359" s="4"/>
    </row>
    <row r="360" spans="2:23" x14ac:dyDescent="0.25">
      <c r="B360" s="4"/>
      <c r="C360" s="6"/>
      <c r="D360" s="6"/>
      <c r="E360" s="6"/>
      <c r="F360" s="6"/>
      <c r="G360" s="4"/>
      <c r="H360" s="4"/>
      <c r="I360" s="4"/>
      <c r="J360" s="4"/>
      <c r="K360" s="4"/>
      <c r="L360" s="4"/>
      <c r="M360" s="4"/>
      <c r="N360" s="4"/>
      <c r="O360" s="4"/>
      <c r="P360" s="4"/>
      <c r="Q360" s="4"/>
      <c r="R360" s="4"/>
      <c r="S360" s="4"/>
      <c r="T360" s="4"/>
      <c r="U360" s="4"/>
      <c r="V360" s="4"/>
      <c r="W360" s="4"/>
    </row>
    <row r="361" spans="2:23" x14ac:dyDescent="0.25">
      <c r="B361" s="4"/>
      <c r="C361" s="6"/>
      <c r="D361" s="6"/>
      <c r="E361" s="6"/>
      <c r="F361" s="6"/>
      <c r="G361" s="4"/>
      <c r="H361" s="4"/>
      <c r="I361" s="4"/>
      <c r="J361" s="4"/>
      <c r="K361" s="4"/>
      <c r="L361" s="4"/>
      <c r="M361" s="4"/>
      <c r="N361" s="4"/>
      <c r="O361" s="4"/>
      <c r="P361" s="4"/>
      <c r="Q361" s="4"/>
      <c r="R361" s="4"/>
      <c r="S361" s="4"/>
      <c r="T361" s="4"/>
      <c r="U361" s="4"/>
      <c r="V361" s="4"/>
      <c r="W361" s="4"/>
    </row>
    <row r="362" spans="2:23" x14ac:dyDescent="0.25">
      <c r="B362" s="4"/>
      <c r="C362" s="6"/>
      <c r="D362" s="6"/>
      <c r="E362" s="6"/>
      <c r="F362" s="6"/>
      <c r="G362" s="4"/>
      <c r="H362" s="4"/>
      <c r="I362" s="4"/>
      <c r="J362" s="4"/>
      <c r="K362" s="4"/>
      <c r="L362" s="4"/>
      <c r="M362" s="4"/>
      <c r="N362" s="4"/>
      <c r="O362" s="4"/>
      <c r="P362" s="4"/>
      <c r="Q362" s="4"/>
      <c r="R362" s="4"/>
      <c r="S362" s="4"/>
      <c r="T362" s="4"/>
      <c r="U362" s="4"/>
      <c r="V362" s="4"/>
      <c r="W362" s="4"/>
    </row>
    <row r="363" spans="2:23" x14ac:dyDescent="0.25">
      <c r="B363" s="4"/>
      <c r="C363" s="6"/>
      <c r="D363" s="6"/>
      <c r="E363" s="6"/>
      <c r="F363" s="6"/>
      <c r="G363" s="4"/>
      <c r="H363" s="4"/>
      <c r="I363" s="4"/>
      <c r="J363" s="4"/>
      <c r="K363" s="4"/>
      <c r="L363" s="4"/>
      <c r="M363" s="4"/>
      <c r="N363" s="4"/>
      <c r="O363" s="4"/>
      <c r="P363" s="4"/>
      <c r="Q363" s="4"/>
      <c r="R363" s="4"/>
      <c r="S363" s="4"/>
      <c r="T363" s="4"/>
      <c r="U363" s="4"/>
      <c r="V363" s="4"/>
      <c r="W363" s="4"/>
    </row>
    <row r="364" spans="2:23" x14ac:dyDescent="0.25">
      <c r="B364" s="4"/>
      <c r="C364" s="6"/>
      <c r="D364" s="6"/>
      <c r="E364" s="6"/>
      <c r="F364" s="6"/>
      <c r="G364" s="4"/>
      <c r="H364" s="4"/>
      <c r="I364" s="4"/>
      <c r="J364" s="4"/>
      <c r="K364" s="4"/>
      <c r="L364" s="4"/>
      <c r="M364" s="4"/>
      <c r="N364" s="4"/>
      <c r="O364" s="4"/>
      <c r="P364" s="4"/>
      <c r="Q364" s="4"/>
      <c r="R364" s="4"/>
      <c r="S364" s="4"/>
      <c r="T364" s="4"/>
      <c r="U364" s="4"/>
      <c r="V364" s="4"/>
      <c r="W364" s="4"/>
    </row>
    <row r="365" spans="2:23" x14ac:dyDescent="0.25">
      <c r="B365" s="4"/>
      <c r="C365" s="6"/>
      <c r="D365" s="6"/>
      <c r="E365" s="6"/>
      <c r="F365" s="6"/>
      <c r="G365" s="4"/>
      <c r="H365" s="4"/>
      <c r="I365" s="4"/>
      <c r="J365" s="4"/>
      <c r="K365" s="4"/>
      <c r="L365" s="4"/>
      <c r="M365" s="4"/>
      <c r="N365" s="4"/>
      <c r="O365" s="4"/>
      <c r="P365" s="4"/>
      <c r="Q365" s="4"/>
      <c r="R365" s="4"/>
      <c r="S365" s="4"/>
      <c r="T365" s="4"/>
      <c r="U365" s="4"/>
      <c r="V365" s="4"/>
      <c r="W365" s="4"/>
    </row>
    <row r="366" spans="2:23" x14ac:dyDescent="0.25">
      <c r="B366" s="4"/>
      <c r="C366" s="6"/>
      <c r="D366" s="6"/>
      <c r="E366" s="6"/>
      <c r="F366" s="6"/>
      <c r="G366" s="4"/>
      <c r="H366" s="4"/>
      <c r="I366" s="4"/>
      <c r="J366" s="4"/>
      <c r="K366" s="4"/>
      <c r="L366" s="4"/>
      <c r="M366" s="4"/>
      <c r="N366" s="4"/>
      <c r="O366" s="4"/>
      <c r="P366" s="4"/>
      <c r="Q366" s="4"/>
      <c r="R366" s="4"/>
      <c r="S366" s="4"/>
      <c r="T366" s="4"/>
      <c r="U366" s="4"/>
      <c r="V366" s="4"/>
      <c r="W366" s="4"/>
    </row>
    <row r="367" spans="2:23" x14ac:dyDescent="0.25">
      <c r="B367" s="4"/>
      <c r="C367" s="6"/>
      <c r="D367" s="6"/>
      <c r="E367" s="6"/>
      <c r="F367" s="6"/>
      <c r="G367" s="4"/>
      <c r="H367" s="4"/>
      <c r="I367" s="4"/>
      <c r="J367" s="4"/>
      <c r="K367" s="4"/>
      <c r="L367" s="4"/>
      <c r="M367" s="4"/>
      <c r="N367" s="4"/>
      <c r="O367" s="4"/>
      <c r="P367" s="4"/>
      <c r="Q367" s="4"/>
      <c r="R367" s="4"/>
      <c r="S367" s="4"/>
      <c r="T367" s="4"/>
      <c r="U367" s="4"/>
      <c r="V367" s="4"/>
      <c r="W367" s="4"/>
    </row>
    <row r="368" spans="2:23" x14ac:dyDescent="0.25">
      <c r="B368" s="4"/>
      <c r="C368" s="6"/>
      <c r="D368" s="6"/>
      <c r="E368" s="6"/>
      <c r="F368" s="6"/>
      <c r="G368" s="4"/>
      <c r="H368" s="4"/>
      <c r="I368" s="4"/>
      <c r="J368" s="4"/>
      <c r="K368" s="4"/>
      <c r="L368" s="4"/>
      <c r="M368" s="4"/>
      <c r="N368" s="4"/>
      <c r="O368" s="4"/>
      <c r="P368" s="4"/>
      <c r="Q368" s="4"/>
      <c r="R368" s="4"/>
      <c r="S368" s="4"/>
      <c r="T368" s="4"/>
      <c r="U368" s="4"/>
      <c r="V368" s="4"/>
      <c r="W368" s="4"/>
    </row>
    <row r="369" spans="2:23" x14ac:dyDescent="0.25">
      <c r="B369" s="4"/>
      <c r="C369" s="6"/>
      <c r="D369" s="6"/>
      <c r="E369" s="6"/>
      <c r="F369" s="6"/>
      <c r="G369" s="4"/>
      <c r="H369" s="4"/>
      <c r="I369" s="4"/>
      <c r="J369" s="4"/>
      <c r="K369" s="4"/>
      <c r="L369" s="4"/>
      <c r="M369" s="4"/>
      <c r="N369" s="4"/>
      <c r="O369" s="4"/>
      <c r="P369" s="4"/>
      <c r="Q369" s="4"/>
      <c r="R369" s="4"/>
      <c r="S369" s="4"/>
      <c r="T369" s="4"/>
      <c r="U369" s="4"/>
      <c r="V369" s="4"/>
      <c r="W369" s="4"/>
    </row>
    <row r="370" spans="2:23" x14ac:dyDescent="0.25">
      <c r="B370" s="4"/>
      <c r="C370" s="6"/>
      <c r="D370" s="6"/>
      <c r="E370" s="6"/>
      <c r="F370" s="6"/>
      <c r="G370" s="4"/>
      <c r="H370" s="4"/>
      <c r="I370" s="4"/>
      <c r="J370" s="4"/>
      <c r="K370" s="4"/>
      <c r="L370" s="4"/>
      <c r="M370" s="4"/>
      <c r="N370" s="4"/>
      <c r="O370" s="4"/>
      <c r="P370" s="4"/>
      <c r="Q370" s="4"/>
      <c r="R370" s="4"/>
      <c r="S370" s="4"/>
      <c r="T370" s="4"/>
      <c r="U370" s="4"/>
      <c r="V370" s="4"/>
      <c r="W370" s="4"/>
    </row>
    <row r="371" spans="2:23" x14ac:dyDescent="0.25">
      <c r="B371" s="4"/>
      <c r="C371" s="6"/>
      <c r="D371" s="6"/>
      <c r="E371" s="6"/>
      <c r="F371" s="6"/>
      <c r="G371" s="4"/>
      <c r="H371" s="4"/>
      <c r="I371" s="4"/>
      <c r="J371" s="4"/>
      <c r="K371" s="4"/>
      <c r="L371" s="4"/>
      <c r="M371" s="4"/>
      <c r="N371" s="4"/>
      <c r="O371" s="4"/>
      <c r="P371" s="4"/>
      <c r="Q371" s="4"/>
      <c r="R371" s="4"/>
      <c r="S371" s="4"/>
      <c r="T371" s="4"/>
      <c r="U371" s="4"/>
      <c r="V371" s="4"/>
      <c r="W371" s="4"/>
    </row>
    <row r="372" spans="2:23" x14ac:dyDescent="0.25">
      <c r="B372" s="4"/>
      <c r="C372" s="6"/>
      <c r="D372" s="6"/>
      <c r="E372" s="6"/>
      <c r="F372" s="6"/>
      <c r="G372" s="4"/>
      <c r="H372" s="4"/>
      <c r="I372" s="4"/>
      <c r="J372" s="4"/>
      <c r="K372" s="4"/>
      <c r="L372" s="4"/>
      <c r="M372" s="4"/>
      <c r="N372" s="4"/>
      <c r="O372" s="4"/>
      <c r="P372" s="4"/>
      <c r="Q372" s="4"/>
      <c r="R372" s="4"/>
      <c r="S372" s="4"/>
      <c r="T372" s="4"/>
      <c r="U372" s="4"/>
      <c r="V372" s="4"/>
      <c r="W372" s="4"/>
    </row>
    <row r="373" spans="2:23" x14ac:dyDescent="0.25">
      <c r="B373" s="4"/>
      <c r="C373" s="6"/>
      <c r="D373" s="6"/>
      <c r="E373" s="6"/>
      <c r="F373" s="6"/>
      <c r="G373" s="4"/>
      <c r="H373" s="4"/>
      <c r="I373" s="4"/>
      <c r="J373" s="4"/>
      <c r="K373" s="4"/>
      <c r="L373" s="4"/>
      <c r="M373" s="4"/>
      <c r="N373" s="4"/>
      <c r="O373" s="4"/>
      <c r="P373" s="4"/>
      <c r="Q373" s="4"/>
      <c r="R373" s="4"/>
      <c r="S373" s="4"/>
      <c r="T373" s="4"/>
      <c r="U373" s="4"/>
      <c r="V373" s="4"/>
      <c r="W373" s="4"/>
    </row>
    <row r="374" spans="2:23" x14ac:dyDescent="0.25">
      <c r="B374" s="4"/>
      <c r="C374" s="6"/>
      <c r="D374" s="6"/>
      <c r="E374" s="6"/>
      <c r="F374" s="6"/>
      <c r="G374" s="4"/>
      <c r="H374" s="4"/>
      <c r="I374" s="4"/>
      <c r="J374" s="4"/>
      <c r="K374" s="4"/>
      <c r="L374" s="4"/>
      <c r="M374" s="4"/>
      <c r="N374" s="4"/>
      <c r="O374" s="4"/>
      <c r="P374" s="4"/>
      <c r="Q374" s="4"/>
      <c r="R374" s="4"/>
      <c r="S374" s="4"/>
      <c r="T374" s="4"/>
      <c r="U374" s="4"/>
      <c r="V374" s="4"/>
      <c r="W374" s="4"/>
    </row>
    <row r="375" spans="2:23" x14ac:dyDescent="0.25">
      <c r="B375" s="4"/>
      <c r="C375" s="6"/>
      <c r="D375" s="6"/>
      <c r="E375" s="6"/>
      <c r="F375" s="6"/>
      <c r="G375" s="4"/>
      <c r="H375" s="4"/>
      <c r="I375" s="4"/>
      <c r="J375" s="4"/>
      <c r="K375" s="4"/>
      <c r="L375" s="4"/>
      <c r="M375" s="4"/>
      <c r="N375" s="4"/>
      <c r="O375" s="4"/>
      <c r="P375" s="4"/>
      <c r="Q375" s="4"/>
      <c r="R375" s="4"/>
      <c r="S375" s="4"/>
      <c r="T375" s="4"/>
      <c r="U375" s="4"/>
      <c r="V375" s="4"/>
      <c r="W375" s="4"/>
    </row>
    <row r="376" spans="2:23" x14ac:dyDescent="0.25">
      <c r="B376" s="4"/>
      <c r="C376" s="6"/>
      <c r="D376" s="6"/>
      <c r="E376" s="6"/>
      <c r="F376" s="6"/>
      <c r="G376" s="4"/>
      <c r="H376" s="4"/>
      <c r="I376" s="4"/>
      <c r="J376" s="4"/>
      <c r="K376" s="4"/>
      <c r="L376" s="4"/>
      <c r="M376" s="4"/>
      <c r="N376" s="4"/>
      <c r="O376" s="4"/>
      <c r="P376" s="4"/>
      <c r="Q376" s="4"/>
      <c r="R376" s="4"/>
      <c r="S376" s="4"/>
      <c r="T376" s="4"/>
      <c r="U376" s="4"/>
      <c r="V376" s="4"/>
      <c r="W376" s="4"/>
    </row>
    <row r="377" spans="2:23" x14ac:dyDescent="0.25">
      <c r="B377" s="4"/>
      <c r="C377" s="6"/>
      <c r="D377" s="6"/>
      <c r="E377" s="6"/>
      <c r="F377" s="6"/>
      <c r="G377" s="4"/>
      <c r="H377" s="4"/>
      <c r="I377" s="4"/>
      <c r="J377" s="4"/>
      <c r="K377" s="4"/>
      <c r="L377" s="4"/>
      <c r="M377" s="4"/>
      <c r="N377" s="4"/>
      <c r="O377" s="4"/>
      <c r="P377" s="4"/>
      <c r="Q377" s="4"/>
      <c r="R377" s="4"/>
      <c r="S377" s="4"/>
      <c r="T377" s="4"/>
      <c r="U377" s="4"/>
      <c r="V377" s="4"/>
      <c r="W377" s="4"/>
    </row>
    <row r="378" spans="2:23" x14ac:dyDescent="0.25">
      <c r="B378" s="4"/>
      <c r="C378" s="6"/>
      <c r="D378" s="6"/>
      <c r="E378" s="6"/>
      <c r="F378" s="6"/>
      <c r="G378" s="4"/>
      <c r="H378" s="4"/>
      <c r="I378" s="4"/>
      <c r="J378" s="4"/>
      <c r="K378" s="4"/>
      <c r="L378" s="4"/>
      <c r="M378" s="4"/>
      <c r="N378" s="4"/>
      <c r="O378" s="4"/>
      <c r="P378" s="4"/>
      <c r="Q378" s="4"/>
      <c r="R378" s="4"/>
      <c r="S378" s="4"/>
      <c r="T378" s="4"/>
      <c r="U378" s="4"/>
      <c r="V378" s="4"/>
      <c r="W378" s="4"/>
    </row>
    <row r="379" spans="2:23" x14ac:dyDescent="0.25">
      <c r="B379" s="4"/>
      <c r="C379" s="6"/>
      <c r="D379" s="6"/>
      <c r="E379" s="6"/>
      <c r="F379" s="6"/>
      <c r="G379" s="4"/>
      <c r="H379" s="4"/>
      <c r="I379" s="4"/>
      <c r="J379" s="4"/>
      <c r="K379" s="4"/>
      <c r="L379" s="4"/>
      <c r="M379" s="4"/>
      <c r="N379" s="4"/>
      <c r="O379" s="4"/>
      <c r="P379" s="4"/>
      <c r="Q379" s="4"/>
      <c r="R379" s="4"/>
      <c r="S379" s="4"/>
      <c r="T379" s="4"/>
      <c r="U379" s="4"/>
      <c r="V379" s="4"/>
      <c r="W379" s="4"/>
    </row>
    <row r="380" spans="2:23" x14ac:dyDescent="0.25">
      <c r="B380" s="4"/>
      <c r="C380" s="6"/>
      <c r="D380" s="6"/>
      <c r="E380" s="6"/>
      <c r="F380" s="6"/>
      <c r="G380" s="4"/>
      <c r="H380" s="4"/>
      <c r="I380" s="4"/>
      <c r="J380" s="4"/>
      <c r="K380" s="4"/>
      <c r="L380" s="4"/>
      <c r="M380" s="4"/>
      <c r="N380" s="4"/>
      <c r="O380" s="4"/>
      <c r="P380" s="4"/>
      <c r="Q380" s="4"/>
      <c r="R380" s="4"/>
      <c r="S380" s="4"/>
      <c r="T380" s="4"/>
      <c r="U380" s="4"/>
      <c r="V380" s="4"/>
      <c r="W380" s="4"/>
    </row>
    <row r="381" spans="2:23" x14ac:dyDescent="0.25">
      <c r="B381" s="4"/>
      <c r="C381" s="6"/>
      <c r="D381" s="6"/>
      <c r="E381" s="6"/>
      <c r="F381" s="6"/>
      <c r="G381" s="4"/>
      <c r="H381" s="4"/>
      <c r="I381" s="4"/>
      <c r="J381" s="4"/>
      <c r="K381" s="4"/>
      <c r="L381" s="4"/>
      <c r="M381" s="4"/>
      <c r="N381" s="4"/>
      <c r="O381" s="4"/>
      <c r="P381" s="4"/>
      <c r="Q381" s="4"/>
      <c r="R381" s="4"/>
      <c r="S381" s="4"/>
      <c r="T381" s="4"/>
      <c r="U381" s="4"/>
      <c r="V381" s="4"/>
      <c r="W381" s="4"/>
    </row>
    <row r="382" spans="2:23" x14ac:dyDescent="0.25">
      <c r="B382" s="4"/>
      <c r="C382" s="6"/>
      <c r="D382" s="6"/>
      <c r="E382" s="6"/>
      <c r="F382" s="6"/>
      <c r="G382" s="4"/>
      <c r="H382" s="4"/>
      <c r="I382" s="4"/>
      <c r="J382" s="4"/>
      <c r="K382" s="4"/>
      <c r="L382" s="4"/>
      <c r="M382" s="4"/>
      <c r="N382" s="4"/>
      <c r="O382" s="4"/>
      <c r="P382" s="4"/>
      <c r="Q382" s="4"/>
      <c r="R382" s="4"/>
      <c r="S382" s="4"/>
      <c r="T382" s="4"/>
      <c r="U382" s="4"/>
      <c r="V382" s="4"/>
      <c r="W382" s="4"/>
    </row>
    <row r="383" spans="2:23" x14ac:dyDescent="0.25">
      <c r="B383" s="4"/>
      <c r="C383" s="6"/>
      <c r="D383" s="6"/>
      <c r="E383" s="6"/>
      <c r="F383" s="6"/>
      <c r="G383" s="4"/>
      <c r="H383" s="4"/>
      <c r="I383" s="4"/>
      <c r="J383" s="4"/>
      <c r="K383" s="4"/>
      <c r="L383" s="4"/>
      <c r="M383" s="4"/>
      <c r="N383" s="4"/>
      <c r="O383" s="4"/>
      <c r="P383" s="4"/>
      <c r="Q383" s="4"/>
      <c r="R383" s="4"/>
      <c r="S383" s="4"/>
      <c r="T383" s="4"/>
      <c r="U383" s="4"/>
      <c r="V383" s="4"/>
      <c r="W383" s="4"/>
    </row>
    <row r="384" spans="2:23" x14ac:dyDescent="0.25">
      <c r="B384" s="4"/>
      <c r="C384" s="6"/>
      <c r="D384" s="6"/>
      <c r="E384" s="6"/>
      <c r="F384" s="6"/>
      <c r="G384" s="4"/>
      <c r="H384" s="4"/>
      <c r="I384" s="4"/>
      <c r="J384" s="4"/>
      <c r="K384" s="4"/>
      <c r="L384" s="4"/>
      <c r="M384" s="4"/>
      <c r="N384" s="4"/>
      <c r="O384" s="4"/>
      <c r="P384" s="4"/>
      <c r="Q384" s="4"/>
      <c r="R384" s="4"/>
      <c r="S384" s="4"/>
      <c r="T384" s="4"/>
      <c r="U384" s="4"/>
      <c r="V384" s="4"/>
      <c r="W384" s="4"/>
    </row>
    <row r="385" spans="2:23" x14ac:dyDescent="0.25">
      <c r="B385" s="4"/>
      <c r="C385" s="6"/>
      <c r="D385" s="6"/>
      <c r="E385" s="6"/>
      <c r="F385" s="6"/>
      <c r="G385" s="4"/>
      <c r="H385" s="4"/>
      <c r="I385" s="4"/>
      <c r="J385" s="4"/>
      <c r="K385" s="4"/>
      <c r="L385" s="4"/>
      <c r="M385" s="4"/>
      <c r="N385" s="4"/>
      <c r="O385" s="4"/>
      <c r="P385" s="4"/>
      <c r="Q385" s="4"/>
      <c r="R385" s="4"/>
      <c r="S385" s="4"/>
      <c r="T385" s="4"/>
      <c r="U385" s="4"/>
      <c r="V385" s="4"/>
      <c r="W385" s="4"/>
    </row>
    <row r="386" spans="2:23" x14ac:dyDescent="0.25">
      <c r="B386" s="4"/>
      <c r="C386" s="6"/>
      <c r="D386" s="6"/>
      <c r="E386" s="6"/>
      <c r="F386" s="6"/>
      <c r="G386" s="4"/>
      <c r="H386" s="4"/>
      <c r="I386" s="4"/>
      <c r="J386" s="4"/>
      <c r="K386" s="4"/>
      <c r="L386" s="4"/>
      <c r="M386" s="4"/>
      <c r="N386" s="4"/>
      <c r="O386" s="4"/>
      <c r="P386" s="4"/>
      <c r="Q386" s="4"/>
      <c r="R386" s="4"/>
      <c r="S386" s="4"/>
      <c r="T386" s="4"/>
      <c r="U386" s="4"/>
      <c r="V386" s="4"/>
      <c r="W386" s="4"/>
    </row>
  </sheetData>
  <mergeCells count="26">
    <mergeCell ref="V134:V136"/>
    <mergeCell ref="V141:V143"/>
    <mergeCell ref="O141:O143"/>
    <mergeCell ref="P141:P143"/>
    <mergeCell ref="Q141:Q143"/>
    <mergeCell ref="U134:U136"/>
    <mergeCell ref="U141:U143"/>
    <mergeCell ref="O134:O136"/>
    <mergeCell ref="P134:P136"/>
    <mergeCell ref="Q134:Q136"/>
    <mergeCell ref="R134:R136"/>
    <mergeCell ref="S134:S136"/>
    <mergeCell ref="T134:T136"/>
    <mergeCell ref="R141:R143"/>
    <mergeCell ref="S141:S143"/>
    <mergeCell ref="T141:T143"/>
    <mergeCell ref="J141:J143"/>
    <mergeCell ref="K141:K143"/>
    <mergeCell ref="L141:L143"/>
    <mergeCell ref="M141:M143"/>
    <mergeCell ref="N141:N143"/>
    <mergeCell ref="J134:J136"/>
    <mergeCell ref="K134:K136"/>
    <mergeCell ref="L134:L136"/>
    <mergeCell ref="M134:M136"/>
    <mergeCell ref="N134:N136"/>
  </mergeCells>
  <hyperlinks>
    <hyperlink ref="C159" r:id="rId1" xr:uid="{8D6A138A-DB9A-4CE3-A52B-4B742C295F7E}"/>
  </hyperlinks>
  <pageMargins left="0.7" right="0.7" top="0.75" bottom="0.75" header="0.3" footer="0.3"/>
  <pageSetup paperSize="9" orientation="portrait" r:id="rId2"/>
  <drawing r:id="rId3"/>
  <legacyDrawing r:id="rId4"/>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0"/>
  <sheetViews>
    <sheetView zoomScale="70" zoomScaleNormal="70" workbookViewId="0">
      <selection activeCell="G7" sqref="G7"/>
    </sheetView>
  </sheetViews>
  <sheetFormatPr defaultColWidth="9.140625" defaultRowHeight="15" x14ac:dyDescent="0.2"/>
  <cols>
    <col min="1" max="1" width="36.7109375" style="22" customWidth="1"/>
    <col min="2" max="2" width="14" style="22" customWidth="1"/>
    <col min="3" max="3" width="15.42578125" style="22" customWidth="1"/>
    <col min="4" max="5" width="14" style="22" customWidth="1"/>
    <col min="6" max="7" width="16.42578125" style="22" customWidth="1"/>
    <col min="8" max="8" width="19.5703125" style="22" customWidth="1"/>
    <col min="9" max="10" width="9.140625" style="22"/>
    <col min="11" max="11" width="9.5703125" style="22" bestFit="1" customWidth="1"/>
    <col min="12" max="12" width="9.140625" style="22" customWidth="1"/>
    <col min="13" max="16384" width="9.140625" style="22"/>
  </cols>
  <sheetData>
    <row r="1" spans="1:9" x14ac:dyDescent="0.2">
      <c r="A1" s="21"/>
      <c r="B1" s="75"/>
      <c r="C1" s="75"/>
      <c r="D1" s="75"/>
      <c r="E1" s="75"/>
      <c r="F1" s="75"/>
      <c r="G1" s="75"/>
      <c r="H1" s="21"/>
      <c r="I1" s="21"/>
    </row>
    <row r="2" spans="1:9" ht="25.5" customHeight="1" x14ac:dyDescent="0.25">
      <c r="A2" s="585" t="s">
        <v>3385</v>
      </c>
      <c r="B2" s="75"/>
      <c r="C2" s="75"/>
      <c r="D2" s="75"/>
      <c r="E2" s="75"/>
      <c r="F2" s="75"/>
      <c r="G2" s="75"/>
      <c r="H2" s="21"/>
      <c r="I2" s="21"/>
    </row>
    <row r="3" spans="1:9" ht="23.25" customHeight="1" x14ac:dyDescent="0.25">
      <c r="A3" s="585"/>
      <c r="B3" s="75"/>
      <c r="C3" s="75"/>
      <c r="D3" s="75"/>
      <c r="E3" s="75"/>
      <c r="F3" s="75"/>
      <c r="G3" s="75"/>
      <c r="H3" s="21"/>
      <c r="I3" s="21"/>
    </row>
    <row r="4" spans="1:9" ht="30" customHeight="1" x14ac:dyDescent="0.2">
      <c r="A4" s="1254" t="s">
        <v>348</v>
      </c>
      <c r="B4" s="1926" t="s">
        <v>2606</v>
      </c>
      <c r="C4" s="1254"/>
      <c r="D4" s="1254"/>
      <c r="E4" s="1254"/>
      <c r="G4" s="1254"/>
      <c r="H4" s="21"/>
      <c r="I4" s="21"/>
    </row>
    <row r="5" spans="1:9" ht="40.5" customHeight="1" thickBot="1" x14ac:dyDescent="0.25">
      <c r="A5" s="1121" t="s">
        <v>1182</v>
      </c>
      <c r="B5" s="1255">
        <v>2016</v>
      </c>
      <c r="C5" s="1255">
        <v>2017</v>
      </c>
      <c r="D5" s="1255">
        <v>2018</v>
      </c>
      <c r="E5" s="1255">
        <v>2019</v>
      </c>
      <c r="F5" s="1255">
        <v>2020</v>
      </c>
      <c r="G5" s="1255">
        <v>2021</v>
      </c>
      <c r="H5" s="21"/>
      <c r="I5" s="21"/>
    </row>
    <row r="6" spans="1:9" ht="21.75" customHeight="1" x14ac:dyDescent="0.2">
      <c r="A6" s="1122" t="s">
        <v>1377</v>
      </c>
      <c r="B6" s="1256"/>
      <c r="C6" s="1256"/>
      <c r="D6" s="1256"/>
      <c r="E6" s="1256"/>
      <c r="F6" s="1256"/>
      <c r="G6" s="1256"/>
      <c r="H6" s="21"/>
      <c r="I6" s="21"/>
    </row>
    <row r="7" spans="1:9" x14ac:dyDescent="0.2">
      <c r="A7" s="21">
        <v>11101</v>
      </c>
      <c r="B7" s="75">
        <f>IFERROR(VLOOKUP(A7,'Ф_102_2016'!C:F,4,0),0)</f>
        <v>0</v>
      </c>
      <c r="C7" s="75">
        <f>IFERROR(VLOOKUP(A7,Ф_102_2017!C:F,4,0),0)</f>
        <v>0</v>
      </c>
      <c r="D7" s="75">
        <f>IFERROR(VLOOKUP(A7,Ф_102_2018!C:F,4,0),0)</f>
        <v>0</v>
      </c>
      <c r="E7" s="75">
        <f>IFERROR(VLOOKUP(A7,Ф_102_2019!C:F,4,0),0)</f>
        <v>0</v>
      </c>
      <c r="F7" s="75">
        <f>IFERROR(VLOOKUP(A7,Ф_102_2020!C:F,4,0),0)</f>
        <v>0</v>
      </c>
      <c r="G7" s="75">
        <f>IFERROR(VLOOKUP(A7,Ф_102_2021!C:F,4,0),0)</f>
        <v>0</v>
      </c>
      <c r="H7" s="21"/>
      <c r="I7" s="21"/>
    </row>
    <row r="8" spans="1:9" x14ac:dyDescent="0.2">
      <c r="A8" s="21">
        <v>11102</v>
      </c>
      <c r="B8" s="75">
        <f>IFERROR(VLOOKUP(A8,'Ф_102_2016'!C:F,4,0),0)</f>
        <v>0</v>
      </c>
      <c r="C8" s="75">
        <f>IFERROR(VLOOKUP(A8,Ф_102_2017!C:F,4,0),0)</f>
        <v>0</v>
      </c>
      <c r="D8" s="75">
        <f>IFERROR(VLOOKUP(A8,Ф_102_2018!C:F,4,0),0)</f>
        <v>0</v>
      </c>
      <c r="E8" s="75">
        <f>IFERROR(VLOOKUP(A8,Ф_102_2019!C:F,4,0),0)</f>
        <v>2669</v>
      </c>
      <c r="F8" s="75">
        <f>IFERROR(VLOOKUP(A8,Ф_102_2020!C:F,4,0),0)</f>
        <v>0</v>
      </c>
      <c r="G8" s="75">
        <f>IFERROR(VLOOKUP(A8,Ф_102_2021!C:F,4,0),0)</f>
        <v>0</v>
      </c>
      <c r="H8" s="21"/>
      <c r="I8" s="21"/>
    </row>
    <row r="9" spans="1:9" x14ac:dyDescent="0.2">
      <c r="A9" s="21">
        <v>11103</v>
      </c>
      <c r="B9" s="75">
        <f>IFERROR(VLOOKUP(A9,'Ф_102_2016'!C:F,4,0),0)</f>
        <v>0</v>
      </c>
      <c r="C9" s="75">
        <f>IFERROR(VLOOKUP(A9,Ф_102_2017!C:F,4,0),0)</f>
        <v>0</v>
      </c>
      <c r="D9" s="75">
        <f>IFERROR(VLOOKUP(A9,Ф_102_2018!C:F,4,0),0)</f>
        <v>0</v>
      </c>
      <c r="E9" s="75">
        <f>IFERROR(VLOOKUP(A9,Ф_102_2019!C:F,4,0),0)</f>
        <v>0</v>
      </c>
      <c r="F9" s="75">
        <f>IFERROR(VLOOKUP(A9,Ф_102_2020!C:F,4,0),0)</f>
        <v>0</v>
      </c>
      <c r="G9" s="75">
        <f>IFERROR(VLOOKUP(A9,Ф_102_2021!C:F,4,0),0)</f>
        <v>0</v>
      </c>
      <c r="H9" s="21"/>
      <c r="I9" s="21"/>
    </row>
    <row r="10" spans="1:9" x14ac:dyDescent="0.2">
      <c r="A10" s="21">
        <v>11104</v>
      </c>
      <c r="B10" s="75">
        <f>IFERROR(VLOOKUP(A10,'Ф_102_2016'!C:F,4,0),0)</f>
        <v>0</v>
      </c>
      <c r="C10" s="75">
        <f>IFERROR(VLOOKUP(A10,Ф_102_2017!C:F,4,0),0)</f>
        <v>0</v>
      </c>
      <c r="D10" s="75">
        <f>IFERROR(VLOOKUP(A10,Ф_102_2018!C:F,4,0),0)</f>
        <v>0</v>
      </c>
      <c r="E10" s="75">
        <f>IFERROR(VLOOKUP(A10,Ф_102_2019!C:F,4,0),0)</f>
        <v>0</v>
      </c>
      <c r="F10" s="75">
        <f>IFERROR(VLOOKUP(A10,Ф_102_2020!C:F,4,0),0)</f>
        <v>0</v>
      </c>
      <c r="G10" s="75">
        <f>IFERROR(VLOOKUP(A10,Ф_102_2021!C:F,4,0),0)</f>
        <v>0</v>
      </c>
      <c r="H10" s="21"/>
      <c r="I10" s="21"/>
    </row>
    <row r="11" spans="1:9" x14ac:dyDescent="0.2">
      <c r="A11" s="21">
        <v>11201</v>
      </c>
      <c r="B11" s="75">
        <f>IFERROR(VLOOKUP(A11,'Ф_102_2016'!C:F,4,0),0)</f>
        <v>0</v>
      </c>
      <c r="C11" s="75">
        <f>IFERROR(VLOOKUP(A11,Ф_102_2017!C:F,4,0),0)</f>
        <v>0</v>
      </c>
      <c r="D11" s="75">
        <f>IFERROR(VLOOKUP(A11,Ф_102_2018!C:F,4,0),0)</f>
        <v>0</v>
      </c>
      <c r="E11" s="75">
        <f>IFERROR(VLOOKUP(A11,Ф_102_2019!C:F,4,0),0)</f>
        <v>0</v>
      </c>
      <c r="F11" s="75">
        <f>IFERROR(VLOOKUP(A11,Ф_102_2020!C:F,4,0),0)</f>
        <v>0</v>
      </c>
      <c r="G11" s="75">
        <f>IFERROR(VLOOKUP(A11,Ф_102_2021!C:F,4,0),0)</f>
        <v>0</v>
      </c>
      <c r="H11" s="21"/>
      <c r="I11" s="21"/>
    </row>
    <row r="12" spans="1:9" x14ac:dyDescent="0.2">
      <c r="A12" s="21">
        <v>11202</v>
      </c>
      <c r="B12" s="75">
        <f>IFERROR(VLOOKUP(A12,'Ф_102_2016'!C:F,4,0),0)</f>
        <v>0</v>
      </c>
      <c r="C12" s="75">
        <f>IFERROR(VLOOKUP(A12,Ф_102_2017!C:F,4,0),0)</f>
        <v>0</v>
      </c>
      <c r="D12" s="75">
        <f>IFERROR(VLOOKUP(A12,Ф_102_2018!C:F,4,0),0)</f>
        <v>0</v>
      </c>
      <c r="E12" s="75">
        <f>IFERROR(VLOOKUP(A12,Ф_102_2019!C:F,4,0),0)</f>
        <v>0</v>
      </c>
      <c r="F12" s="75">
        <f>IFERROR(VLOOKUP(A12,Ф_102_2020!C:F,4,0),0)</f>
        <v>0</v>
      </c>
      <c r="G12" s="75">
        <f>IFERROR(VLOOKUP(A12,Ф_102_2021!C:F,4,0),0)</f>
        <v>0</v>
      </c>
      <c r="H12" s="21"/>
      <c r="I12" s="21"/>
    </row>
    <row r="13" spans="1:9" x14ac:dyDescent="0.2">
      <c r="A13" s="21">
        <v>11203</v>
      </c>
      <c r="B13" s="75">
        <f>IFERROR(VLOOKUP(A13,'Ф_102_2016'!C:F,4,0),0)</f>
        <v>0</v>
      </c>
      <c r="C13" s="75">
        <f>IFERROR(VLOOKUP(A13,Ф_102_2017!C:F,4,0),0)</f>
        <v>0</v>
      </c>
      <c r="D13" s="75">
        <f>IFERROR(VLOOKUP(A13,Ф_102_2018!C:F,4,0),0)</f>
        <v>0</v>
      </c>
      <c r="E13" s="75">
        <f>IFERROR(VLOOKUP(A13,Ф_102_2019!C:F,4,0),0)</f>
        <v>0</v>
      </c>
      <c r="F13" s="75">
        <f>IFERROR(VLOOKUP(A13,Ф_102_2020!C:F,4,0),0)</f>
        <v>0</v>
      </c>
      <c r="G13" s="75">
        <f>IFERROR(VLOOKUP(A13,Ф_102_2021!C:F,4,0),0)</f>
        <v>0</v>
      </c>
      <c r="H13" s="21"/>
      <c r="I13" s="21"/>
    </row>
    <row r="14" spans="1:9" x14ac:dyDescent="0.2">
      <c r="A14" s="21">
        <v>11204</v>
      </c>
      <c r="B14" s="75">
        <f>IFERROR(VLOOKUP(A14,'Ф_102_2016'!C:F,4,0),0)</f>
        <v>0</v>
      </c>
      <c r="C14" s="75">
        <f>IFERROR(VLOOKUP(A14,Ф_102_2017!C:F,4,0),0)</f>
        <v>0</v>
      </c>
      <c r="D14" s="75">
        <f>IFERROR(VLOOKUP(A14,Ф_102_2018!C:F,4,0),0)</f>
        <v>0</v>
      </c>
      <c r="E14" s="75">
        <f>IFERROR(VLOOKUP(A14,Ф_102_2019!C:F,4,0),0)</f>
        <v>0</v>
      </c>
      <c r="F14" s="75">
        <f>IFERROR(VLOOKUP(A14,Ф_102_2020!C:F,4,0),0)</f>
        <v>0</v>
      </c>
      <c r="G14" s="75">
        <f>IFERROR(VLOOKUP(A14,Ф_102_2021!C:F,4,0),0)</f>
        <v>0</v>
      </c>
      <c r="H14" s="21"/>
      <c r="I14" s="21"/>
    </row>
    <row r="15" spans="1:9" s="1123" customFormat="1" x14ac:dyDescent="0.2">
      <c r="A15" s="340">
        <v>12201</v>
      </c>
      <c r="B15" s="75">
        <f>IFERROR(VLOOKUP(A15,'Ф_102_2016'!C:F,4,0),0)</f>
        <v>0</v>
      </c>
      <c r="C15" s="75">
        <f>IFERROR(VLOOKUP(A15,Ф_102_2017!C:F,4,0),0)</f>
        <v>0</v>
      </c>
      <c r="D15" s="75">
        <f>IFERROR(VLOOKUP(A15,Ф_102_2018!C:F,4,0),0)</f>
        <v>0</v>
      </c>
      <c r="E15" s="75">
        <f>IFERROR(VLOOKUP(A15,Ф_102_2019!C:F,4,0),0)</f>
        <v>0</v>
      </c>
      <c r="F15" s="75">
        <f>IFERROR(VLOOKUP(A15,Ф_102_2020!C:F,4,0),0)</f>
        <v>0</v>
      </c>
      <c r="G15" s="75">
        <f>IFERROR(VLOOKUP(A15,Ф_102_2021!C:F,4,0),0)</f>
        <v>0</v>
      </c>
      <c r="H15" s="340"/>
      <c r="I15" s="340"/>
    </row>
    <row r="16" spans="1:9" s="1123" customFormat="1" x14ac:dyDescent="0.2">
      <c r="A16" s="340">
        <v>12202</v>
      </c>
      <c r="B16" s="75">
        <f>IFERROR(VLOOKUP(A16,'Ф_102_2016'!C:F,4,0),0)</f>
        <v>0</v>
      </c>
      <c r="C16" s="75">
        <f>IFERROR(VLOOKUP(A16,Ф_102_2017!C:F,4,0),0)</f>
        <v>0</v>
      </c>
      <c r="D16" s="75">
        <f>IFERROR(VLOOKUP(A16,Ф_102_2018!C:F,4,0),0)</f>
        <v>0</v>
      </c>
      <c r="E16" s="75">
        <f>IFERROR(VLOOKUP(A16,Ф_102_2019!C:F,4,0),0)</f>
        <v>0</v>
      </c>
      <c r="F16" s="75">
        <f>IFERROR(VLOOKUP(A16,Ф_102_2020!C:F,4,0),0)</f>
        <v>0</v>
      </c>
      <c r="G16" s="75">
        <f>IFERROR(VLOOKUP(A16,Ф_102_2021!C:F,4,0),0)</f>
        <v>0</v>
      </c>
      <c r="H16" s="340"/>
      <c r="I16" s="340"/>
    </row>
    <row r="17" spans="1:9" s="1123" customFormat="1" x14ac:dyDescent="0.2">
      <c r="A17" s="340">
        <v>12203</v>
      </c>
      <c r="B17" s="75">
        <f>IFERROR(VLOOKUP(A17,'Ф_102_2016'!C:F,4,0),0)</f>
        <v>0</v>
      </c>
      <c r="C17" s="75">
        <f>IFERROR(VLOOKUP(A17,Ф_102_2017!C:F,4,0),0)</f>
        <v>0</v>
      </c>
      <c r="D17" s="75">
        <f>IFERROR(VLOOKUP(A17,Ф_102_2018!C:F,4,0),0)</f>
        <v>0</v>
      </c>
      <c r="E17" s="75">
        <f>IFERROR(VLOOKUP(A17,Ф_102_2019!C:F,4,0),0)</f>
        <v>0</v>
      </c>
      <c r="F17" s="75">
        <f>IFERROR(VLOOKUP(A17,Ф_102_2020!C:F,4,0),0)</f>
        <v>0</v>
      </c>
      <c r="G17" s="75">
        <f>IFERROR(VLOOKUP(A17,Ф_102_2021!C:F,4,0),0)</f>
        <v>0</v>
      </c>
      <c r="H17" s="340"/>
      <c r="I17" s="340"/>
    </row>
    <row r="18" spans="1:9" s="1123" customFormat="1" x14ac:dyDescent="0.2">
      <c r="A18" s="340">
        <v>12204</v>
      </c>
      <c r="B18" s="75">
        <f>IFERROR(VLOOKUP(A18,'Ф_102_2016'!C:F,4,0),0)</f>
        <v>0</v>
      </c>
      <c r="C18" s="75">
        <f>IFERROR(VLOOKUP(A18,Ф_102_2017!C:F,4,0),0)</f>
        <v>0</v>
      </c>
      <c r="D18" s="75">
        <f>IFERROR(VLOOKUP(A18,Ф_102_2018!C:F,4,0),0)</f>
        <v>0</v>
      </c>
      <c r="E18" s="75">
        <f>IFERROR(VLOOKUP(A18,Ф_102_2019!C:F,4,0),0)</f>
        <v>0</v>
      </c>
      <c r="F18" s="75">
        <f>IFERROR(VLOOKUP(A18,Ф_102_2020!C:F,4,0),0)</f>
        <v>0</v>
      </c>
      <c r="G18" s="75">
        <f>IFERROR(VLOOKUP(A18,Ф_102_2021!C:F,4,0),0)</f>
        <v>0</v>
      </c>
      <c r="H18" s="340"/>
      <c r="I18" s="340"/>
    </row>
    <row r="19" spans="1:9" x14ac:dyDescent="0.2">
      <c r="A19" s="21">
        <v>13101</v>
      </c>
      <c r="B19" s="75">
        <f>IFERROR(VLOOKUP(A19,'Ф_102_2016'!C:F,4,0),0)</f>
        <v>0</v>
      </c>
      <c r="C19" s="75">
        <f>IFERROR(VLOOKUP(A19,Ф_102_2017!C:F,4,0),0)</f>
        <v>0</v>
      </c>
      <c r="D19" s="75">
        <f>IFERROR(VLOOKUP(A19,Ф_102_2018!C:F,4,0),0)</f>
        <v>0</v>
      </c>
      <c r="E19" s="75">
        <f>IFERROR(VLOOKUP(A19,Ф_102_2019!C:F,4,0),0)</f>
        <v>0</v>
      </c>
      <c r="F19" s="75">
        <f>IFERROR(VLOOKUP(A19,Ф_102_2020!C:F,4,0),0)</f>
        <v>0</v>
      </c>
      <c r="G19" s="75">
        <f>IFERROR(VLOOKUP(A19,Ф_102_2021!C:F,4,0),0)</f>
        <v>0</v>
      </c>
      <c r="H19" s="21"/>
      <c r="I19" s="21"/>
    </row>
    <row r="20" spans="1:9" x14ac:dyDescent="0.2">
      <c r="A20" s="21">
        <v>13102</v>
      </c>
      <c r="B20" s="75">
        <f>IFERROR(VLOOKUP(A20,'Ф_102_2016'!C:F,4,0),0)</f>
        <v>0</v>
      </c>
      <c r="C20" s="75">
        <f>IFERROR(VLOOKUP(A20,Ф_102_2017!C:F,4,0),0)</f>
        <v>0</v>
      </c>
      <c r="D20" s="75">
        <f>IFERROR(VLOOKUP(A20,Ф_102_2018!C:F,4,0),0)</f>
        <v>0</v>
      </c>
      <c r="E20" s="75">
        <f>IFERROR(VLOOKUP(A20,Ф_102_2019!C:F,4,0),0)</f>
        <v>0</v>
      </c>
      <c r="F20" s="75">
        <f>IFERROR(VLOOKUP(A20,Ф_102_2020!C:F,4,0),0)</f>
        <v>0</v>
      </c>
      <c r="G20" s="75">
        <f>IFERROR(VLOOKUP(A20,Ф_102_2021!C:F,4,0),0)</f>
        <v>0</v>
      </c>
      <c r="H20" s="21"/>
      <c r="I20" s="21"/>
    </row>
    <row r="21" spans="1:9" x14ac:dyDescent="0.2">
      <c r="A21" s="21">
        <v>13103</v>
      </c>
      <c r="B21" s="75">
        <f>IFERROR(VLOOKUP(A21,'Ф_102_2016'!C:F,4,0),0)</f>
        <v>0</v>
      </c>
      <c r="C21" s="75">
        <f>IFERROR(VLOOKUP(A21,Ф_102_2017!C:F,4,0),0)</f>
        <v>0</v>
      </c>
      <c r="D21" s="75">
        <f>IFERROR(VLOOKUP(A21,Ф_102_2018!C:F,4,0),0)</f>
        <v>0</v>
      </c>
      <c r="E21" s="75">
        <f>IFERROR(VLOOKUP(A21,Ф_102_2019!C:F,4,0),0)</f>
        <v>0</v>
      </c>
      <c r="F21" s="75">
        <f>IFERROR(VLOOKUP(A21,Ф_102_2020!C:F,4,0),0)</f>
        <v>0</v>
      </c>
      <c r="G21" s="75">
        <f>IFERROR(VLOOKUP(A21,Ф_102_2021!C:F,4,0),0)</f>
        <v>0</v>
      </c>
      <c r="H21" s="21"/>
      <c r="I21" s="21"/>
    </row>
    <row r="22" spans="1:9" x14ac:dyDescent="0.2">
      <c r="A22" s="21">
        <v>13104</v>
      </c>
      <c r="B22" s="75">
        <f>IFERROR(VLOOKUP(A22,'Ф_102_2016'!C:F,4,0),0)</f>
        <v>0</v>
      </c>
      <c r="C22" s="75">
        <f>IFERROR(VLOOKUP(A22,Ф_102_2017!C:F,4,0),0)</f>
        <v>0</v>
      </c>
      <c r="D22" s="75">
        <f>IFERROR(VLOOKUP(A22,Ф_102_2018!C:F,4,0),0)</f>
        <v>0</v>
      </c>
      <c r="E22" s="75">
        <f>IFERROR(VLOOKUP(A22,Ф_102_2019!C:F,4,0),0)</f>
        <v>0</v>
      </c>
      <c r="F22" s="75">
        <f>IFERROR(VLOOKUP(A22,Ф_102_2020!C:F,4,0),0)</f>
        <v>0</v>
      </c>
      <c r="G22" s="75">
        <f>IFERROR(VLOOKUP(A22,Ф_102_2021!C:F,4,0),0)</f>
        <v>0</v>
      </c>
      <c r="H22" s="21"/>
      <c r="I22" s="21"/>
    </row>
    <row r="23" spans="1:9" x14ac:dyDescent="0.2">
      <c r="A23" s="21">
        <v>13201</v>
      </c>
      <c r="B23" s="75">
        <f>IFERROR(VLOOKUP(A23,'Ф_102_2016'!C:F,4,0),0)</f>
        <v>0</v>
      </c>
      <c r="C23" s="75">
        <f>IFERROR(VLOOKUP(A23,Ф_102_2017!C:F,4,0),0)</f>
        <v>0</v>
      </c>
      <c r="D23" s="75">
        <f>IFERROR(VLOOKUP(A23,Ф_102_2018!C:F,4,0),0)</f>
        <v>0</v>
      </c>
      <c r="E23" s="75">
        <f>IFERROR(VLOOKUP(A23,Ф_102_2019!C:F,4,0),0)</f>
        <v>0</v>
      </c>
      <c r="F23" s="75">
        <f>IFERROR(VLOOKUP(A23,Ф_102_2020!C:F,4,0),0)</f>
        <v>0</v>
      </c>
      <c r="G23" s="75">
        <f>IFERROR(VLOOKUP(A23,Ф_102_2021!C:F,4,0),0)</f>
        <v>0</v>
      </c>
      <c r="H23" s="21"/>
      <c r="I23" s="21"/>
    </row>
    <row r="24" spans="1:9" x14ac:dyDescent="0.2">
      <c r="A24" s="21">
        <v>13202</v>
      </c>
      <c r="B24" s="75">
        <f>IFERROR(VLOOKUP(A24,'Ф_102_2016'!C:F,4,0),0)</f>
        <v>0</v>
      </c>
      <c r="C24" s="75">
        <f>IFERROR(VLOOKUP(A24,Ф_102_2017!C:F,4,0),0)</f>
        <v>0</v>
      </c>
      <c r="D24" s="75">
        <f>IFERROR(VLOOKUP(A24,Ф_102_2018!C:F,4,0),0)</f>
        <v>0</v>
      </c>
      <c r="E24" s="75">
        <f>IFERROR(VLOOKUP(A24,Ф_102_2019!C:F,4,0),0)</f>
        <v>0</v>
      </c>
      <c r="F24" s="75">
        <f>IFERROR(VLOOKUP(A24,Ф_102_2020!C:F,4,0),0)</f>
        <v>0</v>
      </c>
      <c r="G24" s="75">
        <f>IFERROR(VLOOKUP(A24,Ф_102_2021!C:F,4,0),0)</f>
        <v>0</v>
      </c>
      <c r="H24" s="21"/>
      <c r="I24" s="21"/>
    </row>
    <row r="25" spans="1:9" x14ac:dyDescent="0.2">
      <c r="A25" s="21">
        <v>13203</v>
      </c>
      <c r="B25" s="75">
        <f>IFERROR(VLOOKUP(A25,'Ф_102_2016'!C:F,4,0),0)</f>
        <v>0</v>
      </c>
      <c r="C25" s="75">
        <f>IFERROR(VLOOKUP(A25,Ф_102_2017!C:F,4,0),0)</f>
        <v>0</v>
      </c>
      <c r="D25" s="75">
        <f>IFERROR(VLOOKUP(A25,Ф_102_2018!C:F,4,0),0)</f>
        <v>0</v>
      </c>
      <c r="E25" s="75">
        <f>IFERROR(VLOOKUP(A25,Ф_102_2019!C:F,4,0),0)</f>
        <v>0</v>
      </c>
      <c r="F25" s="75">
        <f>IFERROR(VLOOKUP(A25,Ф_102_2020!C:F,4,0),0)</f>
        <v>0</v>
      </c>
      <c r="G25" s="75">
        <f>IFERROR(VLOOKUP(A25,Ф_102_2021!C:F,4,0),0)</f>
        <v>0</v>
      </c>
      <c r="H25" s="21"/>
      <c r="I25" s="21"/>
    </row>
    <row r="26" spans="1:9" x14ac:dyDescent="0.2">
      <c r="A26" s="21">
        <v>13204</v>
      </c>
      <c r="B26" s="75">
        <f>IFERROR(VLOOKUP(A26,'Ф_102_2016'!C:F,4,0),0)</f>
        <v>0</v>
      </c>
      <c r="C26" s="75">
        <f>IFERROR(VLOOKUP(A26,Ф_102_2017!C:F,4,0),0)</f>
        <v>0</v>
      </c>
      <c r="D26" s="75">
        <f>IFERROR(VLOOKUP(A26,Ф_102_2018!C:F,4,0),0)</f>
        <v>0</v>
      </c>
      <c r="E26" s="75">
        <f>IFERROR(VLOOKUP(A26,Ф_102_2019!C:F,4,0),0)</f>
        <v>0</v>
      </c>
      <c r="F26" s="75">
        <f>IFERROR(VLOOKUP(A26,Ф_102_2020!C:F,4,0),0)</f>
        <v>0</v>
      </c>
      <c r="G26" s="75">
        <f>IFERROR(VLOOKUP(A26,Ф_102_2021!C:F,4,0),0)</f>
        <v>0</v>
      </c>
      <c r="H26" s="21"/>
      <c r="I26" s="21"/>
    </row>
    <row r="27" spans="1:9" x14ac:dyDescent="0.2">
      <c r="A27" s="21">
        <v>13801</v>
      </c>
      <c r="B27" s="75">
        <f>IFERROR(VLOOKUP(A27,'Ф_102_2016'!C:F,4,0),0)</f>
        <v>0</v>
      </c>
      <c r="C27" s="75">
        <f>IFERROR(VLOOKUP(A27,Ф_102_2017!C:F,4,0),0)</f>
        <v>0</v>
      </c>
      <c r="D27" s="75">
        <f>IFERROR(VLOOKUP(A27,Ф_102_2018!C:F,4,0),0)</f>
        <v>0</v>
      </c>
      <c r="E27" s="75">
        <f>IFERROR(VLOOKUP(A27,Ф_102_2019!C:F,4,0),0)</f>
        <v>0</v>
      </c>
      <c r="F27" s="75">
        <f>IFERROR(VLOOKUP(A27,Ф_102_2020!C:F,4,0),0)</f>
        <v>0</v>
      </c>
      <c r="G27" s="75">
        <f>IFERROR(VLOOKUP(A27,Ф_102_2021!C:F,4,0),0)</f>
        <v>0</v>
      </c>
      <c r="H27" s="21"/>
      <c r="I27" s="21"/>
    </row>
    <row r="28" spans="1:9" x14ac:dyDescent="0.2">
      <c r="A28" s="21">
        <v>13802</v>
      </c>
      <c r="B28" s="75">
        <f>IFERROR(VLOOKUP(A28,'Ф_102_2016'!C:F,4,0),0)</f>
        <v>0</v>
      </c>
      <c r="C28" s="75">
        <f>IFERROR(VLOOKUP(A28,Ф_102_2017!C:F,4,0),0)</f>
        <v>0</v>
      </c>
      <c r="D28" s="75">
        <f>IFERROR(VLOOKUP(A28,Ф_102_2018!C:F,4,0),0)</f>
        <v>0</v>
      </c>
      <c r="E28" s="75">
        <f>IFERROR(VLOOKUP(A28,Ф_102_2019!C:F,4,0),0)</f>
        <v>0</v>
      </c>
      <c r="F28" s="75">
        <f>IFERROR(VLOOKUP(A28,Ф_102_2020!C:F,4,0),0)</f>
        <v>0</v>
      </c>
      <c r="G28" s="75">
        <f>IFERROR(VLOOKUP(A28,Ф_102_2021!C:F,4,0),0)</f>
        <v>0</v>
      </c>
      <c r="H28" s="21"/>
      <c r="I28" s="21"/>
    </row>
    <row r="29" spans="1:9" ht="24.75" customHeight="1" x14ac:dyDescent="0.2">
      <c r="A29" s="1125" t="s">
        <v>1378</v>
      </c>
      <c r="B29" s="1251"/>
      <c r="C29" s="1251"/>
      <c r="D29" s="1251"/>
      <c r="E29" s="1251"/>
      <c r="F29" s="1251"/>
      <c r="G29" s="1251"/>
      <c r="H29" s="21"/>
      <c r="I29" s="21"/>
    </row>
    <row r="30" spans="1:9" ht="15" customHeight="1" x14ac:dyDescent="0.2">
      <c r="A30" s="21">
        <v>33101</v>
      </c>
      <c r="B30" s="75">
        <f>IFERROR(VLOOKUP(A30,'Ф_102_2016'!C:F,4,0),0)</f>
        <v>0</v>
      </c>
      <c r="C30" s="75">
        <f>IFERROR(VLOOKUP(A30,Ф_102_2017!C:F,4,0),0)</f>
        <v>0</v>
      </c>
      <c r="D30" s="75">
        <f>IFERROR(VLOOKUP(A30,Ф_102_2018!C:F,4,0),0)</f>
        <v>0</v>
      </c>
      <c r="E30" s="75">
        <f>IFERROR(VLOOKUP(A30,Ф_102_2019!C:F,4,0),0)</f>
        <v>0</v>
      </c>
      <c r="F30" s="75">
        <f>IFERROR(VLOOKUP(A30,Ф_102_2020!C:F,4,0),0)</f>
        <v>0</v>
      </c>
      <c r="G30" s="75">
        <f>IFERROR(VLOOKUP(A30,Ф_102_2021!C:F,4,0),0)</f>
        <v>0</v>
      </c>
      <c r="H30" s="21"/>
      <c r="I30" s="21"/>
    </row>
    <row r="31" spans="1:9" ht="15" customHeight="1" x14ac:dyDescent="0.2">
      <c r="A31" s="21">
        <v>33102</v>
      </c>
      <c r="B31" s="75">
        <f>IFERROR(VLOOKUP(A31,'Ф_102_2016'!C:F,4,0),0)</f>
        <v>0</v>
      </c>
      <c r="C31" s="75">
        <f>IFERROR(VLOOKUP(A31,Ф_102_2017!C:F,4,0),0)</f>
        <v>0</v>
      </c>
      <c r="D31" s="75">
        <f>IFERROR(VLOOKUP(A31,Ф_102_2018!C:F,4,0),0)</f>
        <v>0</v>
      </c>
      <c r="E31" s="75">
        <f>IFERROR(VLOOKUP(A31,Ф_102_2019!C:F,4,0),0)</f>
        <v>0</v>
      </c>
      <c r="F31" s="75">
        <f>IFERROR(VLOOKUP(A31,Ф_102_2020!C:F,4,0),0)</f>
        <v>0</v>
      </c>
      <c r="G31" s="75">
        <f>IFERROR(VLOOKUP(A31,Ф_102_2021!C:F,4,0),0)</f>
        <v>0</v>
      </c>
      <c r="H31" s="21"/>
      <c r="I31" s="21"/>
    </row>
    <row r="32" spans="1:9" ht="15" customHeight="1" x14ac:dyDescent="0.2">
      <c r="A32" s="21">
        <v>33103</v>
      </c>
      <c r="B32" s="75">
        <f>IFERROR(VLOOKUP(A32,'Ф_102_2016'!C:F,4,0),0)</f>
        <v>0</v>
      </c>
      <c r="C32" s="75">
        <f>IFERROR(VLOOKUP(A32,Ф_102_2017!C:F,4,0),0)</f>
        <v>0</v>
      </c>
      <c r="D32" s="75">
        <f>IFERROR(VLOOKUP(A32,Ф_102_2018!C:F,4,0),0)</f>
        <v>0</v>
      </c>
      <c r="E32" s="75">
        <f>IFERROR(VLOOKUP(A32,Ф_102_2019!C:F,4,0),0)</f>
        <v>0</v>
      </c>
      <c r="F32" s="75">
        <f>IFERROR(VLOOKUP(A32,Ф_102_2020!C:F,4,0),0)</f>
        <v>0</v>
      </c>
      <c r="G32" s="75">
        <f>IFERROR(VLOOKUP(A32,Ф_102_2021!C:F,4,0),0)</f>
        <v>0</v>
      </c>
      <c r="H32" s="21"/>
      <c r="I32" s="21"/>
    </row>
    <row r="33" spans="1:9" ht="15" customHeight="1" x14ac:dyDescent="0.2">
      <c r="A33" s="21">
        <v>33104</v>
      </c>
      <c r="B33" s="75">
        <f>IFERROR(VLOOKUP(A33,'Ф_102_2016'!C:F,4,0),0)</f>
        <v>0</v>
      </c>
      <c r="C33" s="75">
        <f>IFERROR(VLOOKUP(A33,Ф_102_2017!C:F,4,0),0)</f>
        <v>0</v>
      </c>
      <c r="D33" s="75">
        <f>IFERROR(VLOOKUP(A33,Ф_102_2018!C:F,4,0),0)</f>
        <v>0</v>
      </c>
      <c r="E33" s="75">
        <f>IFERROR(VLOOKUP(A33,Ф_102_2019!C:F,4,0),0)</f>
        <v>0</v>
      </c>
      <c r="F33" s="75">
        <f>IFERROR(VLOOKUP(A33,Ф_102_2020!C:F,4,0),0)</f>
        <v>0</v>
      </c>
      <c r="G33" s="75">
        <f>IFERROR(VLOOKUP(A33,Ф_102_2021!C:F,4,0),0)</f>
        <v>0</v>
      </c>
      <c r="H33" s="21"/>
      <c r="I33" s="21"/>
    </row>
    <row r="34" spans="1:9" ht="15" customHeight="1" x14ac:dyDescent="0.2">
      <c r="A34" s="21">
        <v>33201</v>
      </c>
      <c r="B34" s="75">
        <f>IFERROR(VLOOKUP(A34,'Ф_102_2016'!C:F,4,0),0)</f>
        <v>0</v>
      </c>
      <c r="C34" s="75">
        <f>IFERROR(VLOOKUP(A34,Ф_102_2017!C:F,4,0),0)</f>
        <v>0</v>
      </c>
      <c r="D34" s="75">
        <f>IFERROR(VLOOKUP(A34,Ф_102_2018!C:F,4,0),0)</f>
        <v>0</v>
      </c>
      <c r="E34" s="75">
        <f>IFERROR(VLOOKUP(A34,Ф_102_2019!C:F,4,0),0)</f>
        <v>0</v>
      </c>
      <c r="F34" s="75">
        <f>IFERROR(VLOOKUP(A34,Ф_102_2020!C:F,4,0),0)</f>
        <v>0</v>
      </c>
      <c r="G34" s="75">
        <f>IFERROR(VLOOKUP(A34,Ф_102_2021!C:F,4,0),0)</f>
        <v>0</v>
      </c>
      <c r="H34" s="21"/>
      <c r="I34" s="21"/>
    </row>
    <row r="35" spans="1:9" ht="15" customHeight="1" x14ac:dyDescent="0.2">
      <c r="A35" s="21">
        <v>33202</v>
      </c>
      <c r="B35" s="75">
        <f>IFERROR(VLOOKUP(A35,'Ф_102_2016'!C:F,4,0),0)</f>
        <v>0</v>
      </c>
      <c r="C35" s="75">
        <f>IFERROR(VLOOKUP(A35,Ф_102_2017!C:F,4,0),0)</f>
        <v>0</v>
      </c>
      <c r="D35" s="75">
        <f>IFERROR(VLOOKUP(A35,Ф_102_2018!C:F,4,0),0)</f>
        <v>0</v>
      </c>
      <c r="E35" s="75">
        <f>IFERROR(VLOOKUP(A35,Ф_102_2019!C:F,4,0),0)</f>
        <v>0</v>
      </c>
      <c r="F35" s="75">
        <f>IFERROR(VLOOKUP(A35,Ф_102_2020!C:F,4,0),0)</f>
        <v>0</v>
      </c>
      <c r="G35" s="75">
        <f>IFERROR(VLOOKUP(A35,Ф_102_2021!C:F,4,0),0)</f>
        <v>0</v>
      </c>
      <c r="H35" s="21"/>
      <c r="I35" s="21"/>
    </row>
    <row r="36" spans="1:9" ht="15" customHeight="1" x14ac:dyDescent="0.2">
      <c r="A36" s="21">
        <v>33203</v>
      </c>
      <c r="B36" s="75">
        <f>IFERROR(VLOOKUP(A36,'Ф_102_2016'!C:F,4,0),0)</f>
        <v>0</v>
      </c>
      <c r="C36" s="75">
        <f>IFERROR(VLOOKUP(A36,Ф_102_2017!C:F,4,0),0)</f>
        <v>0</v>
      </c>
      <c r="D36" s="75">
        <f>IFERROR(VLOOKUP(A36,Ф_102_2018!C:F,4,0),0)</f>
        <v>0</v>
      </c>
      <c r="E36" s="75">
        <f>IFERROR(VLOOKUP(A36,Ф_102_2019!C:F,4,0),0)</f>
        <v>0</v>
      </c>
      <c r="F36" s="75">
        <f>IFERROR(VLOOKUP(A36,Ф_102_2020!C:F,4,0),0)</f>
        <v>0</v>
      </c>
      <c r="G36" s="75">
        <f>IFERROR(VLOOKUP(A36,Ф_102_2021!C:F,4,0),0)</f>
        <v>0</v>
      </c>
      <c r="H36" s="21"/>
      <c r="I36" s="21"/>
    </row>
    <row r="37" spans="1:9" ht="15" customHeight="1" x14ac:dyDescent="0.2">
      <c r="A37" s="21">
        <v>33204</v>
      </c>
      <c r="B37" s="75">
        <f>IFERROR(VLOOKUP(A37,'Ф_102_2016'!C:F,4,0),0)</f>
        <v>0</v>
      </c>
      <c r="C37" s="75">
        <f>IFERROR(VLOOKUP(A37,Ф_102_2017!C:F,4,0),0)</f>
        <v>0</v>
      </c>
      <c r="D37" s="75">
        <f>IFERROR(VLOOKUP(A37,Ф_102_2018!C:F,4,0),0)</f>
        <v>0</v>
      </c>
      <c r="E37" s="75">
        <f>IFERROR(VLOOKUP(A37,Ф_102_2019!C:F,4,0),0)</f>
        <v>0</v>
      </c>
      <c r="F37" s="75">
        <f>IFERROR(VLOOKUP(A37,Ф_102_2020!C:F,4,0),0)</f>
        <v>0</v>
      </c>
      <c r="G37" s="75">
        <f>IFERROR(VLOOKUP(A37,Ф_102_2021!C:F,4,0),0)</f>
        <v>0</v>
      </c>
      <c r="H37" s="21"/>
      <c r="I37" s="21"/>
    </row>
    <row r="38" spans="1:9" ht="15" customHeight="1" x14ac:dyDescent="0.2">
      <c r="A38" s="21">
        <v>33801</v>
      </c>
      <c r="B38" s="75">
        <f>IFERROR(VLOOKUP(A38,'Ф_102_2016'!C:F,4,0),0)</f>
        <v>0</v>
      </c>
      <c r="C38" s="75">
        <f>IFERROR(VLOOKUP(A38,Ф_102_2017!C:F,4,0),0)</f>
        <v>0</v>
      </c>
      <c r="D38" s="75">
        <f>IFERROR(VLOOKUP(A38,Ф_102_2018!C:F,4,0),0)</f>
        <v>0</v>
      </c>
      <c r="E38" s="75">
        <f>IFERROR(VLOOKUP(A38,Ф_102_2019!C:F,4,0),0)</f>
        <v>0</v>
      </c>
      <c r="F38" s="75">
        <f>IFERROR(VLOOKUP(A38,Ф_102_2020!C:F,4,0),0)</f>
        <v>0</v>
      </c>
      <c r="G38" s="75">
        <f>IFERROR(VLOOKUP(A38,Ф_102_2021!C:F,4,0),0)</f>
        <v>0</v>
      </c>
      <c r="H38" s="21"/>
      <c r="I38" s="21"/>
    </row>
    <row r="39" spans="1:9" ht="15" customHeight="1" x14ac:dyDescent="0.2">
      <c r="A39" s="21">
        <v>33802</v>
      </c>
      <c r="B39" s="75">
        <f>IFERROR(VLOOKUP(A39,'Ф_102_2016'!C:F,4,0),0)</f>
        <v>0</v>
      </c>
      <c r="C39" s="75">
        <f>IFERROR(VLOOKUP(A39,Ф_102_2017!C:F,4,0),0)</f>
        <v>0</v>
      </c>
      <c r="D39" s="75">
        <f>IFERROR(VLOOKUP(A39,Ф_102_2018!C:F,4,0),0)</f>
        <v>0</v>
      </c>
      <c r="E39" s="75">
        <f>IFERROR(VLOOKUP(A39,Ф_102_2019!C:F,4,0),0)</f>
        <v>0</v>
      </c>
      <c r="F39" s="75">
        <f>IFERROR(VLOOKUP(A39,Ф_102_2020!C:F,4,0),0)</f>
        <v>0</v>
      </c>
      <c r="G39" s="75">
        <f>IFERROR(VLOOKUP(A39,Ф_102_2021!C:F,4,0),0)</f>
        <v>0</v>
      </c>
      <c r="H39" s="21"/>
      <c r="I39" s="21"/>
    </row>
    <row r="40" spans="1:9" ht="15" customHeight="1" x14ac:dyDescent="0.2">
      <c r="A40" s="21">
        <v>34101</v>
      </c>
      <c r="B40" s="75">
        <f>IFERROR(VLOOKUP(A40,'Ф_102_2016'!C:F,4,0),0)</f>
        <v>0</v>
      </c>
      <c r="C40" s="75">
        <f>IFERROR(VLOOKUP(A40,Ф_102_2017!C:F,4,0),0)</f>
        <v>0</v>
      </c>
      <c r="D40" s="75">
        <f>IFERROR(VLOOKUP(A40,Ф_102_2018!C:F,4,0),0)</f>
        <v>0</v>
      </c>
      <c r="E40" s="75">
        <f>IFERROR(VLOOKUP(A40,Ф_102_2019!C:F,4,0),0)</f>
        <v>0</v>
      </c>
      <c r="F40" s="75">
        <f>IFERROR(VLOOKUP(A40,Ф_102_2020!C:F,4,0),0)</f>
        <v>0</v>
      </c>
      <c r="G40" s="75">
        <f>IFERROR(VLOOKUP(A40,Ф_102_2021!C:F,4,0),0)</f>
        <v>0</v>
      </c>
      <c r="H40" s="21"/>
      <c r="I40" s="21"/>
    </row>
    <row r="41" spans="1:9" ht="15" customHeight="1" x14ac:dyDescent="0.2">
      <c r="A41" s="21">
        <v>34102</v>
      </c>
      <c r="B41" s="75">
        <f>IFERROR(VLOOKUP(A41,'Ф_102_2016'!C:F,4,0),0)</f>
        <v>0</v>
      </c>
      <c r="C41" s="75">
        <f>IFERROR(VLOOKUP(A41,Ф_102_2017!C:F,4,0),0)</f>
        <v>0</v>
      </c>
      <c r="D41" s="75">
        <f>IFERROR(VLOOKUP(A41,Ф_102_2018!C:F,4,0),0)</f>
        <v>0</v>
      </c>
      <c r="E41" s="75">
        <f>IFERROR(VLOOKUP(A41,Ф_102_2019!C:F,4,0),0)</f>
        <v>0</v>
      </c>
      <c r="F41" s="75">
        <f>IFERROR(VLOOKUP(A41,Ф_102_2020!C:F,4,0),0)</f>
        <v>0</v>
      </c>
      <c r="G41" s="75">
        <f>IFERROR(VLOOKUP(A41,Ф_102_2021!C:F,4,0),0)</f>
        <v>0</v>
      </c>
      <c r="H41" s="21"/>
      <c r="I41" s="21"/>
    </row>
    <row r="42" spans="1:9" ht="15" customHeight="1" x14ac:dyDescent="0.2">
      <c r="A42" s="21">
        <v>34103</v>
      </c>
      <c r="B42" s="75">
        <f>IFERROR(VLOOKUP(A42,'Ф_102_2016'!C:F,4,0),0)</f>
        <v>0</v>
      </c>
      <c r="C42" s="75">
        <f>IFERROR(VLOOKUP(A42,Ф_102_2017!C:F,4,0),0)</f>
        <v>0</v>
      </c>
      <c r="D42" s="75">
        <f>IFERROR(VLOOKUP(A42,Ф_102_2018!C:F,4,0),0)</f>
        <v>0</v>
      </c>
      <c r="E42" s="75">
        <f>IFERROR(VLOOKUP(A42,Ф_102_2019!C:F,4,0),0)</f>
        <v>0</v>
      </c>
      <c r="F42" s="75">
        <f>IFERROR(VLOOKUP(A42,Ф_102_2020!C:F,4,0),0)</f>
        <v>0</v>
      </c>
      <c r="G42" s="75">
        <f>IFERROR(VLOOKUP(A42,Ф_102_2021!C:F,4,0),0)</f>
        <v>0</v>
      </c>
      <c r="H42" s="21"/>
      <c r="I42" s="21"/>
    </row>
    <row r="43" spans="1:9" ht="15" customHeight="1" x14ac:dyDescent="0.2">
      <c r="A43" s="21">
        <v>34104</v>
      </c>
      <c r="B43" s="75">
        <f>IFERROR(VLOOKUP(A43,'Ф_102_2016'!C:F,4,0),0)</f>
        <v>0</v>
      </c>
      <c r="C43" s="75">
        <f>IFERROR(VLOOKUP(A43,Ф_102_2017!C:F,4,0),0)</f>
        <v>0</v>
      </c>
      <c r="D43" s="75">
        <f>IFERROR(VLOOKUP(A43,Ф_102_2018!C:F,4,0),0)</f>
        <v>0</v>
      </c>
      <c r="E43" s="75">
        <f>IFERROR(VLOOKUP(A43,Ф_102_2019!C:F,4,0),0)</f>
        <v>0</v>
      </c>
      <c r="F43" s="75">
        <f>IFERROR(VLOOKUP(A43,Ф_102_2020!C:F,4,0),0)</f>
        <v>0</v>
      </c>
      <c r="G43" s="75">
        <f>IFERROR(VLOOKUP(A43,Ф_102_2021!C:F,4,0),0)</f>
        <v>0</v>
      </c>
      <c r="H43" s="21"/>
      <c r="I43" s="21"/>
    </row>
    <row r="44" spans="1:9" ht="15" customHeight="1" x14ac:dyDescent="0.2">
      <c r="A44" s="21">
        <v>34201</v>
      </c>
      <c r="B44" s="75">
        <f>IFERROR(VLOOKUP(A44,'Ф_102_2016'!C:F,4,0),0)</f>
        <v>0</v>
      </c>
      <c r="C44" s="75">
        <f>IFERROR(VLOOKUP(A44,Ф_102_2017!C:F,4,0),0)</f>
        <v>0</v>
      </c>
      <c r="D44" s="75">
        <f>IFERROR(VLOOKUP(A44,Ф_102_2018!C:F,4,0),0)</f>
        <v>0</v>
      </c>
      <c r="E44" s="75">
        <f>IFERROR(VLOOKUP(A44,Ф_102_2019!C:F,4,0),0)</f>
        <v>0</v>
      </c>
      <c r="F44" s="75">
        <f>IFERROR(VLOOKUP(A44,Ф_102_2020!C:F,4,0),0)</f>
        <v>0</v>
      </c>
      <c r="G44" s="75">
        <f>IFERROR(VLOOKUP(A44,Ф_102_2021!C:F,4,0),0)</f>
        <v>0</v>
      </c>
      <c r="H44" s="21"/>
      <c r="I44" s="21"/>
    </row>
    <row r="45" spans="1:9" ht="15" customHeight="1" x14ac:dyDescent="0.2">
      <c r="A45" s="21">
        <v>34202</v>
      </c>
      <c r="B45" s="75">
        <f>IFERROR(VLOOKUP(A45,'Ф_102_2016'!C:F,4,0),0)</f>
        <v>0</v>
      </c>
      <c r="C45" s="75">
        <f>IFERROR(VLOOKUP(A45,Ф_102_2017!C:F,4,0),0)</f>
        <v>0</v>
      </c>
      <c r="D45" s="75">
        <f>IFERROR(VLOOKUP(A45,Ф_102_2018!C:F,4,0),0)</f>
        <v>0</v>
      </c>
      <c r="E45" s="75">
        <f>IFERROR(VLOOKUP(A45,Ф_102_2019!C:F,4,0),0)</f>
        <v>0</v>
      </c>
      <c r="F45" s="75">
        <f>IFERROR(VLOOKUP(A45,Ф_102_2020!C:F,4,0),0)</f>
        <v>0</v>
      </c>
      <c r="G45" s="75">
        <f>IFERROR(VLOOKUP(A45,Ф_102_2021!C:F,4,0),0)</f>
        <v>0</v>
      </c>
      <c r="H45" s="21"/>
      <c r="I45" s="21"/>
    </row>
    <row r="46" spans="1:9" ht="15" customHeight="1" x14ac:dyDescent="0.2">
      <c r="A46" s="21">
        <v>34203</v>
      </c>
      <c r="B46" s="75">
        <f>IFERROR(VLOOKUP(A46,'Ф_102_2016'!C:F,4,0),0)</f>
        <v>0</v>
      </c>
      <c r="C46" s="75">
        <f>IFERROR(VLOOKUP(A46,Ф_102_2017!C:F,4,0),0)</f>
        <v>0</v>
      </c>
      <c r="D46" s="75">
        <f>IFERROR(VLOOKUP(A46,Ф_102_2018!C:F,4,0),0)</f>
        <v>0</v>
      </c>
      <c r="E46" s="75">
        <f>IFERROR(VLOOKUP(A46,Ф_102_2019!C:F,4,0),0)</f>
        <v>0</v>
      </c>
      <c r="F46" s="75">
        <f>IFERROR(VLOOKUP(A46,Ф_102_2020!C:F,4,0),0)</f>
        <v>0</v>
      </c>
      <c r="G46" s="75">
        <f>IFERROR(VLOOKUP(A46,Ф_102_2021!C:F,4,0),0)</f>
        <v>0</v>
      </c>
      <c r="H46" s="21"/>
      <c r="I46" s="21"/>
    </row>
    <row r="47" spans="1:9" ht="15" customHeight="1" x14ac:dyDescent="0.2">
      <c r="A47" s="21">
        <v>34204</v>
      </c>
      <c r="B47" s="75">
        <f>IFERROR(VLOOKUP(A47,'Ф_102_2016'!C:F,4,0),0)</f>
        <v>66058</v>
      </c>
      <c r="C47" s="75">
        <f>IFERROR(VLOOKUP(A47,Ф_102_2017!C:F,4,0),0)</f>
        <v>253654</v>
      </c>
      <c r="D47" s="75">
        <f>IFERROR(VLOOKUP(A47,Ф_102_2018!C:F,4,0),0)</f>
        <v>201858</v>
      </c>
      <c r="E47" s="75">
        <f>IFERROR(VLOOKUP(A47,Ф_102_2019!C:F,4,0),0)</f>
        <v>208297</v>
      </c>
      <c r="F47" s="75">
        <f>IFERROR(VLOOKUP(A47,Ф_102_2020!C:F,4,0),0)</f>
        <v>179999</v>
      </c>
      <c r="G47" s="75">
        <f>IFERROR(VLOOKUP(A47,Ф_102_2021!C:F,4,0),0)</f>
        <v>163400</v>
      </c>
      <c r="H47" s="21"/>
      <c r="I47" s="21"/>
    </row>
    <row r="48" spans="1:9" ht="15" customHeight="1" x14ac:dyDescent="0.2">
      <c r="A48" s="21">
        <v>34601</v>
      </c>
      <c r="B48" s="75">
        <f>IFERROR(VLOOKUP(A48,'Ф_102_2016'!C:F,4,0),0)</f>
        <v>0</v>
      </c>
      <c r="C48" s="75">
        <f>IFERROR(VLOOKUP(A48,Ф_102_2017!C:F,4,0),0)</f>
        <v>0</v>
      </c>
      <c r="D48" s="75">
        <f>IFERROR(VLOOKUP(A48,Ф_102_2018!C:F,4,0),0)</f>
        <v>0</v>
      </c>
      <c r="E48" s="75">
        <f>IFERROR(VLOOKUP(A48,Ф_102_2019!C:F,4,0),0)</f>
        <v>0</v>
      </c>
      <c r="F48" s="75">
        <f>IFERROR(VLOOKUP(A48,Ф_102_2020!C:F,4,0),0)</f>
        <v>0</v>
      </c>
      <c r="G48" s="75">
        <f>IFERROR(VLOOKUP(A48,Ф_102_2021!C:F,4,0),0)</f>
        <v>0</v>
      </c>
      <c r="H48" s="21"/>
      <c r="I48" s="21"/>
    </row>
    <row r="49" spans="1:9" ht="15" customHeight="1" x14ac:dyDescent="0.2">
      <c r="A49" s="21">
        <v>34602</v>
      </c>
      <c r="B49" s="75">
        <f>IFERROR(VLOOKUP(A49,'Ф_102_2016'!C:F,4,0),0)</f>
        <v>0</v>
      </c>
      <c r="C49" s="75">
        <f>IFERROR(VLOOKUP(A49,Ф_102_2017!C:F,4,0),0)</f>
        <v>0</v>
      </c>
      <c r="D49" s="75">
        <f>IFERROR(VLOOKUP(A49,Ф_102_2018!C:F,4,0),0)</f>
        <v>0</v>
      </c>
      <c r="E49" s="75">
        <f>IFERROR(VLOOKUP(A49,Ф_102_2019!C:F,4,0),0)</f>
        <v>0</v>
      </c>
      <c r="F49" s="75">
        <f>IFERROR(VLOOKUP(A49,Ф_102_2020!C:F,4,0),0)</f>
        <v>0</v>
      </c>
      <c r="G49" s="75">
        <f>IFERROR(VLOOKUP(A49,Ф_102_2021!C:F,4,0),0)</f>
        <v>0</v>
      </c>
      <c r="H49" s="21"/>
      <c r="I49" s="21"/>
    </row>
    <row r="50" spans="1:9" ht="15" customHeight="1" x14ac:dyDescent="0.2">
      <c r="A50" s="21">
        <v>35101</v>
      </c>
      <c r="B50" s="75">
        <f>IFERROR(VLOOKUP(A50,'Ф_102_2016'!C:F,4,0),0)</f>
        <v>0</v>
      </c>
      <c r="C50" s="75">
        <f>IFERROR(VLOOKUP(A50,Ф_102_2017!C:F,4,0),0)</f>
        <v>0</v>
      </c>
      <c r="D50" s="75">
        <f>IFERROR(VLOOKUP(A50,Ф_102_2018!C:F,4,0),0)</f>
        <v>0</v>
      </c>
      <c r="E50" s="75">
        <f>IFERROR(VLOOKUP(A50,Ф_102_2019!C:F,4,0),0)</f>
        <v>0</v>
      </c>
      <c r="F50" s="75">
        <f>IFERROR(VLOOKUP(A50,Ф_102_2020!C:F,4,0),0)</f>
        <v>0</v>
      </c>
      <c r="G50" s="75">
        <f>IFERROR(VLOOKUP(A50,Ф_102_2021!C:F,4,0),0)</f>
        <v>0</v>
      </c>
      <c r="H50" s="21"/>
      <c r="I50" s="21"/>
    </row>
    <row r="51" spans="1:9" ht="15" customHeight="1" x14ac:dyDescent="0.2">
      <c r="A51" s="21">
        <v>35102</v>
      </c>
      <c r="B51" s="75">
        <f>IFERROR(VLOOKUP(A51,'Ф_102_2016'!C:F,4,0),0)</f>
        <v>0</v>
      </c>
      <c r="C51" s="75">
        <f>IFERROR(VLOOKUP(A51,Ф_102_2017!C:F,4,0),0)</f>
        <v>0</v>
      </c>
      <c r="D51" s="75">
        <f>IFERROR(VLOOKUP(A51,Ф_102_2018!C:F,4,0),0)</f>
        <v>0</v>
      </c>
      <c r="E51" s="75">
        <f>IFERROR(VLOOKUP(A51,Ф_102_2019!C:F,4,0),0)</f>
        <v>0</v>
      </c>
      <c r="F51" s="75">
        <f>IFERROR(VLOOKUP(A51,Ф_102_2020!C:F,4,0),0)</f>
        <v>0</v>
      </c>
      <c r="G51" s="75">
        <f>IFERROR(VLOOKUP(A51,Ф_102_2021!C:F,4,0),0)</f>
        <v>0</v>
      </c>
      <c r="H51" s="21"/>
      <c r="I51" s="21"/>
    </row>
    <row r="52" spans="1:9" ht="15" customHeight="1" x14ac:dyDescent="0.2">
      <c r="A52" s="21">
        <v>35103</v>
      </c>
      <c r="B52" s="75">
        <f>IFERROR(VLOOKUP(A52,'Ф_102_2016'!C:F,4,0),0)</f>
        <v>0</v>
      </c>
      <c r="C52" s="75">
        <f>IFERROR(VLOOKUP(A52,Ф_102_2017!C:F,4,0),0)</f>
        <v>0</v>
      </c>
      <c r="D52" s="75">
        <f>IFERROR(VLOOKUP(A52,Ф_102_2018!C:F,4,0),0)</f>
        <v>0</v>
      </c>
      <c r="E52" s="75">
        <f>IFERROR(VLOOKUP(A52,Ф_102_2019!C:F,4,0),0)</f>
        <v>0</v>
      </c>
      <c r="F52" s="75">
        <f>IFERROR(VLOOKUP(A52,Ф_102_2020!C:F,4,0),0)</f>
        <v>0</v>
      </c>
      <c r="G52" s="75">
        <f>IFERROR(VLOOKUP(A52,Ф_102_2021!C:F,4,0),0)</f>
        <v>0</v>
      </c>
      <c r="H52" s="21"/>
      <c r="I52" s="21"/>
    </row>
    <row r="53" spans="1:9" ht="15" customHeight="1" x14ac:dyDescent="0.2">
      <c r="A53" s="21">
        <v>35104</v>
      </c>
      <c r="B53" s="75">
        <f>IFERROR(VLOOKUP(A53,'Ф_102_2016'!C:F,4,0),0)</f>
        <v>0</v>
      </c>
      <c r="C53" s="75">
        <f>IFERROR(VLOOKUP(A53,Ф_102_2017!C:F,4,0),0)</f>
        <v>0</v>
      </c>
      <c r="D53" s="75">
        <f>IFERROR(VLOOKUP(A53,Ф_102_2018!C:F,4,0),0)</f>
        <v>0</v>
      </c>
      <c r="E53" s="75">
        <f>IFERROR(VLOOKUP(A53,Ф_102_2019!C:F,4,0),0)</f>
        <v>0</v>
      </c>
      <c r="F53" s="75">
        <f>IFERROR(VLOOKUP(A53,Ф_102_2020!C:F,4,0),0)</f>
        <v>0</v>
      </c>
      <c r="G53" s="75">
        <f>IFERROR(VLOOKUP(A53,Ф_102_2021!C:F,4,0),0)</f>
        <v>0</v>
      </c>
      <c r="H53" s="21"/>
      <c r="I53" s="21"/>
    </row>
    <row r="54" spans="1:9" ht="15" customHeight="1" x14ac:dyDescent="0.2">
      <c r="A54" s="21">
        <v>35201</v>
      </c>
      <c r="B54" s="75">
        <f>IFERROR(VLOOKUP(A54,'Ф_102_2016'!C:F,4,0),0)</f>
        <v>0</v>
      </c>
      <c r="C54" s="75">
        <f>IFERROR(VLOOKUP(A54,Ф_102_2017!C:F,4,0),0)</f>
        <v>0</v>
      </c>
      <c r="D54" s="75">
        <f>IFERROR(VLOOKUP(A54,Ф_102_2018!C:F,4,0),0)</f>
        <v>0</v>
      </c>
      <c r="E54" s="75">
        <f>IFERROR(VLOOKUP(A54,Ф_102_2019!C:F,4,0),0)</f>
        <v>0</v>
      </c>
      <c r="F54" s="75">
        <f>IFERROR(VLOOKUP(A54,Ф_102_2020!C:F,4,0),0)</f>
        <v>0</v>
      </c>
      <c r="G54" s="75">
        <f>IFERROR(VLOOKUP(A54,Ф_102_2021!C:F,4,0),0)</f>
        <v>0</v>
      </c>
      <c r="H54" s="21"/>
      <c r="I54" s="21"/>
    </row>
    <row r="55" spans="1:9" ht="15" customHeight="1" x14ac:dyDescent="0.2">
      <c r="A55" s="21">
        <v>35202</v>
      </c>
      <c r="B55" s="75">
        <f>IFERROR(VLOOKUP(A55,'Ф_102_2016'!C:F,4,0),0)</f>
        <v>0</v>
      </c>
      <c r="C55" s="75">
        <f>IFERROR(VLOOKUP(A55,Ф_102_2017!C:F,4,0),0)</f>
        <v>0</v>
      </c>
      <c r="D55" s="75">
        <f>IFERROR(VLOOKUP(A55,Ф_102_2018!C:F,4,0),0)</f>
        <v>0</v>
      </c>
      <c r="E55" s="75">
        <f>IFERROR(VLOOKUP(A55,Ф_102_2019!C:F,4,0),0)</f>
        <v>0</v>
      </c>
      <c r="F55" s="75">
        <f>IFERROR(VLOOKUP(A55,Ф_102_2020!C:F,4,0),0)</f>
        <v>0</v>
      </c>
      <c r="G55" s="75">
        <f>IFERROR(VLOOKUP(A55,Ф_102_2021!C:F,4,0),0)</f>
        <v>0</v>
      </c>
      <c r="H55" s="21"/>
      <c r="I55" s="21"/>
    </row>
    <row r="56" spans="1:9" ht="15" customHeight="1" x14ac:dyDescent="0.2">
      <c r="A56" s="21">
        <v>35303</v>
      </c>
      <c r="B56" s="75">
        <f>IFERROR(VLOOKUP(A56,'Ф_102_2016'!C:F,4,0),0)</f>
        <v>0</v>
      </c>
      <c r="C56" s="75">
        <f>IFERROR(VLOOKUP(A56,Ф_102_2017!C:F,4,0),0)</f>
        <v>0</v>
      </c>
      <c r="D56" s="75">
        <f>IFERROR(VLOOKUP(A56,Ф_102_2018!C:F,4,0),0)</f>
        <v>0</v>
      </c>
      <c r="E56" s="75">
        <f>IFERROR(VLOOKUP(A56,Ф_102_2019!C:F,4,0),0)</f>
        <v>0</v>
      </c>
      <c r="F56" s="75">
        <f>IFERROR(VLOOKUP(A56,Ф_102_2020!C:F,4,0),0)</f>
        <v>0</v>
      </c>
      <c r="G56" s="75">
        <f>IFERROR(VLOOKUP(A56,Ф_102_2021!C:F,4,0),0)</f>
        <v>0</v>
      </c>
      <c r="H56" s="21"/>
      <c r="I56" s="21"/>
    </row>
    <row r="57" spans="1:9" ht="15" customHeight="1" x14ac:dyDescent="0.2">
      <c r="A57" s="21">
        <v>35204</v>
      </c>
      <c r="B57" s="75">
        <f>IFERROR(VLOOKUP(A57,'Ф_102_2016'!C:F,4,0),0)</f>
        <v>0</v>
      </c>
      <c r="C57" s="75">
        <f>IFERROR(VLOOKUP(A57,Ф_102_2017!C:F,4,0),0)</f>
        <v>0</v>
      </c>
      <c r="D57" s="75">
        <f>IFERROR(VLOOKUP(A57,Ф_102_2018!C:F,4,0),0)</f>
        <v>0</v>
      </c>
      <c r="E57" s="75">
        <f>IFERROR(VLOOKUP(A57,Ф_102_2019!C:F,4,0),0)</f>
        <v>0</v>
      </c>
      <c r="F57" s="75">
        <f>IFERROR(VLOOKUP(A57,Ф_102_2020!C:F,4,0),0)</f>
        <v>0</v>
      </c>
      <c r="G57" s="75">
        <f>IFERROR(VLOOKUP(A57,Ф_102_2021!C:F,4,0),0)</f>
        <v>0</v>
      </c>
      <c r="H57" s="21"/>
      <c r="I57" s="21"/>
    </row>
    <row r="58" spans="1:9" ht="15" customHeight="1" x14ac:dyDescent="0.2">
      <c r="A58" s="21">
        <v>35801</v>
      </c>
      <c r="B58" s="75">
        <f>IFERROR(VLOOKUP(A58,'Ф_102_2016'!C:F,4,0),0)</f>
        <v>0</v>
      </c>
      <c r="C58" s="75">
        <f>IFERROR(VLOOKUP(A58,Ф_102_2017!C:F,4,0),0)</f>
        <v>0</v>
      </c>
      <c r="D58" s="75">
        <f>IFERROR(VLOOKUP(A58,Ф_102_2018!C:F,4,0),0)</f>
        <v>0</v>
      </c>
      <c r="E58" s="75">
        <f>IFERROR(VLOOKUP(A58,Ф_102_2019!C:F,4,0),0)</f>
        <v>0</v>
      </c>
      <c r="F58" s="75">
        <f>IFERROR(VLOOKUP(A58,Ф_102_2020!C:F,4,0),0)</f>
        <v>0</v>
      </c>
      <c r="G58" s="75">
        <f>IFERROR(VLOOKUP(A58,Ф_102_2021!C:F,4,0),0)</f>
        <v>0</v>
      </c>
      <c r="H58" s="21"/>
      <c r="I58" s="21"/>
    </row>
    <row r="59" spans="1:9" ht="15" customHeight="1" x14ac:dyDescent="0.2">
      <c r="A59" s="21">
        <v>35802</v>
      </c>
      <c r="B59" s="75">
        <f>IFERROR(VLOOKUP(A59,'Ф_102_2016'!C:F,4,0),0)</f>
        <v>0</v>
      </c>
      <c r="C59" s="75">
        <f>IFERROR(VLOOKUP(A59,Ф_102_2017!C:F,4,0),0)</f>
        <v>0</v>
      </c>
      <c r="D59" s="75">
        <f>IFERROR(VLOOKUP(A59,Ф_102_2018!C:F,4,0),0)</f>
        <v>0</v>
      </c>
      <c r="E59" s="75">
        <f>IFERROR(VLOOKUP(A59,Ф_102_2019!C:F,4,0),0)</f>
        <v>0</v>
      </c>
      <c r="F59" s="75">
        <f>IFERROR(VLOOKUP(A59,Ф_102_2020!C:F,4,0),0)</f>
        <v>0</v>
      </c>
      <c r="G59" s="75">
        <f>IFERROR(VLOOKUP(A59,Ф_102_2021!C:F,4,0),0)</f>
        <v>0</v>
      </c>
      <c r="H59" s="21"/>
      <c r="I59" s="21"/>
    </row>
    <row r="60" spans="1:9" s="28" customFormat="1" ht="55.5" customHeight="1" thickBot="1" x14ac:dyDescent="0.3">
      <c r="A60" s="1126" t="s">
        <v>1186</v>
      </c>
      <c r="B60" s="1248">
        <f t="shared" ref="B60:G60" si="0">SUM(B7:B28)-SUM(B30:B59)</f>
        <v>-66058</v>
      </c>
      <c r="C60" s="1248">
        <f t="shared" si="0"/>
        <v>-253654</v>
      </c>
      <c r="D60" s="1248">
        <f t="shared" si="0"/>
        <v>-201858</v>
      </c>
      <c r="E60" s="1248">
        <f t="shared" si="0"/>
        <v>-205628</v>
      </c>
      <c r="F60" s="1248">
        <f t="shared" si="0"/>
        <v>-179999</v>
      </c>
      <c r="G60" s="1248">
        <f t="shared" si="0"/>
        <v>-163400</v>
      </c>
      <c r="H60" s="11"/>
      <c r="I60" s="11"/>
    </row>
    <row r="61" spans="1:9" x14ac:dyDescent="0.2">
      <c r="A61" s="291">
        <v>11114</v>
      </c>
      <c r="B61" s="75">
        <f>IFERROR(VLOOKUP(A61,'Ф_102_2016'!C:F,4,0),0)</f>
        <v>414835</v>
      </c>
      <c r="C61" s="75">
        <f>IFERROR(VLOOKUP(A61,Ф_102_2017!C:F,4,0),0)</f>
        <v>428132</v>
      </c>
      <c r="D61" s="75">
        <f>IFERROR(VLOOKUP(A61,Ф_102_2018!C:F,4,0),0)</f>
        <v>412034</v>
      </c>
      <c r="E61" s="75">
        <f>IFERROR(VLOOKUP(A61,Ф_102_2019!C:F,4,0),0)</f>
        <v>429672</v>
      </c>
      <c r="F61" s="75">
        <f>IFERROR(VLOOKUP(A61,Ф_102_2020!C:F,4,0),0)</f>
        <v>404963</v>
      </c>
      <c r="G61" s="75">
        <f>IFERROR(VLOOKUP(A61,Ф_102_2021!C:F,4,0),0)</f>
        <v>326789</v>
      </c>
      <c r="H61" s="21"/>
      <c r="I61" s="21"/>
    </row>
    <row r="62" spans="1:9" x14ac:dyDescent="0.2">
      <c r="A62" s="291">
        <v>11218</v>
      </c>
      <c r="B62" s="75">
        <f>IFERROR(VLOOKUP(A62,'Ф_102_2016'!C:F,4,0),0)</f>
        <v>0</v>
      </c>
      <c r="C62" s="75">
        <f>IFERROR(VLOOKUP(A62,Ф_102_2017!C:F,4,0),0)</f>
        <v>0</v>
      </c>
      <c r="D62" s="75">
        <f>IFERROR(VLOOKUP(A62,Ф_102_2018!C:F,4,0),0)</f>
        <v>0</v>
      </c>
      <c r="E62" s="75">
        <f>IFERROR(VLOOKUP(A62,Ф_102_2019!C:F,4,0),0)</f>
        <v>0</v>
      </c>
      <c r="F62" s="75">
        <f>IFERROR(VLOOKUP(A62,Ф_102_2020!C:F,4,0),0)</f>
        <v>5698</v>
      </c>
      <c r="G62" s="75">
        <f>IFERROR(VLOOKUP(A62,Ф_102_2021!C:F,4,0),0)</f>
        <v>19671</v>
      </c>
      <c r="H62" s="21"/>
      <c r="I62" s="21"/>
    </row>
    <row r="63" spans="1:9" s="1123" customFormat="1" x14ac:dyDescent="0.2">
      <c r="A63" s="1127">
        <v>12114</v>
      </c>
      <c r="B63" s="75">
        <f>IFERROR(VLOOKUP(A63,'Ф_102_2016'!C:F,4,0),0)</f>
        <v>6005</v>
      </c>
      <c r="C63" s="75">
        <f>IFERROR(VLOOKUP(A63,Ф_102_2017!C:F,4,0),0)</f>
        <v>362</v>
      </c>
      <c r="D63" s="75">
        <f>IFERROR(VLOOKUP(A63,Ф_102_2018!C:F,4,0),0)</f>
        <v>227</v>
      </c>
      <c r="E63" s="75">
        <f>IFERROR(VLOOKUP(A63,Ф_102_2019!C:F,4,0),0)</f>
        <v>194</v>
      </c>
      <c r="F63" s="75">
        <f>IFERROR(VLOOKUP(A63,Ф_102_2020!C:F,4,0),0)</f>
        <v>88</v>
      </c>
      <c r="G63" s="75">
        <f>IFERROR(VLOOKUP(A63,Ф_102_2021!C:F,4,0),0)</f>
        <v>157</v>
      </c>
      <c r="H63" s="340"/>
      <c r="I63" s="340"/>
    </row>
    <row r="64" spans="1:9" s="1123" customFormat="1" x14ac:dyDescent="0.2">
      <c r="A64" s="340">
        <v>12218</v>
      </c>
      <c r="B64" s="75">
        <f>IFERROR(VLOOKUP(A64,'Ф_102_2016'!C:F,4,0),0)</f>
        <v>0</v>
      </c>
      <c r="C64" s="75">
        <f>IFERROR(VLOOKUP(A64,Ф_102_2017!C:F,4,0),0)</f>
        <v>0</v>
      </c>
      <c r="D64" s="75">
        <f>IFERROR(VLOOKUP(A64,Ф_102_2018!C:F,4,0),0)</f>
        <v>0</v>
      </c>
      <c r="E64" s="75">
        <f>IFERROR(VLOOKUP(A64,Ф_102_2019!C:F,4,0),0)</f>
        <v>0</v>
      </c>
      <c r="F64" s="75">
        <f>IFERROR(VLOOKUP(A64,Ф_102_2020!C:F,4,0),0)</f>
        <v>0</v>
      </c>
      <c r="G64" s="75">
        <f>IFERROR(VLOOKUP(A64,Ф_102_2021!C:F,4,0),0)</f>
        <v>0</v>
      </c>
      <c r="H64" s="340"/>
      <c r="I64" s="340"/>
    </row>
    <row r="65" spans="1:9" x14ac:dyDescent="0.2">
      <c r="A65" s="21">
        <v>13114</v>
      </c>
      <c r="B65" s="75">
        <f>IFERROR(VLOOKUP(A65,'Ф_102_2016'!C:F,4,0),0)</f>
        <v>0</v>
      </c>
      <c r="C65" s="75">
        <f>IFERROR(VLOOKUP(A65,Ф_102_2017!C:F,4,0),0)</f>
        <v>0</v>
      </c>
      <c r="D65" s="75">
        <f>IFERROR(VLOOKUP(A65,Ф_102_2018!C:F,4,0),0)</f>
        <v>0</v>
      </c>
      <c r="E65" s="75">
        <f>IFERROR(VLOOKUP(A65,Ф_102_2019!C:F,4,0),0)</f>
        <v>27790</v>
      </c>
      <c r="F65" s="75">
        <f>IFERROR(VLOOKUP(A65,Ф_102_2020!C:F,4,0),0)</f>
        <v>54283</v>
      </c>
      <c r="G65" s="75">
        <f>IFERROR(VLOOKUP(A65,Ф_102_2021!C:F,4,0),0)</f>
        <v>68490</v>
      </c>
      <c r="H65" s="21"/>
      <c r="I65" s="21"/>
    </row>
    <row r="66" spans="1:9" x14ac:dyDescent="0.2">
      <c r="A66" s="21">
        <v>13218</v>
      </c>
      <c r="B66" s="75">
        <f>IFERROR(VLOOKUP(A66,'Ф_102_2016'!C:F,4,0),0)</f>
        <v>0</v>
      </c>
      <c r="C66" s="75">
        <f>IFERROR(VLOOKUP(A66,Ф_102_2017!C:F,4,0),0)</f>
        <v>0</v>
      </c>
      <c r="D66" s="75">
        <f>IFERROR(VLOOKUP(A66,Ф_102_2018!C:F,4,0),0)</f>
        <v>0</v>
      </c>
      <c r="E66" s="75">
        <f>IFERROR(VLOOKUP(A66,Ф_102_2019!C:F,4,0),0)</f>
        <v>0</v>
      </c>
      <c r="F66" s="75">
        <f>IFERROR(VLOOKUP(A66,Ф_102_2020!C:F,4,0),0)</f>
        <v>0</v>
      </c>
      <c r="G66" s="75">
        <f>IFERROR(VLOOKUP(A66,Ф_102_2021!C:F,4,0),0)</f>
        <v>0</v>
      </c>
      <c r="H66" s="21"/>
      <c r="I66" s="21"/>
    </row>
    <row r="67" spans="1:9" s="1124" customFormat="1" ht="15.75" x14ac:dyDescent="0.2">
      <c r="A67" s="1125" t="s">
        <v>1378</v>
      </c>
      <c r="B67" s="1251"/>
      <c r="C67" s="1251"/>
      <c r="D67" s="1251"/>
      <c r="E67" s="1251"/>
      <c r="F67" s="1251"/>
      <c r="G67" s="1251"/>
      <c r="H67" s="339"/>
      <c r="I67" s="339"/>
    </row>
    <row r="68" spans="1:9" s="1124" customFormat="1" x14ac:dyDescent="0.2">
      <c r="A68" s="21">
        <v>33114</v>
      </c>
      <c r="B68" s="75">
        <f>IFERROR(VLOOKUP(A68,'Ф_102_2016'!C:F,4,0),0)</f>
        <v>0</v>
      </c>
      <c r="C68" s="75">
        <f>IFERROR(VLOOKUP(A68,Ф_102_2017!C:F,4,0),0)</f>
        <v>0</v>
      </c>
      <c r="D68" s="75">
        <f>IFERROR(VLOOKUP(A68,Ф_102_2018!C:F,4,0),0)</f>
        <v>0</v>
      </c>
      <c r="E68" s="75">
        <f>IFERROR(VLOOKUP(A68,Ф_102_2019!C:F,4,0),0)</f>
        <v>0</v>
      </c>
      <c r="F68" s="75">
        <f>IFERROR(VLOOKUP(A68,Ф_102_2020!C:F,4,0),0)</f>
        <v>0</v>
      </c>
      <c r="G68" s="75">
        <f>IFERROR(VLOOKUP(A68,Ф_102_2021!C:F,4,0),0)</f>
        <v>0</v>
      </c>
      <c r="H68" s="339"/>
      <c r="I68" s="339"/>
    </row>
    <row r="69" spans="1:9" s="1124" customFormat="1" x14ac:dyDescent="0.2">
      <c r="A69" s="21">
        <v>33218</v>
      </c>
      <c r="B69" s="75">
        <f>IFERROR(VLOOKUP(A69,'Ф_102_2016'!C:F,4,0),0)</f>
        <v>0</v>
      </c>
      <c r="C69" s="75">
        <f>IFERROR(VLOOKUP(A69,Ф_102_2017!C:F,4,0),0)</f>
        <v>0</v>
      </c>
      <c r="D69" s="75">
        <f>IFERROR(VLOOKUP(A69,Ф_102_2018!C:F,4,0),0)</f>
        <v>0</v>
      </c>
      <c r="E69" s="75">
        <f>IFERROR(VLOOKUP(A69,Ф_102_2019!C:F,4,0),0)</f>
        <v>0</v>
      </c>
      <c r="F69" s="75">
        <f>IFERROR(VLOOKUP(A69,Ф_102_2020!C:F,4,0),0)</f>
        <v>0</v>
      </c>
      <c r="G69" s="75">
        <f>IFERROR(VLOOKUP(A69,Ф_102_2021!C:F,4,0),0)</f>
        <v>0</v>
      </c>
      <c r="H69" s="339"/>
      <c r="I69" s="339"/>
    </row>
    <row r="70" spans="1:9" s="1124" customFormat="1" x14ac:dyDescent="0.2">
      <c r="A70" s="21">
        <v>34114</v>
      </c>
      <c r="B70" s="75">
        <f>IFERROR(VLOOKUP(A70,'Ф_102_2016'!C:F,4,0),0)</f>
        <v>0</v>
      </c>
      <c r="C70" s="75">
        <f>IFERROR(VLOOKUP(A70,Ф_102_2017!C:F,4,0),0)</f>
        <v>0</v>
      </c>
      <c r="D70" s="75">
        <f>IFERROR(VLOOKUP(A70,Ф_102_2018!C:F,4,0),0)</f>
        <v>0</v>
      </c>
      <c r="E70" s="75">
        <f>IFERROR(VLOOKUP(A70,Ф_102_2019!C:F,4,0),0)</f>
        <v>0</v>
      </c>
      <c r="F70" s="75">
        <f>IFERROR(VLOOKUP(A70,Ф_102_2020!C:F,4,0),0)</f>
        <v>0</v>
      </c>
      <c r="G70" s="75">
        <f>IFERROR(VLOOKUP(A70,Ф_102_2021!C:F,4,0),0)</f>
        <v>0</v>
      </c>
      <c r="H70" s="339"/>
      <c r="I70" s="339"/>
    </row>
    <row r="71" spans="1:9" s="1124" customFormat="1" x14ac:dyDescent="0.2">
      <c r="A71" s="21">
        <v>34218</v>
      </c>
      <c r="B71" s="75">
        <f>IFERROR(VLOOKUP(A71,'Ф_102_2016'!C:F,4,0),0)</f>
        <v>0</v>
      </c>
      <c r="C71" s="75">
        <f>IFERROR(VLOOKUP(A71,Ф_102_2017!C:F,4,0),0)</f>
        <v>0</v>
      </c>
      <c r="D71" s="75">
        <f>IFERROR(VLOOKUP(A71,Ф_102_2018!C:F,4,0),0)</f>
        <v>0</v>
      </c>
      <c r="E71" s="75">
        <f>IFERROR(VLOOKUP(A71,Ф_102_2019!C:F,4,0),0)</f>
        <v>0</v>
      </c>
      <c r="F71" s="75">
        <f>IFERROR(VLOOKUP(A71,Ф_102_2020!C:F,4,0),0)</f>
        <v>0</v>
      </c>
      <c r="G71" s="75">
        <f>IFERROR(VLOOKUP(A71,Ф_102_2021!C:F,4,0),0)</f>
        <v>0</v>
      </c>
      <c r="H71" s="339"/>
      <c r="I71" s="339"/>
    </row>
    <row r="72" spans="1:9" s="1124" customFormat="1" x14ac:dyDescent="0.2">
      <c r="A72" s="21">
        <v>35114</v>
      </c>
      <c r="B72" s="75">
        <f>IFERROR(VLOOKUP(A72,'Ф_102_2016'!C:F,4,0),0)</f>
        <v>0</v>
      </c>
      <c r="C72" s="75">
        <f>IFERROR(VLOOKUP(A72,Ф_102_2017!C:F,4,0),0)</f>
        <v>0</v>
      </c>
      <c r="D72" s="75">
        <f>IFERROR(VLOOKUP(A72,Ф_102_2018!C:F,4,0),0)</f>
        <v>0</v>
      </c>
      <c r="E72" s="75">
        <f>IFERROR(VLOOKUP(A72,Ф_102_2019!C:F,4,0),0)</f>
        <v>15663</v>
      </c>
      <c r="F72" s="75">
        <f>IFERROR(VLOOKUP(A72,Ф_102_2020!C:F,4,0),0)</f>
        <v>58067</v>
      </c>
      <c r="G72" s="75">
        <f>IFERROR(VLOOKUP(A72,Ф_102_2021!C:F,4,0),0)</f>
        <v>66799</v>
      </c>
      <c r="H72" s="339"/>
      <c r="I72" s="339"/>
    </row>
    <row r="73" spans="1:9" s="1124" customFormat="1" x14ac:dyDescent="0.2">
      <c r="A73" s="21">
        <v>35218</v>
      </c>
      <c r="B73" s="75">
        <f>IFERROR(VLOOKUP(A73,'Ф_102_2016'!C:F,4,0),0)</f>
        <v>0</v>
      </c>
      <c r="C73" s="75">
        <f>IFERROR(VLOOKUP(A73,Ф_102_2017!C:F,4,0),0)</f>
        <v>0</v>
      </c>
      <c r="D73" s="75">
        <f>IFERROR(VLOOKUP(A73,Ф_102_2018!C:F,4,0),0)</f>
        <v>0</v>
      </c>
      <c r="E73" s="75">
        <f>IFERROR(VLOOKUP(A73,Ф_102_2019!C:F,4,0),0)</f>
        <v>0</v>
      </c>
      <c r="F73" s="75">
        <f>IFERROR(VLOOKUP(A73,Ф_102_2020!C:F,4,0),0)</f>
        <v>0</v>
      </c>
      <c r="G73" s="75">
        <f>IFERROR(VLOOKUP(A73,Ф_102_2021!C:F,4,0),0)</f>
        <v>0</v>
      </c>
      <c r="H73" s="339"/>
      <c r="I73" s="339"/>
    </row>
    <row r="74" spans="1:9" s="28" customFormat="1" ht="32.25" customHeight="1" thickBot="1" x14ac:dyDescent="0.3">
      <c r="A74" s="1128" t="s">
        <v>1184</v>
      </c>
      <c r="B74" s="1248">
        <f t="shared" ref="B74:G74" si="1">SUM(B61:B66)-SUM(B68:B73)</f>
        <v>420840</v>
      </c>
      <c r="C74" s="1248">
        <f t="shared" si="1"/>
        <v>428494</v>
      </c>
      <c r="D74" s="1248">
        <f t="shared" si="1"/>
        <v>412261</v>
      </c>
      <c r="E74" s="1248">
        <f t="shared" si="1"/>
        <v>441993</v>
      </c>
      <c r="F74" s="1248">
        <f t="shared" si="1"/>
        <v>406965</v>
      </c>
      <c r="G74" s="1248">
        <f t="shared" si="1"/>
        <v>348308</v>
      </c>
      <c r="H74" s="11"/>
      <c r="I74" s="11"/>
    </row>
    <row r="75" spans="1:9" x14ac:dyDescent="0.2">
      <c r="A75" s="21">
        <v>11115</v>
      </c>
      <c r="B75" s="75">
        <f>IFERROR(VLOOKUP(A75,'Ф_102_2016'!C:F,4,0),0)</f>
        <v>7019096</v>
      </c>
      <c r="C75" s="75">
        <f>IFERROR(VLOOKUP(A75,Ф_102_2017!C:F,4,0),0)</f>
        <v>8091678</v>
      </c>
      <c r="D75" s="75">
        <f>IFERROR(VLOOKUP(A75,Ф_102_2018!C:F,4,0),0)</f>
        <v>8079207</v>
      </c>
      <c r="E75" s="75">
        <f>IFERROR(VLOOKUP(A75,Ф_102_2019!C:F,4,0),0)</f>
        <v>9241777</v>
      </c>
      <c r="F75" s="75">
        <f>IFERROR(VLOOKUP(A75,Ф_102_2020!C:F,4,0),0)</f>
        <v>10108073</v>
      </c>
      <c r="G75" s="75">
        <f>IFERROR(VLOOKUP(A75,Ф_102_2021!C:F,4,0),0)</f>
        <v>12738563</v>
      </c>
      <c r="H75" s="21"/>
      <c r="I75" s="21"/>
    </row>
    <row r="76" spans="1:9" x14ac:dyDescent="0.2">
      <c r="A76" s="21">
        <v>11117</v>
      </c>
      <c r="B76" s="75">
        <f>IFERROR(VLOOKUP(A76,'Ф_102_2016'!C:F,4,0),0)</f>
        <v>2093</v>
      </c>
      <c r="C76" s="75">
        <f>IFERROR(VLOOKUP(A76,Ф_102_2017!C:F,4,0),0)</f>
        <v>66</v>
      </c>
      <c r="D76" s="75">
        <f>IFERROR(VLOOKUP(A76,Ф_102_2018!C:F,4,0),0)</f>
        <v>0</v>
      </c>
      <c r="E76" s="75">
        <f>IFERROR(VLOOKUP(A76,Ф_102_2019!C:F,4,0),0)</f>
        <v>0</v>
      </c>
      <c r="F76" s="75">
        <f>IFERROR(VLOOKUP(A76,Ф_102_2020!C:F,4,0),0)</f>
        <v>154</v>
      </c>
      <c r="G76" s="75">
        <f>IFERROR(VLOOKUP(A76,Ф_102_2021!C:F,4,0),0)</f>
        <v>377</v>
      </c>
      <c r="H76" s="21"/>
      <c r="I76" s="21"/>
    </row>
    <row r="77" spans="1:9" x14ac:dyDescent="0.2">
      <c r="A77" s="21">
        <v>11219</v>
      </c>
      <c r="B77" s="75">
        <f>IFERROR(VLOOKUP(A77,'Ф_102_2016'!C:F,4,0),0)</f>
        <v>0</v>
      </c>
      <c r="C77" s="75">
        <f>IFERROR(VLOOKUP(A77,Ф_102_2017!C:F,4,0),0)</f>
        <v>0</v>
      </c>
      <c r="D77" s="75">
        <f>IFERROR(VLOOKUP(A77,Ф_102_2018!C:F,4,0),0)</f>
        <v>0</v>
      </c>
      <c r="E77" s="75">
        <f>IFERROR(VLOOKUP(A77,Ф_102_2019!C:F,4,0),0)</f>
        <v>0</v>
      </c>
      <c r="F77" s="75">
        <f>IFERROR(VLOOKUP(A77,Ф_102_2020!C:F,4,0),0)</f>
        <v>0</v>
      </c>
      <c r="G77" s="75">
        <f>IFERROR(VLOOKUP(A77,Ф_102_2021!C:F,4,0),0)</f>
        <v>0</v>
      </c>
      <c r="H77" s="21"/>
      <c r="I77" s="21"/>
    </row>
    <row r="78" spans="1:9" x14ac:dyDescent="0.2">
      <c r="A78" s="21">
        <v>11220</v>
      </c>
      <c r="B78" s="75">
        <f>IFERROR(VLOOKUP(A78,'Ф_102_2016'!C:F,4,0),0)</f>
        <v>0</v>
      </c>
      <c r="C78" s="75">
        <f>IFERROR(VLOOKUP(A78,Ф_102_2017!C:F,4,0),0)</f>
        <v>0</v>
      </c>
      <c r="D78" s="75">
        <f>IFERROR(VLOOKUP(A78,Ф_102_2018!C:F,4,0),0)</f>
        <v>0</v>
      </c>
      <c r="E78" s="75">
        <f>IFERROR(VLOOKUP(A78,Ф_102_2019!C:F,4,0),0)</f>
        <v>0</v>
      </c>
      <c r="F78" s="75">
        <f>IFERROR(VLOOKUP(A78,Ф_102_2020!C:F,4,0),0)</f>
        <v>0</v>
      </c>
      <c r="G78" s="75">
        <f>IFERROR(VLOOKUP(A78,Ф_102_2021!C:F,4,0),0)</f>
        <v>0</v>
      </c>
      <c r="H78" s="21"/>
      <c r="I78" s="21"/>
    </row>
    <row r="79" spans="1:9" s="1123" customFormat="1" x14ac:dyDescent="0.2">
      <c r="A79" s="340">
        <v>12115</v>
      </c>
      <c r="B79" s="75">
        <f>IFERROR(VLOOKUP(A79,'Ф_102_2016'!C:F,4,0),0)</f>
        <v>0</v>
      </c>
      <c r="C79" s="75">
        <f>IFERROR(VLOOKUP(A79,Ф_102_2017!C:F,4,0),0)</f>
        <v>0</v>
      </c>
      <c r="D79" s="75">
        <f>IFERROR(VLOOKUP(A79,Ф_102_2018!C:F,4,0),0)</f>
        <v>0</v>
      </c>
      <c r="E79" s="75">
        <f>IFERROR(VLOOKUP(A79,Ф_102_2019!C:F,4,0),0)</f>
        <v>0</v>
      </c>
      <c r="F79" s="75">
        <f>IFERROR(VLOOKUP(A79,Ф_102_2020!C:F,4,0),0)</f>
        <v>0</v>
      </c>
      <c r="G79" s="75">
        <f>IFERROR(VLOOKUP(A79,Ф_102_2021!C:F,4,0),0)</f>
        <v>0</v>
      </c>
      <c r="H79" s="340"/>
      <c r="I79" s="340"/>
    </row>
    <row r="80" spans="1:9" s="1123" customFormat="1" x14ac:dyDescent="0.2">
      <c r="A80" s="340">
        <v>12219</v>
      </c>
      <c r="B80" s="75">
        <f>IFERROR(VLOOKUP(A80,'Ф_102_2016'!C:F,4,0),0)</f>
        <v>0</v>
      </c>
      <c r="C80" s="75">
        <f>IFERROR(VLOOKUP(A80,Ф_102_2017!C:F,4,0),0)</f>
        <v>0</v>
      </c>
      <c r="D80" s="75">
        <f>IFERROR(VLOOKUP(A80,Ф_102_2018!C:F,4,0),0)</f>
        <v>0</v>
      </c>
      <c r="E80" s="75">
        <f>IFERROR(VLOOKUP(A80,Ф_102_2019!C:F,4,0),0)</f>
        <v>0</v>
      </c>
      <c r="F80" s="75">
        <f>IFERROR(VLOOKUP(A80,Ф_102_2020!C:F,4,0),0)</f>
        <v>0</v>
      </c>
      <c r="G80" s="75">
        <f>IFERROR(VLOOKUP(A80,Ф_102_2021!C:F,4,0),0)</f>
        <v>0</v>
      </c>
      <c r="H80" s="340"/>
      <c r="I80" s="340"/>
    </row>
    <row r="81" spans="1:9" x14ac:dyDescent="0.2">
      <c r="A81" s="21">
        <v>13115</v>
      </c>
      <c r="B81" s="75">
        <f>IFERROR(VLOOKUP(A81,'Ф_102_2016'!C:F,4,0),0)</f>
        <v>0</v>
      </c>
      <c r="C81" s="75">
        <f>IFERROR(VLOOKUP(A81,Ф_102_2017!C:F,4,0),0)</f>
        <v>0</v>
      </c>
      <c r="D81" s="75">
        <f>IFERROR(VLOOKUP(A81,Ф_102_2018!C:F,4,0),0)</f>
        <v>0</v>
      </c>
      <c r="E81" s="75">
        <f>IFERROR(VLOOKUP(A81,Ф_102_2019!C:F,4,0),0)</f>
        <v>278798</v>
      </c>
      <c r="F81" s="75">
        <f>IFERROR(VLOOKUP(A81,Ф_102_2020!C:F,4,0),0)</f>
        <v>187309</v>
      </c>
      <c r="G81" s="75">
        <f>IFERROR(VLOOKUP(A81,Ф_102_2021!C:F,4,0),0)</f>
        <v>128018</v>
      </c>
      <c r="H81" s="21"/>
      <c r="I81" s="21"/>
    </row>
    <row r="82" spans="1:9" x14ac:dyDescent="0.2">
      <c r="A82" s="21">
        <v>13117</v>
      </c>
      <c r="B82" s="75">
        <f>IFERROR(VLOOKUP(A82,'Ф_102_2016'!C:F,4,0),0)</f>
        <v>0</v>
      </c>
      <c r="C82" s="75">
        <f>IFERROR(VLOOKUP(A82,Ф_102_2017!C:F,4,0),0)</f>
        <v>0</v>
      </c>
      <c r="D82" s="75">
        <f>IFERROR(VLOOKUP(A82,Ф_102_2018!C:F,4,0),0)</f>
        <v>0</v>
      </c>
      <c r="E82" s="75">
        <f>IFERROR(VLOOKUP(A82,Ф_102_2019!C:F,4,0),0)</f>
        <v>0</v>
      </c>
      <c r="F82" s="75">
        <f>IFERROR(VLOOKUP(A82,Ф_102_2020!C:F,4,0),0)</f>
        <v>0</v>
      </c>
      <c r="G82" s="75">
        <f>IFERROR(VLOOKUP(A82,Ф_102_2021!C:F,4,0),0)</f>
        <v>0</v>
      </c>
      <c r="H82" s="21"/>
      <c r="I82" s="21"/>
    </row>
    <row r="83" spans="1:9" x14ac:dyDescent="0.2">
      <c r="A83" s="21">
        <v>13219</v>
      </c>
      <c r="B83" s="75">
        <f>IFERROR(VLOOKUP(A83,'Ф_102_2016'!C:F,4,0),0)</f>
        <v>0</v>
      </c>
      <c r="C83" s="75">
        <f>IFERROR(VLOOKUP(A83,Ф_102_2017!C:F,4,0),0)</f>
        <v>0</v>
      </c>
      <c r="D83" s="75">
        <f>IFERROR(VLOOKUP(A83,Ф_102_2018!C:F,4,0),0)</f>
        <v>0</v>
      </c>
      <c r="E83" s="75">
        <f>IFERROR(VLOOKUP(A83,Ф_102_2019!C:F,4,0),0)</f>
        <v>0</v>
      </c>
      <c r="F83" s="75">
        <f>IFERROR(VLOOKUP(A83,Ф_102_2020!C:F,4,0),0)</f>
        <v>0</v>
      </c>
      <c r="G83" s="75">
        <f>IFERROR(VLOOKUP(A83,Ф_102_2021!C:F,4,0),0)</f>
        <v>0</v>
      </c>
      <c r="H83" s="21"/>
      <c r="I83" s="21"/>
    </row>
    <row r="84" spans="1:9" x14ac:dyDescent="0.2">
      <c r="A84" s="21">
        <v>13220</v>
      </c>
      <c r="B84" s="75">
        <f>IFERROR(VLOOKUP(A84,'Ф_102_2016'!C:F,4,0),0)</f>
        <v>0</v>
      </c>
      <c r="C84" s="75">
        <f>IFERROR(VLOOKUP(A84,Ф_102_2017!C:F,4,0),0)</f>
        <v>0</v>
      </c>
      <c r="D84" s="75">
        <f>IFERROR(VLOOKUP(A84,Ф_102_2018!C:F,4,0),0)</f>
        <v>0</v>
      </c>
      <c r="E84" s="75">
        <f>IFERROR(VLOOKUP(A84,Ф_102_2019!C:F,4,0),0)</f>
        <v>0</v>
      </c>
      <c r="F84" s="75">
        <f>IFERROR(VLOOKUP(A84,Ф_102_2020!C:F,4,0),0)</f>
        <v>0</v>
      </c>
      <c r="G84" s="75">
        <f>IFERROR(VLOOKUP(A84,Ф_102_2021!C:F,4,0),0)</f>
        <v>0</v>
      </c>
      <c r="H84" s="21"/>
      <c r="I84" s="21"/>
    </row>
    <row r="85" spans="1:9" s="1124" customFormat="1" ht="15.75" x14ac:dyDescent="0.2">
      <c r="A85" s="1125" t="s">
        <v>1378</v>
      </c>
      <c r="B85" s="1252"/>
      <c r="C85" s="1252"/>
      <c r="D85" s="1252"/>
      <c r="E85" s="1252"/>
      <c r="F85" s="1252"/>
      <c r="G85" s="1252"/>
      <c r="H85" s="339"/>
      <c r="I85" s="339"/>
    </row>
    <row r="86" spans="1:9" s="1124" customFormat="1" x14ac:dyDescent="0.2">
      <c r="A86" s="340">
        <v>33115</v>
      </c>
      <c r="B86" s="75">
        <f>IFERROR(VLOOKUP(A86,'Ф_102_2016'!C:F,4,0),0)</f>
        <v>1658</v>
      </c>
      <c r="C86" s="75">
        <f>IFERROR(VLOOKUP(A86,Ф_102_2017!C:F,4,0),0)</f>
        <v>2</v>
      </c>
      <c r="D86" s="75">
        <f>IFERROR(VLOOKUP(A86,Ф_102_2018!C:F,4,0),0)</f>
        <v>1584</v>
      </c>
      <c r="E86" s="75">
        <f>IFERROR(VLOOKUP(A86,Ф_102_2019!C:F,4,0),0)</f>
        <v>915</v>
      </c>
      <c r="F86" s="75">
        <f>IFERROR(VLOOKUP(A86,Ф_102_2020!C:F,4,0),0)</f>
        <v>58919</v>
      </c>
      <c r="G86" s="75">
        <f>IFERROR(VLOOKUP(A86,Ф_102_2021!C:F,4,0),0)</f>
        <v>170432</v>
      </c>
      <c r="H86" s="339"/>
      <c r="I86" s="339"/>
    </row>
    <row r="87" spans="1:9" s="1124" customFormat="1" x14ac:dyDescent="0.2">
      <c r="A87" s="340">
        <v>33117</v>
      </c>
      <c r="B87" s="75">
        <f>IFERROR(VLOOKUP(A87,'Ф_102_2016'!C:F,4,0),0)</f>
        <v>0</v>
      </c>
      <c r="C87" s="75">
        <f>IFERROR(VLOOKUP(A87,Ф_102_2017!C:F,4,0),0)</f>
        <v>0</v>
      </c>
      <c r="D87" s="75">
        <f>IFERROR(VLOOKUP(A87,Ф_102_2018!C:F,4,0),0)</f>
        <v>0</v>
      </c>
      <c r="E87" s="75">
        <f>IFERROR(VLOOKUP(A87,Ф_102_2019!C:F,4,0),0)</f>
        <v>0</v>
      </c>
      <c r="F87" s="75">
        <f>IFERROR(VLOOKUP(A87,Ф_102_2020!C:F,4,0),0)</f>
        <v>0</v>
      </c>
      <c r="G87" s="75">
        <f>IFERROR(VLOOKUP(A87,Ф_102_2021!C:F,4,0),0)</f>
        <v>0</v>
      </c>
      <c r="H87" s="339"/>
      <c r="I87" s="339"/>
    </row>
    <row r="88" spans="1:9" s="1124" customFormat="1" x14ac:dyDescent="0.2">
      <c r="A88" s="340">
        <v>33219</v>
      </c>
      <c r="B88" s="75">
        <f>IFERROR(VLOOKUP(A88,'Ф_102_2016'!C:F,4,0),0)</f>
        <v>0</v>
      </c>
      <c r="C88" s="75">
        <f>IFERROR(VLOOKUP(A88,Ф_102_2017!C:F,4,0),0)</f>
        <v>0</v>
      </c>
      <c r="D88" s="75">
        <f>IFERROR(VLOOKUP(A88,Ф_102_2018!C:F,4,0),0)</f>
        <v>0</v>
      </c>
      <c r="E88" s="75">
        <f>IFERROR(VLOOKUP(A88,Ф_102_2019!C:F,4,0),0)</f>
        <v>0</v>
      </c>
      <c r="F88" s="75">
        <f>IFERROR(VLOOKUP(A88,Ф_102_2020!C:F,4,0),0)</f>
        <v>0</v>
      </c>
      <c r="G88" s="75">
        <f>IFERROR(VLOOKUP(A88,Ф_102_2021!C:F,4,0),0)</f>
        <v>0</v>
      </c>
      <c r="H88" s="339"/>
      <c r="I88" s="339"/>
    </row>
    <row r="89" spans="1:9" s="1124" customFormat="1" x14ac:dyDescent="0.2">
      <c r="A89" s="340">
        <v>33220</v>
      </c>
      <c r="B89" s="75">
        <f>IFERROR(VLOOKUP(A89,'Ф_102_2016'!C:F,4,0),0)</f>
        <v>0</v>
      </c>
      <c r="C89" s="75">
        <f>IFERROR(VLOOKUP(A89,Ф_102_2017!C:F,4,0),0)</f>
        <v>0</v>
      </c>
      <c r="D89" s="75">
        <f>IFERROR(VLOOKUP(A89,Ф_102_2018!C:F,4,0),0)</f>
        <v>0</v>
      </c>
      <c r="E89" s="75">
        <f>IFERROR(VLOOKUP(A89,Ф_102_2019!C:F,4,0),0)</f>
        <v>0</v>
      </c>
      <c r="F89" s="75">
        <f>IFERROR(VLOOKUP(A89,Ф_102_2020!C:F,4,0),0)</f>
        <v>0</v>
      </c>
      <c r="G89" s="75">
        <f>IFERROR(VLOOKUP(A89,Ф_102_2021!C:F,4,0),0)</f>
        <v>0</v>
      </c>
      <c r="H89" s="339"/>
      <c r="I89" s="339"/>
    </row>
    <row r="90" spans="1:9" s="1124" customFormat="1" x14ac:dyDescent="0.2">
      <c r="A90" s="340">
        <v>34115</v>
      </c>
      <c r="B90" s="75">
        <f>IFERROR(VLOOKUP(A90,'Ф_102_2016'!C:F,4,0),0)</f>
        <v>0</v>
      </c>
      <c r="C90" s="75">
        <f>IFERROR(VLOOKUP(A90,Ф_102_2017!C:F,4,0),0)</f>
        <v>0</v>
      </c>
      <c r="D90" s="75">
        <f>IFERROR(VLOOKUP(A90,Ф_102_2018!C:F,4,0),0)</f>
        <v>0</v>
      </c>
      <c r="E90" s="75">
        <f>IFERROR(VLOOKUP(A90,Ф_102_2019!C:F,4,0),0)</f>
        <v>68689</v>
      </c>
      <c r="F90" s="75">
        <f>IFERROR(VLOOKUP(A90,Ф_102_2020!C:F,4,0),0)</f>
        <v>127941</v>
      </c>
      <c r="G90" s="75">
        <f>IFERROR(VLOOKUP(A90,Ф_102_2021!C:F,4,0),0)</f>
        <v>244674</v>
      </c>
      <c r="H90" s="339"/>
      <c r="I90" s="339"/>
    </row>
    <row r="91" spans="1:9" s="1124" customFormat="1" x14ac:dyDescent="0.2">
      <c r="A91" s="340">
        <v>34117</v>
      </c>
      <c r="B91" s="75">
        <f>IFERROR(VLOOKUP(A91,'Ф_102_2016'!C:F,4,0),0)</f>
        <v>0</v>
      </c>
      <c r="C91" s="75">
        <f>IFERROR(VLOOKUP(A91,Ф_102_2017!C:F,4,0),0)</f>
        <v>0</v>
      </c>
      <c r="D91" s="75">
        <f>IFERROR(VLOOKUP(A91,Ф_102_2018!C:F,4,0),0)</f>
        <v>0</v>
      </c>
      <c r="E91" s="75">
        <f>IFERROR(VLOOKUP(A91,Ф_102_2019!C:F,4,0),0)</f>
        <v>0</v>
      </c>
      <c r="F91" s="75">
        <f>IFERROR(VLOOKUP(A91,Ф_102_2020!C:F,4,0),0)</f>
        <v>0</v>
      </c>
      <c r="G91" s="75">
        <f>IFERROR(VLOOKUP(A91,Ф_102_2021!C:F,4,0),0)</f>
        <v>0</v>
      </c>
      <c r="H91" s="339"/>
      <c r="I91" s="339"/>
    </row>
    <row r="92" spans="1:9" s="1124" customFormat="1" x14ac:dyDescent="0.2">
      <c r="A92" s="340">
        <v>34219</v>
      </c>
      <c r="B92" s="75">
        <f>IFERROR(VLOOKUP(A92,'Ф_102_2016'!C:F,4,0),0)</f>
        <v>0</v>
      </c>
      <c r="C92" s="75">
        <f>IFERROR(VLOOKUP(A92,Ф_102_2017!C:F,4,0),0)</f>
        <v>0</v>
      </c>
      <c r="D92" s="75">
        <f>IFERROR(VLOOKUP(A92,Ф_102_2018!C:F,4,0),0)</f>
        <v>0</v>
      </c>
      <c r="E92" s="75">
        <f>IFERROR(VLOOKUP(A92,Ф_102_2019!C:F,4,0),0)</f>
        <v>0</v>
      </c>
      <c r="F92" s="75">
        <f>IFERROR(VLOOKUP(A92,Ф_102_2020!C:F,4,0),0)</f>
        <v>0</v>
      </c>
      <c r="G92" s="75">
        <f>IFERROR(VLOOKUP(A92,Ф_102_2021!C:F,4,0),0)</f>
        <v>0</v>
      </c>
      <c r="H92" s="339"/>
      <c r="I92" s="339"/>
    </row>
    <row r="93" spans="1:9" s="1124" customFormat="1" x14ac:dyDescent="0.2">
      <c r="A93" s="340">
        <v>34220</v>
      </c>
      <c r="B93" s="75">
        <f>IFERROR(VLOOKUP(A93,'Ф_102_2016'!C:F,4,0),0)</f>
        <v>0</v>
      </c>
      <c r="C93" s="75">
        <f>IFERROR(VLOOKUP(A93,Ф_102_2017!C:F,4,0),0)</f>
        <v>0</v>
      </c>
      <c r="D93" s="75">
        <f>IFERROR(VLOOKUP(A93,Ф_102_2018!C:F,4,0),0)</f>
        <v>0</v>
      </c>
      <c r="E93" s="75">
        <f>IFERROR(VLOOKUP(A93,Ф_102_2019!C:F,4,0),0)</f>
        <v>0</v>
      </c>
      <c r="F93" s="75">
        <f>IFERROR(VLOOKUP(A93,Ф_102_2020!C:F,4,0),0)</f>
        <v>0</v>
      </c>
      <c r="G93" s="75">
        <f>IFERROR(VLOOKUP(A93,Ф_102_2021!C:F,4,0),0)</f>
        <v>0</v>
      </c>
      <c r="H93" s="339"/>
      <c r="I93" s="339"/>
    </row>
    <row r="94" spans="1:9" s="1124" customFormat="1" x14ac:dyDescent="0.2">
      <c r="A94" s="340">
        <v>35115</v>
      </c>
      <c r="B94" s="75">
        <f>IFERROR(VLOOKUP(A94,'Ф_102_2016'!C:F,4,0),0)</f>
        <v>0</v>
      </c>
      <c r="C94" s="75">
        <f>IFERROR(VLOOKUP(A94,Ф_102_2017!C:F,4,0),0)</f>
        <v>0</v>
      </c>
      <c r="D94" s="75">
        <f>IFERROR(VLOOKUP(A94,Ф_102_2018!C:F,4,0),0)</f>
        <v>0</v>
      </c>
      <c r="E94" s="75">
        <f>IFERROR(VLOOKUP(A94,Ф_102_2019!C:F,4,0),0)</f>
        <v>296129</v>
      </c>
      <c r="F94" s="75">
        <f>IFERROR(VLOOKUP(A94,Ф_102_2020!C:F,4,0),0)</f>
        <v>421720</v>
      </c>
      <c r="G94" s="75">
        <f>IFERROR(VLOOKUP(A94,Ф_102_2021!C:F,4,0),0)</f>
        <v>323430</v>
      </c>
      <c r="H94" s="339"/>
      <c r="I94" s="339"/>
    </row>
    <row r="95" spans="1:9" s="1124" customFormat="1" x14ac:dyDescent="0.2">
      <c r="A95" s="340">
        <v>35117</v>
      </c>
      <c r="B95" s="75">
        <f>IFERROR(VLOOKUP(A95,'Ф_102_2016'!C:F,4,0),0)</f>
        <v>0</v>
      </c>
      <c r="C95" s="75">
        <f>IFERROR(VLOOKUP(A95,Ф_102_2017!C:F,4,0),0)</f>
        <v>0</v>
      </c>
      <c r="D95" s="75">
        <f>IFERROR(VLOOKUP(A95,Ф_102_2018!C:F,4,0),0)</f>
        <v>0</v>
      </c>
      <c r="E95" s="75">
        <f>IFERROR(VLOOKUP(A95,Ф_102_2019!C:F,4,0),0)</f>
        <v>19</v>
      </c>
      <c r="F95" s="75">
        <f>IFERROR(VLOOKUP(A95,Ф_102_2020!C:F,4,0),0)</f>
        <v>0</v>
      </c>
      <c r="G95" s="75">
        <f>IFERROR(VLOOKUP(A95,Ф_102_2021!C:F,4,0),0)</f>
        <v>0</v>
      </c>
      <c r="H95" s="339"/>
      <c r="I95" s="339"/>
    </row>
    <row r="96" spans="1:9" s="1124" customFormat="1" x14ac:dyDescent="0.2">
      <c r="A96" s="340">
        <v>35219</v>
      </c>
      <c r="B96" s="75">
        <f>IFERROR(VLOOKUP(A96,'Ф_102_2016'!C:F,4,0),0)</f>
        <v>0</v>
      </c>
      <c r="C96" s="75">
        <f>IFERROR(VLOOKUP(A96,Ф_102_2017!C:F,4,0),0)</f>
        <v>0</v>
      </c>
      <c r="D96" s="75">
        <f>IFERROR(VLOOKUP(A96,Ф_102_2018!C:F,4,0),0)</f>
        <v>0</v>
      </c>
      <c r="E96" s="75">
        <f>IFERROR(VLOOKUP(A96,Ф_102_2019!C:F,4,0),0)</f>
        <v>0</v>
      </c>
      <c r="F96" s="75">
        <f>IFERROR(VLOOKUP(A96,Ф_102_2020!C:F,4,0),0)</f>
        <v>0</v>
      </c>
      <c r="G96" s="75">
        <f>IFERROR(VLOOKUP(A96,Ф_102_2021!C:F,4,0),0)</f>
        <v>0</v>
      </c>
      <c r="H96" s="339"/>
      <c r="I96" s="339"/>
    </row>
    <row r="97" spans="1:9" s="1124" customFormat="1" x14ac:dyDescent="0.2">
      <c r="A97" s="340">
        <v>35220</v>
      </c>
      <c r="B97" s="75">
        <f>IFERROR(VLOOKUP(A97,'Ф_102_2016'!C:F,4,0),0)</f>
        <v>0</v>
      </c>
      <c r="C97" s="75">
        <f>IFERROR(VLOOKUP(A97,Ф_102_2017!C:F,4,0),0)</f>
        <v>0</v>
      </c>
      <c r="D97" s="75">
        <f>IFERROR(VLOOKUP(A97,Ф_102_2018!C:F,4,0),0)</f>
        <v>0</v>
      </c>
      <c r="E97" s="75">
        <f>IFERROR(VLOOKUP(A97,Ф_102_2019!C:F,4,0),0)</f>
        <v>0</v>
      </c>
      <c r="F97" s="75">
        <f>IFERROR(VLOOKUP(A97,Ф_102_2020!C:F,4,0),0)</f>
        <v>0</v>
      </c>
      <c r="G97" s="75">
        <f>IFERROR(VLOOKUP(A97,Ф_102_2021!C:F,4,0),0)</f>
        <v>0</v>
      </c>
      <c r="H97" s="339"/>
      <c r="I97" s="339"/>
    </row>
    <row r="98" spans="1:9" s="28" customFormat="1" ht="29.25" customHeight="1" thickBot="1" x14ac:dyDescent="0.3">
      <c r="A98" s="1129" t="s">
        <v>1185</v>
      </c>
      <c r="B98" s="1248">
        <f t="shared" ref="B98:G98" si="2">SUM(B75:B84)-SUM(B86:B97)</f>
        <v>7019531</v>
      </c>
      <c r="C98" s="1248">
        <f t="shared" si="2"/>
        <v>8091742</v>
      </c>
      <c r="D98" s="1248">
        <f t="shared" si="2"/>
        <v>8077623</v>
      </c>
      <c r="E98" s="1248">
        <f t="shared" si="2"/>
        <v>9154823</v>
      </c>
      <c r="F98" s="1248">
        <f t="shared" si="2"/>
        <v>9686956</v>
      </c>
      <c r="G98" s="1248">
        <f t="shared" si="2"/>
        <v>12128422</v>
      </c>
      <c r="H98" s="11"/>
      <c r="I98" s="11"/>
    </row>
    <row r="99" spans="1:9" s="1124" customFormat="1" x14ac:dyDescent="0.2">
      <c r="A99" s="340">
        <v>28401</v>
      </c>
      <c r="B99" s="681">
        <f>IFERROR(VLOOKUP(A99,'Ф_102_2016'!C:F,4,0),0)</f>
        <v>126760</v>
      </c>
      <c r="C99" s="681">
        <f>IFERROR(VLOOKUP(A99,Ф_102_2017!C:F,4,0),0)</f>
        <v>134483</v>
      </c>
      <c r="D99" s="681">
        <f>IFERROR(VLOOKUP(A99,Ф_102_2018!C:F,4,0),0)</f>
        <v>614036</v>
      </c>
      <c r="E99" s="681">
        <f>IFERROR(VLOOKUP(A99,Ф_102_2019!C:F,4,0),0)</f>
        <v>250747</v>
      </c>
      <c r="F99" s="75">
        <f>IFERROR(VLOOKUP(A99,Ф_102_2020!C:F,4,0),0)</f>
        <v>1174508</v>
      </c>
      <c r="G99" s="75">
        <f>IFERROR(VLOOKUP(A99,Ф_102_2021!C:F,4,0),0)</f>
        <v>68757</v>
      </c>
      <c r="H99" s="339"/>
      <c r="I99" s="339"/>
    </row>
    <row r="100" spans="1:9" s="28" customFormat="1" ht="29.25" customHeight="1" thickBot="1" x14ac:dyDescent="0.3">
      <c r="A100" s="1129" t="s">
        <v>1379</v>
      </c>
      <c r="B100" s="1248">
        <f t="shared" ref="B100:G100" si="3">B99</f>
        <v>126760</v>
      </c>
      <c r="C100" s="1248">
        <f t="shared" si="3"/>
        <v>134483</v>
      </c>
      <c r="D100" s="1248">
        <f t="shared" si="3"/>
        <v>614036</v>
      </c>
      <c r="E100" s="1248">
        <f t="shared" si="3"/>
        <v>250747</v>
      </c>
      <c r="F100" s="1248">
        <f t="shared" si="3"/>
        <v>1174508</v>
      </c>
      <c r="G100" s="1248">
        <f t="shared" si="3"/>
        <v>68757</v>
      </c>
      <c r="H100" s="11"/>
      <c r="I100" s="11"/>
    </row>
    <row r="101" spans="1:9" x14ac:dyDescent="0.2">
      <c r="B101" s="681"/>
      <c r="C101" s="681"/>
      <c r="D101" s="681"/>
      <c r="E101" s="681"/>
      <c r="F101" s="681"/>
      <c r="G101" s="681"/>
    </row>
    <row r="102" spans="1:9" x14ac:dyDescent="0.2">
      <c r="B102" s="681"/>
      <c r="C102" s="681"/>
      <c r="D102" s="681"/>
      <c r="E102" s="681"/>
      <c r="F102" s="681"/>
      <c r="G102" s="681"/>
    </row>
    <row r="103" spans="1:9" ht="15.75" x14ac:dyDescent="0.25">
      <c r="A103" s="585" t="s">
        <v>388</v>
      </c>
      <c r="B103" s="75"/>
      <c r="C103" s="75"/>
      <c r="D103" s="75"/>
      <c r="E103" s="75"/>
      <c r="F103" s="75"/>
      <c r="G103" s="75"/>
    </row>
    <row r="104" spans="1:9" x14ac:dyDescent="0.2">
      <c r="B104" s="1253"/>
      <c r="C104" s="1254"/>
      <c r="D104" s="1254"/>
      <c r="E104" s="1254"/>
      <c r="F104" s="1254"/>
      <c r="G104" s="1254"/>
    </row>
    <row r="105" spans="1:9" ht="15.75" thickBot="1" x14ac:dyDescent="0.25">
      <c r="A105" s="1121" t="s">
        <v>1182</v>
      </c>
      <c r="B105" s="1255">
        <f>Ввод!H7</f>
        <v>2017</v>
      </c>
      <c r="C105" s="1255">
        <f>Ввод!I7</f>
        <v>2018</v>
      </c>
      <c r="D105" s="1255">
        <f>Ввод!J7</f>
        <v>2019</v>
      </c>
      <c r="E105" s="1255">
        <f>Ввод!K7</f>
        <v>2020</v>
      </c>
      <c r="F105" s="1255">
        <f>Ввод!L7</f>
        <v>2021</v>
      </c>
      <c r="G105" s="1255">
        <f>Ввод!M7</f>
        <v>2022</v>
      </c>
    </row>
    <row r="106" spans="1:9" x14ac:dyDescent="0.2">
      <c r="A106" s="21">
        <v>21101</v>
      </c>
      <c r="B106" s="1250">
        <f>IFERROR(VLOOKUP(A106,'Ф_102_2016'!C:F,4,0),0)</f>
        <v>0</v>
      </c>
      <c r="C106" s="1250">
        <f>IFERROR(VLOOKUP(A106,Ф_102_2017!C:F,4,0),0)</f>
        <v>0</v>
      </c>
      <c r="D106" s="1250">
        <f>IFERROR(VLOOKUP(A106,Ф_102_2018!C:F,4,0),0)</f>
        <v>0</v>
      </c>
      <c r="E106" s="1250">
        <f>IFERROR(VLOOKUP(A106,Ф_102_2019!C:F,4,0),0)</f>
        <v>0</v>
      </c>
      <c r="F106" s="75">
        <f>IFERROR(VLOOKUP(A106,Ф_102_2020!C:F,4,0),0)</f>
        <v>0</v>
      </c>
      <c r="G106" s="75">
        <f>IFERROR(VLOOKUP(A106,Ф_102_2021!C:F,4,0),0)</f>
        <v>0</v>
      </c>
    </row>
    <row r="107" spans="1:9" x14ac:dyDescent="0.2">
      <c r="A107" s="21">
        <v>21102</v>
      </c>
      <c r="B107" s="75">
        <f>IFERROR(VLOOKUP(A107,'Ф_102_2016'!C:F,4,0),0)</f>
        <v>0</v>
      </c>
      <c r="C107" s="75">
        <f>IFERROR(VLOOKUP(A107,Ф_102_2017!C:F,4,0),0)</f>
        <v>0</v>
      </c>
      <c r="D107" s="75">
        <f>IFERROR(VLOOKUP(A107,Ф_102_2018!C:F,4,0),0)</f>
        <v>0</v>
      </c>
      <c r="E107" s="75">
        <f>IFERROR(VLOOKUP(A107,Ф_102_2019!C:F,4,0),0)</f>
        <v>0</v>
      </c>
      <c r="F107" s="75">
        <f>IFERROR(VLOOKUP(A107,Ф_102_2020!C:F,4,0),0)</f>
        <v>0</v>
      </c>
      <c r="G107" s="75">
        <f>IFERROR(VLOOKUP(A107,Ф_102_2021!C:F,4,0),0)</f>
        <v>0</v>
      </c>
    </row>
    <row r="108" spans="1:9" x14ac:dyDescent="0.2">
      <c r="A108" s="21">
        <v>21103</v>
      </c>
      <c r="B108" s="75">
        <f>IFERROR(VLOOKUP(A108,'Ф_102_2016'!C:F,4,0),0)</f>
        <v>0</v>
      </c>
      <c r="C108" s="75">
        <f>IFERROR(VLOOKUP(A108,Ф_102_2017!C:F,4,0),0)</f>
        <v>0</v>
      </c>
      <c r="D108" s="75">
        <f>IFERROR(VLOOKUP(A108,Ф_102_2018!C:F,4,0),0)</f>
        <v>0</v>
      </c>
      <c r="E108" s="75">
        <f>IFERROR(VLOOKUP(A108,Ф_102_2019!C:F,4,0),0)</f>
        <v>0</v>
      </c>
      <c r="F108" s="75">
        <f>IFERROR(VLOOKUP(A108,Ф_102_2020!C:F,4,0),0)</f>
        <v>0</v>
      </c>
      <c r="G108" s="75">
        <f>IFERROR(VLOOKUP(A108,Ф_102_2021!C:F,4,0),0)</f>
        <v>0</v>
      </c>
    </row>
    <row r="109" spans="1:9" x14ac:dyDescent="0.2">
      <c r="A109" s="21">
        <v>21104</v>
      </c>
      <c r="B109" s="75">
        <f>IFERROR(VLOOKUP(A109,'Ф_102_2016'!C:F,4,0),0)</f>
        <v>0</v>
      </c>
      <c r="C109" s="75">
        <f>IFERROR(VLOOKUP(A109,Ф_102_2017!C:F,4,0),0)</f>
        <v>0</v>
      </c>
      <c r="D109" s="75">
        <f>IFERROR(VLOOKUP(A109,Ф_102_2018!C:F,4,0),0)</f>
        <v>0</v>
      </c>
      <c r="E109" s="75">
        <f>IFERROR(VLOOKUP(A109,Ф_102_2019!C:F,4,0),0)</f>
        <v>0</v>
      </c>
      <c r="F109" s="75">
        <f>IFERROR(VLOOKUP(A109,Ф_102_2020!C:F,4,0),0)</f>
        <v>0</v>
      </c>
      <c r="G109" s="75">
        <f>IFERROR(VLOOKUP(A109,Ф_102_2021!C:F,4,0),0)</f>
        <v>0</v>
      </c>
    </row>
    <row r="110" spans="1:9" x14ac:dyDescent="0.2">
      <c r="A110" s="21">
        <v>21105</v>
      </c>
      <c r="B110" s="75">
        <f>IFERROR(VLOOKUP(A110,'Ф_102_2016'!C:F,4,0),0)</f>
        <v>0</v>
      </c>
      <c r="C110" s="75">
        <f>IFERROR(VLOOKUP(A110,Ф_102_2017!C:F,4,0),0)</f>
        <v>0</v>
      </c>
      <c r="D110" s="75">
        <f>IFERROR(VLOOKUP(A110,Ф_102_2018!C:F,4,0),0)</f>
        <v>0</v>
      </c>
      <c r="E110" s="75">
        <f>IFERROR(VLOOKUP(A110,Ф_102_2019!C:F,4,0),0)</f>
        <v>23030</v>
      </c>
      <c r="F110" s="75">
        <f>IFERROR(VLOOKUP(A110,Ф_102_2020!C:F,4,0),0)</f>
        <v>133631</v>
      </c>
      <c r="G110" s="75">
        <f>IFERROR(VLOOKUP(A110,Ф_102_2021!C:F,4,0),0)</f>
        <v>0</v>
      </c>
    </row>
    <row r="111" spans="1:9" x14ac:dyDescent="0.2">
      <c r="A111" s="21">
        <v>21106</v>
      </c>
      <c r="B111" s="75">
        <f>IFERROR(VLOOKUP(A111,'Ф_102_2016'!C:F,4,0),0)</f>
        <v>0</v>
      </c>
      <c r="C111" s="75">
        <f>IFERROR(VLOOKUP(A111,Ф_102_2017!C:F,4,0),0)</f>
        <v>0</v>
      </c>
      <c r="D111" s="75">
        <f>IFERROR(VLOOKUP(A111,Ф_102_2018!C:F,4,0),0)</f>
        <v>0</v>
      </c>
      <c r="E111" s="75">
        <f>IFERROR(VLOOKUP(A111,Ф_102_2019!C:F,4,0),0)</f>
        <v>734</v>
      </c>
      <c r="F111" s="75">
        <f>IFERROR(VLOOKUP(A111,Ф_102_2020!C:F,4,0),0)</f>
        <v>0</v>
      </c>
      <c r="G111" s="75">
        <f>IFERROR(VLOOKUP(A111,Ф_102_2021!C:F,4,0),0)</f>
        <v>0</v>
      </c>
    </row>
    <row r="112" spans="1:9" x14ac:dyDescent="0.2">
      <c r="A112" s="21">
        <v>21107</v>
      </c>
      <c r="B112" s="75">
        <f>IFERROR(VLOOKUP(A112,'Ф_102_2016'!C:F,4,0),0)</f>
        <v>0</v>
      </c>
      <c r="C112" s="75">
        <f>IFERROR(VLOOKUP(A112,Ф_102_2017!C:F,4,0),0)</f>
        <v>0</v>
      </c>
      <c r="D112" s="75">
        <f>IFERROR(VLOOKUP(A112,Ф_102_2018!C:F,4,0),0)</f>
        <v>0</v>
      </c>
      <c r="E112" s="75">
        <f>IFERROR(VLOOKUP(A112,Ф_102_2019!C:F,4,0),0)</f>
        <v>0</v>
      </c>
      <c r="F112" s="75">
        <f>IFERROR(VLOOKUP(A112,Ф_102_2020!C:F,4,0),0)</f>
        <v>0</v>
      </c>
      <c r="G112" s="75">
        <f>IFERROR(VLOOKUP(A112,Ф_102_2021!C:F,4,0),0)</f>
        <v>0</v>
      </c>
    </row>
    <row r="113" spans="1:7" x14ac:dyDescent="0.2">
      <c r="A113" s="21">
        <v>21108</v>
      </c>
      <c r="B113" s="75">
        <f>IFERROR(VLOOKUP(A113,'Ф_102_2016'!C:F,4,0),0)</f>
        <v>0</v>
      </c>
      <c r="C113" s="75">
        <f>IFERROR(VLOOKUP(A113,Ф_102_2017!C:F,4,0),0)</f>
        <v>0</v>
      </c>
      <c r="D113" s="75">
        <f>IFERROR(VLOOKUP(A113,Ф_102_2018!C:F,4,0),0)</f>
        <v>0</v>
      </c>
      <c r="E113" s="75">
        <f>IFERROR(VLOOKUP(A113,Ф_102_2019!C:F,4,0),0)</f>
        <v>0</v>
      </c>
      <c r="F113" s="75">
        <f>IFERROR(VLOOKUP(A113,Ф_102_2020!C:F,4,0),0)</f>
        <v>1354</v>
      </c>
      <c r="G113" s="75">
        <f>IFERROR(VLOOKUP(A113,Ф_102_2021!C:F,4,0),0)</f>
        <v>0</v>
      </c>
    </row>
    <row r="114" spans="1:7" x14ac:dyDescent="0.2">
      <c r="A114" s="21">
        <v>21109</v>
      </c>
      <c r="B114" s="75">
        <f>IFERROR(VLOOKUP(A114,'Ф_102_2016'!C:F,4,0),0)</f>
        <v>0</v>
      </c>
      <c r="C114" s="75">
        <f>IFERROR(VLOOKUP(A114,Ф_102_2017!C:F,4,0),0)</f>
        <v>0</v>
      </c>
      <c r="D114" s="75">
        <f>IFERROR(VLOOKUP(A114,Ф_102_2018!C:F,4,0),0)</f>
        <v>0</v>
      </c>
      <c r="E114" s="75">
        <f>IFERROR(VLOOKUP(A114,Ф_102_2019!C:F,4,0),0)</f>
        <v>86720</v>
      </c>
      <c r="F114" s="75">
        <f>IFERROR(VLOOKUP(A114,Ф_102_2020!C:F,4,0),0)</f>
        <v>64803</v>
      </c>
      <c r="G114" s="75">
        <f>IFERROR(VLOOKUP(A114,Ф_102_2021!C:F,4,0),0)</f>
        <v>0</v>
      </c>
    </row>
    <row r="115" spans="1:7" x14ac:dyDescent="0.2">
      <c r="A115" s="21">
        <v>21110</v>
      </c>
      <c r="B115" s="75">
        <f>IFERROR(VLOOKUP(A115,'Ф_102_2016'!C:F,4,0),0)</f>
        <v>0</v>
      </c>
      <c r="C115" s="75">
        <f>IFERROR(VLOOKUP(A115,Ф_102_2017!C:F,4,0),0)</f>
        <v>0</v>
      </c>
      <c r="D115" s="75">
        <f>IFERROR(VLOOKUP(A115,Ф_102_2018!C:F,4,0),0)</f>
        <v>0</v>
      </c>
      <c r="E115" s="75">
        <f>IFERROR(VLOOKUP(A115,Ф_102_2019!C:F,4,0),0)</f>
        <v>30281</v>
      </c>
      <c r="F115" s="75">
        <f>IFERROR(VLOOKUP(A115,Ф_102_2020!C:F,4,0),0)</f>
        <v>0</v>
      </c>
      <c r="G115" s="75">
        <f>IFERROR(VLOOKUP(A115,Ф_102_2021!C:F,4,0),0)</f>
        <v>0</v>
      </c>
    </row>
    <row r="116" spans="1:7" x14ac:dyDescent="0.2">
      <c r="A116" s="21">
        <v>21111</v>
      </c>
      <c r="B116" s="75">
        <f>IFERROR(VLOOKUP(A116,'Ф_102_2016'!C:F,4,0),0)</f>
        <v>0</v>
      </c>
      <c r="C116" s="75">
        <f>IFERROR(VLOOKUP(A116,Ф_102_2017!C:F,4,0),0)</f>
        <v>0</v>
      </c>
      <c r="D116" s="75">
        <f>IFERROR(VLOOKUP(A116,Ф_102_2018!C:F,4,0),0)</f>
        <v>0</v>
      </c>
      <c r="E116" s="75">
        <f>IFERROR(VLOOKUP(A116,Ф_102_2019!C:F,4,0),0)</f>
        <v>89724</v>
      </c>
      <c r="F116" s="75">
        <f>IFERROR(VLOOKUP(A116,Ф_102_2020!C:F,4,0),0)</f>
        <v>3672216</v>
      </c>
      <c r="G116" s="75">
        <f>IFERROR(VLOOKUP(A116,Ф_102_2021!C:F,4,0),0)</f>
        <v>51222</v>
      </c>
    </row>
    <row r="117" spans="1:7" x14ac:dyDescent="0.2">
      <c r="A117" s="21">
        <v>21112</v>
      </c>
      <c r="B117" s="75">
        <f>IFERROR(VLOOKUP(A117,'Ф_102_2016'!C:F,4,0),0)</f>
        <v>1860588</v>
      </c>
      <c r="C117" s="75">
        <f>IFERROR(VLOOKUP(A117,Ф_102_2017!C:F,4,0),0)</f>
        <v>69873</v>
      </c>
      <c r="D117" s="75">
        <f>IFERROR(VLOOKUP(A117,Ф_102_2018!C:F,4,0),0)</f>
        <v>202582</v>
      </c>
      <c r="E117" s="75">
        <f>IFERROR(VLOOKUP(A117,Ф_102_2019!C:F,4,0),0)</f>
        <v>1999141</v>
      </c>
      <c r="F117" s="75">
        <f>IFERROR(VLOOKUP(A117,Ф_102_2020!C:F,4,0),0)</f>
        <v>10064847</v>
      </c>
      <c r="G117" s="75">
        <f>IFERROR(VLOOKUP(A117,Ф_102_2021!C:F,4,0),0)</f>
        <v>6988631</v>
      </c>
    </row>
    <row r="118" spans="1:7" x14ac:dyDescent="0.2">
      <c r="A118" s="21">
        <v>21113</v>
      </c>
      <c r="B118" s="75">
        <f>IFERROR(VLOOKUP(A118,'Ф_102_2016'!C:F,4,0),0)</f>
        <v>604</v>
      </c>
      <c r="C118" s="75">
        <f>IFERROR(VLOOKUP(A118,Ф_102_2017!C:F,4,0),0)</f>
        <v>16116</v>
      </c>
      <c r="D118" s="75">
        <f>IFERROR(VLOOKUP(A118,Ф_102_2018!C:F,4,0),0)</f>
        <v>29686</v>
      </c>
      <c r="E118" s="75">
        <f>IFERROR(VLOOKUP(A118,Ф_102_2019!C:F,4,0),0)</f>
        <v>557</v>
      </c>
      <c r="F118" s="75">
        <f>IFERROR(VLOOKUP(A118,Ф_102_2020!C:F,4,0),0)</f>
        <v>1584</v>
      </c>
      <c r="G118" s="75">
        <f>IFERROR(VLOOKUP(A118,Ф_102_2021!C:F,4,0),0)</f>
        <v>0</v>
      </c>
    </row>
    <row r="119" spans="1:7" x14ac:dyDescent="0.2">
      <c r="A119" s="21">
        <v>21114</v>
      </c>
      <c r="B119" s="75">
        <f>IFERROR(VLOOKUP(A119,'Ф_102_2016'!C:F,4,0),0)</f>
        <v>0</v>
      </c>
      <c r="C119" s="75">
        <f>IFERROR(VLOOKUP(A119,Ф_102_2017!C:F,4,0),0)</f>
        <v>1348</v>
      </c>
      <c r="D119" s="75">
        <f>IFERROR(VLOOKUP(A119,Ф_102_2018!C:F,4,0),0)</f>
        <v>1895</v>
      </c>
      <c r="E119" s="75">
        <f>IFERROR(VLOOKUP(A119,Ф_102_2019!C:F,4,0),0)</f>
        <v>29295</v>
      </c>
      <c r="F119" s="75">
        <f>IFERROR(VLOOKUP(A119,Ф_102_2020!C:F,4,0),0)</f>
        <v>50691</v>
      </c>
      <c r="G119" s="75">
        <f>IFERROR(VLOOKUP(A119,Ф_102_2021!C:F,4,0),0)</f>
        <v>50358</v>
      </c>
    </row>
    <row r="120" spans="1:7" x14ac:dyDescent="0.2">
      <c r="A120" s="21">
        <v>21115</v>
      </c>
      <c r="B120" s="75">
        <f>IFERROR(VLOOKUP(A120,'Ф_102_2016'!C:F,4,0),0)</f>
        <v>170653</v>
      </c>
      <c r="C120" s="75">
        <f>IFERROR(VLOOKUP(A120,Ф_102_2017!C:F,4,0),0)</f>
        <v>86322</v>
      </c>
      <c r="D120" s="75">
        <f>IFERROR(VLOOKUP(A120,Ф_102_2018!C:F,4,0),0)</f>
        <v>12672</v>
      </c>
      <c r="E120" s="75">
        <f>IFERROR(VLOOKUP(A120,Ф_102_2019!C:F,4,0),0)</f>
        <v>46962</v>
      </c>
      <c r="F120" s="75">
        <f>IFERROR(VLOOKUP(A120,Ф_102_2020!C:F,4,0),0)</f>
        <v>107066</v>
      </c>
      <c r="G120" s="75">
        <f>IFERROR(VLOOKUP(A120,Ф_102_2021!C:F,4,0),0)</f>
        <v>617019</v>
      </c>
    </row>
    <row r="121" spans="1:7" x14ac:dyDescent="0.2">
      <c r="A121" s="21">
        <v>21116</v>
      </c>
      <c r="B121" s="75">
        <f>IFERROR(VLOOKUP(A121,'Ф_102_2016'!C:F,4,0),0)</f>
        <v>0</v>
      </c>
      <c r="C121" s="75">
        <f>IFERROR(VLOOKUP(A121,Ф_102_2017!C:F,4,0),0)</f>
        <v>0</v>
      </c>
      <c r="D121" s="75">
        <f>IFERROR(VLOOKUP(A121,Ф_102_2018!C:F,4,0),0)</f>
        <v>0</v>
      </c>
      <c r="E121" s="75">
        <f>IFERROR(VLOOKUP(A121,Ф_102_2019!C:F,4,0),0)</f>
        <v>0</v>
      </c>
      <c r="F121" s="75">
        <f>IFERROR(VLOOKUP(A121,Ф_102_2020!C:F,4,0),0)</f>
        <v>0</v>
      </c>
      <c r="G121" s="75">
        <f>IFERROR(VLOOKUP(A121,Ф_102_2021!C:F,4,0),0)</f>
        <v>0</v>
      </c>
    </row>
    <row r="122" spans="1:7" x14ac:dyDescent="0.2">
      <c r="A122" s="21">
        <v>21117</v>
      </c>
      <c r="B122" s="75">
        <f>IFERROR(VLOOKUP(A122,'Ф_102_2016'!C:F,4,0),0)</f>
        <v>0</v>
      </c>
      <c r="C122" s="75">
        <f>IFERROR(VLOOKUP(A122,Ф_102_2017!C:F,4,0),0)</f>
        <v>0</v>
      </c>
      <c r="D122" s="75">
        <f>IFERROR(VLOOKUP(A122,Ф_102_2018!C:F,4,0),0)</f>
        <v>0</v>
      </c>
      <c r="E122" s="75">
        <f>IFERROR(VLOOKUP(A122,Ф_102_2019!C:F,4,0),0)</f>
        <v>0</v>
      </c>
      <c r="F122" s="75">
        <f>IFERROR(VLOOKUP(A122,Ф_102_2020!C:F,4,0),0)</f>
        <v>0</v>
      </c>
      <c r="G122" s="75">
        <f>IFERROR(VLOOKUP(A122,Ф_102_2021!C:F,4,0),0)</f>
        <v>0</v>
      </c>
    </row>
    <row r="123" spans="1:7" x14ac:dyDescent="0.2">
      <c r="A123" s="21">
        <v>21118</v>
      </c>
      <c r="B123" s="75">
        <f>IFERROR(VLOOKUP(A123,'Ф_102_2016'!C:F,4,0),0)</f>
        <v>0</v>
      </c>
      <c r="C123" s="75">
        <f>IFERROR(VLOOKUP(A123,Ф_102_2017!C:F,4,0),0)</f>
        <v>0</v>
      </c>
      <c r="D123" s="75">
        <f>IFERROR(VLOOKUP(A123,Ф_102_2018!C:F,4,0),0)</f>
        <v>0</v>
      </c>
      <c r="E123" s="75">
        <f>IFERROR(VLOOKUP(A123,Ф_102_2019!C:F,4,0),0)</f>
        <v>0</v>
      </c>
      <c r="F123" s="75">
        <f>IFERROR(VLOOKUP(A123,Ф_102_2020!C:F,4,0),0)</f>
        <v>770</v>
      </c>
      <c r="G123" s="75">
        <f>IFERROR(VLOOKUP(A123,Ф_102_2021!C:F,4,0),0)</f>
        <v>108</v>
      </c>
    </row>
    <row r="124" spans="1:7" x14ac:dyDescent="0.2">
      <c r="A124" s="21">
        <v>21119</v>
      </c>
      <c r="B124" s="75">
        <f>IFERROR(VLOOKUP(A124,'Ф_102_2016'!C:F,4,0),0)</f>
        <v>0</v>
      </c>
      <c r="C124" s="75">
        <f>IFERROR(VLOOKUP(A124,Ф_102_2017!C:F,4,0),0)</f>
        <v>0</v>
      </c>
      <c r="D124" s="75">
        <f>IFERROR(VLOOKUP(A124,Ф_102_2018!C:F,4,0),0)</f>
        <v>0</v>
      </c>
      <c r="E124" s="75">
        <f>IFERROR(VLOOKUP(A124,Ф_102_2019!C:F,4,0),0)</f>
        <v>0</v>
      </c>
      <c r="F124" s="75">
        <f>IFERROR(VLOOKUP(A124,Ф_102_2020!C:F,4,0),0)</f>
        <v>110264</v>
      </c>
      <c r="G124" s="75">
        <f>IFERROR(VLOOKUP(A124,Ф_102_2021!C:F,4,0),0)</f>
        <v>642051</v>
      </c>
    </row>
    <row r="125" spans="1:7" x14ac:dyDescent="0.2">
      <c r="A125" s="21">
        <v>21120</v>
      </c>
      <c r="B125" s="75">
        <f>IFERROR(VLOOKUP(A125,'Ф_102_2016'!C:F,4,0),0)</f>
        <v>0</v>
      </c>
      <c r="C125" s="75">
        <f>IFERROR(VLOOKUP(A125,Ф_102_2017!C:F,4,0),0)</f>
        <v>0</v>
      </c>
      <c r="D125" s="75">
        <f>IFERROR(VLOOKUP(A125,Ф_102_2018!C:F,4,0),0)</f>
        <v>0</v>
      </c>
      <c r="E125" s="75">
        <f>IFERROR(VLOOKUP(A125,Ф_102_2019!C:F,4,0),0)</f>
        <v>0</v>
      </c>
      <c r="F125" s="75">
        <f>IFERROR(VLOOKUP(A125,Ф_102_2020!C:F,4,0),0)</f>
        <v>0</v>
      </c>
      <c r="G125" s="75">
        <f>IFERROR(VLOOKUP(A125,Ф_102_2021!C:F,4,0),0)</f>
        <v>0</v>
      </c>
    </row>
    <row r="126" spans="1:7" ht="111" thickBot="1" x14ac:dyDescent="0.25">
      <c r="A126" s="1128" t="s">
        <v>3386</v>
      </c>
      <c r="B126" s="1248">
        <f t="shared" ref="B126:G126" si="4">SUM(B106:B125)</f>
        <v>2031845</v>
      </c>
      <c r="C126" s="1248">
        <f t="shared" si="4"/>
        <v>173659</v>
      </c>
      <c r="D126" s="1248">
        <f t="shared" si="4"/>
        <v>246835</v>
      </c>
      <c r="E126" s="1248">
        <f t="shared" si="4"/>
        <v>2306444</v>
      </c>
      <c r="F126" s="1248">
        <f t="shared" si="4"/>
        <v>14207226</v>
      </c>
      <c r="G126" s="1248">
        <f t="shared" si="4"/>
        <v>8349389</v>
      </c>
    </row>
    <row r="127" spans="1:7" x14ac:dyDescent="0.2">
      <c r="A127" s="21">
        <v>21201</v>
      </c>
      <c r="B127" s="1250">
        <f>IFERROR(VLOOKUP(A127,'Ф_102_2016'!C:F,4,0),0)</f>
        <v>0</v>
      </c>
      <c r="C127" s="1250">
        <f>IFERROR(VLOOKUP(A127,Ф_102_2017!C:F,4,0),0)</f>
        <v>0</v>
      </c>
      <c r="D127" s="1250">
        <f>IFERROR(VLOOKUP(A127,Ф_102_2018!C:F,4,0),0)</f>
        <v>0</v>
      </c>
      <c r="E127" s="1250">
        <f>IFERROR(VLOOKUP(A127,Ф_102_2019!C:F,4,0),0)</f>
        <v>0</v>
      </c>
      <c r="F127" s="75">
        <f>IFERROR(VLOOKUP(A127,Ф_102_2020!C:F,4,0),0)</f>
        <v>0</v>
      </c>
      <c r="G127" s="75">
        <f>IFERROR(VLOOKUP(A127,Ф_102_2021!C:F,4,0),0)</f>
        <v>0</v>
      </c>
    </row>
    <row r="128" spans="1:7" x14ac:dyDescent="0.2">
      <c r="A128" s="21">
        <v>21202</v>
      </c>
      <c r="B128" s="75">
        <f>IFERROR(VLOOKUP(A128,'Ф_102_2016'!C:F,4,0),0)</f>
        <v>0</v>
      </c>
      <c r="C128" s="75">
        <f>IFERROR(VLOOKUP(A128,Ф_102_2017!C:F,4,0),0)</f>
        <v>0</v>
      </c>
      <c r="D128" s="75">
        <f>IFERROR(VLOOKUP(A128,Ф_102_2018!C:F,4,0),0)</f>
        <v>0</v>
      </c>
      <c r="E128" s="75">
        <f>IFERROR(VLOOKUP(A128,Ф_102_2019!C:F,4,0),0)</f>
        <v>0</v>
      </c>
      <c r="F128" s="75">
        <f>IFERROR(VLOOKUP(A128,Ф_102_2020!C:F,4,0),0)</f>
        <v>0</v>
      </c>
      <c r="G128" s="75">
        <f>IFERROR(VLOOKUP(A128,Ф_102_2021!C:F,4,0),0)</f>
        <v>0</v>
      </c>
    </row>
    <row r="129" spans="1:7" x14ac:dyDescent="0.2">
      <c r="A129" s="21">
        <v>21203</v>
      </c>
      <c r="B129" s="75">
        <f>IFERROR(VLOOKUP(A129,'Ф_102_2016'!C:F,4,0),0)</f>
        <v>0</v>
      </c>
      <c r="C129" s="75">
        <f>IFERROR(VLOOKUP(A129,Ф_102_2017!C:F,4,0),0)</f>
        <v>0</v>
      </c>
      <c r="D129" s="75">
        <f>IFERROR(VLOOKUP(A129,Ф_102_2018!C:F,4,0),0)</f>
        <v>0</v>
      </c>
      <c r="E129" s="75">
        <f>IFERROR(VLOOKUP(A129,Ф_102_2019!C:F,4,0),0)</f>
        <v>0</v>
      </c>
      <c r="F129" s="75">
        <f>IFERROR(VLOOKUP(A129,Ф_102_2020!C:F,4,0),0)</f>
        <v>0</v>
      </c>
      <c r="G129" s="75">
        <f>IFERROR(VLOOKUP(A129,Ф_102_2021!C:F,4,0),0)</f>
        <v>0</v>
      </c>
    </row>
    <row r="130" spans="1:7" x14ac:dyDescent="0.2">
      <c r="A130" s="21">
        <v>21204</v>
      </c>
      <c r="B130" s="75">
        <f>IFERROR(VLOOKUP(A130,'Ф_102_2016'!C:F,4,0),0)</f>
        <v>0</v>
      </c>
      <c r="C130" s="75">
        <f>IFERROR(VLOOKUP(A130,Ф_102_2017!C:F,4,0),0)</f>
        <v>0</v>
      </c>
      <c r="D130" s="75">
        <f>IFERROR(VLOOKUP(A130,Ф_102_2018!C:F,4,0),0)</f>
        <v>0</v>
      </c>
      <c r="E130" s="75">
        <f>IFERROR(VLOOKUP(A130,Ф_102_2019!C:F,4,0),0)</f>
        <v>11952</v>
      </c>
      <c r="F130" s="75">
        <f>IFERROR(VLOOKUP(A130,Ф_102_2020!C:F,4,0),0)</f>
        <v>27369</v>
      </c>
      <c r="G130" s="75">
        <f>IFERROR(VLOOKUP(A130,Ф_102_2021!C:F,4,0),0)</f>
        <v>24350</v>
      </c>
    </row>
    <row r="131" spans="1:7" x14ac:dyDescent="0.2">
      <c r="A131" s="21">
        <v>21205</v>
      </c>
      <c r="B131" s="75">
        <f>IFERROR(VLOOKUP(A131,'Ф_102_2016'!C:F,4,0),0)</f>
        <v>0</v>
      </c>
      <c r="C131" s="75">
        <f>IFERROR(VLOOKUP(A131,Ф_102_2017!C:F,4,0),0)</f>
        <v>0</v>
      </c>
      <c r="D131" s="75">
        <f>IFERROR(VLOOKUP(A131,Ф_102_2018!C:F,4,0),0)</f>
        <v>0</v>
      </c>
      <c r="E131" s="75">
        <f>IFERROR(VLOOKUP(A131,Ф_102_2019!C:F,4,0),0)</f>
        <v>0</v>
      </c>
      <c r="F131" s="75">
        <f>IFERROR(VLOOKUP(A131,Ф_102_2020!C:F,4,0),0)</f>
        <v>0</v>
      </c>
      <c r="G131" s="75">
        <f>IFERROR(VLOOKUP(A131,Ф_102_2021!C:F,4,0),0)</f>
        <v>0</v>
      </c>
    </row>
    <row r="132" spans="1:7" x14ac:dyDescent="0.2">
      <c r="A132" s="21">
        <v>21206</v>
      </c>
      <c r="B132" s="75">
        <f>IFERROR(VLOOKUP(A132,'Ф_102_2016'!C:F,4,0),0)</f>
        <v>0</v>
      </c>
      <c r="C132" s="75">
        <f>IFERROR(VLOOKUP(A132,Ф_102_2017!C:F,4,0),0)</f>
        <v>0</v>
      </c>
      <c r="D132" s="75">
        <f>IFERROR(VLOOKUP(A132,Ф_102_2018!C:F,4,0),0)</f>
        <v>0</v>
      </c>
      <c r="E132" s="75">
        <f>IFERROR(VLOOKUP(A132,Ф_102_2019!C:F,4,0),0)</f>
        <v>0</v>
      </c>
      <c r="F132" s="75">
        <f>IFERROR(VLOOKUP(A132,Ф_102_2020!C:F,4,0),0)</f>
        <v>0</v>
      </c>
      <c r="G132" s="75">
        <f>IFERROR(VLOOKUP(A132,Ф_102_2021!C:F,4,0),0)</f>
        <v>0</v>
      </c>
    </row>
    <row r="133" spans="1:7" x14ac:dyDescent="0.2">
      <c r="A133" s="21">
        <v>21207</v>
      </c>
      <c r="B133" s="75">
        <f>IFERROR(VLOOKUP(A133,'Ф_102_2016'!C:F,4,0),0)</f>
        <v>0</v>
      </c>
      <c r="C133" s="75">
        <f>IFERROR(VLOOKUP(A133,Ф_102_2017!C:F,4,0),0)</f>
        <v>0</v>
      </c>
      <c r="D133" s="75">
        <f>IFERROR(VLOOKUP(A133,Ф_102_2018!C:F,4,0),0)</f>
        <v>0</v>
      </c>
      <c r="E133" s="75">
        <f>IFERROR(VLOOKUP(A133,Ф_102_2019!C:F,4,0),0)</f>
        <v>0</v>
      </c>
      <c r="F133" s="75">
        <f>IFERROR(VLOOKUP(A133,Ф_102_2020!C:F,4,0),0)</f>
        <v>0</v>
      </c>
      <c r="G133" s="75">
        <f>IFERROR(VLOOKUP(A133,Ф_102_2021!C:F,4,0),0)</f>
        <v>0</v>
      </c>
    </row>
    <row r="134" spans="1:7" x14ac:dyDescent="0.2">
      <c r="A134" s="21">
        <v>21208</v>
      </c>
      <c r="B134" s="75">
        <f>IFERROR(VLOOKUP(A134,'Ф_102_2016'!C:F,4,0),0)</f>
        <v>0</v>
      </c>
      <c r="C134" s="75">
        <f>IFERROR(VLOOKUP(A134,Ф_102_2017!C:F,4,0),0)</f>
        <v>0</v>
      </c>
      <c r="D134" s="75">
        <f>IFERROR(VLOOKUP(A134,Ф_102_2018!C:F,4,0),0)</f>
        <v>0</v>
      </c>
      <c r="E134" s="75">
        <f>IFERROR(VLOOKUP(A134,Ф_102_2019!C:F,4,0),0)</f>
        <v>0</v>
      </c>
      <c r="F134" s="75">
        <f>IFERROR(VLOOKUP(A134,Ф_102_2020!C:F,4,0),0)</f>
        <v>0</v>
      </c>
      <c r="G134" s="75">
        <f>IFERROR(VLOOKUP(A134,Ф_102_2021!C:F,4,0),0)</f>
        <v>0</v>
      </c>
    </row>
    <row r="135" spans="1:7" x14ac:dyDescent="0.2">
      <c r="A135" s="21">
        <v>21209</v>
      </c>
      <c r="B135" s="75">
        <f>IFERROR(VLOOKUP(A135,'Ф_102_2016'!C:F,4,0),0)</f>
        <v>0</v>
      </c>
      <c r="C135" s="75">
        <f>IFERROR(VLOOKUP(A135,Ф_102_2017!C:F,4,0),0)</f>
        <v>0</v>
      </c>
      <c r="D135" s="75">
        <f>IFERROR(VLOOKUP(A135,Ф_102_2018!C:F,4,0),0)</f>
        <v>0</v>
      </c>
      <c r="E135" s="75">
        <f>IFERROR(VLOOKUP(A135,Ф_102_2019!C:F,4,0),0)</f>
        <v>0</v>
      </c>
      <c r="F135" s="75">
        <f>IFERROR(VLOOKUP(A135,Ф_102_2020!C:F,4,0),0)</f>
        <v>0</v>
      </c>
      <c r="G135" s="75">
        <f>IFERROR(VLOOKUP(A135,Ф_102_2021!C:F,4,0),0)</f>
        <v>0</v>
      </c>
    </row>
    <row r="136" spans="1:7" x14ac:dyDescent="0.2">
      <c r="A136" s="21">
        <v>21210</v>
      </c>
      <c r="B136" s="75">
        <f>IFERROR(VLOOKUP(A136,'Ф_102_2016'!C:F,4,0),0)</f>
        <v>0</v>
      </c>
      <c r="C136" s="75">
        <f>IFERROR(VLOOKUP(A136,Ф_102_2017!C:F,4,0),0)</f>
        <v>0</v>
      </c>
      <c r="D136" s="75">
        <f>IFERROR(VLOOKUP(A136,Ф_102_2018!C:F,4,0),0)</f>
        <v>0</v>
      </c>
      <c r="E136" s="75">
        <f>IFERROR(VLOOKUP(A136,Ф_102_2019!C:F,4,0),0)</f>
        <v>0</v>
      </c>
      <c r="F136" s="75">
        <f>IFERROR(VLOOKUP(A136,Ф_102_2020!C:F,4,0),0)</f>
        <v>0</v>
      </c>
      <c r="G136" s="75">
        <f>IFERROR(VLOOKUP(A136,Ф_102_2021!C:F,4,0),0)</f>
        <v>0</v>
      </c>
    </row>
    <row r="137" spans="1:7" x14ac:dyDescent="0.2">
      <c r="A137" s="21">
        <v>21211</v>
      </c>
      <c r="B137" s="75">
        <f>IFERROR(VLOOKUP(A137,'Ф_102_2016'!C:F,4,0),0)</f>
        <v>0</v>
      </c>
      <c r="C137" s="75">
        <f>IFERROR(VLOOKUP(A137,Ф_102_2017!C:F,4,0),0)</f>
        <v>0</v>
      </c>
      <c r="D137" s="75">
        <f>IFERROR(VLOOKUP(A137,Ф_102_2018!C:F,4,0),0)</f>
        <v>0</v>
      </c>
      <c r="E137" s="75">
        <f>IFERROR(VLOOKUP(A137,Ф_102_2019!C:F,4,0),0)</f>
        <v>0</v>
      </c>
      <c r="F137" s="75">
        <f>IFERROR(VLOOKUP(A137,Ф_102_2020!C:F,4,0),0)</f>
        <v>0</v>
      </c>
      <c r="G137" s="75">
        <f>IFERROR(VLOOKUP(A137,Ф_102_2021!C:F,4,0),0)</f>
        <v>0</v>
      </c>
    </row>
    <row r="138" spans="1:7" x14ac:dyDescent="0.2">
      <c r="A138" s="21">
        <v>21212</v>
      </c>
      <c r="B138" s="75">
        <f>IFERROR(VLOOKUP(A138,'Ф_102_2016'!C:F,4,0),0)</f>
        <v>0</v>
      </c>
      <c r="C138" s="75">
        <f>IFERROR(VLOOKUP(A138,Ф_102_2017!C:F,4,0),0)</f>
        <v>0</v>
      </c>
      <c r="D138" s="75">
        <f>IFERROR(VLOOKUP(A138,Ф_102_2018!C:F,4,0),0)</f>
        <v>0</v>
      </c>
      <c r="E138" s="75">
        <f>IFERROR(VLOOKUP(A138,Ф_102_2019!C:F,4,0),0)</f>
        <v>0</v>
      </c>
      <c r="F138" s="75">
        <f>IFERROR(VLOOKUP(A138,Ф_102_2020!C:F,4,0),0)</f>
        <v>112</v>
      </c>
      <c r="G138" s="75">
        <f>IFERROR(VLOOKUP(A138,Ф_102_2021!C:F,4,0),0)</f>
        <v>40127</v>
      </c>
    </row>
    <row r="139" spans="1:7" x14ac:dyDescent="0.2">
      <c r="A139" s="21">
        <v>21213</v>
      </c>
      <c r="B139" s="75">
        <f>IFERROR(VLOOKUP(A139,'Ф_102_2016'!C:F,4,0),0)</f>
        <v>0</v>
      </c>
      <c r="C139" s="75">
        <f>IFERROR(VLOOKUP(A139,Ф_102_2017!C:F,4,0),0)</f>
        <v>0</v>
      </c>
      <c r="D139" s="75">
        <f>IFERROR(VLOOKUP(A139,Ф_102_2018!C:F,4,0),0)</f>
        <v>0</v>
      </c>
      <c r="E139" s="75">
        <f>IFERROR(VLOOKUP(A139,Ф_102_2019!C:F,4,0),0)</f>
        <v>0</v>
      </c>
      <c r="F139" s="75">
        <f>IFERROR(VLOOKUP(A139,Ф_102_2020!C:F,4,0),0)</f>
        <v>0</v>
      </c>
      <c r="G139" s="75">
        <f>IFERROR(VLOOKUP(A139,Ф_102_2021!C:F,4,0),0)</f>
        <v>30</v>
      </c>
    </row>
    <row r="140" spans="1:7" x14ac:dyDescent="0.2">
      <c r="A140" s="21">
        <v>21214</v>
      </c>
      <c r="B140" s="75">
        <f>IFERROR(VLOOKUP(A140,'Ф_102_2016'!C:F,4,0),0)</f>
        <v>0</v>
      </c>
      <c r="C140" s="75">
        <f>IFERROR(VLOOKUP(A140,Ф_102_2017!C:F,4,0),0)</f>
        <v>0</v>
      </c>
      <c r="D140" s="75">
        <f>IFERROR(VLOOKUP(A140,Ф_102_2018!C:F,4,0),0)</f>
        <v>0</v>
      </c>
      <c r="E140" s="75">
        <f>IFERROR(VLOOKUP(A140,Ф_102_2019!C:F,4,0),0)</f>
        <v>0</v>
      </c>
      <c r="F140" s="75">
        <f>IFERROR(VLOOKUP(A140,Ф_102_2020!C:F,4,0),0)</f>
        <v>0</v>
      </c>
      <c r="G140" s="75">
        <f>IFERROR(VLOOKUP(A140,Ф_102_2021!C:F,4,0),0)</f>
        <v>0</v>
      </c>
    </row>
    <row r="141" spans="1:7" x14ac:dyDescent="0.2">
      <c r="A141" s="21">
        <v>21215</v>
      </c>
      <c r="B141" s="75">
        <f>IFERROR(VLOOKUP(A141,'Ф_102_2016'!C:F,4,0),0)</f>
        <v>0</v>
      </c>
      <c r="C141" s="75">
        <f>IFERROR(VLOOKUP(A141,Ф_102_2017!C:F,4,0),0)</f>
        <v>0</v>
      </c>
      <c r="D141" s="75">
        <f>IFERROR(VLOOKUP(A141,Ф_102_2018!C:F,4,0),0)</f>
        <v>0</v>
      </c>
      <c r="E141" s="75">
        <f>IFERROR(VLOOKUP(A141,Ф_102_2019!C:F,4,0),0)</f>
        <v>140834</v>
      </c>
      <c r="F141" s="75">
        <f>IFERROR(VLOOKUP(A141,Ф_102_2020!C:F,4,0),0)</f>
        <v>27070</v>
      </c>
      <c r="G141" s="75">
        <f>IFERROR(VLOOKUP(A141,Ф_102_2021!C:F,4,0),0)</f>
        <v>148840</v>
      </c>
    </row>
    <row r="142" spans="1:7" x14ac:dyDescent="0.2">
      <c r="A142" s="21">
        <v>21216</v>
      </c>
      <c r="B142" s="75">
        <f>IFERROR(VLOOKUP(A142,'Ф_102_2016'!C:F,4,0),0)</f>
        <v>0</v>
      </c>
      <c r="C142" s="75">
        <f>IFERROR(VLOOKUP(A142,Ф_102_2017!C:F,4,0),0)</f>
        <v>0</v>
      </c>
      <c r="D142" s="75">
        <f>IFERROR(VLOOKUP(A142,Ф_102_2018!C:F,4,0),0)</f>
        <v>0</v>
      </c>
      <c r="E142" s="75">
        <f>IFERROR(VLOOKUP(A142,Ф_102_2019!C:F,4,0),0)</f>
        <v>0</v>
      </c>
      <c r="F142" s="75">
        <f>IFERROR(VLOOKUP(A142,Ф_102_2020!C:F,4,0),0)</f>
        <v>0</v>
      </c>
      <c r="G142" s="75">
        <f>IFERROR(VLOOKUP(A142,Ф_102_2021!C:F,4,0),0)</f>
        <v>0</v>
      </c>
    </row>
    <row r="143" spans="1:7" x14ac:dyDescent="0.2">
      <c r="A143" s="21">
        <v>21217</v>
      </c>
      <c r="B143" s="75">
        <f>IFERROR(VLOOKUP(A143,'Ф_102_2016'!C:F,4,0),0)</f>
        <v>0</v>
      </c>
      <c r="C143" s="75">
        <f>IFERROR(VLOOKUP(A143,Ф_102_2017!C:F,4,0),0)</f>
        <v>0</v>
      </c>
      <c r="D143" s="75">
        <f>IFERROR(VLOOKUP(A143,Ф_102_2018!C:F,4,0),0)</f>
        <v>0</v>
      </c>
      <c r="E143" s="75">
        <f>IFERROR(VLOOKUP(A143,Ф_102_2019!C:F,4,0),0)</f>
        <v>0</v>
      </c>
      <c r="F143" s="75">
        <f>IFERROR(VLOOKUP(A143,Ф_102_2020!C:F,4,0),0)</f>
        <v>0</v>
      </c>
      <c r="G143" s="75">
        <f>IFERROR(VLOOKUP(A143,Ф_102_2021!C:F,4,0),0)</f>
        <v>0</v>
      </c>
    </row>
    <row r="144" spans="1:7" x14ac:dyDescent="0.2">
      <c r="A144" s="21">
        <v>21218</v>
      </c>
      <c r="B144" s="75">
        <f>IFERROR(VLOOKUP(A144,'Ф_102_2016'!C:F,4,0),0)</f>
        <v>0</v>
      </c>
      <c r="C144" s="75">
        <f>IFERROR(VLOOKUP(A144,Ф_102_2017!C:F,4,0),0)</f>
        <v>0</v>
      </c>
      <c r="D144" s="75">
        <f>IFERROR(VLOOKUP(A144,Ф_102_2018!C:F,4,0),0)</f>
        <v>0</v>
      </c>
      <c r="E144" s="75">
        <f>IFERROR(VLOOKUP(A144,Ф_102_2019!C:F,4,0),0)</f>
        <v>0</v>
      </c>
      <c r="F144" s="75">
        <f>IFERROR(VLOOKUP(A144,Ф_102_2020!C:F,4,0),0)</f>
        <v>0</v>
      </c>
      <c r="G144" s="75">
        <f>IFERROR(VLOOKUP(A144,Ф_102_2021!C:F,4,0),0)</f>
        <v>1</v>
      </c>
    </row>
    <row r="145" spans="1:7" x14ac:dyDescent="0.2">
      <c r="A145" s="21">
        <v>21219</v>
      </c>
      <c r="B145" s="75">
        <f>IFERROR(VLOOKUP(A145,'Ф_102_2016'!C:F,4,0),0)</f>
        <v>0</v>
      </c>
      <c r="C145" s="75">
        <f>IFERROR(VLOOKUP(A145,Ф_102_2017!C:F,4,0),0)</f>
        <v>0</v>
      </c>
      <c r="D145" s="75">
        <f>IFERROR(VLOOKUP(A145,Ф_102_2018!C:F,4,0),0)</f>
        <v>0</v>
      </c>
      <c r="E145" s="75">
        <f>IFERROR(VLOOKUP(A145,Ф_102_2019!C:F,4,0),0)</f>
        <v>0</v>
      </c>
      <c r="F145" s="75">
        <f>IFERROR(VLOOKUP(A145,Ф_102_2020!C:F,4,0),0)</f>
        <v>0</v>
      </c>
      <c r="G145" s="75">
        <f>IFERROR(VLOOKUP(A145,Ф_102_2021!C:F,4,0),0)</f>
        <v>0</v>
      </c>
    </row>
    <row r="146" spans="1:7" x14ac:dyDescent="0.2">
      <c r="A146" s="21">
        <v>21220</v>
      </c>
      <c r="B146" s="75">
        <f>IFERROR(VLOOKUP(A146,'Ф_102_2016'!C:F,4,0),0)</f>
        <v>0</v>
      </c>
      <c r="C146" s="75">
        <f>IFERROR(VLOOKUP(A146,Ф_102_2017!C:F,4,0),0)</f>
        <v>0</v>
      </c>
      <c r="D146" s="75">
        <f>IFERROR(VLOOKUP(A146,Ф_102_2018!C:F,4,0),0)</f>
        <v>0</v>
      </c>
      <c r="E146" s="75">
        <f>IFERROR(VLOOKUP(A146,Ф_102_2019!C:F,4,0),0)</f>
        <v>0</v>
      </c>
      <c r="F146" s="75">
        <f>IFERROR(VLOOKUP(A146,Ф_102_2020!C:F,4,0),0)</f>
        <v>0</v>
      </c>
      <c r="G146" s="75">
        <f>IFERROR(VLOOKUP(A146,Ф_102_2021!C:F,4,0),0)</f>
        <v>0</v>
      </c>
    </row>
    <row r="147" spans="1:7" ht="111" thickBot="1" x14ac:dyDescent="0.25">
      <c r="A147" s="1128" t="s">
        <v>3387</v>
      </c>
      <c r="B147" s="1248">
        <f t="shared" ref="B147:G147" si="5">SUM(B127:B146)</f>
        <v>0</v>
      </c>
      <c r="C147" s="1248">
        <f t="shared" si="5"/>
        <v>0</v>
      </c>
      <c r="D147" s="1248">
        <f t="shared" si="5"/>
        <v>0</v>
      </c>
      <c r="E147" s="1248">
        <f t="shared" si="5"/>
        <v>152786</v>
      </c>
      <c r="F147" s="1248">
        <f t="shared" si="5"/>
        <v>54551</v>
      </c>
      <c r="G147" s="1248">
        <f t="shared" si="5"/>
        <v>213348</v>
      </c>
    </row>
    <row r="148" spans="1:7" x14ac:dyDescent="0.2">
      <c r="A148" s="21">
        <v>21301</v>
      </c>
      <c r="B148" s="1250">
        <f>IFERROR(VLOOKUP(A148,'Ф_102_2016'!C:F,4,0),0)</f>
        <v>0</v>
      </c>
      <c r="C148" s="1250">
        <f>IFERROR(VLOOKUP(A148,Ф_102_2017!C:F,4,0),0)</f>
        <v>0</v>
      </c>
      <c r="D148" s="1250">
        <f>IFERROR(VLOOKUP(A148,Ф_102_2018!C:F,4,0),0)</f>
        <v>0</v>
      </c>
      <c r="E148" s="1250">
        <f>IFERROR(VLOOKUP(A148,Ф_102_2019!C:F,4,0),0)</f>
        <v>0</v>
      </c>
      <c r="F148" s="75">
        <f>IFERROR(VLOOKUP(A148,Ф_102_2020!C:F,4,0),0)</f>
        <v>0</v>
      </c>
      <c r="G148" s="75">
        <f>IFERROR(VLOOKUP(A148,Ф_102_2021!C:F,4,0),0)</f>
        <v>0</v>
      </c>
    </row>
    <row r="149" spans="1:7" x14ac:dyDescent="0.2">
      <c r="A149" s="21">
        <v>21302</v>
      </c>
      <c r="B149" s="75">
        <f>IFERROR(VLOOKUP(A149,'Ф_102_2016'!C:F,4,0),0)</f>
        <v>0</v>
      </c>
      <c r="C149" s="75">
        <f>IFERROR(VLOOKUP(A149,Ф_102_2017!C:F,4,0),0)</f>
        <v>0</v>
      </c>
      <c r="D149" s="75">
        <f>IFERROR(VLOOKUP(A149,Ф_102_2018!C:F,4,0),0)</f>
        <v>0</v>
      </c>
      <c r="E149" s="75">
        <f>IFERROR(VLOOKUP(A149,Ф_102_2019!C:F,4,0),0)</f>
        <v>0</v>
      </c>
      <c r="F149" s="75">
        <f>IFERROR(VLOOKUP(A149,Ф_102_2020!C:F,4,0),0)</f>
        <v>0</v>
      </c>
      <c r="G149" s="75">
        <f>IFERROR(VLOOKUP(A149,Ф_102_2021!C:F,4,0),0)</f>
        <v>0</v>
      </c>
    </row>
    <row r="150" spans="1:7" x14ac:dyDescent="0.2">
      <c r="A150" s="21">
        <v>21303</v>
      </c>
      <c r="B150" s="75">
        <f>IFERROR(VLOOKUP(A150,'Ф_102_2016'!C:F,4,0),0)</f>
        <v>0</v>
      </c>
      <c r="C150" s="75">
        <f>IFERROR(VLOOKUP(A150,Ф_102_2017!C:F,4,0),0)</f>
        <v>0</v>
      </c>
      <c r="D150" s="75">
        <f>IFERROR(VLOOKUP(A150,Ф_102_2018!C:F,4,0),0)</f>
        <v>0</v>
      </c>
      <c r="E150" s="75">
        <f>IFERROR(VLOOKUP(A150,Ф_102_2019!C:F,4,0),0)</f>
        <v>0</v>
      </c>
      <c r="F150" s="75">
        <f>IFERROR(VLOOKUP(A150,Ф_102_2020!C:F,4,0),0)</f>
        <v>0</v>
      </c>
      <c r="G150" s="75">
        <f>IFERROR(VLOOKUP(A150,Ф_102_2021!C:F,4,0),0)</f>
        <v>0</v>
      </c>
    </row>
    <row r="151" spans="1:7" ht="63.75" thickBot="1" x14ac:dyDescent="0.25">
      <c r="A151" s="1128" t="s">
        <v>3388</v>
      </c>
      <c r="B151" s="1248">
        <f t="shared" ref="B151:G151" si="6">SUM(B148:B150)</f>
        <v>0</v>
      </c>
      <c r="C151" s="1248">
        <f t="shared" si="6"/>
        <v>0</v>
      </c>
      <c r="D151" s="1248">
        <f t="shared" si="6"/>
        <v>0</v>
      </c>
      <c r="E151" s="1248">
        <f t="shared" si="6"/>
        <v>0</v>
      </c>
      <c r="F151" s="1248">
        <f t="shared" si="6"/>
        <v>0</v>
      </c>
      <c r="G151" s="1248">
        <f t="shared" si="6"/>
        <v>0</v>
      </c>
    </row>
    <row r="152" spans="1:7" x14ac:dyDescent="0.2">
      <c r="B152" s="681"/>
      <c r="C152" s="681"/>
      <c r="D152" s="681"/>
      <c r="E152" s="681"/>
      <c r="F152" s="681"/>
      <c r="G152" s="681"/>
    </row>
    <row r="153" spans="1:7" x14ac:dyDescent="0.2">
      <c r="B153" s="681"/>
      <c r="C153" s="681"/>
      <c r="D153" s="681"/>
      <c r="E153" s="681"/>
      <c r="F153" s="681"/>
      <c r="G153" s="681"/>
    </row>
    <row r="154" spans="1:7" x14ac:dyDescent="0.2">
      <c r="B154" s="681"/>
      <c r="C154" s="681"/>
      <c r="D154" s="681"/>
      <c r="E154" s="681"/>
      <c r="F154" s="681"/>
      <c r="G154" s="681"/>
    </row>
    <row r="155" spans="1:7" x14ac:dyDescent="0.2">
      <c r="B155" s="681"/>
      <c r="C155" s="681"/>
      <c r="D155" s="681"/>
      <c r="E155" s="681"/>
      <c r="F155" s="681"/>
      <c r="G155" s="681"/>
    </row>
    <row r="156" spans="1:7" x14ac:dyDescent="0.2">
      <c r="B156" s="681"/>
      <c r="C156" s="681"/>
      <c r="D156" s="681"/>
      <c r="E156" s="681"/>
      <c r="F156" s="681"/>
      <c r="G156" s="681"/>
    </row>
    <row r="157" spans="1:7" x14ac:dyDescent="0.2">
      <c r="B157" s="681"/>
      <c r="C157" s="681"/>
      <c r="D157" s="681"/>
      <c r="E157" s="681"/>
      <c r="F157" s="681"/>
      <c r="G157" s="681"/>
    </row>
    <row r="158" spans="1:7" x14ac:dyDescent="0.2">
      <c r="B158" s="681"/>
      <c r="C158" s="681"/>
      <c r="D158" s="681"/>
      <c r="E158" s="681"/>
      <c r="F158" s="681"/>
      <c r="G158" s="681"/>
    </row>
    <row r="159" spans="1:7" x14ac:dyDescent="0.2">
      <c r="B159" s="681"/>
      <c r="C159" s="681"/>
      <c r="D159" s="681"/>
      <c r="E159" s="681"/>
      <c r="F159" s="681"/>
      <c r="G159" s="681"/>
    </row>
    <row r="160" spans="1:7" x14ac:dyDescent="0.2">
      <c r="B160" s="681"/>
      <c r="C160" s="681"/>
      <c r="D160" s="681"/>
      <c r="E160" s="681"/>
      <c r="F160" s="681"/>
      <c r="G160" s="681"/>
    </row>
    <row r="161" spans="1:7" x14ac:dyDescent="0.2">
      <c r="B161" s="681"/>
      <c r="C161" s="681"/>
      <c r="D161" s="681"/>
      <c r="E161" s="681"/>
      <c r="F161" s="681"/>
      <c r="G161" s="681"/>
    </row>
    <row r="162" spans="1:7" x14ac:dyDescent="0.2">
      <c r="B162" s="681"/>
      <c r="C162" s="681"/>
      <c r="D162" s="681"/>
      <c r="E162" s="681"/>
      <c r="F162" s="681"/>
      <c r="G162" s="681"/>
    </row>
    <row r="163" spans="1:7" x14ac:dyDescent="0.2">
      <c r="B163" s="681"/>
      <c r="C163" s="681"/>
      <c r="D163" s="681"/>
      <c r="E163" s="681"/>
      <c r="F163" s="681"/>
      <c r="G163" s="681"/>
    </row>
    <row r="164" spans="1:7" ht="15.75" x14ac:dyDescent="0.25">
      <c r="A164" s="585" t="s">
        <v>372</v>
      </c>
      <c r="B164" s="75"/>
      <c r="C164" s="75"/>
      <c r="D164" s="75"/>
      <c r="E164" s="75"/>
      <c r="F164" s="75"/>
      <c r="G164" s="75"/>
    </row>
    <row r="165" spans="1:7" ht="15.75" x14ac:dyDescent="0.25">
      <c r="A165" s="585"/>
      <c r="B165" s="75"/>
      <c r="C165" s="75"/>
      <c r="D165" s="75"/>
      <c r="E165" s="75"/>
      <c r="F165" s="75"/>
      <c r="G165" s="75"/>
    </row>
    <row r="166" spans="1:7" x14ac:dyDescent="0.2">
      <c r="B166" s="1253" t="s">
        <v>286</v>
      </c>
      <c r="C166" s="1254"/>
      <c r="D166" s="1254"/>
      <c r="E166" s="1254"/>
      <c r="F166" s="1254" t="s">
        <v>348</v>
      </c>
      <c r="G166" s="1254"/>
    </row>
    <row r="167" spans="1:7" ht="15.75" thickBot="1" x14ac:dyDescent="0.25">
      <c r="A167" s="1121" t="s">
        <v>1182</v>
      </c>
      <c r="B167" s="1255">
        <f>Ввод!H7</f>
        <v>2017</v>
      </c>
      <c r="C167" s="1255">
        <f>Ввод!I7</f>
        <v>2018</v>
      </c>
      <c r="D167" s="1255">
        <f>Ввод!J7</f>
        <v>2019</v>
      </c>
      <c r="E167" s="1255">
        <f>Ввод!K7</f>
        <v>2020</v>
      </c>
      <c r="F167" s="1255">
        <f>Ввод!L7</f>
        <v>2021</v>
      </c>
      <c r="G167" s="1255">
        <f>Ввод!M7</f>
        <v>2022</v>
      </c>
    </row>
    <row r="168" spans="1:7" x14ac:dyDescent="0.2">
      <c r="A168" s="21">
        <v>27101</v>
      </c>
      <c r="B168" s="1250">
        <f>IFERROR(VLOOKUP(A168,'Ф_102_2016'!C:F,4,0),0)</f>
        <v>2</v>
      </c>
      <c r="C168" s="1250">
        <f>IFERROR(VLOOKUP(A168,Ф_102_2017!C:F,4,0),0)</f>
        <v>0</v>
      </c>
      <c r="D168" s="1250">
        <f>IFERROR(VLOOKUP(A168,Ф_102_2018!C:F,4,0),0)</f>
        <v>0</v>
      </c>
      <c r="E168" s="1250">
        <f>IFERROR(VLOOKUP(A168,Ф_102_2019!C:F,4,0),0)</f>
        <v>0</v>
      </c>
      <c r="F168" s="75">
        <f>IFERROR(VLOOKUP(A168,Ф_102_2020!C:F,4,0),0)</f>
        <v>0</v>
      </c>
      <c r="G168" s="75">
        <f>IFERROR(VLOOKUP(A168,Ф_102_2021!C:F,4,0),0)</f>
        <v>0</v>
      </c>
    </row>
    <row r="169" spans="1:7" x14ac:dyDescent="0.2">
      <c r="A169" s="21">
        <v>27102</v>
      </c>
      <c r="B169" s="75">
        <f>IFERROR(VLOOKUP(A169,'Ф_102_2016'!C:F,4,0),0)</f>
        <v>128988</v>
      </c>
      <c r="C169" s="75">
        <f>IFERROR(VLOOKUP(A169,Ф_102_2017!C:F,4,0),0)</f>
        <v>135700</v>
      </c>
      <c r="D169" s="75">
        <f>IFERROR(VLOOKUP(A169,Ф_102_2018!C:F,4,0),0)</f>
        <v>125687</v>
      </c>
      <c r="E169" s="75">
        <f>IFERROR(VLOOKUP(A169,Ф_102_2019!C:F,4,0),0)</f>
        <v>102033</v>
      </c>
      <c r="F169" s="75">
        <f>IFERROR(VLOOKUP(A169,Ф_102_2020!C:F,4,0),0)</f>
        <v>93031</v>
      </c>
      <c r="G169" s="75">
        <f>IFERROR(VLOOKUP(A169,Ф_102_2021!C:F,4,0),0)</f>
        <v>97171</v>
      </c>
    </row>
    <row r="170" spans="1:7" x14ac:dyDescent="0.2">
      <c r="A170" s="21">
        <v>27103</v>
      </c>
      <c r="B170" s="75">
        <f>IFERROR(VLOOKUP(A170,'Ф_102_2016'!C:F,4,0),0)</f>
        <v>74533</v>
      </c>
      <c r="C170" s="75">
        <f>IFERROR(VLOOKUP(A170,Ф_102_2017!C:F,4,0),0)</f>
        <v>89847</v>
      </c>
      <c r="D170" s="75">
        <f>IFERROR(VLOOKUP(A170,Ф_102_2018!C:F,4,0),0)</f>
        <v>80727</v>
      </c>
      <c r="E170" s="75">
        <f>IFERROR(VLOOKUP(A170,Ф_102_2019!C:F,4,0),0)</f>
        <v>54115</v>
      </c>
      <c r="F170" s="75">
        <f>IFERROR(VLOOKUP(A170,Ф_102_2020!C:F,4,0),0)</f>
        <v>37516</v>
      </c>
      <c r="G170" s="75">
        <f>IFERROR(VLOOKUP(A170,Ф_102_2021!C:F,4,0),0)</f>
        <v>33136</v>
      </c>
    </row>
    <row r="171" spans="1:7" x14ac:dyDescent="0.2">
      <c r="A171" s="21">
        <v>27104</v>
      </c>
      <c r="B171" s="75">
        <f>IFERROR(VLOOKUP(A171,'Ф_102_2016'!C:F,4,0),0)</f>
        <v>56319</v>
      </c>
      <c r="C171" s="75">
        <f>IFERROR(VLOOKUP(A171,Ф_102_2017!C:F,4,0),0)</f>
        <v>26265</v>
      </c>
      <c r="D171" s="75">
        <f>IFERROR(VLOOKUP(A171,Ф_102_2018!C:F,4,0),0)</f>
        <v>21648</v>
      </c>
      <c r="E171" s="75">
        <f>IFERROR(VLOOKUP(A171,Ф_102_2019!C:F,4,0),0)</f>
        <v>66570</v>
      </c>
      <c r="F171" s="75">
        <f>IFERROR(VLOOKUP(A171,Ф_102_2020!C:F,4,0),0)</f>
        <v>9428</v>
      </c>
      <c r="G171" s="75">
        <f>IFERROR(VLOOKUP(A171,Ф_102_2021!C:F,4,0),0)</f>
        <v>5391</v>
      </c>
    </row>
    <row r="172" spans="1:7" ht="32.25" thickBot="1" x14ac:dyDescent="0.25">
      <c r="A172" s="1128" t="s">
        <v>1385</v>
      </c>
      <c r="B172" s="1248">
        <f t="shared" ref="B172:G172" si="7">SUM(B168:B171)</f>
        <v>259842</v>
      </c>
      <c r="C172" s="1248">
        <f t="shared" si="7"/>
        <v>251812</v>
      </c>
      <c r="D172" s="1248">
        <f t="shared" si="7"/>
        <v>228062</v>
      </c>
      <c r="E172" s="1248">
        <f t="shared" si="7"/>
        <v>222718</v>
      </c>
      <c r="F172" s="1248">
        <f t="shared" si="7"/>
        <v>139975</v>
      </c>
      <c r="G172" s="1248">
        <f t="shared" si="7"/>
        <v>135698</v>
      </c>
    </row>
    <row r="173" spans="1:7" x14ac:dyDescent="0.2">
      <c r="A173" s="21">
        <v>27201</v>
      </c>
      <c r="B173" s="75">
        <f>IFERROR(VLOOKUP(A173,'Ф_102_2016'!C:F,4,0),0)</f>
        <v>0</v>
      </c>
      <c r="C173" s="75">
        <f>IFERROR(VLOOKUP(A173,Ф_102_2017!C:F,4,0),0)</f>
        <v>0</v>
      </c>
      <c r="D173" s="75">
        <f>IFERROR(VLOOKUP(A173,Ф_102_2018!C:F,4,0),0)</f>
        <v>0</v>
      </c>
      <c r="E173" s="75">
        <f>IFERROR(VLOOKUP(A173,Ф_102_2019!C:F,4,0),0)</f>
        <v>0</v>
      </c>
      <c r="F173" s="75">
        <f>IFERROR(VLOOKUP(A173,Ф_102_2020!C:F,4,0),0)</f>
        <v>0</v>
      </c>
      <c r="G173" s="75">
        <f>IFERROR(VLOOKUP(A173,Ф_102_2021!C:F,4,0),0)</f>
        <v>9</v>
      </c>
    </row>
    <row r="174" spans="1:7" x14ac:dyDescent="0.2">
      <c r="A174" s="21">
        <v>27202</v>
      </c>
      <c r="B174" s="75">
        <f>IFERROR(VLOOKUP(A174,'Ф_102_2016'!C:F,4,0),0)</f>
        <v>414544</v>
      </c>
      <c r="C174" s="75">
        <f>IFERROR(VLOOKUP(A174,Ф_102_2017!C:F,4,0),0)</f>
        <v>405453</v>
      </c>
      <c r="D174" s="75">
        <f>IFERROR(VLOOKUP(A174,Ф_102_2018!C:F,4,0),0)</f>
        <v>448887</v>
      </c>
      <c r="E174" s="75">
        <f>IFERROR(VLOOKUP(A174,Ф_102_2019!C:F,4,0),0)</f>
        <v>468710</v>
      </c>
      <c r="F174" s="75">
        <f>IFERROR(VLOOKUP(A174,Ф_102_2020!C:F,4,0),0)</f>
        <v>505298</v>
      </c>
      <c r="G174" s="75">
        <f>IFERROR(VLOOKUP(A174,Ф_102_2021!C:F,4,0),0)</f>
        <v>568838</v>
      </c>
    </row>
    <row r="175" spans="1:7" x14ac:dyDescent="0.2">
      <c r="A175" s="21">
        <v>27203</v>
      </c>
      <c r="B175" s="75">
        <f>IFERROR(VLOOKUP(A175,'Ф_102_2016'!C:F,4,0),0)</f>
        <v>125641</v>
      </c>
      <c r="C175" s="75">
        <f>IFERROR(VLOOKUP(A175,Ф_102_2017!C:F,4,0),0)</f>
        <v>169222</v>
      </c>
      <c r="D175" s="75">
        <f>IFERROR(VLOOKUP(A175,Ф_102_2018!C:F,4,0),0)</f>
        <v>202039</v>
      </c>
      <c r="E175" s="75">
        <f>IFERROR(VLOOKUP(A175,Ф_102_2019!C:F,4,0),0)</f>
        <v>174424</v>
      </c>
      <c r="F175" s="75">
        <f>IFERROR(VLOOKUP(A175,Ф_102_2020!C:F,4,0),0)</f>
        <v>149125</v>
      </c>
      <c r="G175" s="75">
        <f>IFERROR(VLOOKUP(A175,Ф_102_2021!C:F,4,0),0)</f>
        <v>273389</v>
      </c>
    </row>
    <row r="176" spans="1:7" x14ac:dyDescent="0.2">
      <c r="A176" s="21">
        <v>27204</v>
      </c>
      <c r="B176" s="75">
        <f>IFERROR(VLOOKUP(A176,'Ф_102_2016'!C:F,4,0),0)</f>
        <v>1377574</v>
      </c>
      <c r="C176" s="75">
        <f>IFERROR(VLOOKUP(A176,Ф_102_2017!C:F,4,0),0)</f>
        <v>1873225</v>
      </c>
      <c r="D176" s="75">
        <f>IFERROR(VLOOKUP(A176,Ф_102_2018!C:F,4,0),0)</f>
        <v>2428399</v>
      </c>
      <c r="E176" s="75">
        <f>IFERROR(VLOOKUP(A176,Ф_102_2019!C:F,4,0),0)</f>
        <v>3464944</v>
      </c>
      <c r="F176" s="75">
        <f>IFERROR(VLOOKUP(A176,Ф_102_2020!C:F,4,0),0)</f>
        <v>4076518</v>
      </c>
      <c r="G176" s="75">
        <f>IFERROR(VLOOKUP(A176,Ф_102_2021!C:F,4,0),0)</f>
        <v>4555361</v>
      </c>
    </row>
    <row r="177" spans="1:7" ht="32.25" thickBot="1" x14ac:dyDescent="0.25">
      <c r="A177" s="1128" t="s">
        <v>1386</v>
      </c>
      <c r="B177" s="1248">
        <f t="shared" ref="B177:G177" si="8">SUM(B173:B176)</f>
        <v>1917759</v>
      </c>
      <c r="C177" s="1248">
        <f t="shared" si="8"/>
        <v>2447900</v>
      </c>
      <c r="D177" s="1248">
        <f t="shared" si="8"/>
        <v>3079325</v>
      </c>
      <c r="E177" s="1248">
        <f t="shared" si="8"/>
        <v>4108078</v>
      </c>
      <c r="F177" s="1248">
        <f t="shared" si="8"/>
        <v>4730941</v>
      </c>
      <c r="G177" s="1248">
        <f t="shared" si="8"/>
        <v>5397597</v>
      </c>
    </row>
    <row r="178" spans="1:7" x14ac:dyDescent="0.2">
      <c r="A178" s="21">
        <v>27301</v>
      </c>
      <c r="B178" s="75">
        <f>IFERROR(VLOOKUP(A178,'Ф_102_2016'!C:F,4,0),0)</f>
        <v>8983</v>
      </c>
      <c r="C178" s="75">
        <f>IFERROR(VLOOKUP(A178,Ф_102_2017!C:F,4,0),0)</f>
        <v>8713</v>
      </c>
      <c r="D178" s="75">
        <f>IFERROR(VLOOKUP(A178,Ф_102_2018!C:F,4,0),0)</f>
        <v>3614</v>
      </c>
      <c r="E178" s="75">
        <f>IFERROR(VLOOKUP(A178,Ф_102_2019!C:F,4,0),0)</f>
        <v>2383</v>
      </c>
      <c r="F178" s="75">
        <f>IFERROR(VLOOKUP(A178,Ф_102_2020!C:F,4,0),0)</f>
        <v>5846</v>
      </c>
      <c r="G178" s="75">
        <f>IFERROR(VLOOKUP(A178,Ф_102_2021!C:F,4,0),0)</f>
        <v>18441</v>
      </c>
    </row>
    <row r="179" spans="1:7" x14ac:dyDescent="0.2">
      <c r="A179" s="21">
        <v>27302</v>
      </c>
      <c r="B179" s="75">
        <f>IFERROR(VLOOKUP(A179,'Ф_102_2016'!C:F,4,0),0)</f>
        <v>0</v>
      </c>
      <c r="C179" s="75">
        <f>IFERROR(VLOOKUP(A179,Ф_102_2017!C:F,4,0),0)</f>
        <v>0</v>
      </c>
      <c r="D179" s="75">
        <f>IFERROR(VLOOKUP(A179,Ф_102_2018!C:F,4,0),0)</f>
        <v>0</v>
      </c>
      <c r="E179" s="75">
        <f>IFERROR(VLOOKUP(A179,Ф_102_2019!C:F,4,0),0)</f>
        <v>0</v>
      </c>
      <c r="F179" s="75">
        <f>IFERROR(VLOOKUP(A179,Ф_102_2020!C:F,4,0),0)</f>
        <v>0</v>
      </c>
      <c r="G179" s="75">
        <f>IFERROR(VLOOKUP(A179,Ф_102_2021!C:F,4,0),0)</f>
        <v>0</v>
      </c>
    </row>
    <row r="180" spans="1:7" x14ac:dyDescent="0.2">
      <c r="A180" s="21">
        <v>27303</v>
      </c>
      <c r="B180" s="75">
        <f>IFERROR(VLOOKUP(A180,'Ф_102_2016'!C:F,4,0),0)</f>
        <v>0</v>
      </c>
      <c r="C180" s="75">
        <f>IFERROR(VLOOKUP(A180,Ф_102_2017!C:F,4,0),0)</f>
        <v>0</v>
      </c>
      <c r="D180" s="75">
        <f>IFERROR(VLOOKUP(A180,Ф_102_2018!C:F,4,0),0)</f>
        <v>0</v>
      </c>
      <c r="E180" s="75">
        <f>IFERROR(VLOOKUP(A180,Ф_102_2019!C:F,4,0),0)</f>
        <v>0</v>
      </c>
      <c r="F180" s="75">
        <f>IFERROR(VLOOKUP(A180,Ф_102_2020!C:F,4,0),0)</f>
        <v>0</v>
      </c>
      <c r="G180" s="75">
        <f>IFERROR(VLOOKUP(A180,Ф_102_2021!C:F,4,0),0)</f>
        <v>0</v>
      </c>
    </row>
    <row r="181" spans="1:7" x14ac:dyDescent="0.2">
      <c r="A181" s="21">
        <v>27304</v>
      </c>
      <c r="B181" s="75">
        <f>IFERROR(VLOOKUP(A181,'Ф_102_2016'!C:F,4,0),0)</f>
        <v>8137</v>
      </c>
      <c r="C181" s="75">
        <f>IFERROR(VLOOKUP(A181,Ф_102_2017!C:F,4,0),0)</f>
        <v>13792</v>
      </c>
      <c r="D181" s="75">
        <f>IFERROR(VLOOKUP(A181,Ф_102_2018!C:F,4,0),0)</f>
        <v>38040</v>
      </c>
      <c r="E181" s="75">
        <f>IFERROR(VLOOKUP(A181,Ф_102_2019!C:F,4,0),0)</f>
        <v>50791</v>
      </c>
      <c r="F181" s="75">
        <f>IFERROR(VLOOKUP(A181,Ф_102_2020!C:F,4,0),0)</f>
        <v>80203</v>
      </c>
      <c r="G181" s="75">
        <f>IFERROR(VLOOKUP(A181,Ф_102_2021!C:F,4,0),0)</f>
        <v>84745</v>
      </c>
    </row>
    <row r="182" spans="1:7" ht="32.25" thickBot="1" x14ac:dyDescent="0.25">
      <c r="A182" s="1128" t="s">
        <v>1387</v>
      </c>
      <c r="B182" s="1248">
        <f t="shared" ref="B182:G182" si="9">SUM(B178:B181)</f>
        <v>17120</v>
      </c>
      <c r="C182" s="1248">
        <f t="shared" si="9"/>
        <v>22505</v>
      </c>
      <c r="D182" s="1248">
        <f t="shared" si="9"/>
        <v>41654</v>
      </c>
      <c r="E182" s="1248">
        <f t="shared" si="9"/>
        <v>53174</v>
      </c>
      <c r="F182" s="1248">
        <f t="shared" si="9"/>
        <v>86049</v>
      </c>
      <c r="G182" s="1248">
        <f t="shared" si="9"/>
        <v>103186</v>
      </c>
    </row>
    <row r="183" spans="1:7" x14ac:dyDescent="0.2">
      <c r="A183" s="21">
        <v>27401</v>
      </c>
      <c r="B183" s="75">
        <f>IFERROR(VLOOKUP(A183,'Ф_102_2016'!C:F,4,0),0)</f>
        <v>0</v>
      </c>
      <c r="C183" s="75">
        <f>IFERROR(VLOOKUP(A183,Ф_102_2017!C:F,4,0),0)</f>
        <v>0</v>
      </c>
      <c r="D183" s="75">
        <f>IFERROR(VLOOKUP(A183,Ф_102_2018!C:F,4,0),0)</f>
        <v>0</v>
      </c>
      <c r="E183" s="75">
        <f>IFERROR(VLOOKUP(A183,Ф_102_2019!C:F,4,0),0)</f>
        <v>5</v>
      </c>
      <c r="F183" s="75">
        <f>IFERROR(VLOOKUP(A183,Ф_102_2020!C:F,4,0),0)</f>
        <v>5</v>
      </c>
      <c r="G183" s="75">
        <f>IFERROR(VLOOKUP(A183,Ф_102_2021!C:F,4,0),0)</f>
        <v>2</v>
      </c>
    </row>
    <row r="184" spans="1:7" x14ac:dyDescent="0.2">
      <c r="A184" s="21">
        <v>27402</v>
      </c>
      <c r="B184" s="75">
        <f>IFERROR(VLOOKUP(A184,'Ф_102_2016'!C:F,4,0),0)</f>
        <v>329677</v>
      </c>
      <c r="C184" s="75">
        <f>IFERROR(VLOOKUP(A184,Ф_102_2017!C:F,4,0),0)</f>
        <v>337629</v>
      </c>
      <c r="D184" s="75">
        <f>IFERROR(VLOOKUP(A184,Ф_102_2018!C:F,4,0),0)</f>
        <v>350078</v>
      </c>
      <c r="E184" s="75">
        <f>IFERROR(VLOOKUP(A184,Ф_102_2019!C:F,4,0),0)</f>
        <v>333524</v>
      </c>
      <c r="F184" s="75">
        <f>IFERROR(VLOOKUP(A184,Ф_102_2020!C:F,4,0),0)</f>
        <v>356770</v>
      </c>
      <c r="G184" s="75">
        <f>IFERROR(VLOOKUP(A184,Ф_102_2021!C:F,4,0),0)</f>
        <v>358107</v>
      </c>
    </row>
    <row r="185" spans="1:7" x14ac:dyDescent="0.2">
      <c r="A185" s="21">
        <v>27403</v>
      </c>
      <c r="B185" s="75">
        <f>IFERROR(VLOOKUP(A185,'Ф_102_2016'!C:F,4,0),0)</f>
        <v>115822</v>
      </c>
      <c r="C185" s="75">
        <f>IFERROR(VLOOKUP(A185,Ф_102_2017!C:F,4,0),0)</f>
        <v>139127</v>
      </c>
      <c r="D185" s="75">
        <f>IFERROR(VLOOKUP(A185,Ф_102_2018!C:F,4,0),0)</f>
        <v>148302</v>
      </c>
      <c r="E185" s="75">
        <f>IFERROR(VLOOKUP(A185,Ф_102_2019!C:F,4,0),0)</f>
        <v>152947</v>
      </c>
      <c r="F185" s="75">
        <f>IFERROR(VLOOKUP(A185,Ф_102_2020!C:F,4,0),0)</f>
        <v>158290</v>
      </c>
      <c r="G185" s="75">
        <f>IFERROR(VLOOKUP(A185,Ф_102_2021!C:F,4,0),0)</f>
        <v>152721</v>
      </c>
    </row>
    <row r="186" spans="1:7" x14ac:dyDescent="0.2">
      <c r="A186" s="21">
        <v>27404</v>
      </c>
      <c r="B186" s="75">
        <f>IFERROR(VLOOKUP(A186,'Ф_102_2016'!C:F,4,0),0)</f>
        <v>118278</v>
      </c>
      <c r="C186" s="75">
        <f>IFERROR(VLOOKUP(A186,Ф_102_2017!C:F,4,0),0)</f>
        <v>139050</v>
      </c>
      <c r="D186" s="75">
        <f>IFERROR(VLOOKUP(A186,Ф_102_2018!C:F,4,0),0)</f>
        <v>166495</v>
      </c>
      <c r="E186" s="75">
        <f>IFERROR(VLOOKUP(A186,Ф_102_2019!C:F,4,0),0)</f>
        <v>184765</v>
      </c>
      <c r="F186" s="75">
        <f>IFERROR(VLOOKUP(A186,Ф_102_2020!C:F,4,0),0)</f>
        <v>209646</v>
      </c>
      <c r="G186" s="75">
        <f>IFERROR(VLOOKUP(A186,Ф_102_2021!C:F,4,0),0)</f>
        <v>249809</v>
      </c>
    </row>
    <row r="187" spans="1:7" x14ac:dyDescent="0.2">
      <c r="A187" s="21">
        <v>27405</v>
      </c>
      <c r="B187" s="75">
        <f>IFERROR(VLOOKUP(A187,'Ф_102_2016'!C:F,4,0),0)</f>
        <v>0</v>
      </c>
      <c r="C187" s="75">
        <f>IFERROR(VLOOKUP(A187,Ф_102_2017!C:F,4,0),0)</f>
        <v>0</v>
      </c>
      <c r="D187" s="75">
        <f>IFERROR(VLOOKUP(A187,Ф_102_2018!C:F,4,0),0)</f>
        <v>0</v>
      </c>
      <c r="E187" s="75">
        <f>IFERROR(VLOOKUP(A187,Ф_102_2019!C:F,4,0),0)</f>
        <v>0</v>
      </c>
      <c r="F187" s="75">
        <f>IFERROR(VLOOKUP(A187,Ф_102_2020!C:F,4,0),0)</f>
        <v>0</v>
      </c>
      <c r="G187" s="75">
        <f>IFERROR(VLOOKUP(A187,Ф_102_2021!C:F,4,0),0)</f>
        <v>0</v>
      </c>
    </row>
    <row r="188" spans="1:7" x14ac:dyDescent="0.2">
      <c r="A188" s="21">
        <v>27406</v>
      </c>
      <c r="B188" s="75">
        <f>IFERROR(VLOOKUP(A188,'Ф_102_2016'!C:F,4,0),0)</f>
        <v>0</v>
      </c>
      <c r="C188" s="75">
        <f>IFERROR(VLOOKUP(A188,Ф_102_2017!C:F,4,0),0)</f>
        <v>0</v>
      </c>
      <c r="D188" s="75">
        <f>IFERROR(VLOOKUP(A188,Ф_102_2018!C:F,4,0),0)</f>
        <v>0</v>
      </c>
      <c r="E188" s="75">
        <f>IFERROR(VLOOKUP(A188,Ф_102_2019!C:F,4,0),0)</f>
        <v>0</v>
      </c>
      <c r="F188" s="75">
        <f>IFERROR(VLOOKUP(A188,Ф_102_2020!C:F,4,0),0)</f>
        <v>0</v>
      </c>
      <c r="G188" s="75">
        <f>IFERROR(VLOOKUP(A188,Ф_102_2021!C:F,4,0),0)</f>
        <v>0</v>
      </c>
    </row>
    <row r="189" spans="1:7" x14ac:dyDescent="0.2">
      <c r="A189" s="21">
        <v>27407</v>
      </c>
      <c r="B189" s="75">
        <f>IFERROR(VLOOKUP(A189,'Ф_102_2016'!C:F,4,0),0)</f>
        <v>0</v>
      </c>
      <c r="C189" s="75">
        <f>IFERROR(VLOOKUP(A189,Ф_102_2017!C:F,4,0),0)</f>
        <v>0</v>
      </c>
      <c r="D189" s="75">
        <f>IFERROR(VLOOKUP(A189,Ф_102_2018!C:F,4,0),0)</f>
        <v>0</v>
      </c>
      <c r="E189" s="75">
        <f>IFERROR(VLOOKUP(A189,Ф_102_2019!C:F,4,0),0)</f>
        <v>0</v>
      </c>
      <c r="F189" s="75">
        <f>IFERROR(VLOOKUP(A189,Ф_102_2020!C:F,4,0),0)</f>
        <v>0</v>
      </c>
      <c r="G189" s="75">
        <f>IFERROR(VLOOKUP(A189,Ф_102_2021!C:F,4,0),0)</f>
        <v>0</v>
      </c>
    </row>
    <row r="190" spans="1:7" x14ac:dyDescent="0.2">
      <c r="A190" s="21">
        <v>27408</v>
      </c>
      <c r="B190" s="75">
        <f>IFERROR(VLOOKUP(A190,'Ф_102_2016'!C:F,4,0),0)</f>
        <v>175038</v>
      </c>
      <c r="C190" s="75">
        <f>IFERROR(VLOOKUP(A190,Ф_102_2017!C:F,4,0),0)</f>
        <v>139611</v>
      </c>
      <c r="D190" s="75">
        <f>IFERROR(VLOOKUP(A190,Ф_102_2018!C:F,4,0),0)</f>
        <v>139577</v>
      </c>
      <c r="E190" s="75">
        <f>IFERROR(VLOOKUP(A190,Ф_102_2019!C:F,4,0),0)</f>
        <v>132731</v>
      </c>
      <c r="F190" s="75">
        <f>IFERROR(VLOOKUP(A190,Ф_102_2020!C:F,4,0),0)</f>
        <v>101693</v>
      </c>
      <c r="G190" s="75">
        <f>IFERROR(VLOOKUP(A190,Ф_102_2021!C:F,4,0),0)</f>
        <v>92773</v>
      </c>
    </row>
    <row r="191" spans="1:7" x14ac:dyDescent="0.2">
      <c r="A191" s="21">
        <v>27409</v>
      </c>
      <c r="B191" s="75">
        <f>IFERROR(VLOOKUP(A191,'Ф_102_2016'!C:F,4,0),0)</f>
        <v>96436</v>
      </c>
      <c r="C191" s="75">
        <f>IFERROR(VLOOKUP(A191,Ф_102_2017!C:F,4,0),0)</f>
        <v>123061</v>
      </c>
      <c r="D191" s="75">
        <f>IFERROR(VLOOKUP(A191,Ф_102_2018!C:F,4,0),0)</f>
        <v>149909</v>
      </c>
      <c r="E191" s="75">
        <f>IFERROR(VLOOKUP(A191,Ф_102_2019!C:F,4,0),0)</f>
        <v>153662</v>
      </c>
      <c r="F191" s="75">
        <f>IFERROR(VLOOKUP(A191,Ф_102_2020!C:F,4,0),0)</f>
        <v>190049</v>
      </c>
      <c r="G191" s="75">
        <f>IFERROR(VLOOKUP(A191,Ф_102_2021!C:F,4,0),0)</f>
        <v>85464</v>
      </c>
    </row>
    <row r="192" spans="1:7" ht="48" thickBot="1" x14ac:dyDescent="0.25">
      <c r="A192" s="1128" t="s">
        <v>1388</v>
      </c>
      <c r="B192" s="1248">
        <f t="shared" ref="B192:G192" si="10">SUM(B183:B191)</f>
        <v>835251</v>
      </c>
      <c r="C192" s="1248">
        <f t="shared" si="10"/>
        <v>878478</v>
      </c>
      <c r="D192" s="1248">
        <f t="shared" si="10"/>
        <v>954361</v>
      </c>
      <c r="E192" s="1248">
        <f t="shared" si="10"/>
        <v>957634</v>
      </c>
      <c r="F192" s="1248">
        <f t="shared" si="10"/>
        <v>1016453</v>
      </c>
      <c r="G192" s="1248">
        <f t="shared" si="10"/>
        <v>938876</v>
      </c>
    </row>
    <row r="193" spans="1:7" x14ac:dyDescent="0.2">
      <c r="A193" s="21">
        <v>27501</v>
      </c>
      <c r="B193" s="75">
        <f>IFERROR(VLOOKUP(A193,'Ф_102_2016'!C:F,4,0),0)</f>
        <v>0</v>
      </c>
      <c r="C193" s="75">
        <f>IFERROR(VLOOKUP(A193,Ф_102_2017!C:F,4,0),0)</f>
        <v>0</v>
      </c>
      <c r="D193" s="75">
        <f>IFERROR(VLOOKUP(A193,Ф_102_2018!C:F,4,0),0)</f>
        <v>0</v>
      </c>
      <c r="E193" s="75">
        <f>IFERROR(VLOOKUP(A193,Ф_102_2019!C:F,4,0),0)</f>
        <v>0</v>
      </c>
      <c r="F193" s="75">
        <f>IFERROR(VLOOKUP(A193,Ф_102_2020!C:F,4,0),0)</f>
        <v>0</v>
      </c>
      <c r="G193" s="75">
        <f>IFERROR(VLOOKUP(A193,Ф_102_2021!C:F,4,0),0)</f>
        <v>0</v>
      </c>
    </row>
    <row r="194" spans="1:7" x14ac:dyDescent="0.2">
      <c r="A194" s="21">
        <v>27502</v>
      </c>
      <c r="B194" s="75">
        <f>IFERROR(VLOOKUP(A194,'Ф_102_2016'!C:F,4,0),0)</f>
        <v>342699</v>
      </c>
      <c r="C194" s="75">
        <f>IFERROR(VLOOKUP(A194,Ф_102_2017!C:F,4,0),0)</f>
        <v>487873</v>
      </c>
      <c r="D194" s="75">
        <f>IFERROR(VLOOKUP(A194,Ф_102_2018!C:F,4,0),0)</f>
        <v>934470</v>
      </c>
      <c r="E194" s="75">
        <f>IFERROR(VLOOKUP(A194,Ф_102_2019!C:F,4,0),0)</f>
        <v>1346004</v>
      </c>
      <c r="F194" s="75">
        <f>IFERROR(VLOOKUP(A194,Ф_102_2020!C:F,4,0),0)</f>
        <v>1603319</v>
      </c>
      <c r="G194" s="75">
        <f>IFERROR(VLOOKUP(A194,Ф_102_2021!C:F,4,0),0)</f>
        <v>1849916</v>
      </c>
    </row>
    <row r="195" spans="1:7" x14ac:dyDescent="0.2">
      <c r="A195" s="21">
        <v>27503</v>
      </c>
      <c r="B195" s="75">
        <f>IFERROR(VLOOKUP(A195,'Ф_102_2016'!C:F,4,0),0)</f>
        <v>3626</v>
      </c>
      <c r="C195" s="75">
        <f>IFERROR(VLOOKUP(A195,Ф_102_2017!C:F,4,0),0)</f>
        <v>624</v>
      </c>
      <c r="D195" s="75">
        <f>IFERROR(VLOOKUP(A195,Ф_102_2018!C:F,4,0),0)</f>
        <v>129</v>
      </c>
      <c r="E195" s="75">
        <f>IFERROR(VLOOKUP(A195,Ф_102_2019!C:F,4,0),0)</f>
        <v>922</v>
      </c>
      <c r="F195" s="75">
        <f>IFERROR(VLOOKUP(A195,Ф_102_2020!C:F,4,0),0)</f>
        <v>320</v>
      </c>
      <c r="G195" s="75">
        <f>IFERROR(VLOOKUP(A195,Ф_102_2021!C:F,4,0),0)</f>
        <v>701</v>
      </c>
    </row>
    <row r="196" spans="1:7" x14ac:dyDescent="0.2">
      <c r="A196" s="21">
        <v>27504</v>
      </c>
      <c r="B196" s="75">
        <f>IFERROR(VLOOKUP(A196,'Ф_102_2016'!C:F,4,0),0)</f>
        <v>0</v>
      </c>
      <c r="C196" s="75">
        <f>IFERROR(VLOOKUP(A196,Ф_102_2017!C:F,4,0),0)</f>
        <v>0</v>
      </c>
      <c r="D196" s="75">
        <f>IFERROR(VLOOKUP(A196,Ф_102_2018!C:F,4,0),0)</f>
        <v>0</v>
      </c>
      <c r="E196" s="75">
        <f>IFERROR(VLOOKUP(A196,Ф_102_2019!C:F,4,0),0)</f>
        <v>0</v>
      </c>
      <c r="F196" s="75">
        <f>IFERROR(VLOOKUP(A196,Ф_102_2020!C:F,4,0),0)</f>
        <v>0</v>
      </c>
      <c r="G196" s="75">
        <f>IFERROR(VLOOKUP(A196,Ф_102_2021!C:F,4,0),0)</f>
        <v>8325</v>
      </c>
    </row>
    <row r="197" spans="1:7" ht="48" thickBot="1" x14ac:dyDescent="0.25">
      <c r="A197" s="1128" t="s">
        <v>1389</v>
      </c>
      <c r="B197" s="1248">
        <f t="shared" ref="B197:G197" si="11">SUM(B193:B196)</f>
        <v>346325</v>
      </c>
      <c r="C197" s="1248">
        <f t="shared" si="11"/>
        <v>488497</v>
      </c>
      <c r="D197" s="1248">
        <f t="shared" si="11"/>
        <v>934599</v>
      </c>
      <c r="E197" s="1248">
        <f t="shared" si="11"/>
        <v>1346926</v>
      </c>
      <c r="F197" s="1248">
        <f t="shared" si="11"/>
        <v>1603639</v>
      </c>
      <c r="G197" s="1248">
        <f t="shared" si="11"/>
        <v>1858942</v>
      </c>
    </row>
    <row r="198" spans="1:7" x14ac:dyDescent="0.2">
      <c r="A198" s="21">
        <v>27601</v>
      </c>
      <c r="B198" s="75">
        <f>IFERROR(VLOOKUP(A198,'Ф_102_2016'!C:F,4,0),0)</f>
        <v>32</v>
      </c>
      <c r="C198" s="75">
        <f>IFERROR(VLOOKUP(A198,Ф_102_2017!C:F,4,0),0)</f>
        <v>422</v>
      </c>
      <c r="D198" s="75">
        <f>IFERROR(VLOOKUP(A198,Ф_102_2018!C:F,4,0),0)</f>
        <v>6295</v>
      </c>
      <c r="E198" s="75">
        <f>IFERROR(VLOOKUP(A198,Ф_102_2019!C:F,4,0),0)</f>
        <v>6406</v>
      </c>
      <c r="F198" s="75">
        <f>IFERROR(VLOOKUP(A198,Ф_102_2020!C:F,4,0),0)</f>
        <v>248</v>
      </c>
      <c r="G198" s="75">
        <f>IFERROR(VLOOKUP(A198,Ф_102_2021!C:F,4,0),0)</f>
        <v>0</v>
      </c>
    </row>
    <row r="199" spans="1:7" x14ac:dyDescent="0.2">
      <c r="A199" s="21">
        <v>27602</v>
      </c>
      <c r="B199" s="75">
        <f>IFERROR(VLOOKUP(A199,'Ф_102_2016'!C:F,4,0),0)</f>
        <v>177527</v>
      </c>
      <c r="C199" s="75">
        <f>IFERROR(VLOOKUP(A199,Ф_102_2017!C:F,4,0),0)</f>
        <v>273073</v>
      </c>
      <c r="D199" s="75">
        <f>IFERROR(VLOOKUP(A199,Ф_102_2018!C:F,4,0),0)</f>
        <v>208167</v>
      </c>
      <c r="E199" s="75">
        <f>IFERROR(VLOOKUP(A199,Ф_102_2019!C:F,4,0),0)</f>
        <v>188255</v>
      </c>
      <c r="F199" s="75">
        <f>IFERROR(VLOOKUP(A199,Ф_102_2020!C:F,4,0),0)</f>
        <v>222784</v>
      </c>
      <c r="G199" s="75">
        <f>IFERROR(VLOOKUP(A199,Ф_102_2021!C:F,4,0),0)</f>
        <v>249587</v>
      </c>
    </row>
    <row r="200" spans="1:7" x14ac:dyDescent="0.2">
      <c r="A200" s="21">
        <v>27603</v>
      </c>
      <c r="B200" s="75">
        <f>IFERROR(VLOOKUP(A200,'Ф_102_2016'!C:F,4,0),0)</f>
        <v>0</v>
      </c>
      <c r="C200" s="75">
        <f>IFERROR(VLOOKUP(A200,Ф_102_2017!C:F,4,0),0)</f>
        <v>0</v>
      </c>
      <c r="D200" s="75">
        <f>IFERROR(VLOOKUP(A200,Ф_102_2018!C:F,4,0),0)</f>
        <v>1</v>
      </c>
      <c r="E200" s="75">
        <f>IFERROR(VLOOKUP(A200,Ф_102_2019!C:F,4,0),0)</f>
        <v>1</v>
      </c>
      <c r="F200" s="75">
        <f>IFERROR(VLOOKUP(A200,Ф_102_2020!C:F,4,0),0)</f>
        <v>0</v>
      </c>
      <c r="G200" s="75">
        <f>IFERROR(VLOOKUP(A200,Ф_102_2021!C:F,4,0),0)</f>
        <v>0</v>
      </c>
    </row>
    <row r="201" spans="1:7" x14ac:dyDescent="0.2">
      <c r="A201" s="21">
        <v>27604</v>
      </c>
      <c r="B201" s="75">
        <f>IFERROR(VLOOKUP(A201,'Ф_102_2016'!C:F,4,0),0)</f>
        <v>1978</v>
      </c>
      <c r="C201" s="75">
        <f>IFERROR(VLOOKUP(A201,Ф_102_2017!C:F,4,0),0)</f>
        <v>1504</v>
      </c>
      <c r="D201" s="75">
        <f>IFERROR(VLOOKUP(A201,Ф_102_2018!C:F,4,0),0)</f>
        <v>1796</v>
      </c>
      <c r="E201" s="75">
        <f>IFERROR(VLOOKUP(A201,Ф_102_2019!C:F,4,0),0)</f>
        <v>1251</v>
      </c>
      <c r="F201" s="75">
        <f>IFERROR(VLOOKUP(A201,Ф_102_2020!C:F,4,0),0)</f>
        <v>1740</v>
      </c>
      <c r="G201" s="75">
        <f>IFERROR(VLOOKUP(A201,Ф_102_2021!C:F,4,0),0)</f>
        <v>1172</v>
      </c>
    </row>
    <row r="202" spans="1:7" ht="63.75" thickBot="1" x14ac:dyDescent="0.25">
      <c r="A202" s="1128" t="s">
        <v>1390</v>
      </c>
      <c r="B202" s="1248">
        <f t="shared" ref="B202:G202" si="12">SUM(B198:B201)</f>
        <v>179537</v>
      </c>
      <c r="C202" s="1248">
        <f t="shared" si="12"/>
        <v>274999</v>
      </c>
      <c r="D202" s="1248">
        <f t="shared" si="12"/>
        <v>216259</v>
      </c>
      <c r="E202" s="1248">
        <f t="shared" si="12"/>
        <v>195913</v>
      </c>
      <c r="F202" s="1248">
        <f t="shared" si="12"/>
        <v>224772</v>
      </c>
      <c r="G202" s="1248">
        <f t="shared" si="12"/>
        <v>250759</v>
      </c>
    </row>
    <row r="203" spans="1:7" x14ac:dyDescent="0.2">
      <c r="A203" s="21">
        <v>27701</v>
      </c>
      <c r="B203" s="75">
        <f>IFERROR(VLOOKUP(A203,'Ф_102_2016'!C:F,4,0),0)</f>
        <v>0</v>
      </c>
      <c r="C203" s="75">
        <f>IFERROR(VLOOKUP(A203,Ф_102_2017!C:F,4,0),0)</f>
        <v>0</v>
      </c>
      <c r="D203" s="75">
        <f>IFERROR(VLOOKUP(A203,Ф_102_2018!C:F,4,0),0)</f>
        <v>0</v>
      </c>
      <c r="E203" s="75">
        <f>IFERROR(VLOOKUP(A203,Ф_102_2019!C:F,4,0),0)</f>
        <v>0</v>
      </c>
      <c r="F203" s="75">
        <f>IFERROR(VLOOKUP(A203,Ф_102_2020!C:F,4,0),0)</f>
        <v>0</v>
      </c>
      <c r="G203" s="75">
        <f>IFERROR(VLOOKUP(A203,Ф_102_2021!C:F,4,0),0)</f>
        <v>0</v>
      </c>
    </row>
    <row r="204" spans="1:7" x14ac:dyDescent="0.2">
      <c r="A204" s="21">
        <v>27702</v>
      </c>
      <c r="B204" s="75">
        <f>IFERROR(VLOOKUP(A204,'Ф_102_2016'!C:F,4,0),0)</f>
        <v>0</v>
      </c>
      <c r="C204" s="75">
        <f>IFERROR(VLOOKUP(A204,Ф_102_2017!C:F,4,0),0)</f>
        <v>0</v>
      </c>
      <c r="D204" s="75">
        <f>IFERROR(VLOOKUP(A204,Ф_102_2018!C:F,4,0),0)</f>
        <v>0</v>
      </c>
      <c r="E204" s="75">
        <f>IFERROR(VLOOKUP(A204,Ф_102_2019!C:F,4,0),0)</f>
        <v>0</v>
      </c>
      <c r="F204" s="75">
        <f>IFERROR(VLOOKUP(A204,Ф_102_2020!C:F,4,0),0)</f>
        <v>0</v>
      </c>
      <c r="G204" s="75">
        <f>IFERROR(VLOOKUP(A204,Ф_102_2021!C:F,4,0),0)</f>
        <v>0</v>
      </c>
    </row>
    <row r="205" spans="1:7" x14ac:dyDescent="0.2">
      <c r="A205" s="21">
        <v>27703</v>
      </c>
      <c r="B205" s="75">
        <f>IFERROR(VLOOKUP(A205,'Ф_102_2016'!C:F,4,0),0)</f>
        <v>0</v>
      </c>
      <c r="C205" s="75">
        <f>IFERROR(VLOOKUP(A205,Ф_102_2017!C:F,4,0),0)</f>
        <v>0</v>
      </c>
      <c r="D205" s="75">
        <f>IFERROR(VLOOKUP(A205,Ф_102_2018!C:F,4,0),0)</f>
        <v>0</v>
      </c>
      <c r="E205" s="75">
        <f>IFERROR(VLOOKUP(A205,Ф_102_2019!C:F,4,0),0)</f>
        <v>0</v>
      </c>
      <c r="F205" s="75">
        <f>IFERROR(VLOOKUP(A205,Ф_102_2020!C:F,4,0),0)</f>
        <v>0</v>
      </c>
      <c r="G205" s="75">
        <f>IFERROR(VLOOKUP(A205,Ф_102_2021!C:F,4,0),0)</f>
        <v>0</v>
      </c>
    </row>
    <row r="206" spans="1:7" x14ac:dyDescent="0.2">
      <c r="A206" s="21">
        <v>27704</v>
      </c>
      <c r="B206" s="75">
        <f>IFERROR(VLOOKUP(A206,'Ф_102_2016'!C:F,4,0),0)</f>
        <v>77</v>
      </c>
      <c r="C206" s="75">
        <f>IFERROR(VLOOKUP(A206,Ф_102_2017!C:F,4,0),0)</f>
        <v>105</v>
      </c>
      <c r="D206" s="75">
        <f>IFERROR(VLOOKUP(A206,Ф_102_2018!C:F,4,0),0)</f>
        <v>71</v>
      </c>
      <c r="E206" s="75">
        <f>IFERROR(VLOOKUP(A206,Ф_102_2019!C:F,4,0),0)</f>
        <v>86</v>
      </c>
      <c r="F206" s="75">
        <f>IFERROR(VLOOKUP(A206,Ф_102_2020!C:F,4,0),0)</f>
        <v>127</v>
      </c>
      <c r="G206" s="75">
        <f>IFERROR(VLOOKUP(A206,Ф_102_2021!C:F,4,0),0)</f>
        <v>77</v>
      </c>
    </row>
    <row r="207" spans="1:7" ht="48" thickBot="1" x14ac:dyDescent="0.25">
      <c r="A207" s="1128" t="s">
        <v>1391</v>
      </c>
      <c r="B207" s="1248">
        <f t="shared" ref="B207:G207" si="13">SUM(B203:B206)</f>
        <v>77</v>
      </c>
      <c r="C207" s="1248">
        <f t="shared" si="13"/>
        <v>105</v>
      </c>
      <c r="D207" s="1248">
        <f t="shared" si="13"/>
        <v>71</v>
      </c>
      <c r="E207" s="1248">
        <f t="shared" si="13"/>
        <v>86</v>
      </c>
      <c r="F207" s="1248">
        <f t="shared" si="13"/>
        <v>127</v>
      </c>
      <c r="G207" s="1248">
        <f t="shared" si="13"/>
        <v>77</v>
      </c>
    </row>
    <row r="208" spans="1:7" x14ac:dyDescent="0.2">
      <c r="A208" s="21">
        <v>27801</v>
      </c>
      <c r="B208" s="75">
        <f>IFERROR(VLOOKUP(A208,'Ф_102_2016'!C:F,4,0),0)</f>
        <v>0</v>
      </c>
      <c r="C208" s="75">
        <f>IFERROR(VLOOKUP(A208,Ф_102_2017!C:F,4,0),0)</f>
        <v>0</v>
      </c>
      <c r="D208" s="75">
        <f>IFERROR(VLOOKUP(A208,Ф_102_2018!C:F,4,0),0)</f>
        <v>0</v>
      </c>
      <c r="E208" s="75">
        <f>IFERROR(VLOOKUP(A208,Ф_102_2019!C:F,4,0),0)</f>
        <v>0</v>
      </c>
      <c r="F208" s="75">
        <f>IFERROR(VLOOKUP(A208,Ф_102_2020!C:F,4,0),0)</f>
        <v>0</v>
      </c>
      <c r="G208" s="75">
        <f>IFERROR(VLOOKUP(A208,Ф_102_2021!C:F,4,0),0)</f>
        <v>0</v>
      </c>
    </row>
    <row r="209" spans="1:7" x14ac:dyDescent="0.2">
      <c r="A209" s="21">
        <v>27802</v>
      </c>
      <c r="B209" s="75">
        <f>IFERROR(VLOOKUP(A209,'Ф_102_2016'!C:F,4,0),0)</f>
        <v>52605</v>
      </c>
      <c r="C209" s="75">
        <f>IFERROR(VLOOKUP(A209,Ф_102_2017!C:F,4,0),0)</f>
        <v>97608</v>
      </c>
      <c r="D209" s="75">
        <f>IFERROR(VLOOKUP(A209,Ф_102_2018!C:F,4,0),0)</f>
        <v>229896</v>
      </c>
      <c r="E209" s="75">
        <f>IFERROR(VLOOKUP(A209,Ф_102_2019!C:F,4,0),0)</f>
        <v>229972</v>
      </c>
      <c r="F209" s="75">
        <f>IFERROR(VLOOKUP(A209,Ф_102_2020!C:F,4,0),0)</f>
        <v>287575</v>
      </c>
      <c r="G209" s="75">
        <f>IFERROR(VLOOKUP(A209,Ф_102_2021!C:F,4,0),0)</f>
        <v>382913</v>
      </c>
    </row>
    <row r="210" spans="1:7" x14ac:dyDescent="0.2">
      <c r="A210" s="21">
        <v>27803</v>
      </c>
      <c r="B210" s="75">
        <f>IFERROR(VLOOKUP(A210,'Ф_102_2016'!C:F,4,0),0)</f>
        <v>1084</v>
      </c>
      <c r="C210" s="75">
        <f>IFERROR(VLOOKUP(A210,Ф_102_2017!C:F,4,0),0)</f>
        <v>4085</v>
      </c>
      <c r="D210" s="75">
        <f>IFERROR(VLOOKUP(A210,Ф_102_2018!C:F,4,0),0)</f>
        <v>5461</v>
      </c>
      <c r="E210" s="75">
        <f>IFERROR(VLOOKUP(A210,Ф_102_2019!C:F,4,0),0)</f>
        <v>4683</v>
      </c>
      <c r="F210" s="75">
        <f>IFERROR(VLOOKUP(A210,Ф_102_2020!C:F,4,0),0)</f>
        <v>1880</v>
      </c>
      <c r="G210" s="75">
        <f>IFERROR(VLOOKUP(A210,Ф_102_2021!C:F,4,0),0)</f>
        <v>3225</v>
      </c>
    </row>
    <row r="211" spans="1:7" x14ac:dyDescent="0.2">
      <c r="A211" s="21">
        <v>27804</v>
      </c>
      <c r="B211" s="75">
        <f>IFERROR(VLOOKUP(A211,'Ф_102_2016'!C:F,4,0),0)</f>
        <v>0</v>
      </c>
      <c r="C211" s="75">
        <f>IFERROR(VLOOKUP(A211,Ф_102_2017!C:F,4,0),0)</f>
        <v>0</v>
      </c>
      <c r="D211" s="75">
        <f>IFERROR(VLOOKUP(A211,Ф_102_2018!C:F,4,0),0)</f>
        <v>0</v>
      </c>
      <c r="E211" s="75">
        <f>IFERROR(VLOOKUP(A211,Ф_102_2019!C:F,4,0),0)</f>
        <v>0</v>
      </c>
      <c r="F211" s="75">
        <f>IFERROR(VLOOKUP(A211,Ф_102_2020!C:F,4,0),0)</f>
        <v>0</v>
      </c>
      <c r="G211" s="75">
        <f>IFERROR(VLOOKUP(A211,Ф_102_2021!C:F,4,0),0)</f>
        <v>0</v>
      </c>
    </row>
    <row r="212" spans="1:7" ht="48" thickBot="1" x14ac:dyDescent="0.25">
      <c r="A212" s="1128" t="s">
        <v>1392</v>
      </c>
      <c r="B212" s="1248">
        <f t="shared" ref="B212:G212" si="14">SUM(B208:B211)</f>
        <v>53689</v>
      </c>
      <c r="C212" s="1248">
        <f t="shared" si="14"/>
        <v>101693</v>
      </c>
      <c r="D212" s="1248">
        <f t="shared" si="14"/>
        <v>235357</v>
      </c>
      <c r="E212" s="1248">
        <f t="shared" si="14"/>
        <v>234655</v>
      </c>
      <c r="F212" s="1248">
        <f t="shared" si="14"/>
        <v>289455</v>
      </c>
      <c r="G212" s="1248">
        <f t="shared" si="14"/>
        <v>386138</v>
      </c>
    </row>
    <row r="213" spans="1:7" x14ac:dyDescent="0.2">
      <c r="A213" s="21">
        <v>27901</v>
      </c>
      <c r="B213" s="75">
        <f>IFERROR(VLOOKUP(A213,'Ф_102_2016'!C:F,4,0),0)</f>
        <v>20269</v>
      </c>
      <c r="C213" s="75">
        <f>IFERROR(VLOOKUP(A213,Ф_102_2017!C:F,4,0),0)</f>
        <v>29403</v>
      </c>
      <c r="D213" s="75">
        <f>IFERROR(VLOOKUP(A213,Ф_102_2018!C:F,4,0),0)</f>
        <v>40819</v>
      </c>
      <c r="E213" s="75">
        <f>IFERROR(VLOOKUP(A213,Ф_102_2019!C:F,4,0),0)</f>
        <v>44295</v>
      </c>
      <c r="F213" s="75">
        <f>IFERROR(VLOOKUP(A213,Ф_102_2020!C:F,4,0),0)</f>
        <v>57817</v>
      </c>
      <c r="G213" s="75">
        <f>IFERROR(VLOOKUP(A213,Ф_102_2021!C:F,4,0),0)</f>
        <v>85864</v>
      </c>
    </row>
    <row r="214" spans="1:7" x14ac:dyDescent="0.2">
      <c r="A214" s="21">
        <v>27902</v>
      </c>
      <c r="B214" s="75">
        <f>IFERROR(VLOOKUP(A214,'Ф_102_2016'!C:F,4,0),0)</f>
        <v>59193</v>
      </c>
      <c r="C214" s="75">
        <f>IFERROR(VLOOKUP(A214,Ф_102_2017!C:F,4,0),0)</f>
        <v>49314</v>
      </c>
      <c r="D214" s="75">
        <f>IFERROR(VLOOKUP(A214,Ф_102_2018!C:F,4,0),0)</f>
        <v>56512</v>
      </c>
      <c r="E214" s="75">
        <f>IFERROR(VLOOKUP(A214,Ф_102_2019!C:F,4,0),0)</f>
        <v>40354</v>
      </c>
      <c r="F214" s="75">
        <f>IFERROR(VLOOKUP(A214,Ф_102_2020!C:F,4,0),0)</f>
        <v>44999</v>
      </c>
      <c r="G214" s="75">
        <f>IFERROR(VLOOKUP(A214,Ф_102_2021!C:F,4,0),0)</f>
        <v>43183</v>
      </c>
    </row>
    <row r="215" spans="1:7" x14ac:dyDescent="0.2">
      <c r="A215" s="21">
        <v>27903</v>
      </c>
      <c r="B215" s="75">
        <f>IFERROR(VLOOKUP(A215,'Ф_102_2016'!C:F,4,0),0)</f>
        <v>18096</v>
      </c>
      <c r="C215" s="75">
        <f>IFERROR(VLOOKUP(A215,Ф_102_2017!C:F,4,0),0)</f>
        <v>17232</v>
      </c>
      <c r="D215" s="75">
        <f>IFERROR(VLOOKUP(A215,Ф_102_2018!C:F,4,0),0)</f>
        <v>20925</v>
      </c>
      <c r="E215" s="75">
        <f>IFERROR(VLOOKUP(A215,Ф_102_2019!C:F,4,0),0)</f>
        <v>16287</v>
      </c>
      <c r="F215" s="75">
        <f>IFERROR(VLOOKUP(A215,Ф_102_2020!C:F,4,0),0)</f>
        <v>8814</v>
      </c>
      <c r="G215" s="75">
        <f>IFERROR(VLOOKUP(A215,Ф_102_2021!C:F,4,0),0)</f>
        <v>7524</v>
      </c>
    </row>
    <row r="216" spans="1:7" x14ac:dyDescent="0.2">
      <c r="A216" s="21">
        <v>27904</v>
      </c>
      <c r="B216" s="75">
        <f>IFERROR(VLOOKUP(A216,'Ф_102_2016'!C:F,4,0),0)</f>
        <v>13052</v>
      </c>
      <c r="C216" s="75">
        <f>IFERROR(VLOOKUP(A216,Ф_102_2017!C:F,4,0),0)</f>
        <v>4996</v>
      </c>
      <c r="D216" s="75">
        <f>IFERROR(VLOOKUP(A216,Ф_102_2018!C:F,4,0),0)</f>
        <v>8881</v>
      </c>
      <c r="E216" s="75">
        <f>IFERROR(VLOOKUP(A216,Ф_102_2019!C:F,4,0),0)</f>
        <v>3871</v>
      </c>
      <c r="F216" s="75">
        <f>IFERROR(VLOOKUP(A216,Ф_102_2020!C:F,4,0),0)</f>
        <v>4403</v>
      </c>
      <c r="G216" s="75">
        <f>IFERROR(VLOOKUP(A216,Ф_102_2021!C:F,4,0),0)</f>
        <v>3166</v>
      </c>
    </row>
    <row r="217" spans="1:7" ht="16.5" thickBot="1" x14ac:dyDescent="0.25">
      <c r="A217" s="1128" t="s">
        <v>1393</v>
      </c>
      <c r="B217" s="1248">
        <f t="shared" ref="B217:G217" si="15">SUM(B213:B216)</f>
        <v>110610</v>
      </c>
      <c r="C217" s="1248">
        <f t="shared" si="15"/>
        <v>100945</v>
      </c>
      <c r="D217" s="1248">
        <f t="shared" si="15"/>
        <v>127137</v>
      </c>
      <c r="E217" s="1248">
        <f t="shared" si="15"/>
        <v>104807</v>
      </c>
      <c r="F217" s="1248">
        <f t="shared" si="15"/>
        <v>116033</v>
      </c>
      <c r="G217" s="1248">
        <f t="shared" si="15"/>
        <v>139737</v>
      </c>
    </row>
    <row r="218" spans="1:7" x14ac:dyDescent="0.2">
      <c r="B218" s="681"/>
      <c r="C218" s="681"/>
      <c r="D218" s="1250"/>
      <c r="E218" s="681"/>
      <c r="F218" s="681"/>
      <c r="G218" s="681"/>
    </row>
    <row r="219" spans="1:7" x14ac:dyDescent="0.2">
      <c r="B219" s="681"/>
      <c r="C219" s="681"/>
      <c r="D219" s="681"/>
      <c r="E219" s="681"/>
      <c r="F219" s="681"/>
      <c r="G219" s="681"/>
    </row>
    <row r="220" spans="1:7" x14ac:dyDescent="0.2">
      <c r="B220" s="681"/>
      <c r="C220" s="75"/>
      <c r="D220" s="681"/>
      <c r="E220" s="681"/>
      <c r="F220" s="681"/>
      <c r="G220" s="681"/>
    </row>
    <row r="221" spans="1:7" ht="15.75" x14ac:dyDescent="0.25">
      <c r="A221" s="585" t="s">
        <v>598</v>
      </c>
      <c r="B221" s="75"/>
      <c r="C221" s="75"/>
      <c r="D221" s="75"/>
      <c r="E221" s="75"/>
      <c r="F221" s="75"/>
      <c r="G221" s="75"/>
    </row>
    <row r="222" spans="1:7" ht="15.75" x14ac:dyDescent="0.25">
      <c r="A222" s="585"/>
      <c r="B222" s="75"/>
      <c r="C222" s="75"/>
      <c r="D222" s="75"/>
      <c r="E222" s="75"/>
      <c r="F222" s="75"/>
      <c r="G222" s="75"/>
    </row>
    <row r="223" spans="1:7" x14ac:dyDescent="0.2">
      <c r="B223" s="1253" t="s">
        <v>286</v>
      </c>
      <c r="C223" s="1254"/>
      <c r="D223" s="1254"/>
      <c r="E223" s="1254"/>
      <c r="F223" s="1254" t="s">
        <v>348</v>
      </c>
      <c r="G223" s="1254"/>
    </row>
    <row r="224" spans="1:7" ht="15.75" thickBot="1" x14ac:dyDescent="0.25">
      <c r="A224" s="1121" t="s">
        <v>1182</v>
      </c>
      <c r="B224" s="1255">
        <f>Ввод!H7</f>
        <v>2017</v>
      </c>
      <c r="C224" s="1255">
        <f>Ввод!I7</f>
        <v>2018</v>
      </c>
      <c r="D224" s="1255">
        <f>Ввод!J7</f>
        <v>2019</v>
      </c>
      <c r="E224" s="1255">
        <f>Ввод!K7</f>
        <v>2020</v>
      </c>
      <c r="F224" s="1255">
        <f>Ввод!L7</f>
        <v>2021</v>
      </c>
      <c r="G224" s="1255">
        <f>Ввод!M7</f>
        <v>2022</v>
      </c>
    </row>
    <row r="225" spans="1:7" x14ac:dyDescent="0.2">
      <c r="A225" s="21">
        <v>48101</v>
      </c>
      <c r="B225" s="75">
        <f>IFERROR(VLOOKUP(A225,'Ф_102_2016'!C:F,4,0),0)</f>
        <v>3252585</v>
      </c>
      <c r="C225" s="75">
        <f>IFERROR(VLOOKUP(A225,Ф_102_2017!C:F,4,0),0)</f>
        <v>3342743</v>
      </c>
      <c r="D225" s="75">
        <f>IFERROR(VLOOKUP(A225,Ф_102_2018!C:F,4,0),0)</f>
        <v>3996863</v>
      </c>
      <c r="E225" s="75">
        <f>IFERROR(VLOOKUP(A225,Ф_102_2019!C:F,4,0),0)</f>
        <v>3929300</v>
      </c>
      <c r="F225" s="75">
        <f>IFERROR(VLOOKUP(A225,Ф_102_2020!C:F,4,0),0)</f>
        <v>4351759</v>
      </c>
      <c r="G225" s="75">
        <f>IFERROR(VLOOKUP(A225,Ф_102_2021!C:F,4,0),0)</f>
        <v>5077828</v>
      </c>
    </row>
    <row r="226" spans="1:7" x14ac:dyDescent="0.2">
      <c r="A226" s="21">
        <v>48102</v>
      </c>
      <c r="B226" s="75">
        <f>IFERROR(VLOOKUP(A226,'Ф_102_2016'!C:F,4,0),0)</f>
        <v>9992</v>
      </c>
      <c r="C226" s="75">
        <f>IFERROR(VLOOKUP(A226,Ф_102_2017!C:F,4,0),0)</f>
        <v>58740</v>
      </c>
      <c r="D226" s="75">
        <f>IFERROR(VLOOKUP(A226,Ф_102_2018!C:F,4,0),0)</f>
        <v>106701</v>
      </c>
      <c r="E226" s="75">
        <f>IFERROR(VLOOKUP(A226,Ф_102_2019!C:F,4,0),0)</f>
        <v>167119</v>
      </c>
      <c r="F226" s="75">
        <f>IFERROR(VLOOKUP(A226,Ф_102_2020!C:F,4,0),0)</f>
        <v>160868</v>
      </c>
      <c r="G226" s="75">
        <f>IFERROR(VLOOKUP(A226,Ф_102_2021!C:F,4,0),0)</f>
        <v>185951</v>
      </c>
    </row>
    <row r="227" spans="1:7" x14ac:dyDescent="0.2">
      <c r="A227" s="21">
        <v>48103</v>
      </c>
      <c r="B227" s="75">
        <f>IFERROR(VLOOKUP(A227,'Ф_102_2016'!C:F,4,0),0)</f>
        <v>813615</v>
      </c>
      <c r="C227" s="75">
        <f>IFERROR(VLOOKUP(A227,Ф_102_2017!C:F,4,0),0)</f>
        <v>884032</v>
      </c>
      <c r="D227" s="75">
        <f>IFERROR(VLOOKUP(A227,Ф_102_2018!C:F,4,0),0)</f>
        <v>1101503</v>
      </c>
      <c r="E227" s="75">
        <f>IFERROR(VLOOKUP(A227,Ф_102_2019!C:F,4,0),0)</f>
        <v>1090672</v>
      </c>
      <c r="F227" s="75">
        <f>IFERROR(VLOOKUP(A227,Ф_102_2020!C:F,4,0),0)</f>
        <v>1162961</v>
      </c>
      <c r="G227" s="75">
        <f>IFERROR(VLOOKUP(A227,Ф_102_2021!C:F,4,0),0)</f>
        <v>1328409</v>
      </c>
    </row>
    <row r="228" spans="1:7" x14ac:dyDescent="0.2">
      <c r="A228" s="21">
        <v>48104</v>
      </c>
      <c r="B228" s="75">
        <f>IFERROR(VLOOKUP(A228,'Ф_102_2016'!C:F,4,0),0)</f>
        <v>0</v>
      </c>
      <c r="C228" s="75">
        <f>IFERROR(VLOOKUP(A228,Ф_102_2017!C:F,4,0),0)</f>
        <v>0</v>
      </c>
      <c r="D228" s="75">
        <f>IFERROR(VLOOKUP(A228,Ф_102_2018!C:F,4,0),0)</f>
        <v>0</v>
      </c>
      <c r="E228" s="75">
        <f>IFERROR(VLOOKUP(A228,Ф_102_2019!C:F,4,0),0)</f>
        <v>0</v>
      </c>
      <c r="F228" s="75">
        <f>IFERROR(VLOOKUP(A228,Ф_102_2020!C:F,4,0),0)</f>
        <v>0</v>
      </c>
      <c r="G228" s="75">
        <f>IFERROR(VLOOKUP(A228,Ф_102_2021!C:F,4,0),0)</f>
        <v>0</v>
      </c>
    </row>
    <row r="229" spans="1:7" x14ac:dyDescent="0.2">
      <c r="A229" s="21">
        <v>48105</v>
      </c>
      <c r="B229" s="75">
        <f>IFERROR(VLOOKUP(A229,'Ф_102_2016'!C:F,4,0),0)</f>
        <v>0</v>
      </c>
      <c r="C229" s="75">
        <f>IFERROR(VLOOKUP(A229,Ф_102_2017!C:F,4,0),0)</f>
        <v>0</v>
      </c>
      <c r="D229" s="75">
        <f>IFERROR(VLOOKUP(A229,Ф_102_2018!C:F,4,0),0)</f>
        <v>0</v>
      </c>
      <c r="E229" s="75">
        <f>IFERROR(VLOOKUP(A229,Ф_102_2019!C:F,4,0),0)</f>
        <v>0</v>
      </c>
      <c r="F229" s="75">
        <f>IFERROR(VLOOKUP(A229,Ф_102_2020!C:F,4,0),0)</f>
        <v>0</v>
      </c>
      <c r="G229" s="75">
        <f>IFERROR(VLOOKUP(A229,Ф_102_2021!C:F,4,0),0)</f>
        <v>0</v>
      </c>
    </row>
    <row r="230" spans="1:7" x14ac:dyDescent="0.2">
      <c r="A230" s="21">
        <v>48106</v>
      </c>
      <c r="B230" s="75">
        <f>IFERROR(VLOOKUP(A230,'Ф_102_2016'!C:F,4,0),0)</f>
        <v>0</v>
      </c>
      <c r="C230" s="75">
        <f>IFERROR(VLOOKUP(A230,Ф_102_2017!C:F,4,0),0)</f>
        <v>0</v>
      </c>
      <c r="D230" s="75">
        <f>IFERROR(VLOOKUP(A230,Ф_102_2018!C:F,4,0),0)</f>
        <v>0</v>
      </c>
      <c r="E230" s="75">
        <f>IFERROR(VLOOKUP(A230,Ф_102_2019!C:F,4,0),0)</f>
        <v>0</v>
      </c>
      <c r="F230" s="75">
        <f>IFERROR(VLOOKUP(A230,Ф_102_2020!C:F,4,0),0)</f>
        <v>0</v>
      </c>
      <c r="G230" s="75">
        <f>IFERROR(VLOOKUP(A230,Ф_102_2021!C:F,4,0),0)</f>
        <v>0</v>
      </c>
    </row>
    <row r="231" spans="1:7" x14ac:dyDescent="0.2">
      <c r="A231" s="21">
        <v>48107</v>
      </c>
      <c r="B231" s="75">
        <f>IFERROR(VLOOKUP(A231,'Ф_102_2016'!C:F,4,0),0)</f>
        <v>0</v>
      </c>
      <c r="C231" s="75">
        <f>IFERROR(VLOOKUP(A231,Ф_102_2017!C:F,4,0),0)</f>
        <v>0</v>
      </c>
      <c r="D231" s="75">
        <f>IFERROR(VLOOKUP(A231,Ф_102_2018!C:F,4,0),0)</f>
        <v>0</v>
      </c>
      <c r="E231" s="75">
        <f>IFERROR(VLOOKUP(A231,Ф_102_2019!C:F,4,0),0)</f>
        <v>0</v>
      </c>
      <c r="F231" s="75">
        <f>IFERROR(VLOOKUP(A231,Ф_102_2020!C:F,4,0),0)</f>
        <v>0</v>
      </c>
      <c r="G231" s="75">
        <f>IFERROR(VLOOKUP(A231,Ф_102_2021!C:F,4,0),0)</f>
        <v>0</v>
      </c>
    </row>
    <row r="232" spans="1:7" x14ac:dyDescent="0.2">
      <c r="A232" s="21">
        <v>48108</v>
      </c>
      <c r="B232" s="75">
        <f>IFERROR(VLOOKUP(A232,'Ф_102_2016'!C:F,4,0),0)</f>
        <v>559</v>
      </c>
      <c r="C232" s="75">
        <f>IFERROR(VLOOKUP(A232,Ф_102_2017!C:F,4,0),0)</f>
        <v>8</v>
      </c>
      <c r="D232" s="75">
        <f>IFERROR(VLOOKUP(A232,Ф_102_2018!C:F,4,0),0)</f>
        <v>0</v>
      </c>
      <c r="E232" s="75">
        <f>IFERROR(VLOOKUP(A232,Ф_102_2019!C:F,4,0),0)</f>
        <v>0</v>
      </c>
      <c r="F232" s="75">
        <f>IFERROR(VLOOKUP(A232,Ф_102_2020!C:F,4,0),0)</f>
        <v>0</v>
      </c>
      <c r="G232" s="75">
        <f>IFERROR(VLOOKUP(A232,Ф_102_2021!C:F,4,0),0)</f>
        <v>0</v>
      </c>
    </row>
    <row r="233" spans="1:7" x14ac:dyDescent="0.2">
      <c r="A233" s="21">
        <v>48109</v>
      </c>
      <c r="B233" s="75">
        <f>IFERROR(VLOOKUP(A233,'Ф_102_2016'!C:F,4,0),0)</f>
        <v>744</v>
      </c>
      <c r="C233" s="75">
        <f>IFERROR(VLOOKUP(A233,Ф_102_2017!C:F,4,0),0)</f>
        <v>45448</v>
      </c>
      <c r="D233" s="75">
        <f>IFERROR(VLOOKUP(A233,Ф_102_2018!C:F,4,0),0)</f>
        <v>45126</v>
      </c>
      <c r="E233" s="75">
        <f>IFERROR(VLOOKUP(A233,Ф_102_2019!C:F,4,0),0)</f>
        <v>20819</v>
      </c>
      <c r="F233" s="75">
        <f>IFERROR(VLOOKUP(A233,Ф_102_2020!C:F,4,0),0)</f>
        <v>42455</v>
      </c>
      <c r="G233" s="75">
        <f>IFERROR(VLOOKUP(A233,Ф_102_2021!C:F,4,0),0)</f>
        <v>46840</v>
      </c>
    </row>
    <row r="234" spans="1:7" x14ac:dyDescent="0.2">
      <c r="A234" s="21">
        <v>48110</v>
      </c>
      <c r="B234" s="75">
        <f>IFERROR(VLOOKUP(A234,'Ф_102_2016'!C:F,4,0),0)</f>
        <v>0</v>
      </c>
      <c r="C234" s="75">
        <f>IFERROR(VLOOKUP(A234,Ф_102_2017!C:F,4,0),0)</f>
        <v>0</v>
      </c>
      <c r="D234" s="75">
        <f>IFERROR(VLOOKUP(A234,Ф_102_2018!C:F,4,0),0)</f>
        <v>0</v>
      </c>
      <c r="E234" s="75">
        <f>IFERROR(VLOOKUP(A234,Ф_102_2019!C:F,4,0),0)</f>
        <v>0</v>
      </c>
      <c r="F234" s="75">
        <f>IFERROR(VLOOKUP(A234,Ф_102_2020!C:F,4,0),0)</f>
        <v>0</v>
      </c>
      <c r="G234" s="75">
        <f>IFERROR(VLOOKUP(A234,Ф_102_2021!C:F,4,0),0)</f>
        <v>0</v>
      </c>
    </row>
    <row r="235" spans="1:7" x14ac:dyDescent="0.2">
      <c r="A235" s="21">
        <v>48111</v>
      </c>
      <c r="B235" s="75">
        <f>IFERROR(VLOOKUP(A235,'Ф_102_2016'!C:F,4,0),0)</f>
        <v>0</v>
      </c>
      <c r="C235" s="75">
        <f>IFERROR(VLOOKUP(A235,Ф_102_2017!C:F,4,0),0)</f>
        <v>0</v>
      </c>
      <c r="D235" s="75">
        <f>IFERROR(VLOOKUP(A235,Ф_102_2018!C:F,4,0),0)</f>
        <v>0</v>
      </c>
      <c r="E235" s="75">
        <f>IFERROR(VLOOKUP(A235,Ф_102_2019!C:F,4,0),0)</f>
        <v>0</v>
      </c>
      <c r="F235" s="75">
        <f>IFERROR(VLOOKUP(A235,Ф_102_2020!C:F,4,0),0)</f>
        <v>0</v>
      </c>
      <c r="G235" s="75">
        <f>IFERROR(VLOOKUP(A235,Ф_102_2021!C:F,4,0),0)</f>
        <v>0</v>
      </c>
    </row>
    <row r="236" spans="1:7" x14ac:dyDescent="0.2">
      <c r="A236" s="21">
        <v>48112</v>
      </c>
      <c r="B236" s="75">
        <f>IFERROR(VLOOKUP(A236,'Ф_102_2016'!C:F,4,0),0)</f>
        <v>613</v>
      </c>
      <c r="C236" s="75">
        <f>IFERROR(VLOOKUP(A236,Ф_102_2017!C:F,4,0),0)</f>
        <v>927</v>
      </c>
      <c r="D236" s="75">
        <f>IFERROR(VLOOKUP(A236,Ф_102_2018!C:F,4,0),0)</f>
        <v>1275</v>
      </c>
      <c r="E236" s="75">
        <f>IFERROR(VLOOKUP(A236,Ф_102_2019!C:F,4,0),0)</f>
        <v>8480</v>
      </c>
      <c r="F236" s="75">
        <f>IFERROR(VLOOKUP(A236,Ф_102_2020!C:F,4,0),0)</f>
        <v>6512</v>
      </c>
      <c r="G236" s="75">
        <f>IFERROR(VLOOKUP(A236,Ф_102_2021!C:F,4,0),0)</f>
        <v>3413</v>
      </c>
    </row>
    <row r="237" spans="1:7" x14ac:dyDescent="0.2">
      <c r="A237" s="21">
        <v>48113</v>
      </c>
      <c r="B237" s="75">
        <f>IFERROR(VLOOKUP(A237,'Ф_102_2016'!C:F,4,0),0)</f>
        <v>543</v>
      </c>
      <c r="C237" s="75">
        <f>IFERROR(VLOOKUP(A237,Ф_102_2017!C:F,4,0),0)</f>
        <v>1998</v>
      </c>
      <c r="D237" s="75">
        <f>IFERROR(VLOOKUP(A237,Ф_102_2018!C:F,4,0),0)</f>
        <v>5011</v>
      </c>
      <c r="E237" s="75">
        <f>IFERROR(VLOOKUP(A237,Ф_102_2019!C:F,4,0),0)</f>
        <v>7626</v>
      </c>
      <c r="F237" s="75">
        <f>IFERROR(VLOOKUP(A237,Ф_102_2020!C:F,4,0),0)</f>
        <v>14331</v>
      </c>
      <c r="G237" s="75">
        <f>IFERROR(VLOOKUP(A237,Ф_102_2021!C:F,4,0),0)</f>
        <v>8415</v>
      </c>
    </row>
    <row r="238" spans="1:7" ht="32.25" thickBot="1" x14ac:dyDescent="0.25">
      <c r="A238" s="1128" t="s">
        <v>1394</v>
      </c>
      <c r="B238" s="1248">
        <f t="shared" ref="B238:G238" si="16">SUM(B225:B237)</f>
        <v>4078651</v>
      </c>
      <c r="C238" s="1248">
        <f t="shared" si="16"/>
        <v>4333896</v>
      </c>
      <c r="D238" s="1248">
        <f t="shared" si="16"/>
        <v>5256479</v>
      </c>
      <c r="E238" s="1248">
        <f t="shared" si="16"/>
        <v>5224016</v>
      </c>
      <c r="F238" s="1248">
        <f t="shared" si="16"/>
        <v>5738886</v>
      </c>
      <c r="G238" s="1248">
        <f t="shared" si="16"/>
        <v>6650856</v>
      </c>
    </row>
    <row r="239" spans="1:7" x14ac:dyDescent="0.2">
      <c r="A239" s="21">
        <v>48201</v>
      </c>
      <c r="B239" s="75">
        <f>IFERROR(VLOOKUP(A239,'Ф_102_2016'!C:F,4,0),0)</f>
        <v>20918</v>
      </c>
      <c r="C239" s="75">
        <f>IFERROR(VLOOKUP(A239,Ф_102_2017!C:F,4,0),0)</f>
        <v>15445</v>
      </c>
      <c r="D239" s="75">
        <f>IFERROR(VLOOKUP(A239,Ф_102_2018!C:F,4,0),0)</f>
        <v>23188</v>
      </c>
      <c r="E239" s="75">
        <f>IFERROR(VLOOKUP(A239,Ф_102_2019!C:F,4,0),0)</f>
        <v>8597</v>
      </c>
      <c r="F239" s="75">
        <f>IFERROR(VLOOKUP(A239,Ф_102_2020!C:F,4,0),0)</f>
        <v>14329</v>
      </c>
      <c r="G239" s="75">
        <f>IFERROR(VLOOKUP(A239,Ф_102_2021!C:F,4,0),0)</f>
        <v>2849</v>
      </c>
    </row>
    <row r="240" spans="1:7" x14ac:dyDescent="0.2">
      <c r="A240" s="21">
        <v>48202</v>
      </c>
      <c r="B240" s="75">
        <f>IFERROR(VLOOKUP(A240,'Ф_102_2016'!C:F,4,0),0)</f>
        <v>97</v>
      </c>
      <c r="C240" s="75">
        <f>IFERROR(VLOOKUP(A240,Ф_102_2017!C:F,4,0),0)</f>
        <v>5</v>
      </c>
      <c r="D240" s="75">
        <f>IFERROR(VLOOKUP(A240,Ф_102_2018!C:F,4,0),0)</f>
        <v>123</v>
      </c>
      <c r="E240" s="75">
        <f>IFERROR(VLOOKUP(A240,Ф_102_2019!C:F,4,0),0)</f>
        <v>12</v>
      </c>
      <c r="F240" s="75">
        <f>IFERROR(VLOOKUP(A240,Ф_102_2020!C:F,4,0),0)</f>
        <v>0</v>
      </c>
      <c r="G240" s="75">
        <f>IFERROR(VLOOKUP(A240,Ф_102_2021!C:F,4,0),0)</f>
        <v>1179</v>
      </c>
    </row>
    <row r="241" spans="1:7" x14ac:dyDescent="0.2">
      <c r="A241" s="21">
        <v>48203</v>
      </c>
      <c r="B241" s="75">
        <f>IFERROR(VLOOKUP(A241,'Ф_102_2016'!C:F,4,0),0)</f>
        <v>5</v>
      </c>
      <c r="C241" s="75">
        <f>IFERROR(VLOOKUP(A241,Ф_102_2017!C:F,4,0),0)</f>
        <v>628</v>
      </c>
      <c r="D241" s="75">
        <f>IFERROR(VLOOKUP(A241,Ф_102_2018!C:F,4,0),0)</f>
        <v>0</v>
      </c>
      <c r="E241" s="75">
        <f>IFERROR(VLOOKUP(A241,Ф_102_2019!C:F,4,0),0)</f>
        <v>13604</v>
      </c>
      <c r="F241" s="75">
        <f>IFERROR(VLOOKUP(A241,Ф_102_2020!C:F,4,0),0)</f>
        <v>5646</v>
      </c>
      <c r="G241" s="75">
        <f>IFERROR(VLOOKUP(A241,Ф_102_2021!C:F,4,0),0)</f>
        <v>383</v>
      </c>
    </row>
    <row r="242" spans="1:7" x14ac:dyDescent="0.2">
      <c r="A242" s="21">
        <v>48204</v>
      </c>
      <c r="B242" s="75">
        <f>IFERROR(VLOOKUP(A242,'Ф_102_2016'!C:F,4,0),0)</f>
        <v>0</v>
      </c>
      <c r="C242" s="75">
        <f>IFERROR(VLOOKUP(A242,Ф_102_2017!C:F,4,0),0)</f>
        <v>0</v>
      </c>
      <c r="D242" s="75">
        <f>IFERROR(VLOOKUP(A242,Ф_102_2018!C:F,4,0),0)</f>
        <v>0</v>
      </c>
      <c r="E242" s="75">
        <f>IFERROR(VLOOKUP(A242,Ф_102_2019!C:F,4,0),0)</f>
        <v>0</v>
      </c>
      <c r="F242" s="75">
        <f>IFERROR(VLOOKUP(A242,Ф_102_2020!C:F,4,0),0)</f>
        <v>0</v>
      </c>
      <c r="G242" s="75">
        <f>IFERROR(VLOOKUP(A242,Ф_102_2021!C:F,4,0),0)</f>
        <v>667831</v>
      </c>
    </row>
    <row r="243" spans="1:7" x14ac:dyDescent="0.2">
      <c r="A243" s="21">
        <v>48205</v>
      </c>
      <c r="B243" s="75">
        <f>IFERROR(VLOOKUP(A243,'Ф_102_2016'!C:F,4,0),0)</f>
        <v>0</v>
      </c>
      <c r="C243" s="75">
        <f>IFERROR(VLOOKUP(A243,Ф_102_2017!C:F,4,0),0)</f>
        <v>0</v>
      </c>
      <c r="D243" s="75">
        <f>IFERROR(VLOOKUP(A243,Ф_102_2018!C:F,4,0),0)</f>
        <v>0</v>
      </c>
      <c r="E243" s="75">
        <f>IFERROR(VLOOKUP(A243,Ф_102_2019!C:F,4,0),0)</f>
        <v>0</v>
      </c>
      <c r="F243" s="75">
        <f>IFERROR(VLOOKUP(A243,Ф_102_2020!C:F,4,0),0)</f>
        <v>0</v>
      </c>
      <c r="G243" s="75">
        <f>IFERROR(VLOOKUP(A243,Ф_102_2021!C:F,4,0),0)</f>
        <v>0</v>
      </c>
    </row>
    <row r="244" spans="1:7" x14ac:dyDescent="0.2">
      <c r="A244" s="21">
        <v>48206</v>
      </c>
      <c r="B244" s="75">
        <f>IFERROR(VLOOKUP(A244,'Ф_102_2016'!C:F,4,0),0)</f>
        <v>0</v>
      </c>
      <c r="C244" s="75">
        <f>IFERROR(VLOOKUP(A244,Ф_102_2017!C:F,4,0),0)</f>
        <v>0</v>
      </c>
      <c r="D244" s="75">
        <f>IFERROR(VLOOKUP(A244,Ф_102_2018!C:F,4,0),0)</f>
        <v>0</v>
      </c>
      <c r="E244" s="75">
        <f>IFERROR(VLOOKUP(A244,Ф_102_2019!C:F,4,0),0)</f>
        <v>0</v>
      </c>
      <c r="F244" s="75">
        <f>IFERROR(VLOOKUP(A244,Ф_102_2020!C:F,4,0),0)</f>
        <v>0</v>
      </c>
      <c r="G244" s="75">
        <f>IFERROR(VLOOKUP(A244,Ф_102_2021!C:F,4,0),0)</f>
        <v>0</v>
      </c>
    </row>
    <row r="245" spans="1:7" x14ac:dyDescent="0.2">
      <c r="A245" s="21">
        <v>48207</v>
      </c>
      <c r="B245" s="75">
        <f>IFERROR(VLOOKUP(A245,'Ф_102_2016'!C:F,4,0),0)</f>
        <v>0</v>
      </c>
      <c r="C245" s="75">
        <f>IFERROR(VLOOKUP(A245,Ф_102_2017!C:F,4,0),0)</f>
        <v>0</v>
      </c>
      <c r="D245" s="75">
        <f>IFERROR(VLOOKUP(A245,Ф_102_2018!C:F,4,0),0)</f>
        <v>0</v>
      </c>
      <c r="E245" s="75">
        <f>IFERROR(VLOOKUP(A245,Ф_102_2019!C:F,4,0),0)</f>
        <v>0</v>
      </c>
      <c r="F245" s="75">
        <f>IFERROR(VLOOKUP(A245,Ф_102_2020!C:F,4,0),0)</f>
        <v>0</v>
      </c>
      <c r="G245" s="75">
        <f>IFERROR(VLOOKUP(A245,Ф_102_2021!C:F,4,0),0)</f>
        <v>0</v>
      </c>
    </row>
    <row r="246" spans="1:7" x14ac:dyDescent="0.2">
      <c r="A246" s="21">
        <v>48208</v>
      </c>
      <c r="B246" s="75">
        <f>IFERROR(VLOOKUP(A246,'Ф_102_2016'!C:F,4,0),0)</f>
        <v>70001</v>
      </c>
      <c r="C246" s="75">
        <f>IFERROR(VLOOKUP(A246,Ф_102_2017!C:F,4,0),0)</f>
        <v>144064</v>
      </c>
      <c r="D246" s="75">
        <f>IFERROR(VLOOKUP(A246,Ф_102_2018!C:F,4,0),0)</f>
        <v>87399</v>
      </c>
      <c r="E246" s="75">
        <f>IFERROR(VLOOKUP(A246,Ф_102_2019!C:F,4,0),0)</f>
        <v>42591</v>
      </c>
      <c r="F246" s="75">
        <f>IFERROR(VLOOKUP(A246,Ф_102_2020!C:F,4,0),0)</f>
        <v>103090</v>
      </c>
      <c r="G246" s="75">
        <f>IFERROR(VLOOKUP(A246,Ф_102_2021!C:F,4,0),0)</f>
        <v>61338</v>
      </c>
    </row>
    <row r="247" spans="1:7" x14ac:dyDescent="0.2">
      <c r="A247" s="21">
        <v>48209</v>
      </c>
      <c r="B247" s="75">
        <f>IFERROR(VLOOKUP(A247,'Ф_102_2016'!C:F,4,0),0)</f>
        <v>310894</v>
      </c>
      <c r="C247" s="75">
        <f>IFERROR(VLOOKUP(A247,Ф_102_2017!C:F,4,0),0)</f>
        <v>300519</v>
      </c>
      <c r="D247" s="75">
        <f>IFERROR(VLOOKUP(A247,Ф_102_2018!C:F,4,0),0)</f>
        <v>329885</v>
      </c>
      <c r="E247" s="75">
        <f>IFERROR(VLOOKUP(A247,Ф_102_2019!C:F,4,0),0)</f>
        <v>319356</v>
      </c>
      <c r="F247" s="75">
        <f>IFERROR(VLOOKUP(A247,Ф_102_2020!C:F,4,0),0)</f>
        <v>313699</v>
      </c>
      <c r="G247" s="75">
        <f>IFERROR(VLOOKUP(A247,Ф_102_2021!C:F,4,0),0)</f>
        <v>315332</v>
      </c>
    </row>
    <row r="248" spans="1:7" ht="95.25" thickBot="1" x14ac:dyDescent="0.25">
      <c r="A248" s="1128" t="s">
        <v>1395</v>
      </c>
      <c r="B248" s="1248">
        <f t="shared" ref="B248:G248" si="17">SUM(B239:B247)</f>
        <v>401915</v>
      </c>
      <c r="C248" s="1248">
        <f t="shared" si="17"/>
        <v>460661</v>
      </c>
      <c r="D248" s="1248">
        <f t="shared" si="17"/>
        <v>440595</v>
      </c>
      <c r="E248" s="1248">
        <f t="shared" si="17"/>
        <v>384160</v>
      </c>
      <c r="F248" s="1248">
        <f t="shared" si="17"/>
        <v>436764</v>
      </c>
      <c r="G248" s="1248">
        <f t="shared" si="17"/>
        <v>1048912</v>
      </c>
    </row>
    <row r="249" spans="1:7" x14ac:dyDescent="0.2">
      <c r="A249" s="21">
        <v>48301</v>
      </c>
      <c r="B249" s="75">
        <f>IFERROR(VLOOKUP(A249,'Ф_102_2016'!C:F,4,0),0)</f>
        <v>400204</v>
      </c>
      <c r="C249" s="75">
        <f>IFERROR(VLOOKUP(A249,Ф_102_2017!C:F,4,0),0)</f>
        <v>302894</v>
      </c>
      <c r="D249" s="75">
        <f>IFERROR(VLOOKUP(A249,Ф_102_2018!C:F,4,0),0)</f>
        <v>300853</v>
      </c>
      <c r="E249" s="75">
        <f>IFERROR(VLOOKUP(A249,Ф_102_2019!C:F,4,0),0)</f>
        <v>375380</v>
      </c>
      <c r="F249" s="75">
        <f>IFERROR(VLOOKUP(A249,Ф_102_2020!C:F,4,0),0)</f>
        <v>445696</v>
      </c>
      <c r="G249" s="75">
        <f>IFERROR(VLOOKUP(A249,Ф_102_2021!C:F,4,0),0)</f>
        <v>469946</v>
      </c>
    </row>
    <row r="250" spans="1:7" x14ac:dyDescent="0.2">
      <c r="A250" s="21">
        <v>48302</v>
      </c>
      <c r="B250" s="75">
        <f>IFERROR(VLOOKUP(A250,'Ф_102_2016'!C:F,4,0),0)</f>
        <v>0</v>
      </c>
      <c r="C250" s="75">
        <f>IFERROR(VLOOKUP(A250,Ф_102_2017!C:F,4,0),0)</f>
        <v>0</v>
      </c>
      <c r="D250" s="75">
        <f>IFERROR(VLOOKUP(A250,Ф_102_2018!C:F,4,0),0)</f>
        <v>0</v>
      </c>
      <c r="E250" s="75">
        <f>IFERROR(VLOOKUP(A250,Ф_102_2019!C:F,4,0),0)</f>
        <v>0</v>
      </c>
      <c r="F250" s="75">
        <f>IFERROR(VLOOKUP(A250,Ф_102_2020!C:F,4,0),0)</f>
        <v>518076</v>
      </c>
      <c r="G250" s="75">
        <f>IFERROR(VLOOKUP(A250,Ф_102_2021!C:F,4,0),0)</f>
        <v>582733</v>
      </c>
    </row>
    <row r="251" spans="1:7" x14ac:dyDescent="0.2">
      <c r="A251" s="21">
        <v>48303</v>
      </c>
      <c r="B251" s="75">
        <f>IFERROR(VLOOKUP(A251,'Ф_102_2016'!C:F,4,0),0)</f>
        <v>95619</v>
      </c>
      <c r="C251" s="75">
        <f>IFERROR(VLOOKUP(A251,Ф_102_2017!C:F,4,0),0)</f>
        <v>57024</v>
      </c>
      <c r="D251" s="75">
        <f>IFERROR(VLOOKUP(A251,Ф_102_2018!C:F,4,0),0)</f>
        <v>73348</v>
      </c>
      <c r="E251" s="75">
        <f>IFERROR(VLOOKUP(A251,Ф_102_2019!C:F,4,0),0)</f>
        <v>160559</v>
      </c>
      <c r="F251" s="75">
        <f>IFERROR(VLOOKUP(A251,Ф_102_2020!C:F,4,0),0)</f>
        <v>327293</v>
      </c>
      <c r="G251" s="75">
        <f>IFERROR(VLOOKUP(A251,Ф_102_2021!C:F,4,0),0)</f>
        <v>542063</v>
      </c>
    </row>
    <row r="252" spans="1:7" ht="95.25" thickBot="1" x14ac:dyDescent="0.25">
      <c r="A252" s="1128" t="s">
        <v>1396</v>
      </c>
      <c r="B252" s="1248">
        <f t="shared" ref="B252:G252" si="18">SUM(B249:B251)</f>
        <v>495823</v>
      </c>
      <c r="C252" s="1248">
        <f t="shared" si="18"/>
        <v>359918</v>
      </c>
      <c r="D252" s="1248">
        <f t="shared" si="18"/>
        <v>374201</v>
      </c>
      <c r="E252" s="1248">
        <f t="shared" si="18"/>
        <v>535939</v>
      </c>
      <c r="F252" s="1248">
        <f t="shared" si="18"/>
        <v>1291065</v>
      </c>
      <c r="G252" s="1248">
        <f t="shared" si="18"/>
        <v>1594742</v>
      </c>
    </row>
    <row r="253" spans="1:7" x14ac:dyDescent="0.2">
      <c r="A253" s="21">
        <v>48401</v>
      </c>
      <c r="B253" s="75">
        <f>IFERROR(VLOOKUP(A253,'Ф_102_2016'!C:F,4,0),0)</f>
        <v>382981</v>
      </c>
      <c r="C253" s="75">
        <f>IFERROR(VLOOKUP(A253,Ф_102_2017!C:F,4,0),0)</f>
        <v>413415</v>
      </c>
      <c r="D253" s="75">
        <f>IFERROR(VLOOKUP(A253,Ф_102_2018!C:F,4,0),0)</f>
        <v>461995</v>
      </c>
      <c r="E253" s="75">
        <f>IFERROR(VLOOKUP(A253,Ф_102_2019!C:F,4,0),0)</f>
        <v>543738</v>
      </c>
      <c r="F253" s="75">
        <f>IFERROR(VLOOKUP(A253,Ф_102_2020!C:F,4,0),0)</f>
        <v>46446</v>
      </c>
      <c r="G253" s="75">
        <f>IFERROR(VLOOKUP(A253,Ф_102_2021!C:F,4,0),0)</f>
        <v>26772</v>
      </c>
    </row>
    <row r="254" spans="1:7" x14ac:dyDescent="0.2">
      <c r="A254" s="21">
        <v>48402</v>
      </c>
      <c r="B254" s="75">
        <f>IFERROR(VLOOKUP(A254,'Ф_102_2016'!C:F,4,0),0)</f>
        <v>0</v>
      </c>
      <c r="C254" s="75">
        <f>IFERROR(VLOOKUP(A254,Ф_102_2017!C:F,4,0),0)</f>
        <v>0</v>
      </c>
      <c r="D254" s="75">
        <f>IFERROR(VLOOKUP(A254,Ф_102_2018!C:F,4,0),0)</f>
        <v>0</v>
      </c>
      <c r="E254" s="75">
        <f>IFERROR(VLOOKUP(A254,Ф_102_2019!C:F,4,0),0)</f>
        <v>0</v>
      </c>
      <c r="F254" s="75">
        <f>IFERROR(VLOOKUP(A254,Ф_102_2020!C:F,4,0),0)</f>
        <v>0</v>
      </c>
      <c r="G254" s="75">
        <f>IFERROR(VLOOKUP(A254,Ф_102_2021!C:F,4,0),0)</f>
        <v>0</v>
      </c>
    </row>
    <row r="255" spans="1:7" x14ac:dyDescent="0.2">
      <c r="A255" s="21">
        <v>48403</v>
      </c>
      <c r="B255" s="75">
        <f>IFERROR(VLOOKUP(A255,'Ф_102_2016'!C:F,4,0),0)</f>
        <v>157348</v>
      </c>
      <c r="C255" s="75">
        <f>IFERROR(VLOOKUP(A255,Ф_102_2017!C:F,4,0),0)</f>
        <v>155188</v>
      </c>
      <c r="D255" s="75">
        <f>IFERROR(VLOOKUP(A255,Ф_102_2018!C:F,4,0),0)</f>
        <v>237273</v>
      </c>
      <c r="E255" s="75">
        <f>IFERROR(VLOOKUP(A255,Ф_102_2019!C:F,4,0),0)</f>
        <v>270913</v>
      </c>
      <c r="F255" s="75">
        <f>IFERROR(VLOOKUP(A255,Ф_102_2020!C:F,4,0),0)</f>
        <v>301467</v>
      </c>
      <c r="G255" s="75">
        <f>IFERROR(VLOOKUP(A255,Ф_102_2021!C:F,4,0),0)</f>
        <v>251415</v>
      </c>
    </row>
    <row r="256" spans="1:7" x14ac:dyDescent="0.2">
      <c r="A256" s="21">
        <v>48404</v>
      </c>
      <c r="B256" s="75">
        <f>IFERROR(VLOOKUP(A256,'Ф_102_2016'!C:F,4,0),0)</f>
        <v>172875</v>
      </c>
      <c r="C256" s="75">
        <f>IFERROR(VLOOKUP(A256,Ф_102_2017!C:F,4,0),0)</f>
        <v>186080</v>
      </c>
      <c r="D256" s="75">
        <f>IFERROR(VLOOKUP(A256,Ф_102_2018!C:F,4,0),0)</f>
        <v>185827</v>
      </c>
      <c r="E256" s="75">
        <f>IFERROR(VLOOKUP(A256,Ф_102_2019!C:F,4,0),0)</f>
        <v>77465</v>
      </c>
      <c r="F256" s="75">
        <f>IFERROR(VLOOKUP(A256,Ф_102_2020!C:F,4,0),0)</f>
        <v>209856</v>
      </c>
      <c r="G256" s="75">
        <f>IFERROR(VLOOKUP(A256,Ф_102_2021!C:F,4,0),0)</f>
        <v>267385</v>
      </c>
    </row>
    <row r="257" spans="1:7" x14ac:dyDescent="0.2">
      <c r="A257" s="21">
        <v>48405</v>
      </c>
      <c r="B257" s="75">
        <f>IFERROR(VLOOKUP(A257,'Ф_102_2016'!C:F,4,0),0)</f>
        <v>61366</v>
      </c>
      <c r="C257" s="75">
        <f>IFERROR(VLOOKUP(A257,Ф_102_2017!C:F,4,0),0)</f>
        <v>68914</v>
      </c>
      <c r="D257" s="75">
        <f>IFERROR(VLOOKUP(A257,Ф_102_2018!C:F,4,0),0)</f>
        <v>97099</v>
      </c>
      <c r="E257" s="75">
        <f>IFERROR(VLOOKUP(A257,Ф_102_2019!C:F,4,0),0)</f>
        <v>100515</v>
      </c>
      <c r="F257" s="75">
        <f>IFERROR(VLOOKUP(A257,Ф_102_2020!C:F,4,0),0)</f>
        <v>21104</v>
      </c>
      <c r="G257" s="75">
        <f>IFERROR(VLOOKUP(A257,Ф_102_2021!C:F,4,0),0)</f>
        <v>29853</v>
      </c>
    </row>
    <row r="258" spans="1:7" x14ac:dyDescent="0.2">
      <c r="A258" s="21">
        <v>48406</v>
      </c>
      <c r="B258" s="75">
        <f>IFERROR(VLOOKUP(A258,'Ф_102_2016'!C:F,4,0),0)</f>
        <v>114508</v>
      </c>
      <c r="C258" s="75">
        <f>IFERROR(VLOOKUP(A258,Ф_102_2017!C:F,4,0),0)</f>
        <v>58790</v>
      </c>
      <c r="D258" s="75">
        <f>IFERROR(VLOOKUP(A258,Ф_102_2018!C:F,4,0),0)</f>
        <v>46177</v>
      </c>
      <c r="E258" s="75">
        <f>IFERROR(VLOOKUP(A258,Ф_102_2019!C:F,4,0),0)</f>
        <v>44540</v>
      </c>
      <c r="F258" s="75">
        <f>IFERROR(VLOOKUP(A258,Ф_102_2020!C:F,4,0),0)</f>
        <v>47500</v>
      </c>
      <c r="G258" s="75">
        <f>IFERROR(VLOOKUP(A258,Ф_102_2021!C:F,4,0),0)</f>
        <v>45983</v>
      </c>
    </row>
    <row r="259" spans="1:7" x14ac:dyDescent="0.2">
      <c r="A259" s="21">
        <v>48407</v>
      </c>
      <c r="B259" s="75">
        <f>IFERROR(VLOOKUP(A259,'Ф_102_2016'!C:F,4,0),0)</f>
        <v>127018</v>
      </c>
      <c r="C259" s="75">
        <f>IFERROR(VLOOKUP(A259,Ф_102_2017!C:F,4,0),0)</f>
        <v>392432</v>
      </c>
      <c r="D259" s="75">
        <f>IFERROR(VLOOKUP(A259,Ф_102_2018!C:F,4,0),0)</f>
        <v>2391644</v>
      </c>
      <c r="E259" s="75">
        <f>IFERROR(VLOOKUP(A259,Ф_102_2019!C:F,4,0),0)</f>
        <v>2501138</v>
      </c>
      <c r="F259" s="75">
        <f>IFERROR(VLOOKUP(A259,Ф_102_2020!C:F,4,0),0)</f>
        <v>2575326</v>
      </c>
      <c r="G259" s="75">
        <f>IFERROR(VLOOKUP(A259,Ф_102_2021!C:F,4,0),0)</f>
        <v>2484332</v>
      </c>
    </row>
    <row r="260" spans="1:7" x14ac:dyDescent="0.2">
      <c r="A260" s="21">
        <v>48408</v>
      </c>
      <c r="B260" s="75">
        <f>IFERROR(VLOOKUP(A260,'Ф_102_2016'!C:F,4,0),0)</f>
        <v>14219</v>
      </c>
      <c r="C260" s="75">
        <f>IFERROR(VLOOKUP(A260,Ф_102_2017!C:F,4,0),0)</f>
        <v>10746</v>
      </c>
      <c r="D260" s="75">
        <f>IFERROR(VLOOKUP(A260,Ф_102_2018!C:F,4,0),0)</f>
        <v>12676</v>
      </c>
      <c r="E260" s="75">
        <f>IFERROR(VLOOKUP(A260,Ф_102_2019!C:F,4,0),0)</f>
        <v>37849</v>
      </c>
      <c r="F260" s="75">
        <f>IFERROR(VLOOKUP(A260,Ф_102_2020!C:F,4,0),0)</f>
        <v>4174</v>
      </c>
      <c r="G260" s="75">
        <f>IFERROR(VLOOKUP(A260,Ф_102_2021!C:F,4,0),0)</f>
        <v>80765</v>
      </c>
    </row>
    <row r="261" spans="1:7" x14ac:dyDescent="0.2">
      <c r="A261" s="21">
        <v>48409</v>
      </c>
      <c r="B261" s="75">
        <f>IFERROR(VLOOKUP(A261,'Ф_102_2016'!C:F,4,0),0)</f>
        <v>145365</v>
      </c>
      <c r="C261" s="75">
        <f>IFERROR(VLOOKUP(A261,Ф_102_2017!C:F,4,0),0)</f>
        <v>180549</v>
      </c>
      <c r="D261" s="75">
        <f>IFERROR(VLOOKUP(A261,Ф_102_2018!C:F,4,0),0)</f>
        <v>299154</v>
      </c>
      <c r="E261" s="75">
        <f>IFERROR(VLOOKUP(A261,Ф_102_2019!C:F,4,0),0)</f>
        <v>299423</v>
      </c>
      <c r="F261" s="75">
        <f>IFERROR(VLOOKUP(A261,Ф_102_2020!C:F,4,0),0)</f>
        <v>384673</v>
      </c>
      <c r="G261" s="75">
        <f>IFERROR(VLOOKUP(A261,Ф_102_2021!C:F,4,0),0)</f>
        <v>293567</v>
      </c>
    </row>
    <row r="262" spans="1:7" x14ac:dyDescent="0.2">
      <c r="A262" s="21">
        <v>48410</v>
      </c>
      <c r="B262" s="75">
        <f>IFERROR(VLOOKUP(A262,'Ф_102_2016'!C:F,4,0),0)</f>
        <v>21007</v>
      </c>
      <c r="C262" s="75">
        <f>IFERROR(VLOOKUP(A262,Ф_102_2017!C:F,4,0),0)</f>
        <v>23519</v>
      </c>
      <c r="D262" s="75">
        <f>IFERROR(VLOOKUP(A262,Ф_102_2018!C:F,4,0),0)</f>
        <v>25479</v>
      </c>
      <c r="E262" s="75">
        <f>IFERROR(VLOOKUP(A262,Ф_102_2019!C:F,4,0),0)</f>
        <v>15131</v>
      </c>
      <c r="F262" s="75">
        <f>IFERROR(VLOOKUP(A262,Ф_102_2020!C:F,4,0),0)</f>
        <v>23532</v>
      </c>
      <c r="G262" s="75">
        <f>IFERROR(VLOOKUP(A262,Ф_102_2021!C:F,4,0),0)</f>
        <v>23313</v>
      </c>
    </row>
    <row r="263" spans="1:7" x14ac:dyDescent="0.2">
      <c r="A263" s="21">
        <v>48411</v>
      </c>
      <c r="B263" s="75">
        <f>IFERROR(VLOOKUP(A263,'Ф_102_2016'!C:F,4,0),0)</f>
        <v>9</v>
      </c>
      <c r="C263" s="75">
        <f>IFERROR(VLOOKUP(A263,Ф_102_2017!C:F,4,0),0)</f>
        <v>10</v>
      </c>
      <c r="D263" s="75">
        <f>IFERROR(VLOOKUP(A263,Ф_102_2018!C:F,4,0),0)</f>
        <v>8</v>
      </c>
      <c r="E263" s="75">
        <f>IFERROR(VLOOKUP(A263,Ф_102_2019!C:F,4,0),0)</f>
        <v>13</v>
      </c>
      <c r="F263" s="75">
        <f>IFERROR(VLOOKUP(A263,Ф_102_2020!C:F,4,0),0)</f>
        <v>13</v>
      </c>
      <c r="G263" s="75">
        <f>IFERROR(VLOOKUP(A263,Ф_102_2021!C:F,4,0),0)</f>
        <v>16</v>
      </c>
    </row>
    <row r="264" spans="1:7" x14ac:dyDescent="0.2">
      <c r="A264" s="21">
        <v>48412</v>
      </c>
      <c r="B264" s="75">
        <f>IFERROR(VLOOKUP(A264,'Ф_102_2016'!C:F,4,0),0)</f>
        <v>448019</v>
      </c>
      <c r="C264" s="75">
        <f>IFERROR(VLOOKUP(A264,Ф_102_2017!C:F,4,0),0)</f>
        <v>552915</v>
      </c>
      <c r="D264" s="75">
        <f>IFERROR(VLOOKUP(A264,Ф_102_2018!C:F,4,0),0)</f>
        <v>700202</v>
      </c>
      <c r="E264" s="75">
        <f>IFERROR(VLOOKUP(A264,Ф_102_2019!C:F,4,0),0)</f>
        <v>807010</v>
      </c>
      <c r="F264" s="75">
        <f>IFERROR(VLOOKUP(A264,Ф_102_2020!C:F,4,0),0)</f>
        <v>686089</v>
      </c>
      <c r="G264" s="75">
        <f>IFERROR(VLOOKUP(A264,Ф_102_2021!C:F,4,0),0)</f>
        <v>782572</v>
      </c>
    </row>
    <row r="265" spans="1:7" x14ac:dyDescent="0.2">
      <c r="A265" s="21">
        <v>48414</v>
      </c>
      <c r="B265" s="75">
        <f>IFERROR(VLOOKUP(A265,'Ф_102_2016'!C:F,4,0),0)</f>
        <v>624589</v>
      </c>
      <c r="C265" s="75">
        <f>IFERROR(VLOOKUP(A265,Ф_102_2017!C:F,4,0),0)</f>
        <v>857497</v>
      </c>
      <c r="D265" s="75">
        <f>IFERROR(VLOOKUP(A265,Ф_102_2018!C:F,4,0),0)</f>
        <v>2027582</v>
      </c>
      <c r="E265" s="75">
        <f>IFERROR(VLOOKUP(A265,Ф_102_2019!C:F,4,0),0)</f>
        <v>1067907</v>
      </c>
      <c r="F265" s="75">
        <f>IFERROR(VLOOKUP(A265,Ф_102_2020!C:F,4,0),0)</f>
        <v>1276761</v>
      </c>
      <c r="G265" s="75">
        <f>IFERROR(VLOOKUP(A265,Ф_102_2021!C:F,4,0),0)</f>
        <v>1802529</v>
      </c>
    </row>
    <row r="266" spans="1:7" ht="32.25" thickBot="1" x14ac:dyDescent="0.25">
      <c r="A266" s="1128" t="s">
        <v>1397</v>
      </c>
      <c r="B266" s="1248">
        <f t="shared" ref="B266:G266" si="19">SUM(B253:B265)</f>
        <v>2269304</v>
      </c>
      <c r="C266" s="1248">
        <f t="shared" si="19"/>
        <v>2900055</v>
      </c>
      <c r="D266" s="1248">
        <f t="shared" si="19"/>
        <v>6485116</v>
      </c>
      <c r="E266" s="1248">
        <f t="shared" si="19"/>
        <v>5765642</v>
      </c>
      <c r="F266" s="1248">
        <f t="shared" si="19"/>
        <v>5576941</v>
      </c>
      <c r="G266" s="1248">
        <f t="shared" si="19"/>
        <v>6088502</v>
      </c>
    </row>
    <row r="267" spans="1:7" x14ac:dyDescent="0.2">
      <c r="A267" s="21">
        <v>48601</v>
      </c>
      <c r="B267" s="75">
        <f>IFERROR(VLOOKUP(A267,'Ф_102_2016'!C:F,4,0),0)</f>
        <v>3409</v>
      </c>
      <c r="C267" s="75">
        <f>IFERROR(VLOOKUP(A267,Ф_102_2017!C:F,4,0),0)</f>
        <v>5544</v>
      </c>
      <c r="D267" s="75">
        <f>IFERROR(VLOOKUP(A267,Ф_102_2018!C:F,4,0),0)</f>
        <v>5238</v>
      </c>
      <c r="E267" s="75">
        <f>IFERROR(VLOOKUP(A267,Ф_102_2019!C:F,4,0),0)</f>
        <v>5394</v>
      </c>
      <c r="F267" s="75">
        <f>IFERROR(VLOOKUP(A267,Ф_102_2020!C:F,4,0),0)</f>
        <v>6547</v>
      </c>
      <c r="G267" s="75">
        <f>IFERROR(VLOOKUP(A267,Ф_102_2021!C:F,4,0),0)</f>
        <v>30462</v>
      </c>
    </row>
    <row r="268" spans="1:7" x14ac:dyDescent="0.2">
      <c r="A268" s="21">
        <v>48602</v>
      </c>
      <c r="B268" s="75">
        <f>IFERROR(VLOOKUP(A268,'Ф_102_2016'!C:F,4,0),0)</f>
        <v>13522</v>
      </c>
      <c r="C268" s="75">
        <f>IFERROR(VLOOKUP(A268,Ф_102_2017!C:F,4,0),0)</f>
        <v>1460</v>
      </c>
      <c r="D268" s="75">
        <f>IFERROR(VLOOKUP(A268,Ф_102_2018!C:F,4,0),0)</f>
        <v>2250</v>
      </c>
      <c r="E268" s="75">
        <f>IFERROR(VLOOKUP(A268,Ф_102_2019!C:F,4,0),0)</f>
        <v>3258</v>
      </c>
      <c r="F268" s="75">
        <f>IFERROR(VLOOKUP(A268,Ф_102_2020!C:F,4,0),0)</f>
        <v>2383</v>
      </c>
      <c r="G268" s="75">
        <f>IFERROR(VLOOKUP(A268,Ф_102_2021!C:F,4,0),0)</f>
        <v>2276</v>
      </c>
    </row>
    <row r="269" spans="1:7" x14ac:dyDescent="0.2">
      <c r="A269" s="21">
        <v>48603</v>
      </c>
      <c r="B269" s="75">
        <f>IFERROR(VLOOKUP(A269,'Ф_102_2016'!C:F,4,0),0)</f>
        <v>1630</v>
      </c>
      <c r="C269" s="75">
        <f>IFERROR(VLOOKUP(A269,Ф_102_2017!C:F,4,0),0)</f>
        <v>5709</v>
      </c>
      <c r="D269" s="75">
        <f>IFERROR(VLOOKUP(A269,Ф_102_2018!C:F,4,0),0)</f>
        <v>11627</v>
      </c>
      <c r="E269" s="75">
        <f>IFERROR(VLOOKUP(A269,Ф_102_2019!C:F,4,0),0)</f>
        <v>17717</v>
      </c>
      <c r="F269" s="75">
        <f>IFERROR(VLOOKUP(A269,Ф_102_2020!C:F,4,0),0)</f>
        <v>9251</v>
      </c>
      <c r="G269" s="75">
        <f>IFERROR(VLOOKUP(A269,Ф_102_2021!C:F,4,0),0)</f>
        <v>13857</v>
      </c>
    </row>
    <row r="270" spans="1:7" x14ac:dyDescent="0.2">
      <c r="A270" s="21">
        <v>48604</v>
      </c>
      <c r="B270" s="75">
        <f>IFERROR(VLOOKUP(A270,'Ф_102_2016'!C:F,4,0),0)</f>
        <v>0</v>
      </c>
      <c r="C270" s="75">
        <f>IFERROR(VLOOKUP(A270,Ф_102_2017!C:F,4,0),0)</f>
        <v>0</v>
      </c>
      <c r="D270" s="75">
        <f>IFERROR(VLOOKUP(A270,Ф_102_2018!C:F,4,0),0)</f>
        <v>0</v>
      </c>
      <c r="E270" s="75">
        <f>IFERROR(VLOOKUP(A270,Ф_102_2019!C:F,4,0),0)</f>
        <v>0</v>
      </c>
      <c r="F270" s="75">
        <f>IFERROR(VLOOKUP(A270,Ф_102_2020!C:F,4,0),0)</f>
        <v>26</v>
      </c>
      <c r="G270" s="75">
        <f>IFERROR(VLOOKUP(A270,Ф_102_2021!C:F,4,0),0)</f>
        <v>0</v>
      </c>
    </row>
    <row r="271" spans="1:7" x14ac:dyDescent="0.2">
      <c r="A271" s="21">
        <v>48605</v>
      </c>
      <c r="B271" s="75">
        <f>IFERROR(VLOOKUP(A271,'Ф_102_2016'!C:F,4,0),0)</f>
        <v>0</v>
      </c>
      <c r="C271" s="75">
        <f>IFERROR(VLOOKUP(A271,Ф_102_2017!C:F,4,0),0)</f>
        <v>170</v>
      </c>
      <c r="D271" s="75">
        <f>IFERROR(VLOOKUP(A271,Ф_102_2018!C:F,4,0),0)</f>
        <v>0</v>
      </c>
      <c r="E271" s="75">
        <f>IFERROR(VLOOKUP(A271,Ф_102_2019!C:F,4,0),0)</f>
        <v>0</v>
      </c>
      <c r="F271" s="75">
        <f>IFERROR(VLOOKUP(A271,Ф_102_2020!C:F,4,0),0)</f>
        <v>0</v>
      </c>
      <c r="G271" s="75">
        <f>IFERROR(VLOOKUP(A271,Ф_102_2021!C:F,4,0),0)</f>
        <v>2</v>
      </c>
    </row>
    <row r="272" spans="1:7" x14ac:dyDescent="0.2">
      <c r="A272" s="21">
        <v>48606</v>
      </c>
      <c r="B272" s="75">
        <f>IFERROR(VLOOKUP(A272,'Ф_102_2016'!C:F,4,0),0)</f>
        <v>19</v>
      </c>
      <c r="C272" s="75">
        <f>IFERROR(VLOOKUP(A272,Ф_102_2017!C:F,4,0),0)</f>
        <v>483</v>
      </c>
      <c r="D272" s="75">
        <f>IFERROR(VLOOKUP(A272,Ф_102_2018!C:F,4,0),0)</f>
        <v>2</v>
      </c>
      <c r="E272" s="75">
        <f>IFERROR(VLOOKUP(A272,Ф_102_2019!C:F,4,0),0)</f>
        <v>53</v>
      </c>
      <c r="F272" s="75">
        <f>IFERROR(VLOOKUP(A272,Ф_102_2020!C:F,4,0),0)</f>
        <v>179</v>
      </c>
      <c r="G272" s="75">
        <f>IFERROR(VLOOKUP(A272,Ф_102_2021!C:F,4,0),0)</f>
        <v>0</v>
      </c>
    </row>
    <row r="273" spans="1:7" x14ac:dyDescent="0.2">
      <c r="A273" s="21">
        <v>48607</v>
      </c>
      <c r="B273" s="75">
        <f>IFERROR(VLOOKUP(A273,'Ф_102_2016'!C:F,4,0),0)</f>
        <v>26922</v>
      </c>
      <c r="C273" s="75">
        <f>IFERROR(VLOOKUP(A273,Ф_102_2017!C:F,4,0),0)</f>
        <v>46508</v>
      </c>
      <c r="D273" s="75">
        <f>IFERROR(VLOOKUP(A273,Ф_102_2018!C:F,4,0),0)</f>
        <v>23515</v>
      </c>
      <c r="E273" s="75">
        <f>IFERROR(VLOOKUP(A273,Ф_102_2019!C:F,4,0),0)</f>
        <v>69380</v>
      </c>
      <c r="F273" s="75">
        <f>IFERROR(VLOOKUP(A273,Ф_102_2020!C:F,4,0),0)</f>
        <v>168133</v>
      </c>
      <c r="G273" s="75">
        <f>IFERROR(VLOOKUP(A273,Ф_102_2021!C:F,4,0),0)</f>
        <v>580533</v>
      </c>
    </row>
    <row r="274" spans="1:7" x14ac:dyDescent="0.2">
      <c r="A274" s="21">
        <v>48608</v>
      </c>
      <c r="B274" s="75">
        <f>IFERROR(VLOOKUP(A274,'Ф_102_2016'!C:F,4,0),0)</f>
        <v>81460</v>
      </c>
      <c r="C274" s="75">
        <f>IFERROR(VLOOKUP(A274,Ф_102_2017!C:F,4,0),0)</f>
        <v>42334</v>
      </c>
      <c r="D274" s="75">
        <f>IFERROR(VLOOKUP(A274,Ф_102_2018!C:F,4,0),0)</f>
        <v>40639</v>
      </c>
      <c r="E274" s="75">
        <f>IFERROR(VLOOKUP(A274,Ф_102_2019!C:F,4,0),0)</f>
        <v>48482</v>
      </c>
      <c r="F274" s="75">
        <f>IFERROR(VLOOKUP(A274,Ф_102_2020!C:F,4,0),0)</f>
        <v>35293</v>
      </c>
      <c r="G274" s="75">
        <f>IFERROR(VLOOKUP(A274,Ф_102_2021!C:F,4,0),0)</f>
        <v>33625</v>
      </c>
    </row>
    <row r="275" spans="1:7" x14ac:dyDescent="0.2">
      <c r="A275" s="21">
        <v>48609</v>
      </c>
      <c r="B275" s="75">
        <f>IFERROR(VLOOKUP(A275,'Ф_102_2016'!C:F,4,0),0)</f>
        <v>0</v>
      </c>
      <c r="C275" s="75">
        <f>IFERROR(VLOOKUP(A275,Ф_102_2017!C:F,4,0),0)</f>
        <v>0</v>
      </c>
      <c r="D275" s="75">
        <f>IFERROR(VLOOKUP(A275,Ф_102_2018!C:F,4,0),0)</f>
        <v>0</v>
      </c>
      <c r="E275" s="75">
        <f>IFERROR(VLOOKUP(A275,Ф_102_2019!C:F,4,0),0)</f>
        <v>0</v>
      </c>
      <c r="F275" s="75">
        <f>IFERROR(VLOOKUP(A275,Ф_102_2020!C:F,4,0),0)</f>
        <v>14</v>
      </c>
      <c r="G275" s="75">
        <f>IFERROR(VLOOKUP(A275,Ф_102_2021!C:F,4,0),0)</f>
        <v>0</v>
      </c>
    </row>
    <row r="276" spans="1:7" x14ac:dyDescent="0.2">
      <c r="A276" s="21">
        <v>48610</v>
      </c>
      <c r="B276" s="75">
        <f>IFERROR(VLOOKUP(A276,'Ф_102_2016'!C:F,4,0),0)</f>
        <v>0</v>
      </c>
      <c r="C276" s="75">
        <f>IFERROR(VLOOKUP(A276,Ф_102_2017!C:F,4,0),0)</f>
        <v>0</v>
      </c>
      <c r="D276" s="75">
        <f>IFERROR(VLOOKUP(A276,Ф_102_2018!C:F,4,0),0)</f>
        <v>0</v>
      </c>
      <c r="E276" s="75">
        <f>IFERROR(VLOOKUP(A276,Ф_102_2019!C:F,4,0),0)</f>
        <v>0</v>
      </c>
      <c r="F276" s="75">
        <f>IFERROR(VLOOKUP(A276,Ф_102_2020!C:F,4,0),0)</f>
        <v>0</v>
      </c>
      <c r="G276" s="75">
        <f>IFERROR(VLOOKUP(A276,Ф_102_2021!C:F,4,0),0)</f>
        <v>0</v>
      </c>
    </row>
    <row r="277" spans="1:7" x14ac:dyDescent="0.2">
      <c r="A277" s="21">
        <v>48611</v>
      </c>
      <c r="B277" s="75">
        <f>IFERROR(VLOOKUP(A277,'Ф_102_2016'!C:F,4,0),0)</f>
        <v>4802</v>
      </c>
      <c r="C277" s="75">
        <f>IFERROR(VLOOKUP(A277,Ф_102_2017!C:F,4,0),0)</f>
        <v>17201</v>
      </c>
      <c r="D277" s="75">
        <f>IFERROR(VLOOKUP(A277,Ф_102_2018!C:F,4,0),0)</f>
        <v>13026</v>
      </c>
      <c r="E277" s="75">
        <f>IFERROR(VLOOKUP(A277,Ф_102_2019!C:F,4,0),0)</f>
        <v>696389</v>
      </c>
      <c r="F277" s="75">
        <f>IFERROR(VLOOKUP(A277,Ф_102_2020!C:F,4,0),0)</f>
        <v>337321</v>
      </c>
      <c r="G277" s="75">
        <f>IFERROR(VLOOKUP(A277,Ф_102_2021!C:F,4,0),0)</f>
        <v>559186</v>
      </c>
    </row>
    <row r="278" spans="1:7" ht="63.75" thickBot="1" x14ac:dyDescent="0.25">
      <c r="A278" s="1128" t="s">
        <v>1467</v>
      </c>
      <c r="B278" s="1248">
        <f t="shared" ref="B278:G278" si="20">SUM(B267:B277)</f>
        <v>131764</v>
      </c>
      <c r="C278" s="1248">
        <f t="shared" si="20"/>
        <v>119409</v>
      </c>
      <c r="D278" s="1248">
        <f t="shared" si="20"/>
        <v>96297</v>
      </c>
      <c r="E278" s="1248">
        <f t="shared" si="20"/>
        <v>840673</v>
      </c>
      <c r="F278" s="1248">
        <f t="shared" si="20"/>
        <v>559147</v>
      </c>
      <c r="G278" s="1248">
        <f t="shared" si="20"/>
        <v>1219941</v>
      </c>
    </row>
    <row r="279" spans="1:7" x14ac:dyDescent="0.2">
      <c r="A279" s="21">
        <v>41101</v>
      </c>
      <c r="B279" s="75">
        <f>IFERROR(VLOOKUP(A279,'Ф_102_2016'!C:F,4,0),0)</f>
        <v>0</v>
      </c>
      <c r="C279" s="75">
        <f>IFERROR(VLOOKUP(A279,Ф_102_2017!C:F,4,0),0)</f>
        <v>0</v>
      </c>
      <c r="D279" s="75">
        <f>IFERROR(VLOOKUP(A279,Ф_102_2018!C:F,4,0),0)</f>
        <v>0</v>
      </c>
      <c r="E279" s="75">
        <f>IFERROR(VLOOKUP(A279,Ф_102_2019!C:F,4,0),0)</f>
        <v>0</v>
      </c>
      <c r="F279" s="75">
        <f>IFERROR(VLOOKUP(A279,Ф_102_2020!C:F,4,0),0)</f>
        <v>0</v>
      </c>
      <c r="G279" s="75">
        <f>IFERROR(VLOOKUP(A279,Ф_102_2021!C:F,4,0),0)</f>
        <v>0</v>
      </c>
    </row>
    <row r="280" spans="1:7" x14ac:dyDescent="0.2">
      <c r="A280" s="21">
        <v>41102</v>
      </c>
      <c r="B280" s="75">
        <f>IFERROR(VLOOKUP(A280,'Ф_102_2016'!C:F,4,0),0)</f>
        <v>0</v>
      </c>
      <c r="C280" s="75">
        <f>IFERROR(VLOOKUP(A280,Ф_102_2017!C:F,4,0),0)</f>
        <v>0</v>
      </c>
      <c r="D280" s="75">
        <f>IFERROR(VLOOKUP(A280,Ф_102_2018!C:F,4,0),0)</f>
        <v>0</v>
      </c>
      <c r="E280" s="75">
        <f>IFERROR(VLOOKUP(A280,Ф_102_2019!C:F,4,0),0)</f>
        <v>0</v>
      </c>
      <c r="F280" s="75">
        <f>IFERROR(VLOOKUP(A280,Ф_102_2020!C:F,4,0),0)</f>
        <v>0</v>
      </c>
      <c r="G280" s="75">
        <f>IFERROR(VLOOKUP(A280,Ф_102_2021!C:F,4,0),0)</f>
        <v>0</v>
      </c>
    </row>
    <row r="281" spans="1:7" x14ac:dyDescent="0.2">
      <c r="A281" s="21">
        <v>41103</v>
      </c>
      <c r="B281" s="75">
        <f>IFERROR(VLOOKUP(A281,'Ф_102_2016'!C:F,4,0),0)</f>
        <v>0</v>
      </c>
      <c r="C281" s="75">
        <f>IFERROR(VLOOKUP(A281,Ф_102_2017!C:F,4,0),0)</f>
        <v>0</v>
      </c>
      <c r="D281" s="75">
        <f>IFERROR(VLOOKUP(A281,Ф_102_2018!C:F,4,0),0)</f>
        <v>0</v>
      </c>
      <c r="E281" s="75">
        <f>IFERROR(VLOOKUP(A281,Ф_102_2019!C:F,4,0),0)</f>
        <v>0</v>
      </c>
      <c r="F281" s="75">
        <f>IFERROR(VLOOKUP(A281,Ф_102_2020!C:F,4,0),0)</f>
        <v>0</v>
      </c>
      <c r="G281" s="75">
        <f>IFERROR(VLOOKUP(A281,Ф_102_2021!C:F,4,0),0)</f>
        <v>0</v>
      </c>
    </row>
    <row r="282" spans="1:7" x14ac:dyDescent="0.2">
      <c r="A282" s="21">
        <v>41104</v>
      </c>
      <c r="B282" s="75">
        <f>IFERROR(VLOOKUP(A282,'Ф_102_2016'!C:F,4,0),0)</f>
        <v>0</v>
      </c>
      <c r="C282" s="75">
        <f>IFERROR(VLOOKUP(A282,Ф_102_2017!C:F,4,0),0)</f>
        <v>0</v>
      </c>
      <c r="D282" s="75">
        <f>IFERROR(VLOOKUP(A282,Ф_102_2018!C:F,4,0),0)</f>
        <v>0</v>
      </c>
      <c r="E282" s="75">
        <f>IFERROR(VLOOKUP(A282,Ф_102_2019!C:F,4,0),0)</f>
        <v>0</v>
      </c>
      <c r="F282" s="75">
        <f>IFERROR(VLOOKUP(A282,Ф_102_2020!C:F,4,0),0)</f>
        <v>0</v>
      </c>
      <c r="G282" s="75">
        <f>IFERROR(VLOOKUP(A282,Ф_102_2021!C:F,4,0),0)</f>
        <v>0</v>
      </c>
    </row>
    <row r="283" spans="1:7" x14ac:dyDescent="0.2">
      <c r="A283" s="21">
        <v>41105</v>
      </c>
      <c r="B283" s="75">
        <f>IFERROR(VLOOKUP(A283,'Ф_102_2016'!C:F,4,0),0)</f>
        <v>0</v>
      </c>
      <c r="C283" s="75">
        <f>IFERROR(VLOOKUP(A283,Ф_102_2017!C:F,4,0),0)</f>
        <v>0</v>
      </c>
      <c r="D283" s="75">
        <f>IFERROR(VLOOKUP(A283,Ф_102_2018!C:F,4,0),0)</f>
        <v>0</v>
      </c>
      <c r="E283" s="75">
        <f>IFERROR(VLOOKUP(A283,Ф_102_2019!C:F,4,0),0)</f>
        <v>782</v>
      </c>
      <c r="F283" s="75">
        <f>IFERROR(VLOOKUP(A283,Ф_102_2020!C:F,4,0),0)</f>
        <v>69369</v>
      </c>
      <c r="G283" s="75">
        <f>IFERROR(VLOOKUP(A283,Ф_102_2021!C:F,4,0),0)</f>
        <v>0</v>
      </c>
    </row>
    <row r="284" spans="1:7" x14ac:dyDescent="0.2">
      <c r="A284" s="21">
        <v>41106</v>
      </c>
      <c r="B284" s="75">
        <f>IFERROR(VLOOKUP(A284,'Ф_102_2016'!C:F,4,0),0)</f>
        <v>0</v>
      </c>
      <c r="C284" s="75">
        <f>IFERROR(VLOOKUP(A284,Ф_102_2017!C:F,4,0),0)</f>
        <v>0</v>
      </c>
      <c r="D284" s="75">
        <f>IFERROR(VLOOKUP(A284,Ф_102_2018!C:F,4,0),0)</f>
        <v>0</v>
      </c>
      <c r="E284" s="75">
        <f>IFERROR(VLOOKUP(A284,Ф_102_2019!C:F,4,0),0)</f>
        <v>0</v>
      </c>
      <c r="F284" s="75">
        <f>IFERROR(VLOOKUP(A284,Ф_102_2020!C:F,4,0),0)</f>
        <v>0</v>
      </c>
      <c r="G284" s="75">
        <f>IFERROR(VLOOKUP(A284,Ф_102_2021!C:F,4,0),0)</f>
        <v>0</v>
      </c>
    </row>
    <row r="285" spans="1:7" x14ac:dyDescent="0.2">
      <c r="A285" s="21">
        <v>41107</v>
      </c>
      <c r="B285" s="75">
        <f>IFERROR(VLOOKUP(A285,'Ф_102_2016'!C:F,4,0),0)</f>
        <v>0</v>
      </c>
      <c r="C285" s="75">
        <f>IFERROR(VLOOKUP(A285,Ф_102_2017!C:F,4,0),0)</f>
        <v>0</v>
      </c>
      <c r="D285" s="75">
        <f>IFERROR(VLOOKUP(A285,Ф_102_2018!C:F,4,0),0)</f>
        <v>0</v>
      </c>
      <c r="E285" s="75">
        <f>IFERROR(VLOOKUP(A285,Ф_102_2019!C:F,4,0),0)</f>
        <v>0</v>
      </c>
      <c r="F285" s="75">
        <f>IFERROR(VLOOKUP(A285,Ф_102_2020!C:F,4,0),0)</f>
        <v>0</v>
      </c>
      <c r="G285" s="75">
        <f>IFERROR(VLOOKUP(A285,Ф_102_2021!C:F,4,0),0)</f>
        <v>0</v>
      </c>
    </row>
    <row r="286" spans="1:7" x14ac:dyDescent="0.2">
      <c r="A286" s="21">
        <v>41108</v>
      </c>
      <c r="B286" s="75">
        <f>IFERROR(VLOOKUP(A286,'Ф_102_2016'!C:F,4,0),0)</f>
        <v>0</v>
      </c>
      <c r="C286" s="75">
        <f>IFERROR(VLOOKUP(A286,Ф_102_2017!C:F,4,0),0)</f>
        <v>29798</v>
      </c>
      <c r="D286" s="75">
        <f>IFERROR(VLOOKUP(A286,Ф_102_2018!C:F,4,0),0)</f>
        <v>0</v>
      </c>
      <c r="E286" s="75">
        <f>IFERROR(VLOOKUP(A286,Ф_102_2019!C:F,4,0),0)</f>
        <v>0</v>
      </c>
      <c r="F286" s="75">
        <f>IFERROR(VLOOKUP(A286,Ф_102_2020!C:F,4,0),0)</f>
        <v>1714</v>
      </c>
      <c r="G286" s="75">
        <f>IFERROR(VLOOKUP(A286,Ф_102_2021!C:F,4,0),0)</f>
        <v>0</v>
      </c>
    </row>
    <row r="287" spans="1:7" x14ac:dyDescent="0.2">
      <c r="A287" s="21">
        <v>41109</v>
      </c>
      <c r="B287" s="75">
        <f>IFERROR(VLOOKUP(A287,'Ф_102_2016'!C:F,4,0),0)</f>
        <v>0</v>
      </c>
      <c r="C287" s="75">
        <f>IFERROR(VLOOKUP(A287,Ф_102_2017!C:F,4,0),0)</f>
        <v>0</v>
      </c>
      <c r="D287" s="75">
        <f>IFERROR(VLOOKUP(A287,Ф_102_2018!C:F,4,0),0)</f>
        <v>0</v>
      </c>
      <c r="E287" s="75">
        <f>IFERROR(VLOOKUP(A287,Ф_102_2019!C:F,4,0),0)</f>
        <v>15850</v>
      </c>
      <c r="F287" s="75">
        <f>IFERROR(VLOOKUP(A287,Ф_102_2020!C:F,4,0),0)</f>
        <v>2141</v>
      </c>
      <c r="G287" s="75">
        <f>IFERROR(VLOOKUP(A287,Ф_102_2021!C:F,4,0),0)</f>
        <v>495</v>
      </c>
    </row>
    <row r="288" spans="1:7" x14ac:dyDescent="0.2">
      <c r="A288" s="21">
        <v>41110</v>
      </c>
      <c r="B288" s="75">
        <f>IFERROR(VLOOKUP(A288,'Ф_102_2016'!C:F,4,0),0)</f>
        <v>0</v>
      </c>
      <c r="C288" s="75">
        <f>IFERROR(VLOOKUP(A288,Ф_102_2017!C:F,4,0),0)</f>
        <v>0</v>
      </c>
      <c r="D288" s="75">
        <f>IFERROR(VLOOKUP(A288,Ф_102_2018!C:F,4,0),0)</f>
        <v>0</v>
      </c>
      <c r="E288" s="75">
        <f>IFERROR(VLOOKUP(A288,Ф_102_2019!C:F,4,0),0)</f>
        <v>18388</v>
      </c>
      <c r="F288" s="75">
        <f>IFERROR(VLOOKUP(A288,Ф_102_2020!C:F,4,0),0)</f>
        <v>0</v>
      </c>
      <c r="G288" s="75">
        <f>IFERROR(VLOOKUP(A288,Ф_102_2021!C:F,4,0),0)</f>
        <v>0</v>
      </c>
    </row>
    <row r="289" spans="1:7" x14ac:dyDescent="0.2">
      <c r="A289" s="21">
        <v>41111</v>
      </c>
      <c r="B289" s="75">
        <f>IFERROR(VLOOKUP(A289,'Ф_102_2016'!C:F,4,0),0)</f>
        <v>0</v>
      </c>
      <c r="C289" s="75">
        <f>IFERROR(VLOOKUP(A289,Ф_102_2017!C:F,4,0),0)</f>
        <v>134521</v>
      </c>
      <c r="D289" s="75">
        <f>IFERROR(VLOOKUP(A289,Ф_102_2018!C:F,4,0),0)</f>
        <v>0</v>
      </c>
      <c r="E289" s="75">
        <f>IFERROR(VLOOKUP(A289,Ф_102_2019!C:F,4,0),0)</f>
        <v>12760</v>
      </c>
      <c r="F289" s="75">
        <f>IFERROR(VLOOKUP(A289,Ф_102_2020!C:F,4,0),0)</f>
        <v>115873</v>
      </c>
      <c r="G289" s="75">
        <f>IFERROR(VLOOKUP(A289,Ф_102_2021!C:F,4,0),0)</f>
        <v>1497</v>
      </c>
    </row>
    <row r="290" spans="1:7" x14ac:dyDescent="0.2">
      <c r="A290" s="21">
        <v>41112</v>
      </c>
      <c r="B290" s="75">
        <f>IFERROR(VLOOKUP(A290,'Ф_102_2016'!C:F,4,0),0)</f>
        <v>3966804</v>
      </c>
      <c r="C290" s="75">
        <f>IFERROR(VLOOKUP(A290,Ф_102_2017!C:F,4,0),0)</f>
        <v>15175570</v>
      </c>
      <c r="D290" s="75">
        <f>IFERROR(VLOOKUP(A290,Ф_102_2018!C:F,4,0),0)</f>
        <v>2313799</v>
      </c>
      <c r="E290" s="75">
        <f>IFERROR(VLOOKUP(A290,Ф_102_2019!C:F,4,0),0)</f>
        <v>465925</v>
      </c>
      <c r="F290" s="75">
        <f>IFERROR(VLOOKUP(A290,Ф_102_2020!C:F,4,0),0)</f>
        <v>1103530</v>
      </c>
      <c r="G290" s="75">
        <f>IFERROR(VLOOKUP(A290,Ф_102_2021!C:F,4,0),0)</f>
        <v>529026</v>
      </c>
    </row>
    <row r="291" spans="1:7" x14ac:dyDescent="0.2">
      <c r="A291" s="21">
        <v>41113</v>
      </c>
      <c r="B291" s="75">
        <f>IFERROR(VLOOKUP(A291,'Ф_102_2016'!C:F,4,0),0)</f>
        <v>0</v>
      </c>
      <c r="C291" s="75">
        <f>IFERROR(VLOOKUP(A291,Ф_102_2017!C:F,4,0),0)</f>
        <v>0</v>
      </c>
      <c r="D291" s="75">
        <f>IFERROR(VLOOKUP(A291,Ф_102_2018!C:F,4,0),0)</f>
        <v>0</v>
      </c>
      <c r="E291" s="75">
        <f>IFERROR(VLOOKUP(A291,Ф_102_2019!C:F,4,0),0)</f>
        <v>1</v>
      </c>
      <c r="F291" s="75">
        <f>IFERROR(VLOOKUP(A291,Ф_102_2020!C:F,4,0),0)</f>
        <v>1892</v>
      </c>
      <c r="G291" s="75">
        <f>IFERROR(VLOOKUP(A291,Ф_102_2021!C:F,4,0),0)</f>
        <v>0</v>
      </c>
    </row>
    <row r="292" spans="1:7" x14ac:dyDescent="0.2">
      <c r="A292" s="21">
        <v>41114</v>
      </c>
      <c r="B292" s="75">
        <f>IFERROR(VLOOKUP(A292,'Ф_102_2016'!C:F,4,0),0)</f>
        <v>0</v>
      </c>
      <c r="C292" s="75">
        <f>IFERROR(VLOOKUP(A292,Ф_102_2017!C:F,4,0),0)</f>
        <v>803</v>
      </c>
      <c r="D292" s="75">
        <f>IFERROR(VLOOKUP(A292,Ф_102_2018!C:F,4,0),0)</f>
        <v>0</v>
      </c>
      <c r="E292" s="75">
        <f>IFERROR(VLOOKUP(A292,Ф_102_2019!C:F,4,0),0)</f>
        <v>30949</v>
      </c>
      <c r="F292" s="75">
        <f>IFERROR(VLOOKUP(A292,Ф_102_2020!C:F,4,0),0)</f>
        <v>47959</v>
      </c>
      <c r="G292" s="75">
        <f>IFERROR(VLOOKUP(A292,Ф_102_2021!C:F,4,0),0)</f>
        <v>22192</v>
      </c>
    </row>
    <row r="293" spans="1:7" x14ac:dyDescent="0.2">
      <c r="A293" s="21">
        <v>41115</v>
      </c>
      <c r="B293" s="75">
        <f>IFERROR(VLOOKUP(A293,'Ф_102_2016'!C:F,4,0),0)</f>
        <v>62459</v>
      </c>
      <c r="C293" s="75">
        <f>IFERROR(VLOOKUP(A293,Ф_102_2017!C:F,4,0),0)</f>
        <v>45866</v>
      </c>
      <c r="D293" s="75">
        <f>IFERROR(VLOOKUP(A293,Ф_102_2018!C:F,4,0),0)</f>
        <v>59061</v>
      </c>
      <c r="E293" s="75">
        <f>IFERROR(VLOOKUP(A293,Ф_102_2019!C:F,4,0),0)</f>
        <v>4805</v>
      </c>
      <c r="F293" s="75">
        <f>IFERROR(VLOOKUP(A293,Ф_102_2020!C:F,4,0),0)</f>
        <v>22024</v>
      </c>
      <c r="G293" s="75">
        <f>IFERROR(VLOOKUP(A293,Ф_102_2021!C:F,4,0),0)</f>
        <v>23412</v>
      </c>
    </row>
    <row r="294" spans="1:7" x14ac:dyDescent="0.2">
      <c r="A294" s="21">
        <v>41116</v>
      </c>
      <c r="B294" s="75">
        <f>IFERROR(VLOOKUP(A294,'Ф_102_2016'!C:F,4,0),0)</f>
        <v>0</v>
      </c>
      <c r="C294" s="75">
        <f>IFERROR(VLOOKUP(A294,Ф_102_2017!C:F,4,0),0)</f>
        <v>0</v>
      </c>
      <c r="D294" s="75">
        <f>IFERROR(VLOOKUP(A294,Ф_102_2018!C:F,4,0),0)</f>
        <v>0</v>
      </c>
      <c r="E294" s="75">
        <f>IFERROR(VLOOKUP(A294,Ф_102_2019!C:F,4,0),0)</f>
        <v>0</v>
      </c>
      <c r="F294" s="75">
        <f>IFERROR(VLOOKUP(A294,Ф_102_2020!C:F,4,0),0)</f>
        <v>0</v>
      </c>
      <c r="G294" s="75">
        <f>IFERROR(VLOOKUP(A294,Ф_102_2021!C:F,4,0),0)</f>
        <v>0</v>
      </c>
    </row>
    <row r="295" spans="1:7" x14ac:dyDescent="0.2">
      <c r="A295" s="21">
        <v>41117</v>
      </c>
      <c r="B295" s="75">
        <f>IFERROR(VLOOKUP(A295,'Ф_102_2016'!C:F,4,0),0)</f>
        <v>0</v>
      </c>
      <c r="C295" s="75">
        <f>IFERROR(VLOOKUP(A295,Ф_102_2017!C:F,4,0),0)</f>
        <v>0</v>
      </c>
      <c r="D295" s="75">
        <f>IFERROR(VLOOKUP(A295,Ф_102_2018!C:F,4,0),0)</f>
        <v>0</v>
      </c>
      <c r="E295" s="75">
        <f>IFERROR(VLOOKUP(A295,Ф_102_2019!C:F,4,0),0)</f>
        <v>0</v>
      </c>
      <c r="F295" s="75">
        <f>IFERROR(VLOOKUP(A295,Ф_102_2020!C:F,4,0),0)</f>
        <v>0</v>
      </c>
      <c r="G295" s="75">
        <f>IFERROR(VLOOKUP(A295,Ф_102_2021!C:F,4,0),0)</f>
        <v>0</v>
      </c>
    </row>
    <row r="296" spans="1:7" x14ac:dyDescent="0.2">
      <c r="A296" s="21">
        <v>41118</v>
      </c>
      <c r="B296" s="75">
        <f>IFERROR(VLOOKUP(A296,'Ф_102_2016'!C:F,4,0),0)</f>
        <v>0</v>
      </c>
      <c r="C296" s="75">
        <f>IFERROR(VLOOKUP(A296,Ф_102_2017!C:F,4,0),0)</f>
        <v>0</v>
      </c>
      <c r="D296" s="75">
        <f>IFERROR(VLOOKUP(A296,Ф_102_2018!C:F,4,0),0)</f>
        <v>0</v>
      </c>
      <c r="E296" s="75">
        <f>IFERROR(VLOOKUP(A296,Ф_102_2019!C:F,4,0),0)</f>
        <v>0</v>
      </c>
      <c r="F296" s="75">
        <f>IFERROR(VLOOKUP(A296,Ф_102_2020!C:F,4,0),0)</f>
        <v>877</v>
      </c>
      <c r="G296" s="75">
        <f>IFERROR(VLOOKUP(A296,Ф_102_2021!C:F,4,0),0)</f>
        <v>160</v>
      </c>
    </row>
    <row r="297" spans="1:7" x14ac:dyDescent="0.2">
      <c r="A297" s="21">
        <v>41119</v>
      </c>
      <c r="B297" s="75">
        <f>IFERROR(VLOOKUP(A297,'Ф_102_2016'!C:F,4,0),0)</f>
        <v>0</v>
      </c>
      <c r="C297" s="75">
        <f>IFERROR(VLOOKUP(A297,Ф_102_2017!C:F,4,0),0)</f>
        <v>0</v>
      </c>
      <c r="D297" s="75">
        <f>IFERROR(VLOOKUP(A297,Ф_102_2018!C:F,4,0),0)</f>
        <v>0</v>
      </c>
      <c r="E297" s="75">
        <f>IFERROR(VLOOKUP(A297,Ф_102_2019!C:F,4,0),0)</f>
        <v>0</v>
      </c>
      <c r="F297" s="75">
        <f>IFERROR(VLOOKUP(A297,Ф_102_2020!C:F,4,0),0)</f>
        <v>0</v>
      </c>
      <c r="G297" s="75">
        <f>IFERROR(VLOOKUP(A297,Ф_102_2021!C:F,4,0),0)</f>
        <v>0</v>
      </c>
    </row>
    <row r="298" spans="1:7" x14ac:dyDescent="0.2">
      <c r="A298" s="21">
        <v>41120</v>
      </c>
      <c r="B298" s="75">
        <f>IFERROR(VLOOKUP(A298,'Ф_102_2016'!C:F,4,0),0)</f>
        <v>0</v>
      </c>
      <c r="C298" s="75">
        <f>IFERROR(VLOOKUP(A298,Ф_102_2017!C:F,4,0),0)</f>
        <v>0</v>
      </c>
      <c r="D298" s="75">
        <f>IFERROR(VLOOKUP(A298,Ф_102_2018!C:F,4,0),0)</f>
        <v>0</v>
      </c>
      <c r="E298" s="75">
        <f>IFERROR(VLOOKUP(A298,Ф_102_2019!C:F,4,0),0)</f>
        <v>0</v>
      </c>
      <c r="F298" s="75">
        <f>IFERROR(VLOOKUP(A298,Ф_102_2020!C:F,4,0),0)</f>
        <v>0</v>
      </c>
      <c r="G298" s="75">
        <f>IFERROR(VLOOKUP(A298,Ф_102_2021!C:F,4,0),0)</f>
        <v>0</v>
      </c>
    </row>
    <row r="299" spans="1:7" ht="63.75" thickBot="1" x14ac:dyDescent="0.25">
      <c r="A299" s="1155" t="s">
        <v>1519</v>
      </c>
      <c r="B299" s="1249">
        <f t="shared" ref="B299:G299" si="21">SUM(B279:B298)</f>
        <v>4029263</v>
      </c>
      <c r="C299" s="1249">
        <f t="shared" si="21"/>
        <v>15386558</v>
      </c>
      <c r="D299" s="1249">
        <f t="shared" si="21"/>
        <v>2372860</v>
      </c>
      <c r="E299" s="1249">
        <f t="shared" si="21"/>
        <v>549460</v>
      </c>
      <c r="F299" s="1249">
        <f t="shared" si="21"/>
        <v>1365379</v>
      </c>
      <c r="G299" s="1249">
        <f t="shared" si="21"/>
        <v>576782</v>
      </c>
    </row>
    <row r="300" spans="1:7" x14ac:dyDescent="0.2">
      <c r="A300" s="21">
        <v>41201</v>
      </c>
      <c r="B300" s="75">
        <f>IFERROR(VLOOKUP(A300,'Ф_102_2016'!C:F,4,0),0)</f>
        <v>0</v>
      </c>
      <c r="C300" s="75">
        <f>IFERROR(VLOOKUP(A300,Ф_102_2017!C:F,4,0),0)</f>
        <v>0</v>
      </c>
      <c r="D300" s="75">
        <f>IFERROR(VLOOKUP(A300,Ф_102_2018!C:F,4,0),0)</f>
        <v>0</v>
      </c>
      <c r="E300" s="75">
        <f>IFERROR(VLOOKUP(A300,Ф_102_2019!C:F,4,0),0)</f>
        <v>0</v>
      </c>
      <c r="F300" s="75">
        <f>IFERROR(VLOOKUP(A300,Ф_102_2020!C:F,4,0),0)</f>
        <v>0</v>
      </c>
      <c r="G300" s="75">
        <f>IFERROR(VLOOKUP(A300,Ф_102_2021!C:F,4,0),0)</f>
        <v>0</v>
      </c>
    </row>
    <row r="301" spans="1:7" x14ac:dyDescent="0.2">
      <c r="A301" s="21">
        <v>41202</v>
      </c>
      <c r="B301" s="75">
        <f>IFERROR(VLOOKUP(A301,'Ф_102_2016'!C:F,4,0),0)</f>
        <v>0</v>
      </c>
      <c r="C301" s="75">
        <f>IFERROR(VLOOKUP(A301,Ф_102_2017!C:F,4,0),0)</f>
        <v>0</v>
      </c>
      <c r="D301" s="75">
        <f>IFERROR(VLOOKUP(A301,Ф_102_2018!C:F,4,0),0)</f>
        <v>0</v>
      </c>
      <c r="E301" s="75">
        <f>IFERROR(VLOOKUP(A301,Ф_102_2019!C:F,4,0),0)</f>
        <v>0</v>
      </c>
      <c r="F301" s="75">
        <f>IFERROR(VLOOKUP(A301,Ф_102_2020!C:F,4,0),0)</f>
        <v>0</v>
      </c>
      <c r="G301" s="75">
        <f>IFERROR(VLOOKUP(A301,Ф_102_2021!C:F,4,0),0)</f>
        <v>0</v>
      </c>
    </row>
    <row r="302" spans="1:7" x14ac:dyDescent="0.2">
      <c r="A302" s="21">
        <v>41203</v>
      </c>
      <c r="B302" s="75">
        <f>IFERROR(VLOOKUP(A302,'Ф_102_2016'!C:F,4,0),0)</f>
        <v>0</v>
      </c>
      <c r="C302" s="75">
        <f>IFERROR(VLOOKUP(A302,Ф_102_2017!C:F,4,0),0)</f>
        <v>0</v>
      </c>
      <c r="D302" s="75">
        <f>IFERROR(VLOOKUP(A302,Ф_102_2018!C:F,4,0),0)</f>
        <v>0</v>
      </c>
      <c r="E302" s="75">
        <f>IFERROR(VLOOKUP(A302,Ф_102_2019!C:F,4,0),0)</f>
        <v>0</v>
      </c>
      <c r="F302" s="75">
        <f>IFERROR(VLOOKUP(A302,Ф_102_2020!C:F,4,0),0)</f>
        <v>0</v>
      </c>
      <c r="G302" s="75">
        <f>IFERROR(VLOOKUP(A302,Ф_102_2021!C:F,4,0),0)</f>
        <v>0</v>
      </c>
    </row>
    <row r="303" spans="1:7" x14ac:dyDescent="0.2">
      <c r="A303" s="21">
        <v>41204</v>
      </c>
      <c r="B303" s="75">
        <f>IFERROR(VLOOKUP(A303,'Ф_102_2016'!C:F,4,0),0)</f>
        <v>0</v>
      </c>
      <c r="C303" s="75">
        <f>IFERROR(VLOOKUP(A303,Ф_102_2017!C:F,4,0),0)</f>
        <v>6</v>
      </c>
      <c r="D303" s="75">
        <f>IFERROR(VLOOKUP(A303,Ф_102_2018!C:F,4,0),0)</f>
        <v>1</v>
      </c>
      <c r="E303" s="75">
        <f>IFERROR(VLOOKUP(A303,Ф_102_2019!C:F,4,0),0)</f>
        <v>0</v>
      </c>
      <c r="F303" s="75">
        <f>IFERROR(VLOOKUP(A303,Ф_102_2020!C:F,4,0),0)</f>
        <v>12571</v>
      </c>
      <c r="G303" s="75">
        <f>IFERROR(VLOOKUP(A303,Ф_102_2021!C:F,4,0),0)</f>
        <v>0</v>
      </c>
    </row>
    <row r="304" spans="1:7" x14ac:dyDescent="0.2">
      <c r="A304" s="21">
        <v>41205</v>
      </c>
      <c r="B304" s="75">
        <f>IFERROR(VLOOKUP(A304,'Ф_102_2016'!C:F,4,0),0)</f>
        <v>0</v>
      </c>
      <c r="C304" s="75">
        <f>IFERROR(VLOOKUP(A304,Ф_102_2017!C:F,4,0),0)</f>
        <v>0</v>
      </c>
      <c r="D304" s="75">
        <f>IFERROR(VLOOKUP(A304,Ф_102_2018!C:F,4,0),0)</f>
        <v>0</v>
      </c>
      <c r="E304" s="75">
        <f>IFERROR(VLOOKUP(A304,Ф_102_2019!C:F,4,0),0)</f>
        <v>0</v>
      </c>
      <c r="F304" s="75">
        <f>IFERROR(VLOOKUP(A304,Ф_102_2020!C:F,4,0),0)</f>
        <v>0</v>
      </c>
      <c r="G304" s="75">
        <f>IFERROR(VLOOKUP(A304,Ф_102_2021!C:F,4,0),0)</f>
        <v>0</v>
      </c>
    </row>
    <row r="305" spans="1:7" x14ac:dyDescent="0.2">
      <c r="A305" s="21">
        <v>41206</v>
      </c>
      <c r="B305" s="75">
        <f>IFERROR(VLOOKUP(A305,'Ф_102_2016'!C:F,4,0),0)</f>
        <v>0</v>
      </c>
      <c r="C305" s="75">
        <f>IFERROR(VLOOKUP(A305,Ф_102_2017!C:F,4,0),0)</f>
        <v>0</v>
      </c>
      <c r="D305" s="75">
        <f>IFERROR(VLOOKUP(A305,Ф_102_2018!C:F,4,0),0)</f>
        <v>0</v>
      </c>
      <c r="E305" s="75">
        <f>IFERROR(VLOOKUP(A305,Ф_102_2019!C:F,4,0),0)</f>
        <v>0</v>
      </c>
      <c r="F305" s="75">
        <f>IFERROR(VLOOKUP(A305,Ф_102_2020!C:F,4,0),0)</f>
        <v>0</v>
      </c>
      <c r="G305" s="75">
        <f>IFERROR(VLOOKUP(A305,Ф_102_2021!C:F,4,0),0)</f>
        <v>0</v>
      </c>
    </row>
    <row r="306" spans="1:7" x14ac:dyDescent="0.2">
      <c r="A306" s="21">
        <v>41207</v>
      </c>
      <c r="B306" s="75">
        <f>IFERROR(VLOOKUP(A306,'Ф_102_2016'!C:F,4,0),0)</f>
        <v>0</v>
      </c>
      <c r="C306" s="75">
        <f>IFERROR(VLOOKUP(A306,Ф_102_2017!C:F,4,0),0)</f>
        <v>0</v>
      </c>
      <c r="D306" s="75">
        <f>IFERROR(VLOOKUP(A306,Ф_102_2018!C:F,4,0),0)</f>
        <v>0</v>
      </c>
      <c r="E306" s="75">
        <f>IFERROR(VLOOKUP(A306,Ф_102_2019!C:F,4,0),0)</f>
        <v>0</v>
      </c>
      <c r="F306" s="75">
        <f>IFERROR(VLOOKUP(A306,Ф_102_2020!C:F,4,0),0)</f>
        <v>0</v>
      </c>
      <c r="G306" s="75">
        <f>IFERROR(VLOOKUP(A306,Ф_102_2021!C:F,4,0),0)</f>
        <v>0</v>
      </c>
    </row>
    <row r="307" spans="1:7" x14ac:dyDescent="0.2">
      <c r="A307" s="21">
        <v>41208</v>
      </c>
      <c r="B307" s="75">
        <f>IFERROR(VLOOKUP(A307,'Ф_102_2016'!C:F,4,0),0)</f>
        <v>0</v>
      </c>
      <c r="C307" s="75">
        <f>IFERROR(VLOOKUP(A307,Ф_102_2017!C:F,4,0),0)</f>
        <v>0</v>
      </c>
      <c r="D307" s="75">
        <f>IFERROR(VLOOKUP(A307,Ф_102_2018!C:F,4,0),0)</f>
        <v>0</v>
      </c>
      <c r="E307" s="75">
        <f>IFERROR(VLOOKUP(A307,Ф_102_2019!C:F,4,0),0)</f>
        <v>0</v>
      </c>
      <c r="F307" s="75">
        <f>IFERROR(VLOOKUP(A307,Ф_102_2020!C:F,4,0),0)</f>
        <v>0</v>
      </c>
      <c r="G307" s="75">
        <f>IFERROR(VLOOKUP(A307,Ф_102_2021!C:F,4,0),0)</f>
        <v>0</v>
      </c>
    </row>
    <row r="308" spans="1:7" x14ac:dyDescent="0.2">
      <c r="A308" s="21">
        <v>41209</v>
      </c>
      <c r="B308" s="75">
        <f>IFERROR(VLOOKUP(A308,'Ф_102_2016'!C:F,4,0),0)</f>
        <v>0</v>
      </c>
      <c r="C308" s="75">
        <f>IFERROR(VLOOKUP(A308,Ф_102_2017!C:F,4,0),0)</f>
        <v>0</v>
      </c>
      <c r="D308" s="75">
        <f>IFERROR(VLOOKUP(A308,Ф_102_2018!C:F,4,0),0)</f>
        <v>0</v>
      </c>
      <c r="E308" s="75">
        <f>IFERROR(VLOOKUP(A308,Ф_102_2019!C:F,4,0),0)</f>
        <v>0</v>
      </c>
      <c r="F308" s="75">
        <f>IFERROR(VLOOKUP(A308,Ф_102_2020!C:F,4,0),0)</f>
        <v>0</v>
      </c>
      <c r="G308" s="75">
        <f>IFERROR(VLOOKUP(A308,Ф_102_2021!C:F,4,0),0)</f>
        <v>0</v>
      </c>
    </row>
    <row r="309" spans="1:7" x14ac:dyDescent="0.2">
      <c r="A309" s="21">
        <v>41210</v>
      </c>
      <c r="B309" s="75">
        <f>IFERROR(VLOOKUP(A309,'Ф_102_2016'!C:F,4,0),0)</f>
        <v>0</v>
      </c>
      <c r="C309" s="75">
        <f>IFERROR(VLOOKUP(A309,Ф_102_2017!C:F,4,0),0)</f>
        <v>0</v>
      </c>
      <c r="D309" s="75">
        <f>IFERROR(VLOOKUP(A309,Ф_102_2018!C:F,4,0),0)</f>
        <v>0</v>
      </c>
      <c r="E309" s="75">
        <f>IFERROR(VLOOKUP(A309,Ф_102_2019!C:F,4,0),0)</f>
        <v>0</v>
      </c>
      <c r="F309" s="75">
        <f>IFERROR(VLOOKUP(A309,Ф_102_2020!C:F,4,0),0)</f>
        <v>0</v>
      </c>
      <c r="G309" s="75">
        <f>IFERROR(VLOOKUP(A309,Ф_102_2021!C:F,4,0),0)</f>
        <v>0</v>
      </c>
    </row>
    <row r="310" spans="1:7" x14ac:dyDescent="0.2">
      <c r="A310" s="21">
        <v>41211</v>
      </c>
      <c r="B310" s="75">
        <f>IFERROR(VLOOKUP(A310,'Ф_102_2016'!C:F,4,0),0)</f>
        <v>0</v>
      </c>
      <c r="C310" s="75">
        <f>IFERROR(VLOOKUP(A310,Ф_102_2017!C:F,4,0),0)</f>
        <v>0</v>
      </c>
      <c r="D310" s="75">
        <f>IFERROR(VLOOKUP(A310,Ф_102_2018!C:F,4,0),0)</f>
        <v>0</v>
      </c>
      <c r="E310" s="75">
        <f>IFERROR(VLOOKUP(A310,Ф_102_2019!C:F,4,0),0)</f>
        <v>0</v>
      </c>
      <c r="F310" s="75">
        <f>IFERROR(VLOOKUP(A310,Ф_102_2020!C:F,4,0),0)</f>
        <v>0</v>
      </c>
      <c r="G310" s="75">
        <f>IFERROR(VLOOKUP(A310,Ф_102_2021!C:F,4,0),0)</f>
        <v>0</v>
      </c>
    </row>
    <row r="311" spans="1:7" x14ac:dyDescent="0.2">
      <c r="A311" s="21">
        <v>41212</v>
      </c>
      <c r="B311" s="75">
        <f>IFERROR(VLOOKUP(A311,'Ф_102_2016'!C:F,4,0),0)</f>
        <v>0</v>
      </c>
      <c r="C311" s="75">
        <f>IFERROR(VLOOKUP(A311,Ф_102_2017!C:F,4,0),0)</f>
        <v>0</v>
      </c>
      <c r="D311" s="75">
        <f>IFERROR(VLOOKUP(A311,Ф_102_2018!C:F,4,0),0)</f>
        <v>0</v>
      </c>
      <c r="E311" s="75">
        <f>IFERROR(VLOOKUP(A311,Ф_102_2019!C:F,4,0),0)</f>
        <v>0</v>
      </c>
      <c r="F311" s="75">
        <f>IFERROR(VLOOKUP(A311,Ф_102_2020!C:F,4,0),0)</f>
        <v>135</v>
      </c>
      <c r="G311" s="75">
        <f>IFERROR(VLOOKUP(A311,Ф_102_2021!C:F,4,0),0)</f>
        <v>40096</v>
      </c>
    </row>
    <row r="312" spans="1:7" x14ac:dyDescent="0.2">
      <c r="A312" s="21">
        <v>41213</v>
      </c>
      <c r="B312" s="75">
        <f>IFERROR(VLOOKUP(A312,'Ф_102_2016'!C:F,4,0),0)</f>
        <v>0</v>
      </c>
      <c r="C312" s="75">
        <f>IFERROR(VLOOKUP(A312,Ф_102_2017!C:F,4,0),0)</f>
        <v>0</v>
      </c>
      <c r="D312" s="75">
        <f>IFERROR(VLOOKUP(A312,Ф_102_2018!C:F,4,0),0)</f>
        <v>0</v>
      </c>
      <c r="E312" s="75">
        <f>IFERROR(VLOOKUP(A312,Ф_102_2019!C:F,4,0),0)</f>
        <v>0</v>
      </c>
      <c r="F312" s="75">
        <f>IFERROR(VLOOKUP(A312,Ф_102_2020!C:F,4,0),0)</f>
        <v>0</v>
      </c>
      <c r="G312" s="75">
        <f>IFERROR(VLOOKUP(A312,Ф_102_2021!C:F,4,0),0)</f>
        <v>0</v>
      </c>
    </row>
    <row r="313" spans="1:7" x14ac:dyDescent="0.2">
      <c r="A313" s="21">
        <v>41214</v>
      </c>
      <c r="B313" s="75">
        <f>IFERROR(VLOOKUP(A313,'Ф_102_2016'!C:F,4,0),0)</f>
        <v>0</v>
      </c>
      <c r="C313" s="75">
        <f>IFERROR(VLOOKUP(A313,Ф_102_2017!C:F,4,0),0)</f>
        <v>0</v>
      </c>
      <c r="D313" s="75">
        <f>IFERROR(VLOOKUP(A313,Ф_102_2018!C:F,4,0),0)</f>
        <v>0</v>
      </c>
      <c r="E313" s="75">
        <f>IFERROR(VLOOKUP(A313,Ф_102_2019!C:F,4,0),0)</f>
        <v>0</v>
      </c>
      <c r="F313" s="75">
        <f>IFERROR(VLOOKUP(A313,Ф_102_2020!C:F,4,0),0)</f>
        <v>0</v>
      </c>
      <c r="G313" s="75">
        <f>IFERROR(VLOOKUP(A313,Ф_102_2021!C:F,4,0),0)</f>
        <v>0</v>
      </c>
    </row>
    <row r="314" spans="1:7" x14ac:dyDescent="0.2">
      <c r="A314" s="21">
        <v>41215</v>
      </c>
      <c r="B314" s="75">
        <f>IFERROR(VLOOKUP(A314,'Ф_102_2016'!C:F,4,0),0)</f>
        <v>0</v>
      </c>
      <c r="C314" s="75">
        <f>IFERROR(VLOOKUP(A314,Ф_102_2017!C:F,4,0),0)</f>
        <v>0</v>
      </c>
      <c r="D314" s="75">
        <f>IFERROR(VLOOKUP(A314,Ф_102_2018!C:F,4,0),0)</f>
        <v>0</v>
      </c>
      <c r="E314" s="75">
        <f>IFERROR(VLOOKUP(A314,Ф_102_2019!C:F,4,0),0)</f>
        <v>167903</v>
      </c>
      <c r="F314" s="75">
        <f>IFERROR(VLOOKUP(A314,Ф_102_2020!C:F,4,0),0)</f>
        <v>0</v>
      </c>
      <c r="G314" s="75">
        <f>IFERROR(VLOOKUP(A314,Ф_102_2021!C:F,4,0),0)</f>
        <v>31892</v>
      </c>
    </row>
    <row r="315" spans="1:7" x14ac:dyDescent="0.2">
      <c r="A315" s="21">
        <v>41216</v>
      </c>
      <c r="B315" s="75">
        <f>IFERROR(VLOOKUP(A315,'Ф_102_2016'!C:F,4,0),0)</f>
        <v>0</v>
      </c>
      <c r="C315" s="75">
        <f>IFERROR(VLOOKUP(A315,Ф_102_2017!C:F,4,0),0)</f>
        <v>0</v>
      </c>
      <c r="D315" s="75">
        <f>IFERROR(VLOOKUP(A315,Ф_102_2018!C:F,4,0),0)</f>
        <v>0</v>
      </c>
      <c r="E315" s="75">
        <f>IFERROR(VLOOKUP(A315,Ф_102_2019!C:F,4,0),0)</f>
        <v>0</v>
      </c>
      <c r="F315" s="75">
        <f>IFERROR(VLOOKUP(A315,Ф_102_2020!C:F,4,0),0)</f>
        <v>0</v>
      </c>
      <c r="G315" s="75">
        <f>IFERROR(VLOOKUP(A315,Ф_102_2021!C:F,4,0),0)</f>
        <v>0</v>
      </c>
    </row>
    <row r="316" spans="1:7" x14ac:dyDescent="0.2">
      <c r="A316" s="21">
        <v>41217</v>
      </c>
      <c r="B316" s="75">
        <f>IFERROR(VLOOKUP(A316,'Ф_102_2016'!C:F,4,0),0)</f>
        <v>0</v>
      </c>
      <c r="C316" s="75">
        <f>IFERROR(VLOOKUP(A316,Ф_102_2017!C:F,4,0),0)</f>
        <v>0</v>
      </c>
      <c r="D316" s="75">
        <f>IFERROR(VLOOKUP(A316,Ф_102_2018!C:F,4,0),0)</f>
        <v>0</v>
      </c>
      <c r="E316" s="75">
        <f>IFERROR(VLOOKUP(A316,Ф_102_2019!C:F,4,0),0)</f>
        <v>0</v>
      </c>
      <c r="F316" s="75">
        <f>IFERROR(VLOOKUP(A316,Ф_102_2020!C:F,4,0),0)</f>
        <v>0</v>
      </c>
      <c r="G316" s="75">
        <f>IFERROR(VLOOKUP(A316,Ф_102_2021!C:F,4,0),0)</f>
        <v>0</v>
      </c>
    </row>
    <row r="317" spans="1:7" x14ac:dyDescent="0.2">
      <c r="A317" s="21">
        <v>41218</v>
      </c>
      <c r="B317" s="75">
        <f>IFERROR(VLOOKUP(A317,'Ф_102_2016'!C:F,4,0),0)</f>
        <v>0</v>
      </c>
      <c r="C317" s="75">
        <f>IFERROR(VLOOKUP(A317,Ф_102_2017!C:F,4,0),0)</f>
        <v>0</v>
      </c>
      <c r="D317" s="75">
        <f>IFERROR(VLOOKUP(A317,Ф_102_2018!C:F,4,0),0)</f>
        <v>0</v>
      </c>
      <c r="E317" s="75">
        <f>IFERROR(VLOOKUP(A317,Ф_102_2019!C:F,4,0),0)</f>
        <v>0</v>
      </c>
      <c r="F317" s="75">
        <f>IFERROR(VLOOKUP(A317,Ф_102_2020!C:F,4,0),0)</f>
        <v>0</v>
      </c>
      <c r="G317" s="75">
        <f>IFERROR(VLOOKUP(A317,Ф_102_2021!C:F,4,0),0)</f>
        <v>0</v>
      </c>
    </row>
    <row r="318" spans="1:7" x14ac:dyDescent="0.2">
      <c r="A318" s="21">
        <v>41219</v>
      </c>
      <c r="B318" s="75">
        <f>IFERROR(VLOOKUP(A318,'Ф_102_2016'!C:F,4,0),0)</f>
        <v>0</v>
      </c>
      <c r="C318" s="75">
        <f>IFERROR(VLOOKUP(A318,Ф_102_2017!C:F,4,0),0)</f>
        <v>0</v>
      </c>
      <c r="D318" s="75">
        <f>IFERROR(VLOOKUP(A318,Ф_102_2018!C:F,4,0),0)</f>
        <v>0</v>
      </c>
      <c r="E318" s="75">
        <f>IFERROR(VLOOKUP(A318,Ф_102_2019!C:F,4,0),0)</f>
        <v>0</v>
      </c>
      <c r="F318" s="75">
        <f>IFERROR(VLOOKUP(A318,Ф_102_2020!C:F,4,0),0)</f>
        <v>0</v>
      </c>
      <c r="G318" s="75">
        <f>IFERROR(VLOOKUP(A318,Ф_102_2021!C:F,4,0),0)</f>
        <v>0</v>
      </c>
    </row>
    <row r="319" spans="1:7" x14ac:dyDescent="0.2">
      <c r="A319" s="21">
        <v>41220</v>
      </c>
      <c r="B319" s="75">
        <f>IFERROR(VLOOKUP(A319,'Ф_102_2016'!C:F,4,0),0)</f>
        <v>0</v>
      </c>
      <c r="C319" s="75">
        <f>IFERROR(VLOOKUP(A319,Ф_102_2017!C:F,4,0),0)</f>
        <v>0</v>
      </c>
      <c r="D319" s="75">
        <f>IFERROR(VLOOKUP(A319,Ф_102_2018!C:F,4,0),0)</f>
        <v>0</v>
      </c>
      <c r="E319" s="75">
        <f>IFERROR(VLOOKUP(A319,Ф_102_2019!C:F,4,0),0)</f>
        <v>0</v>
      </c>
      <c r="F319" s="75">
        <f>IFERROR(VLOOKUP(A319,Ф_102_2020!C:F,4,0),0)</f>
        <v>0</v>
      </c>
      <c r="G319" s="75">
        <f>IFERROR(VLOOKUP(A319,Ф_102_2021!C:F,4,0),0)</f>
        <v>0</v>
      </c>
    </row>
    <row r="320" spans="1:7" x14ac:dyDescent="0.2">
      <c r="A320" s="1211">
        <v>41301</v>
      </c>
      <c r="B320" s="1856">
        <f>IFERROR(VLOOKUP(A320,'Ф_102_2016'!C:F,4,0),0)</f>
        <v>0</v>
      </c>
      <c r="C320" s="1856">
        <f>IFERROR(VLOOKUP(A320,Ф_102_2017!C:F,4,0),0)</f>
        <v>0</v>
      </c>
      <c r="D320" s="1856">
        <f>IFERROR(VLOOKUP(A320,Ф_102_2018!C:F,4,0),0)</f>
        <v>0</v>
      </c>
      <c r="E320" s="1856">
        <f>IFERROR(VLOOKUP(A320,Ф_102_2019!C:F,4,0),0)</f>
        <v>0</v>
      </c>
      <c r="F320" s="1856">
        <f>IFERROR(VLOOKUP(A320,Ф_102_2020!C:F,4,0),0)</f>
        <v>0</v>
      </c>
      <c r="G320" s="1856">
        <f>IFERROR(VLOOKUP(A320,Ф_102_2021!C:F,4,0),0)</f>
        <v>0</v>
      </c>
    </row>
    <row r="321" spans="1:7" x14ac:dyDescent="0.2">
      <c r="A321" s="1211">
        <v>41302</v>
      </c>
      <c r="B321" s="1856">
        <f>IFERROR(VLOOKUP(A321,'Ф_102_2016'!C:F,4,0),0)</f>
        <v>0</v>
      </c>
      <c r="C321" s="1856">
        <f>IFERROR(VLOOKUP(A321,Ф_102_2017!C:F,4,0),0)</f>
        <v>0</v>
      </c>
      <c r="D321" s="1856">
        <f>IFERROR(VLOOKUP(A321,Ф_102_2018!C:F,4,0),0)</f>
        <v>0</v>
      </c>
      <c r="E321" s="1856">
        <f>IFERROR(VLOOKUP(A321,Ф_102_2019!C:F,4,0),0)</f>
        <v>0</v>
      </c>
      <c r="F321" s="1856">
        <f>IFERROR(VLOOKUP(A321,Ф_102_2020!C:F,4,0),0)</f>
        <v>0</v>
      </c>
      <c r="G321" s="1856">
        <f>IFERROR(VLOOKUP(A321,Ф_102_2021!C:F,4,0),0)</f>
        <v>0</v>
      </c>
    </row>
    <row r="322" spans="1:7" x14ac:dyDescent="0.2">
      <c r="A322" s="1211">
        <v>41303</v>
      </c>
      <c r="B322" s="1856">
        <f>IFERROR(VLOOKUP(A322,'Ф_102_2016'!C:F,4,0),0)</f>
        <v>0</v>
      </c>
      <c r="C322" s="1856">
        <f>IFERROR(VLOOKUP(A322,Ф_102_2017!C:F,4,0),0)</f>
        <v>0</v>
      </c>
      <c r="D322" s="1856">
        <f>IFERROR(VLOOKUP(A322,Ф_102_2018!C:F,4,0),0)</f>
        <v>0</v>
      </c>
      <c r="E322" s="1856">
        <f>IFERROR(VLOOKUP(A322,Ф_102_2019!C:F,4,0),0)</f>
        <v>0</v>
      </c>
      <c r="F322" s="1856">
        <f>IFERROR(VLOOKUP(A322,Ф_102_2020!C:F,4,0),0)</f>
        <v>0</v>
      </c>
      <c r="G322" s="1856">
        <f>IFERROR(VLOOKUP(A322,Ф_102_2021!C:F,4,0),0)</f>
        <v>0</v>
      </c>
    </row>
    <row r="323" spans="1:7" ht="63.75" thickBot="1" x14ac:dyDescent="0.25">
      <c r="A323" s="1155" t="s">
        <v>1520</v>
      </c>
      <c r="B323" s="1249">
        <f>SUM(B300:B322)</f>
        <v>0</v>
      </c>
      <c r="C323" s="1249">
        <f t="shared" ref="C323:G323" si="22">SUM(C300:C322)</f>
        <v>6</v>
      </c>
      <c r="D323" s="1249">
        <f t="shared" si="22"/>
        <v>1</v>
      </c>
      <c r="E323" s="1249">
        <f t="shared" si="22"/>
        <v>167903</v>
      </c>
      <c r="F323" s="1249">
        <f t="shared" si="22"/>
        <v>12706</v>
      </c>
      <c r="G323" s="1249">
        <f t="shared" si="22"/>
        <v>71988</v>
      </c>
    </row>
    <row r="324" spans="1:7" x14ac:dyDescent="0.2">
      <c r="A324" s="21">
        <v>41401</v>
      </c>
      <c r="B324" s="75">
        <f>IFERROR(VLOOKUP(A324,'Ф_102_2016'!C:F,4,0),0)</f>
        <v>0</v>
      </c>
      <c r="C324" s="75">
        <f>IFERROR(VLOOKUP(A324,Ф_102_2017!C:F,4,0),0)</f>
        <v>0</v>
      </c>
      <c r="D324" s="75">
        <f>IFERROR(VLOOKUP(A324,Ф_102_2018!C:F,4,0),0)</f>
        <v>0</v>
      </c>
      <c r="E324" s="75">
        <f>IFERROR(VLOOKUP(A324,Ф_102_2019!C:F,4,0),0)</f>
        <v>0</v>
      </c>
      <c r="F324" s="75">
        <f>IFERROR(VLOOKUP(A324,Ф_102_2020!C:F,4,0),0)</f>
        <v>0</v>
      </c>
      <c r="G324" s="75">
        <f>IFERROR(VLOOKUP(A324,Ф_102_2021!C:F,4,0),0)</f>
        <v>0</v>
      </c>
    </row>
    <row r="325" spans="1:7" x14ac:dyDescent="0.2">
      <c r="A325" s="21">
        <v>41402</v>
      </c>
      <c r="B325" s="75">
        <f>IFERROR(VLOOKUP(A325,'Ф_102_2016'!C:F,4,0),0)</f>
        <v>0</v>
      </c>
      <c r="C325" s="75">
        <f>IFERROR(VLOOKUP(A325,Ф_102_2017!C:F,4,0),0)</f>
        <v>0</v>
      </c>
      <c r="D325" s="75">
        <f>IFERROR(VLOOKUP(A325,Ф_102_2018!C:F,4,0),0)</f>
        <v>0</v>
      </c>
      <c r="E325" s="75">
        <f>IFERROR(VLOOKUP(A325,Ф_102_2019!C:F,4,0),0)</f>
        <v>0</v>
      </c>
      <c r="F325" s="75">
        <f>IFERROR(VLOOKUP(A325,Ф_102_2020!C:F,4,0),0)</f>
        <v>0</v>
      </c>
      <c r="G325" s="75">
        <f>IFERROR(VLOOKUP(A325,Ф_102_2021!C:F,4,0),0)</f>
        <v>0</v>
      </c>
    </row>
    <row r="326" spans="1:7" x14ac:dyDescent="0.2">
      <c r="A326" s="21">
        <v>41403</v>
      </c>
      <c r="B326" s="75">
        <f>IFERROR(VLOOKUP(A326,'Ф_102_2016'!C:F,4,0),0)</f>
        <v>0</v>
      </c>
      <c r="C326" s="75">
        <f>IFERROR(VLOOKUP(A326,Ф_102_2017!C:F,4,0),0)</f>
        <v>0</v>
      </c>
      <c r="D326" s="75">
        <f>IFERROR(VLOOKUP(A326,Ф_102_2018!C:F,4,0),0)</f>
        <v>0</v>
      </c>
      <c r="E326" s="75">
        <f>IFERROR(VLOOKUP(A326,Ф_102_2019!C:F,4,0),0)</f>
        <v>0</v>
      </c>
      <c r="F326" s="75">
        <f>IFERROR(VLOOKUP(A326,Ф_102_2020!C:F,4,0),0)</f>
        <v>0</v>
      </c>
      <c r="G326" s="75">
        <f>IFERROR(VLOOKUP(A326,Ф_102_2021!C:F,4,0),0)</f>
        <v>0</v>
      </c>
    </row>
    <row r="327" spans="1:7" x14ac:dyDescent="0.2">
      <c r="A327" s="21">
        <v>41404</v>
      </c>
      <c r="B327" s="75">
        <f>IFERROR(VLOOKUP(A327,'Ф_102_2016'!C:F,4,0),0)</f>
        <v>0</v>
      </c>
      <c r="C327" s="75">
        <f>IFERROR(VLOOKUP(A327,Ф_102_2017!C:F,4,0),0)</f>
        <v>0</v>
      </c>
      <c r="D327" s="75">
        <f>IFERROR(VLOOKUP(A327,Ф_102_2018!C:F,4,0),0)</f>
        <v>0</v>
      </c>
      <c r="E327" s="75">
        <f>IFERROR(VLOOKUP(A327,Ф_102_2019!C:F,4,0),0)</f>
        <v>0</v>
      </c>
      <c r="F327" s="75">
        <f>IFERROR(VLOOKUP(A327,Ф_102_2020!C:F,4,0),0)</f>
        <v>0</v>
      </c>
      <c r="G327" s="75">
        <f>IFERROR(VLOOKUP(A327,Ф_102_2021!C:F,4,0),0)</f>
        <v>0</v>
      </c>
    </row>
    <row r="328" spans="1:7" x14ac:dyDescent="0.2">
      <c r="A328" s="21">
        <v>41405</v>
      </c>
      <c r="B328" s="75">
        <f>IFERROR(VLOOKUP(A328,'Ф_102_2016'!C:F,4,0),0)</f>
        <v>0</v>
      </c>
      <c r="C328" s="75">
        <f>IFERROR(VLOOKUP(A328,Ф_102_2017!C:F,4,0),0)</f>
        <v>0</v>
      </c>
      <c r="D328" s="75">
        <f>IFERROR(VLOOKUP(A328,Ф_102_2018!C:F,4,0),0)</f>
        <v>0</v>
      </c>
      <c r="E328" s="75">
        <f>IFERROR(VLOOKUP(A328,Ф_102_2019!C:F,4,0),0)</f>
        <v>0</v>
      </c>
      <c r="F328" s="75">
        <f>IFERROR(VLOOKUP(A328,Ф_102_2020!C:F,4,0),0)</f>
        <v>0</v>
      </c>
      <c r="G328" s="75">
        <f>IFERROR(VLOOKUP(A328,Ф_102_2021!C:F,4,0),0)</f>
        <v>0</v>
      </c>
    </row>
    <row r="329" spans="1:7" x14ac:dyDescent="0.2">
      <c r="A329" s="21">
        <v>41406</v>
      </c>
      <c r="B329" s="75">
        <f>IFERROR(VLOOKUP(A329,'Ф_102_2016'!C:F,4,0),0)</f>
        <v>0</v>
      </c>
      <c r="C329" s="75">
        <f>IFERROR(VLOOKUP(A329,Ф_102_2017!C:F,4,0),0)</f>
        <v>0</v>
      </c>
      <c r="D329" s="75">
        <f>IFERROR(VLOOKUP(A329,Ф_102_2018!C:F,4,0),0)</f>
        <v>0</v>
      </c>
      <c r="E329" s="75">
        <f>IFERROR(VLOOKUP(A329,Ф_102_2019!C:F,4,0),0)</f>
        <v>0</v>
      </c>
      <c r="F329" s="75">
        <f>IFERROR(VLOOKUP(A329,Ф_102_2020!C:F,4,0),0)</f>
        <v>0</v>
      </c>
      <c r="G329" s="75">
        <f>IFERROR(VLOOKUP(A329,Ф_102_2021!C:F,4,0),0)</f>
        <v>0</v>
      </c>
    </row>
    <row r="330" spans="1:7" x14ac:dyDescent="0.2">
      <c r="A330" s="21">
        <v>41407</v>
      </c>
      <c r="B330" s="75">
        <f>IFERROR(VLOOKUP(A330,'Ф_102_2016'!C:F,4,0),0)</f>
        <v>0</v>
      </c>
      <c r="C330" s="75">
        <f>IFERROR(VLOOKUP(A330,Ф_102_2017!C:F,4,0),0)</f>
        <v>0</v>
      </c>
      <c r="D330" s="75">
        <f>IFERROR(VLOOKUP(A330,Ф_102_2018!C:F,4,0),0)</f>
        <v>0</v>
      </c>
      <c r="E330" s="75">
        <f>IFERROR(VLOOKUP(A330,Ф_102_2019!C:F,4,0),0)</f>
        <v>0</v>
      </c>
      <c r="F330" s="75">
        <f>IFERROR(VLOOKUP(A330,Ф_102_2020!C:F,4,0),0)</f>
        <v>0</v>
      </c>
      <c r="G330" s="75">
        <f>IFERROR(VLOOKUP(A330,Ф_102_2021!C:F,4,0),0)</f>
        <v>0</v>
      </c>
    </row>
    <row r="331" spans="1:7" x14ac:dyDescent="0.2">
      <c r="A331" s="21">
        <v>41408</v>
      </c>
      <c r="B331" s="75">
        <f>IFERROR(VLOOKUP(A331,'Ф_102_2016'!C:F,4,0),0)</f>
        <v>0</v>
      </c>
      <c r="C331" s="75">
        <f>IFERROR(VLOOKUP(A331,Ф_102_2017!C:F,4,0),0)</f>
        <v>0</v>
      </c>
      <c r="D331" s="75">
        <f>IFERROR(VLOOKUP(A331,Ф_102_2018!C:F,4,0),0)</f>
        <v>0</v>
      </c>
      <c r="E331" s="75">
        <f>IFERROR(VLOOKUP(A331,Ф_102_2019!C:F,4,0),0)</f>
        <v>0</v>
      </c>
      <c r="F331" s="75">
        <f>IFERROR(VLOOKUP(A331,Ф_102_2020!C:F,4,0),0)</f>
        <v>0</v>
      </c>
      <c r="G331" s="75">
        <f>IFERROR(VLOOKUP(A331,Ф_102_2021!C:F,4,0),0)</f>
        <v>0</v>
      </c>
    </row>
    <row r="332" spans="1:7" x14ac:dyDescent="0.2">
      <c r="A332" s="21">
        <v>41409</v>
      </c>
      <c r="B332" s="75">
        <f>IFERROR(VLOOKUP(A332,'Ф_102_2016'!C:F,4,0),0)</f>
        <v>0</v>
      </c>
      <c r="C332" s="75">
        <f>IFERROR(VLOOKUP(A332,Ф_102_2017!C:F,4,0),0)</f>
        <v>0</v>
      </c>
      <c r="D332" s="75">
        <f>IFERROR(VLOOKUP(A332,Ф_102_2018!C:F,4,0),0)</f>
        <v>0</v>
      </c>
      <c r="E332" s="75">
        <f>IFERROR(VLOOKUP(A332,Ф_102_2019!C:F,4,0),0)</f>
        <v>0</v>
      </c>
      <c r="F332" s="75">
        <f>IFERROR(VLOOKUP(A332,Ф_102_2020!C:F,4,0),0)</f>
        <v>0</v>
      </c>
      <c r="G332" s="75">
        <f>IFERROR(VLOOKUP(A332,Ф_102_2021!C:F,4,0),0)</f>
        <v>0</v>
      </c>
    </row>
    <row r="333" spans="1:7" x14ac:dyDescent="0.2">
      <c r="A333" s="21">
        <v>41410</v>
      </c>
      <c r="B333" s="75">
        <f>IFERROR(VLOOKUP(A333,'Ф_102_2016'!C:F,4,0),0)</f>
        <v>0</v>
      </c>
      <c r="C333" s="75">
        <f>IFERROR(VLOOKUP(A333,Ф_102_2017!C:F,4,0),0)</f>
        <v>0</v>
      </c>
      <c r="D333" s="75">
        <f>IFERROR(VLOOKUP(A333,Ф_102_2018!C:F,4,0),0)</f>
        <v>0</v>
      </c>
      <c r="E333" s="75">
        <f>IFERROR(VLOOKUP(A333,Ф_102_2019!C:F,4,0),0)</f>
        <v>0</v>
      </c>
      <c r="F333" s="75">
        <f>IFERROR(VLOOKUP(A333,Ф_102_2020!C:F,4,0),0)</f>
        <v>0</v>
      </c>
      <c r="G333" s="75">
        <f>IFERROR(VLOOKUP(A333,Ф_102_2021!C:F,4,0),0)</f>
        <v>0</v>
      </c>
    </row>
    <row r="334" spans="1:7" x14ac:dyDescent="0.2">
      <c r="A334" s="21">
        <v>41411</v>
      </c>
      <c r="B334" s="75">
        <f>IFERROR(VLOOKUP(A334,'Ф_102_2016'!C:F,4,0),0)</f>
        <v>0</v>
      </c>
      <c r="C334" s="75">
        <f>IFERROR(VLOOKUP(A334,Ф_102_2017!C:F,4,0),0)</f>
        <v>0</v>
      </c>
      <c r="D334" s="75">
        <f>IFERROR(VLOOKUP(A334,Ф_102_2018!C:F,4,0),0)</f>
        <v>0</v>
      </c>
      <c r="E334" s="75">
        <f>IFERROR(VLOOKUP(A334,Ф_102_2019!C:F,4,0),0)</f>
        <v>0</v>
      </c>
      <c r="F334" s="75">
        <f>IFERROR(VLOOKUP(A334,Ф_102_2020!C:F,4,0),0)</f>
        <v>0</v>
      </c>
      <c r="G334" s="75">
        <f>IFERROR(VLOOKUP(A334,Ф_102_2021!C:F,4,0),0)</f>
        <v>0</v>
      </c>
    </row>
    <row r="335" spans="1:7" x14ac:dyDescent="0.2">
      <c r="A335" s="21">
        <v>41412</v>
      </c>
      <c r="B335" s="75">
        <f>IFERROR(VLOOKUP(A335,'Ф_102_2016'!C:F,4,0),0)</f>
        <v>0</v>
      </c>
      <c r="C335" s="75">
        <f>IFERROR(VLOOKUP(A335,Ф_102_2017!C:F,4,0),0)</f>
        <v>0</v>
      </c>
      <c r="D335" s="75">
        <f>IFERROR(VLOOKUP(A335,Ф_102_2018!C:F,4,0),0)</f>
        <v>0</v>
      </c>
      <c r="E335" s="75">
        <f>IFERROR(VLOOKUP(A335,Ф_102_2019!C:F,4,0),0)</f>
        <v>0</v>
      </c>
      <c r="F335" s="75">
        <f>IFERROR(VLOOKUP(A335,Ф_102_2020!C:F,4,0),0)</f>
        <v>0</v>
      </c>
      <c r="G335" s="75">
        <f>IFERROR(VLOOKUP(A335,Ф_102_2021!C:F,4,0),0)</f>
        <v>0</v>
      </c>
    </row>
    <row r="336" spans="1:7" x14ac:dyDescent="0.2">
      <c r="A336" s="21">
        <v>41413</v>
      </c>
      <c r="B336" s="75">
        <f>IFERROR(VLOOKUP(A336,'Ф_102_2016'!C:F,4,0),0)</f>
        <v>0</v>
      </c>
      <c r="C336" s="75">
        <f>IFERROR(VLOOKUP(A336,Ф_102_2017!C:F,4,0),0)</f>
        <v>0</v>
      </c>
      <c r="D336" s="75">
        <f>IFERROR(VLOOKUP(A336,Ф_102_2018!C:F,4,0),0)</f>
        <v>0</v>
      </c>
      <c r="E336" s="75">
        <f>IFERROR(VLOOKUP(A336,Ф_102_2019!C:F,4,0),0)</f>
        <v>0</v>
      </c>
      <c r="F336" s="75">
        <f>IFERROR(VLOOKUP(A336,Ф_102_2020!C:F,4,0),0)</f>
        <v>0</v>
      </c>
      <c r="G336" s="75">
        <f>IFERROR(VLOOKUP(A336,Ф_102_2021!C:F,4,0),0)</f>
        <v>0</v>
      </c>
    </row>
    <row r="337" spans="1:7" x14ac:dyDescent="0.2">
      <c r="A337" s="21">
        <v>41414</v>
      </c>
      <c r="B337" s="75">
        <f>IFERROR(VLOOKUP(A337,'Ф_102_2016'!C:F,4,0),0)</f>
        <v>0</v>
      </c>
      <c r="C337" s="75">
        <f>IFERROR(VLOOKUP(A337,Ф_102_2017!C:F,4,0),0)</f>
        <v>0</v>
      </c>
      <c r="D337" s="75">
        <f>IFERROR(VLOOKUP(A337,Ф_102_2018!C:F,4,0),0)</f>
        <v>0</v>
      </c>
      <c r="E337" s="75">
        <f>IFERROR(VLOOKUP(A337,Ф_102_2019!C:F,4,0),0)</f>
        <v>0</v>
      </c>
      <c r="F337" s="75">
        <f>IFERROR(VLOOKUP(A337,Ф_102_2020!C:F,4,0),0)</f>
        <v>0</v>
      </c>
      <c r="G337" s="75">
        <f>IFERROR(VLOOKUP(A337,Ф_102_2021!C:F,4,0),0)</f>
        <v>0</v>
      </c>
    </row>
    <row r="338" spans="1:7" x14ac:dyDescent="0.2">
      <c r="A338" s="21">
        <v>41415</v>
      </c>
      <c r="B338" s="75">
        <f>IFERROR(VLOOKUP(A338,'Ф_102_2016'!C:F,4,0),0)</f>
        <v>0</v>
      </c>
      <c r="C338" s="75">
        <f>IFERROR(VLOOKUP(A338,Ф_102_2017!C:F,4,0),0)</f>
        <v>0</v>
      </c>
      <c r="D338" s="75">
        <f>IFERROR(VLOOKUP(A338,Ф_102_2018!C:F,4,0),0)</f>
        <v>0</v>
      </c>
      <c r="E338" s="75">
        <f>IFERROR(VLOOKUP(A338,Ф_102_2019!C:F,4,0),0)</f>
        <v>0</v>
      </c>
      <c r="F338" s="75">
        <f>IFERROR(VLOOKUP(A338,Ф_102_2020!C:F,4,0),0)</f>
        <v>0</v>
      </c>
      <c r="G338" s="75">
        <f>IFERROR(VLOOKUP(A338,Ф_102_2021!C:F,4,0),0)</f>
        <v>0</v>
      </c>
    </row>
    <row r="339" spans="1:7" x14ac:dyDescent="0.2">
      <c r="A339" s="21">
        <v>41416</v>
      </c>
      <c r="B339" s="75">
        <f>IFERROR(VLOOKUP(A339,'Ф_102_2016'!C:F,4,0),0)</f>
        <v>0</v>
      </c>
      <c r="C339" s="75">
        <f>IFERROR(VLOOKUP(A339,Ф_102_2017!C:F,4,0),0)</f>
        <v>0</v>
      </c>
      <c r="D339" s="75">
        <f>IFERROR(VLOOKUP(A339,Ф_102_2018!C:F,4,0),0)</f>
        <v>0</v>
      </c>
      <c r="E339" s="75">
        <f>IFERROR(VLOOKUP(A339,Ф_102_2019!C:F,4,0),0)</f>
        <v>0</v>
      </c>
      <c r="F339" s="75">
        <f>IFERROR(VLOOKUP(A339,Ф_102_2020!C:F,4,0),0)</f>
        <v>0</v>
      </c>
      <c r="G339" s="75">
        <f>IFERROR(VLOOKUP(A339,Ф_102_2021!C:F,4,0),0)</f>
        <v>0</v>
      </c>
    </row>
    <row r="340" spans="1:7" x14ac:dyDescent="0.2">
      <c r="A340" s="21">
        <v>41417</v>
      </c>
      <c r="B340" s="75">
        <f>IFERROR(VLOOKUP(A340,'Ф_102_2016'!C:F,4,0),0)</f>
        <v>0</v>
      </c>
      <c r="C340" s="75">
        <f>IFERROR(VLOOKUP(A340,Ф_102_2017!C:F,4,0),0)</f>
        <v>0</v>
      </c>
      <c r="D340" s="75">
        <f>IFERROR(VLOOKUP(A340,Ф_102_2018!C:F,4,0),0)</f>
        <v>0</v>
      </c>
      <c r="E340" s="75">
        <f>IFERROR(VLOOKUP(A340,Ф_102_2019!C:F,4,0),0)</f>
        <v>0</v>
      </c>
      <c r="F340" s="75">
        <f>IFERROR(VLOOKUP(A340,Ф_102_2020!C:F,4,0),0)</f>
        <v>0</v>
      </c>
      <c r="G340" s="75">
        <f>IFERROR(VLOOKUP(A340,Ф_102_2021!C:F,4,0),0)</f>
        <v>0</v>
      </c>
    </row>
    <row r="341" spans="1:7" x14ac:dyDescent="0.2">
      <c r="A341" s="21">
        <v>41418</v>
      </c>
      <c r="B341" s="75">
        <f>IFERROR(VLOOKUP(A341,'Ф_102_2016'!C:F,4,0),0)</f>
        <v>0</v>
      </c>
      <c r="C341" s="75">
        <f>IFERROR(VLOOKUP(A341,Ф_102_2017!C:F,4,0),0)</f>
        <v>0</v>
      </c>
      <c r="D341" s="75">
        <f>IFERROR(VLOOKUP(A341,Ф_102_2018!C:F,4,0),0)</f>
        <v>0</v>
      </c>
      <c r="E341" s="75">
        <f>IFERROR(VLOOKUP(A341,Ф_102_2019!C:F,4,0),0)</f>
        <v>0</v>
      </c>
      <c r="F341" s="75">
        <f>IFERROR(VLOOKUP(A341,Ф_102_2020!C:F,4,0),0)</f>
        <v>0</v>
      </c>
      <c r="G341" s="75">
        <f>IFERROR(VLOOKUP(A341,Ф_102_2021!C:F,4,0),0)</f>
        <v>0</v>
      </c>
    </row>
    <row r="342" spans="1:7" x14ac:dyDescent="0.2">
      <c r="A342" s="21">
        <v>41419</v>
      </c>
      <c r="B342" s="75">
        <f>IFERROR(VLOOKUP(A342,'Ф_102_2016'!C:F,4,0),0)</f>
        <v>0</v>
      </c>
      <c r="C342" s="75">
        <f>IFERROR(VLOOKUP(A342,Ф_102_2017!C:F,4,0),0)</f>
        <v>0</v>
      </c>
      <c r="D342" s="75">
        <f>IFERROR(VLOOKUP(A342,Ф_102_2018!C:F,4,0),0)</f>
        <v>0</v>
      </c>
      <c r="E342" s="75">
        <f>IFERROR(VLOOKUP(A342,Ф_102_2019!C:F,4,0),0)</f>
        <v>0</v>
      </c>
      <c r="F342" s="75">
        <f>IFERROR(VLOOKUP(A342,Ф_102_2020!C:F,4,0),0)</f>
        <v>0</v>
      </c>
      <c r="G342" s="75">
        <f>IFERROR(VLOOKUP(A342,Ф_102_2021!C:F,4,0),0)</f>
        <v>0</v>
      </c>
    </row>
    <row r="343" spans="1:7" x14ac:dyDescent="0.2">
      <c r="A343" s="21">
        <v>41420</v>
      </c>
      <c r="B343" s="75">
        <f>IFERROR(VLOOKUP(A343,'Ф_102_2016'!C:F,4,0),0)</f>
        <v>0</v>
      </c>
      <c r="C343" s="75">
        <f>IFERROR(VLOOKUP(A343,Ф_102_2017!C:F,4,0),0)</f>
        <v>0</v>
      </c>
      <c r="D343" s="75">
        <f>IFERROR(VLOOKUP(A343,Ф_102_2018!C:F,4,0),0)</f>
        <v>0</v>
      </c>
      <c r="E343" s="75">
        <f>IFERROR(VLOOKUP(A343,Ф_102_2019!C:F,4,0),0)</f>
        <v>0</v>
      </c>
      <c r="F343" s="75">
        <f>IFERROR(VLOOKUP(A343,Ф_102_2020!C:F,4,0),0)</f>
        <v>0</v>
      </c>
      <c r="G343" s="75">
        <f>IFERROR(VLOOKUP(A343,Ф_102_2021!C:F,4,0),0)</f>
        <v>0</v>
      </c>
    </row>
    <row r="344" spans="1:7" ht="111" thickBot="1" x14ac:dyDescent="0.25">
      <c r="A344" s="1155" t="s">
        <v>1521</v>
      </c>
      <c r="B344" s="1249">
        <f t="shared" ref="B344:E344" si="23">SUM(B324:B343)</f>
        <v>0</v>
      </c>
      <c r="C344" s="1249">
        <f t="shared" si="23"/>
        <v>0</v>
      </c>
      <c r="D344" s="1249">
        <f t="shared" si="23"/>
        <v>0</v>
      </c>
      <c r="E344" s="1249">
        <f t="shared" si="23"/>
        <v>0</v>
      </c>
      <c r="F344" s="1249">
        <f>SUM(F324:F343)</f>
        <v>0</v>
      </c>
      <c r="G344" s="1249">
        <f>SUM(G324:G343)</f>
        <v>0</v>
      </c>
    </row>
    <row r="345" spans="1:7" x14ac:dyDescent="0.2">
      <c r="A345" s="21">
        <v>41501</v>
      </c>
      <c r="B345" s="75">
        <f>IFERROR(VLOOKUP(A345,'Ф_102_2016'!C:F,4,0),0)</f>
        <v>0</v>
      </c>
      <c r="C345" s="75">
        <f>IFERROR(VLOOKUP(A345,Ф_102_2017!C:F,4,0),0)</f>
        <v>0</v>
      </c>
      <c r="D345" s="75">
        <f>IFERROR(VLOOKUP(A345,Ф_102_2018!C:F,4,0),0)</f>
        <v>0</v>
      </c>
      <c r="E345" s="75">
        <f>IFERROR(VLOOKUP(A345,Ф_102_2019!C:F,4,0),0)</f>
        <v>0</v>
      </c>
      <c r="F345" s="75">
        <f>IFERROR(VLOOKUP(A345,Ф_102_2020!C:F,4,0),0)</f>
        <v>0</v>
      </c>
      <c r="G345" s="75">
        <f>IFERROR(VLOOKUP(A345,Ф_102_2021!C:F,4,0),0)</f>
        <v>0</v>
      </c>
    </row>
    <row r="346" spans="1:7" x14ac:dyDescent="0.2">
      <c r="A346" s="21">
        <v>41502</v>
      </c>
      <c r="B346" s="75">
        <f>IFERROR(VLOOKUP(A346,'Ф_102_2016'!C:F,4,0),0)</f>
        <v>0</v>
      </c>
      <c r="C346" s="75">
        <f>IFERROR(VLOOKUP(A346,Ф_102_2017!C:F,4,0),0)</f>
        <v>0</v>
      </c>
      <c r="D346" s="75">
        <f>IFERROR(VLOOKUP(A346,Ф_102_2018!C:F,4,0),0)</f>
        <v>0</v>
      </c>
      <c r="E346" s="75">
        <f>IFERROR(VLOOKUP(A346,Ф_102_2019!C:F,4,0),0)</f>
        <v>0</v>
      </c>
      <c r="F346" s="75">
        <f>IFERROR(VLOOKUP(A346,Ф_102_2020!C:F,4,0),0)</f>
        <v>0</v>
      </c>
      <c r="G346" s="75">
        <f>IFERROR(VLOOKUP(A346,Ф_102_2021!C:F,4,0),0)</f>
        <v>0</v>
      </c>
    </row>
    <row r="347" spans="1:7" x14ac:dyDescent="0.2">
      <c r="A347" s="21">
        <v>41503</v>
      </c>
      <c r="B347" s="75">
        <f>IFERROR(VLOOKUP(A347,'Ф_102_2016'!C:F,4,0),0)</f>
        <v>0</v>
      </c>
      <c r="C347" s="75">
        <f>IFERROR(VLOOKUP(A347,Ф_102_2017!C:F,4,0),0)</f>
        <v>0</v>
      </c>
      <c r="D347" s="75">
        <f>IFERROR(VLOOKUP(A347,Ф_102_2018!C:F,4,0),0)</f>
        <v>0</v>
      </c>
      <c r="E347" s="75">
        <f>IFERROR(VLOOKUP(A347,Ф_102_2019!C:F,4,0),0)</f>
        <v>0</v>
      </c>
      <c r="F347" s="75">
        <f>IFERROR(VLOOKUP(A347,Ф_102_2020!C:F,4,0),0)</f>
        <v>0</v>
      </c>
      <c r="G347" s="75">
        <f>IFERROR(VLOOKUP(A347,Ф_102_2021!C:F,4,0),0)</f>
        <v>0</v>
      </c>
    </row>
    <row r="348" spans="1:7" x14ac:dyDescent="0.2">
      <c r="A348" s="21">
        <v>41504</v>
      </c>
      <c r="B348" s="75">
        <f>IFERROR(VLOOKUP(A348,'Ф_102_2016'!C:F,4,0),0)</f>
        <v>0</v>
      </c>
      <c r="C348" s="75">
        <f>IFERROR(VLOOKUP(A348,Ф_102_2017!C:F,4,0),0)</f>
        <v>0</v>
      </c>
      <c r="D348" s="75">
        <f>IFERROR(VLOOKUP(A348,Ф_102_2018!C:F,4,0),0)</f>
        <v>0</v>
      </c>
      <c r="E348" s="75">
        <f>IFERROR(VLOOKUP(A348,Ф_102_2019!C:F,4,0),0)</f>
        <v>0</v>
      </c>
      <c r="F348" s="75">
        <f>IFERROR(VLOOKUP(A348,Ф_102_2020!C:F,4,0),0)</f>
        <v>0</v>
      </c>
      <c r="G348" s="75">
        <f>IFERROR(VLOOKUP(A348,Ф_102_2021!C:F,4,0),0)</f>
        <v>0</v>
      </c>
    </row>
    <row r="349" spans="1:7" x14ac:dyDescent="0.2">
      <c r="A349" s="21">
        <v>41505</v>
      </c>
      <c r="B349" s="75">
        <f>IFERROR(VLOOKUP(A349,'Ф_102_2016'!C:F,4,0),0)</f>
        <v>0</v>
      </c>
      <c r="C349" s="75">
        <f>IFERROR(VLOOKUP(A349,Ф_102_2017!C:F,4,0),0)</f>
        <v>0</v>
      </c>
      <c r="D349" s="75">
        <f>IFERROR(VLOOKUP(A349,Ф_102_2018!C:F,4,0),0)</f>
        <v>0</v>
      </c>
      <c r="E349" s="75">
        <f>IFERROR(VLOOKUP(A349,Ф_102_2019!C:F,4,0),0)</f>
        <v>0</v>
      </c>
      <c r="F349" s="75">
        <f>IFERROR(VLOOKUP(A349,Ф_102_2020!C:F,4,0),0)</f>
        <v>0</v>
      </c>
      <c r="G349" s="75">
        <f>IFERROR(VLOOKUP(A349,Ф_102_2021!C:F,4,0),0)</f>
        <v>0</v>
      </c>
    </row>
    <row r="350" spans="1:7" x14ac:dyDescent="0.2">
      <c r="A350" s="21">
        <v>41506</v>
      </c>
      <c r="B350" s="75">
        <f>IFERROR(VLOOKUP(A350,'Ф_102_2016'!C:F,4,0),0)</f>
        <v>0</v>
      </c>
      <c r="C350" s="75">
        <f>IFERROR(VLOOKUP(A350,Ф_102_2017!C:F,4,0),0)</f>
        <v>0</v>
      </c>
      <c r="D350" s="75">
        <f>IFERROR(VLOOKUP(A350,Ф_102_2018!C:F,4,0),0)</f>
        <v>0</v>
      </c>
      <c r="E350" s="75">
        <f>IFERROR(VLOOKUP(A350,Ф_102_2019!C:F,4,0),0)</f>
        <v>0</v>
      </c>
      <c r="F350" s="75">
        <f>IFERROR(VLOOKUP(A350,Ф_102_2020!C:F,4,0),0)</f>
        <v>0</v>
      </c>
      <c r="G350" s="75">
        <f>IFERROR(VLOOKUP(A350,Ф_102_2021!C:F,4,0),0)</f>
        <v>0</v>
      </c>
    </row>
    <row r="351" spans="1:7" x14ac:dyDescent="0.2">
      <c r="A351" s="21">
        <v>41507</v>
      </c>
      <c r="B351" s="75">
        <f>IFERROR(VLOOKUP(A351,'Ф_102_2016'!C:F,4,0),0)</f>
        <v>0</v>
      </c>
      <c r="C351" s="75">
        <f>IFERROR(VLOOKUP(A351,Ф_102_2017!C:F,4,0),0)</f>
        <v>0</v>
      </c>
      <c r="D351" s="75">
        <f>IFERROR(VLOOKUP(A351,Ф_102_2018!C:F,4,0),0)</f>
        <v>0</v>
      </c>
      <c r="E351" s="75">
        <f>IFERROR(VLOOKUP(A351,Ф_102_2019!C:F,4,0),0)</f>
        <v>0</v>
      </c>
      <c r="F351" s="75">
        <f>IFERROR(VLOOKUP(A351,Ф_102_2020!C:F,4,0),0)</f>
        <v>0</v>
      </c>
      <c r="G351" s="75">
        <f>IFERROR(VLOOKUP(A351,Ф_102_2021!C:F,4,0),0)</f>
        <v>0</v>
      </c>
    </row>
    <row r="352" spans="1:7" x14ac:dyDescent="0.2">
      <c r="A352" s="21">
        <v>41508</v>
      </c>
      <c r="B352" s="75">
        <f>IFERROR(VLOOKUP(A352,'Ф_102_2016'!C:F,4,0),0)</f>
        <v>0</v>
      </c>
      <c r="C352" s="75">
        <f>IFERROR(VLOOKUP(A352,Ф_102_2017!C:F,4,0),0)</f>
        <v>0</v>
      </c>
      <c r="D352" s="75">
        <f>IFERROR(VLOOKUP(A352,Ф_102_2018!C:F,4,0),0)</f>
        <v>0</v>
      </c>
      <c r="E352" s="75">
        <f>IFERROR(VLOOKUP(A352,Ф_102_2019!C:F,4,0),0)</f>
        <v>0</v>
      </c>
      <c r="F352" s="75">
        <f>IFERROR(VLOOKUP(A352,Ф_102_2020!C:F,4,0),0)</f>
        <v>0</v>
      </c>
      <c r="G352" s="75">
        <f>IFERROR(VLOOKUP(A352,Ф_102_2021!C:F,4,0),0)</f>
        <v>0</v>
      </c>
    </row>
    <row r="353" spans="1:7" x14ac:dyDescent="0.2">
      <c r="A353" s="21">
        <v>41509</v>
      </c>
      <c r="B353" s="75">
        <f>IFERROR(VLOOKUP(A353,'Ф_102_2016'!C:F,4,0),0)</f>
        <v>0</v>
      </c>
      <c r="C353" s="75">
        <f>IFERROR(VLOOKUP(A353,Ф_102_2017!C:F,4,0),0)</f>
        <v>0</v>
      </c>
      <c r="D353" s="75">
        <f>IFERROR(VLOOKUP(A353,Ф_102_2018!C:F,4,0),0)</f>
        <v>0</v>
      </c>
      <c r="E353" s="75">
        <f>IFERROR(VLOOKUP(A353,Ф_102_2019!C:F,4,0),0)</f>
        <v>0</v>
      </c>
      <c r="F353" s="75">
        <f>IFERROR(VLOOKUP(A353,Ф_102_2020!C:F,4,0),0)</f>
        <v>0</v>
      </c>
      <c r="G353" s="75">
        <f>IFERROR(VLOOKUP(A353,Ф_102_2021!C:F,4,0),0)</f>
        <v>0</v>
      </c>
    </row>
    <row r="354" spans="1:7" x14ac:dyDescent="0.2">
      <c r="A354" s="21">
        <v>41510</v>
      </c>
      <c r="B354" s="75">
        <f>IFERROR(VLOOKUP(A354,'Ф_102_2016'!C:F,4,0),0)</f>
        <v>0</v>
      </c>
      <c r="C354" s="75">
        <f>IFERROR(VLOOKUP(A354,Ф_102_2017!C:F,4,0),0)</f>
        <v>0</v>
      </c>
      <c r="D354" s="75">
        <f>IFERROR(VLOOKUP(A354,Ф_102_2018!C:F,4,0),0)</f>
        <v>0</v>
      </c>
      <c r="E354" s="75">
        <f>IFERROR(VLOOKUP(A354,Ф_102_2019!C:F,4,0),0)</f>
        <v>0</v>
      </c>
      <c r="F354" s="75">
        <f>IFERROR(VLOOKUP(A354,Ф_102_2020!C:F,4,0),0)</f>
        <v>0</v>
      </c>
      <c r="G354" s="75">
        <f>IFERROR(VLOOKUP(A354,Ф_102_2021!C:F,4,0),0)</f>
        <v>0</v>
      </c>
    </row>
    <row r="355" spans="1:7" x14ac:dyDescent="0.2">
      <c r="A355" s="21">
        <v>41511</v>
      </c>
      <c r="B355" s="75">
        <f>IFERROR(VLOOKUP(A355,'Ф_102_2016'!C:F,4,0),0)</f>
        <v>0</v>
      </c>
      <c r="C355" s="75">
        <f>IFERROR(VLOOKUP(A355,Ф_102_2017!C:F,4,0),0)</f>
        <v>0</v>
      </c>
      <c r="D355" s="75">
        <f>IFERROR(VLOOKUP(A355,Ф_102_2018!C:F,4,0),0)</f>
        <v>0</v>
      </c>
      <c r="E355" s="75">
        <f>IFERROR(VLOOKUP(A355,Ф_102_2019!C:F,4,0),0)</f>
        <v>0</v>
      </c>
      <c r="F355" s="75">
        <f>IFERROR(VLOOKUP(A355,Ф_102_2020!C:F,4,0),0)</f>
        <v>0</v>
      </c>
      <c r="G355" s="75">
        <f>IFERROR(VLOOKUP(A355,Ф_102_2021!C:F,4,0),0)</f>
        <v>0</v>
      </c>
    </row>
    <row r="356" spans="1:7" x14ac:dyDescent="0.2">
      <c r="A356" s="21">
        <v>41512</v>
      </c>
      <c r="B356" s="75">
        <f>IFERROR(VLOOKUP(A356,'Ф_102_2016'!C:F,4,0),0)</f>
        <v>0</v>
      </c>
      <c r="C356" s="75">
        <f>IFERROR(VLOOKUP(A356,Ф_102_2017!C:F,4,0),0)</f>
        <v>0</v>
      </c>
      <c r="D356" s="75">
        <f>IFERROR(VLOOKUP(A356,Ф_102_2018!C:F,4,0),0)</f>
        <v>0</v>
      </c>
      <c r="E356" s="75">
        <f>IFERROR(VLOOKUP(A356,Ф_102_2019!C:F,4,0),0)</f>
        <v>0</v>
      </c>
      <c r="F356" s="75">
        <f>IFERROR(VLOOKUP(A356,Ф_102_2020!C:F,4,0),0)</f>
        <v>0</v>
      </c>
      <c r="G356" s="75">
        <f>IFERROR(VLOOKUP(A356,Ф_102_2021!C:F,4,0),0)</f>
        <v>0</v>
      </c>
    </row>
    <row r="357" spans="1:7" x14ac:dyDescent="0.2">
      <c r="A357" s="21">
        <v>41513</v>
      </c>
      <c r="B357" s="75">
        <f>IFERROR(VLOOKUP(A357,'Ф_102_2016'!C:F,4,0),0)</f>
        <v>0</v>
      </c>
      <c r="C357" s="75">
        <f>IFERROR(VLOOKUP(A357,Ф_102_2017!C:F,4,0),0)</f>
        <v>0</v>
      </c>
      <c r="D357" s="75">
        <f>IFERROR(VLOOKUP(A357,Ф_102_2018!C:F,4,0),0)</f>
        <v>0</v>
      </c>
      <c r="E357" s="75">
        <f>IFERROR(VLOOKUP(A357,Ф_102_2019!C:F,4,0),0)</f>
        <v>0</v>
      </c>
      <c r="F357" s="75">
        <f>IFERROR(VLOOKUP(A357,Ф_102_2020!C:F,4,0),0)</f>
        <v>0</v>
      </c>
      <c r="G357" s="75">
        <f>IFERROR(VLOOKUP(A357,Ф_102_2021!C:F,4,0),0)</f>
        <v>0</v>
      </c>
    </row>
    <row r="358" spans="1:7" x14ac:dyDescent="0.2">
      <c r="A358" s="21">
        <v>41514</v>
      </c>
      <c r="B358" s="75">
        <f>IFERROR(VLOOKUP(A358,'Ф_102_2016'!C:F,4,0),0)</f>
        <v>0</v>
      </c>
      <c r="C358" s="75">
        <f>IFERROR(VLOOKUP(A358,Ф_102_2017!C:F,4,0),0)</f>
        <v>0</v>
      </c>
      <c r="D358" s="75">
        <f>IFERROR(VLOOKUP(A358,Ф_102_2018!C:F,4,0),0)</f>
        <v>0</v>
      </c>
      <c r="E358" s="75">
        <f>IFERROR(VLOOKUP(A358,Ф_102_2019!C:F,4,0),0)</f>
        <v>0</v>
      </c>
      <c r="F358" s="75">
        <f>IFERROR(VLOOKUP(A358,Ф_102_2020!C:F,4,0),0)</f>
        <v>0</v>
      </c>
      <c r="G358" s="75">
        <f>IFERROR(VLOOKUP(A358,Ф_102_2021!C:F,4,0),0)</f>
        <v>0</v>
      </c>
    </row>
    <row r="359" spans="1:7" x14ac:dyDescent="0.2">
      <c r="A359" s="21">
        <v>41515</v>
      </c>
      <c r="B359" s="75">
        <f>IFERROR(VLOOKUP(A359,'Ф_102_2016'!C:F,4,0),0)</f>
        <v>0</v>
      </c>
      <c r="C359" s="75">
        <f>IFERROR(VLOOKUP(A359,Ф_102_2017!C:F,4,0),0)</f>
        <v>0</v>
      </c>
      <c r="D359" s="75">
        <f>IFERROR(VLOOKUP(A359,Ф_102_2018!C:F,4,0),0)</f>
        <v>0</v>
      </c>
      <c r="E359" s="75">
        <f>IFERROR(VLOOKUP(A359,Ф_102_2019!C:F,4,0),0)</f>
        <v>0</v>
      </c>
      <c r="F359" s="75">
        <f>IFERROR(VLOOKUP(A359,Ф_102_2020!C:F,4,0),0)</f>
        <v>0</v>
      </c>
      <c r="G359" s="75">
        <f>IFERROR(VLOOKUP(A359,Ф_102_2021!C:F,4,0),0)</f>
        <v>0</v>
      </c>
    </row>
    <row r="360" spans="1:7" x14ac:dyDescent="0.2">
      <c r="A360" s="21">
        <v>41516</v>
      </c>
      <c r="B360" s="75">
        <f>IFERROR(VLOOKUP(A360,'Ф_102_2016'!C:F,4,0),0)</f>
        <v>0</v>
      </c>
      <c r="C360" s="75">
        <f>IFERROR(VLOOKUP(A360,Ф_102_2017!C:F,4,0),0)</f>
        <v>0</v>
      </c>
      <c r="D360" s="75">
        <f>IFERROR(VLOOKUP(A360,Ф_102_2018!C:F,4,0),0)</f>
        <v>0</v>
      </c>
      <c r="E360" s="75">
        <f>IFERROR(VLOOKUP(A360,Ф_102_2019!C:F,4,0),0)</f>
        <v>0</v>
      </c>
      <c r="F360" s="75">
        <f>IFERROR(VLOOKUP(A360,Ф_102_2020!C:F,4,0),0)</f>
        <v>0</v>
      </c>
      <c r="G360" s="75">
        <f>IFERROR(VLOOKUP(A360,Ф_102_2021!C:F,4,0),0)</f>
        <v>0</v>
      </c>
    </row>
    <row r="361" spans="1:7" x14ac:dyDescent="0.2">
      <c r="A361" s="21">
        <v>41517</v>
      </c>
      <c r="B361" s="75">
        <f>IFERROR(VLOOKUP(A361,'Ф_102_2016'!C:F,4,0),0)</f>
        <v>0</v>
      </c>
      <c r="C361" s="75">
        <f>IFERROR(VLOOKUP(A361,Ф_102_2017!C:F,4,0),0)</f>
        <v>0</v>
      </c>
      <c r="D361" s="75">
        <f>IFERROR(VLOOKUP(A361,Ф_102_2018!C:F,4,0),0)</f>
        <v>0</v>
      </c>
      <c r="E361" s="75">
        <f>IFERROR(VLOOKUP(A361,Ф_102_2019!C:F,4,0),0)</f>
        <v>0</v>
      </c>
      <c r="F361" s="75">
        <f>IFERROR(VLOOKUP(A361,Ф_102_2020!C:F,4,0),0)</f>
        <v>0</v>
      </c>
      <c r="G361" s="75">
        <f>IFERROR(VLOOKUP(A361,Ф_102_2021!C:F,4,0),0)</f>
        <v>0</v>
      </c>
    </row>
    <row r="362" spans="1:7" x14ac:dyDescent="0.2">
      <c r="A362" s="21">
        <v>41518</v>
      </c>
      <c r="B362" s="75">
        <f>IFERROR(VLOOKUP(A362,'Ф_102_2016'!C:F,4,0),0)</f>
        <v>0</v>
      </c>
      <c r="C362" s="75">
        <f>IFERROR(VLOOKUP(A362,Ф_102_2017!C:F,4,0),0)</f>
        <v>0</v>
      </c>
      <c r="D362" s="75">
        <f>IFERROR(VLOOKUP(A362,Ф_102_2018!C:F,4,0),0)</f>
        <v>0</v>
      </c>
      <c r="E362" s="75">
        <f>IFERROR(VLOOKUP(A362,Ф_102_2019!C:F,4,0),0)</f>
        <v>0</v>
      </c>
      <c r="F362" s="75">
        <f>IFERROR(VLOOKUP(A362,Ф_102_2020!C:F,4,0),0)</f>
        <v>0</v>
      </c>
      <c r="G362" s="75">
        <f>IFERROR(VLOOKUP(A362,Ф_102_2021!C:F,4,0),0)</f>
        <v>0</v>
      </c>
    </row>
    <row r="363" spans="1:7" x14ac:dyDescent="0.2">
      <c r="A363" s="21">
        <v>41519</v>
      </c>
      <c r="B363" s="75">
        <f>IFERROR(VLOOKUP(A363,'Ф_102_2016'!C:F,4,0),0)</f>
        <v>0</v>
      </c>
      <c r="C363" s="75">
        <f>IFERROR(VLOOKUP(A363,Ф_102_2017!C:F,4,0),0)</f>
        <v>0</v>
      </c>
      <c r="D363" s="75">
        <f>IFERROR(VLOOKUP(A363,Ф_102_2018!C:F,4,0),0)</f>
        <v>0</v>
      </c>
      <c r="E363" s="75">
        <f>IFERROR(VLOOKUP(A363,Ф_102_2019!C:F,4,0),0)</f>
        <v>0</v>
      </c>
      <c r="F363" s="75">
        <f>IFERROR(VLOOKUP(A363,Ф_102_2020!C:F,4,0),0)</f>
        <v>0</v>
      </c>
      <c r="G363" s="75">
        <f>IFERROR(VLOOKUP(A363,Ф_102_2021!C:F,4,0),0)</f>
        <v>0</v>
      </c>
    </row>
    <row r="364" spans="1:7" x14ac:dyDescent="0.2">
      <c r="A364" s="21">
        <v>41520</v>
      </c>
      <c r="B364" s="75">
        <f>IFERROR(VLOOKUP(A364,'Ф_102_2016'!C:F,4,0),0)</f>
        <v>0</v>
      </c>
      <c r="C364" s="75">
        <f>IFERROR(VLOOKUP(A364,Ф_102_2017!C:F,4,0),0)</f>
        <v>0</v>
      </c>
      <c r="D364" s="75">
        <f>IFERROR(VLOOKUP(A364,Ф_102_2018!C:F,4,0),0)</f>
        <v>0</v>
      </c>
      <c r="E364" s="75">
        <f>IFERROR(VLOOKUP(A364,Ф_102_2019!C:F,4,0),0)</f>
        <v>0</v>
      </c>
      <c r="F364" s="75">
        <f>IFERROR(VLOOKUP(A364,Ф_102_2020!C:F,4,0),0)</f>
        <v>0</v>
      </c>
      <c r="G364" s="75">
        <f>IFERROR(VLOOKUP(A364,Ф_102_2021!C:F,4,0),0)</f>
        <v>0</v>
      </c>
    </row>
    <row r="365" spans="1:7" ht="111" thickBot="1" x14ac:dyDescent="0.25">
      <c r="A365" s="1155" t="s">
        <v>1522</v>
      </c>
      <c r="B365" s="1249">
        <f t="shared" ref="B365:E365" si="24">SUM(B345:B364)</f>
        <v>0</v>
      </c>
      <c r="C365" s="1249">
        <f t="shared" si="24"/>
        <v>0</v>
      </c>
      <c r="D365" s="1249">
        <f t="shared" si="24"/>
        <v>0</v>
      </c>
      <c r="E365" s="1249">
        <f t="shared" si="24"/>
        <v>0</v>
      </c>
      <c r="F365" s="1249">
        <f>SUM(F345:F364)</f>
        <v>0</v>
      </c>
      <c r="G365" s="1249">
        <f>SUM(G345:G364)</f>
        <v>0</v>
      </c>
    </row>
    <row r="366" spans="1:7" x14ac:dyDescent="0.2">
      <c r="A366" s="21">
        <v>41601</v>
      </c>
      <c r="B366" s="75">
        <f>IFERROR(VLOOKUP(A366,'Ф_102_2016'!C:F,4,0),0)</f>
        <v>0</v>
      </c>
      <c r="C366" s="75">
        <f>IFERROR(VLOOKUP(A366,Ф_102_2017!C:F,4,0),0)</f>
        <v>0</v>
      </c>
      <c r="D366" s="75">
        <f>IFERROR(VLOOKUP(A366,Ф_102_2018!C:F,4,0),0)</f>
        <v>0</v>
      </c>
      <c r="E366" s="75">
        <f>IFERROR(VLOOKUP(A366,Ф_102_2019!C:F,4,0),0)</f>
        <v>0</v>
      </c>
      <c r="F366" s="75">
        <f>IFERROR(VLOOKUP(A366,Ф_102_2020!C:F,4,0),0)</f>
        <v>0</v>
      </c>
      <c r="G366" s="75">
        <f>IFERROR(VLOOKUP(A366,Ф_102_2021!C:F,4,0),0)</f>
        <v>0</v>
      </c>
    </row>
    <row r="367" spans="1:7" x14ac:dyDescent="0.2">
      <c r="A367" s="21">
        <v>42602</v>
      </c>
      <c r="B367" s="75">
        <f>IFERROR(VLOOKUP(A367,'Ф_102_2016'!C:F,4,0),0)</f>
        <v>0</v>
      </c>
      <c r="C367" s="75">
        <f>IFERROR(VLOOKUP(A367,Ф_102_2017!C:F,4,0),0)</f>
        <v>0</v>
      </c>
      <c r="D367" s="75">
        <f>IFERROR(VLOOKUP(A367,Ф_102_2018!C:F,4,0),0)</f>
        <v>0</v>
      </c>
      <c r="E367" s="75">
        <f>IFERROR(VLOOKUP(A367,Ф_102_2019!C:F,4,0),0)</f>
        <v>0</v>
      </c>
      <c r="F367" s="75">
        <f>IFERROR(VLOOKUP(A367,Ф_102_2020!C:F,4,0),0)</f>
        <v>0</v>
      </c>
      <c r="G367" s="75">
        <f>IFERROR(VLOOKUP(A367,Ф_102_2021!C:F,4,0),0)</f>
        <v>0</v>
      </c>
    </row>
    <row r="368" spans="1:7" x14ac:dyDescent="0.2">
      <c r="A368" s="21">
        <v>41603</v>
      </c>
      <c r="B368" s="73">
        <f>IFERROR(VLOOKUP(A368,'Ф_102_2016'!C:F,4,0),0)</f>
        <v>0</v>
      </c>
      <c r="C368" s="73">
        <f>IFERROR(VLOOKUP(A368,Ф_102_2017!C:F,4,0),0)</f>
        <v>0</v>
      </c>
      <c r="D368" s="73">
        <f>IFERROR(VLOOKUP(A368,Ф_102_2018!C:F,4,0),0)</f>
        <v>0</v>
      </c>
      <c r="E368" s="73">
        <f>IFERROR(VLOOKUP(A368,Ф_102_2019!C:F,4,0),0)</f>
        <v>0</v>
      </c>
      <c r="F368" s="73">
        <f>IFERROR(VLOOKUP(A368,Ф_102_2020!C:F,4,0),0)</f>
        <v>0</v>
      </c>
      <c r="G368" s="73">
        <f>IFERROR(VLOOKUP(A368,Ф_102_2021!C:F,4,0),0)</f>
        <v>0</v>
      </c>
    </row>
    <row r="369" spans="1:7" ht="79.5" thickBot="1" x14ac:dyDescent="0.25">
      <c r="A369" s="1155" t="s">
        <v>1523</v>
      </c>
      <c r="B369" s="1249">
        <f t="shared" ref="B369:E369" si="25">SUM(B366:B368)</f>
        <v>0</v>
      </c>
      <c r="C369" s="1249">
        <f t="shared" si="25"/>
        <v>0</v>
      </c>
      <c r="D369" s="1249">
        <f t="shared" si="25"/>
        <v>0</v>
      </c>
      <c r="E369" s="1249">
        <f t="shared" si="25"/>
        <v>0</v>
      </c>
      <c r="F369" s="1249">
        <f>SUM(F366:F368)</f>
        <v>0</v>
      </c>
      <c r="G369" s="1249">
        <f>SUM(G366:G368)</f>
        <v>0</v>
      </c>
    </row>
    <row r="370" spans="1:7" x14ac:dyDescent="0.2">
      <c r="A370" s="1257">
        <v>44101</v>
      </c>
      <c r="B370" s="1259">
        <f>IFERROR(VLOOKUP(A370,'Ф_102_2016'!C:F,4,0),0)</f>
        <v>0</v>
      </c>
      <c r="C370" s="1259">
        <f>IFERROR(VLOOKUP(A370,Ф_102_2017!C:F,4,0),0)</f>
        <v>0</v>
      </c>
      <c r="D370" s="1259">
        <f>IFERROR(VLOOKUP(A370,Ф_102_2018!C:F,4,0),0)</f>
        <v>0</v>
      </c>
      <c r="E370" s="75">
        <f>IFERROR(VLOOKUP(A370,Ф_102_2019!C:F,4,0),0)</f>
        <v>4543</v>
      </c>
      <c r="F370" s="75">
        <f>IFERROR(VLOOKUP(A370,Ф_102_2020!C:F,4,0),0)</f>
        <v>32312</v>
      </c>
      <c r="G370" s="75">
        <f>IFERROR(VLOOKUP(A370,Ф_102_2021!C:F,4,0),0)</f>
        <v>1934</v>
      </c>
    </row>
    <row r="371" spans="1:7" x14ac:dyDescent="0.2">
      <c r="A371" s="21">
        <v>44102</v>
      </c>
      <c r="B371" s="75">
        <f>IFERROR(VLOOKUP(A371,'Ф_102_2016'!C:F,4,0),0)</f>
        <v>0</v>
      </c>
      <c r="C371" s="75">
        <f>IFERROR(VLOOKUP(A371,Ф_102_2017!C:F,4,0),0)</f>
        <v>0</v>
      </c>
      <c r="D371" s="75">
        <f>IFERROR(VLOOKUP(A371,Ф_102_2018!C:F,4,0),0)</f>
        <v>0</v>
      </c>
      <c r="E371" s="75">
        <f>IFERROR(VLOOKUP(A371,Ф_102_2019!C:F,4,0),0)</f>
        <v>0</v>
      </c>
      <c r="F371" s="75">
        <f>IFERROR(VLOOKUP(A371,Ф_102_2020!C:F,4,0),0)</f>
        <v>560</v>
      </c>
      <c r="G371" s="75">
        <f>IFERROR(VLOOKUP(A371,Ф_102_2021!C:F,4,0),0)</f>
        <v>626</v>
      </c>
    </row>
    <row r="372" spans="1:7" x14ac:dyDescent="0.2">
      <c r="A372" s="21">
        <v>44103</v>
      </c>
      <c r="B372" s="75">
        <f>IFERROR(VLOOKUP(A372,'Ф_102_2016'!C:F,4,0),0)</f>
        <v>130</v>
      </c>
      <c r="C372" s="75">
        <f>IFERROR(VLOOKUP(A372,Ф_102_2017!C:F,4,0),0)</f>
        <v>0</v>
      </c>
      <c r="D372" s="75">
        <f>IFERROR(VLOOKUP(A372,Ф_102_2018!C:F,4,0),0)</f>
        <v>0</v>
      </c>
      <c r="E372" s="75">
        <f>IFERROR(VLOOKUP(A372,Ф_102_2019!C:F,4,0),0)</f>
        <v>0</v>
      </c>
      <c r="F372" s="75">
        <f>IFERROR(VLOOKUP(A372,Ф_102_2020!C:F,4,0),0)</f>
        <v>259</v>
      </c>
      <c r="G372" s="75">
        <f>IFERROR(VLOOKUP(A372,Ф_102_2021!C:F,4,0),0)</f>
        <v>88</v>
      </c>
    </row>
    <row r="373" spans="1:7" x14ac:dyDescent="0.2">
      <c r="A373" s="21">
        <v>44104</v>
      </c>
      <c r="B373" s="75">
        <f>IFERROR(VLOOKUP(A373,'Ф_102_2016'!C:F,4,0),0)</f>
        <v>0</v>
      </c>
      <c r="C373" s="75">
        <f>IFERROR(VLOOKUP(A373,Ф_102_2017!C:F,4,0),0)</f>
        <v>0</v>
      </c>
      <c r="D373" s="75">
        <f>IFERROR(VLOOKUP(A373,Ф_102_2018!C:F,4,0),0)</f>
        <v>0</v>
      </c>
      <c r="E373" s="75">
        <f>IFERROR(VLOOKUP(A373,Ф_102_2019!C:F,4,0),0)</f>
        <v>0</v>
      </c>
      <c r="F373" s="75">
        <f>IFERROR(VLOOKUP(A373,Ф_102_2020!C:F,4,0),0)</f>
        <v>0</v>
      </c>
      <c r="G373" s="75">
        <f>IFERROR(VLOOKUP(A373,Ф_102_2021!C:F,4,0),0)</f>
        <v>0</v>
      </c>
    </row>
    <row r="374" spans="1:7" x14ac:dyDescent="0.2">
      <c r="A374" s="341">
        <v>44105</v>
      </c>
      <c r="B374" s="73">
        <f>IFERROR(VLOOKUP(A374,'Ф_102_2016'!C:F,4,0),0)</f>
        <v>0</v>
      </c>
      <c r="C374" s="73">
        <f>IFERROR(VLOOKUP(A374,Ф_102_2017!C:F,4,0),0)</f>
        <v>0</v>
      </c>
      <c r="D374" s="75">
        <f>IFERROR(VLOOKUP(A374,Ф_102_2018!C:F,4,0),0)</f>
        <v>0</v>
      </c>
      <c r="E374" s="75">
        <f>IFERROR(VLOOKUP(A374,Ф_102_2019!C:F,4,0),0)</f>
        <v>0</v>
      </c>
      <c r="F374" s="75">
        <f>IFERROR(VLOOKUP(A374,Ф_102_2020!C:F,4,0),0)</f>
        <v>0</v>
      </c>
      <c r="G374" s="75">
        <f>IFERROR(VLOOKUP(A374,Ф_102_2021!C:F,4,0),0)</f>
        <v>0</v>
      </c>
    </row>
    <row r="375" spans="1:7" x14ac:dyDescent="0.2">
      <c r="A375" s="27">
        <v>44201</v>
      </c>
      <c r="B375" s="75">
        <f>IFERROR(VLOOKUP(A375,'Ф_102_2016'!C:F,4,0),0)</f>
        <v>0</v>
      </c>
      <c r="C375" s="75">
        <f>IFERROR(VLOOKUP(A375,Ф_102_2017!C:F,4,0),0)</f>
        <v>0</v>
      </c>
      <c r="D375" s="1258">
        <f>IFERROR(VLOOKUP(A375,Ф_102_2018!C:F,4,0),0)</f>
        <v>0</v>
      </c>
      <c r="E375" s="1258">
        <f>IFERROR(VLOOKUP(A375,Ф_102_2019!C:F,4,0),0)</f>
        <v>0</v>
      </c>
      <c r="F375" s="1258">
        <f>IFERROR(VLOOKUP(A375,Ф_102_2020!C:F,4,0),0)</f>
        <v>0</v>
      </c>
      <c r="G375" s="1258">
        <f>IFERROR(VLOOKUP(A375,Ф_102_2021!C:F,4,0),0)</f>
        <v>0</v>
      </c>
    </row>
    <row r="376" spans="1:7" x14ac:dyDescent="0.2">
      <c r="A376" s="21">
        <v>44202</v>
      </c>
      <c r="B376" s="75">
        <f>IFERROR(VLOOKUP(A376,'Ф_102_2016'!C:F,4,0),0)</f>
        <v>0</v>
      </c>
      <c r="C376" s="75">
        <f>IFERROR(VLOOKUP(A376,Ф_102_2017!C:F,4,0),0)</f>
        <v>0</v>
      </c>
      <c r="D376" s="75">
        <f>IFERROR(VLOOKUP(A376,Ф_102_2018!C:F,4,0),0)</f>
        <v>0</v>
      </c>
      <c r="E376" s="75">
        <f>IFERROR(VLOOKUP(A376,Ф_102_2019!C:F,4,0),0)</f>
        <v>0</v>
      </c>
      <c r="F376" s="75">
        <f>IFERROR(VLOOKUP(A376,Ф_102_2020!C:F,4,0),0)</f>
        <v>0</v>
      </c>
      <c r="G376" s="75">
        <f>IFERROR(VLOOKUP(A376,Ф_102_2021!C:F,4,0),0)</f>
        <v>0</v>
      </c>
    </row>
    <row r="377" spans="1:7" x14ac:dyDescent="0.2">
      <c r="A377" s="21">
        <v>44203</v>
      </c>
      <c r="B377" s="75">
        <f>IFERROR(VLOOKUP(A377,'Ф_102_2016'!C:F,4,0),0)</f>
        <v>0</v>
      </c>
      <c r="C377" s="75">
        <f>IFERROR(VLOOKUP(A377,Ф_102_2017!C:F,4,0),0)</f>
        <v>0</v>
      </c>
      <c r="D377" s="75">
        <f>IFERROR(VLOOKUP(A377,Ф_102_2018!C:F,4,0),0)</f>
        <v>0</v>
      </c>
      <c r="E377" s="75">
        <f>IFERROR(VLOOKUP(A377,Ф_102_2019!C:F,4,0),0)</f>
        <v>0</v>
      </c>
      <c r="F377" s="75">
        <f>IFERROR(VLOOKUP(A377,Ф_102_2020!C:F,4,0),0)</f>
        <v>0</v>
      </c>
      <c r="G377" s="75">
        <f>IFERROR(VLOOKUP(A377,Ф_102_2021!C:F,4,0),0)</f>
        <v>0</v>
      </c>
    </row>
    <row r="378" spans="1:7" x14ac:dyDescent="0.2">
      <c r="A378" s="21">
        <v>44204</v>
      </c>
      <c r="B378" s="75">
        <f>IFERROR(VLOOKUP(A378,'Ф_102_2016'!C:F,4,0),0)</f>
        <v>0</v>
      </c>
      <c r="C378" s="75">
        <f>IFERROR(VLOOKUP(A378,Ф_102_2017!C:F,4,0),0)</f>
        <v>0</v>
      </c>
      <c r="D378" s="75">
        <f>IFERROR(VLOOKUP(A378,Ф_102_2018!C:F,4,0),0)</f>
        <v>0</v>
      </c>
      <c r="E378" s="75">
        <f>IFERROR(VLOOKUP(A378,Ф_102_2019!C:F,4,0),0)</f>
        <v>0</v>
      </c>
      <c r="F378" s="75">
        <f>IFERROR(VLOOKUP(A378,Ф_102_2020!C:F,4,0),0)</f>
        <v>0</v>
      </c>
      <c r="G378" s="75">
        <f>IFERROR(VLOOKUP(A378,Ф_102_2021!C:F,4,0),0)</f>
        <v>0</v>
      </c>
    </row>
    <row r="379" spans="1:7" x14ac:dyDescent="0.2">
      <c r="A379" s="21">
        <v>44205</v>
      </c>
      <c r="B379" s="75">
        <f>IFERROR(VLOOKUP(A379,'Ф_102_2016'!C:F,4,0),0)</f>
        <v>0</v>
      </c>
      <c r="C379" s="75">
        <f>IFERROR(VLOOKUP(A379,Ф_102_2017!C:F,4,0),0)</f>
        <v>0</v>
      </c>
      <c r="D379" s="75">
        <f>IFERROR(VLOOKUP(A379,Ф_102_2018!C:F,4,0),0)</f>
        <v>0</v>
      </c>
      <c r="E379" s="75">
        <f>IFERROR(VLOOKUP(A379,Ф_102_2019!C:F,4,0),0)</f>
        <v>0</v>
      </c>
      <c r="F379" s="75">
        <f>IFERROR(VLOOKUP(A379,Ф_102_2020!C:F,4,0),0)</f>
        <v>0</v>
      </c>
      <c r="G379" s="75">
        <f>IFERROR(VLOOKUP(A379,Ф_102_2021!C:F,4,0),0)</f>
        <v>0</v>
      </c>
    </row>
    <row r="380" spans="1:7" x14ac:dyDescent="0.2">
      <c r="A380" s="21">
        <v>44206</v>
      </c>
      <c r="B380" s="75">
        <f>IFERROR(VLOOKUP(A380,'Ф_102_2016'!C:F,4,0),0)</f>
        <v>0</v>
      </c>
      <c r="C380" s="75">
        <f>IFERROR(VLOOKUP(A380,Ф_102_2017!C:F,4,0),0)</f>
        <v>0</v>
      </c>
      <c r="D380" s="75">
        <f>IFERROR(VLOOKUP(A380,Ф_102_2018!C:F,4,0),0)</f>
        <v>0</v>
      </c>
      <c r="E380" s="75">
        <f>IFERROR(VLOOKUP(A380,Ф_102_2019!C:F,4,0),0)</f>
        <v>0</v>
      </c>
      <c r="F380" s="75">
        <f>IFERROR(VLOOKUP(A380,Ф_102_2020!C:F,4,0),0)</f>
        <v>0</v>
      </c>
      <c r="G380" s="75">
        <f>IFERROR(VLOOKUP(A380,Ф_102_2021!C:F,4,0),0)</f>
        <v>0</v>
      </c>
    </row>
    <row r="381" spans="1:7" x14ac:dyDescent="0.2">
      <c r="A381" s="21">
        <v>44207</v>
      </c>
      <c r="B381" s="75">
        <f>IFERROR(VLOOKUP(A381,'Ф_102_2016'!C:F,4,0),0)</f>
        <v>0</v>
      </c>
      <c r="C381" s="75">
        <f>IFERROR(VLOOKUP(A381,Ф_102_2017!C:F,4,0),0)</f>
        <v>0</v>
      </c>
      <c r="D381" s="75">
        <f>IFERROR(VLOOKUP(A381,Ф_102_2018!C:F,4,0),0)</f>
        <v>0</v>
      </c>
      <c r="E381" s="75">
        <f>IFERROR(VLOOKUP(A381,Ф_102_2019!C:F,4,0),0)</f>
        <v>0</v>
      </c>
      <c r="F381" s="75">
        <f>IFERROR(VLOOKUP(A381,Ф_102_2020!C:F,4,0),0)</f>
        <v>0</v>
      </c>
      <c r="G381" s="75">
        <f>IFERROR(VLOOKUP(A381,Ф_102_2021!C:F,4,0),0)</f>
        <v>0</v>
      </c>
    </row>
    <row r="382" spans="1:7" x14ac:dyDescent="0.2">
      <c r="A382" s="21">
        <v>44208</v>
      </c>
      <c r="B382" s="75">
        <f>IFERROR(VLOOKUP(A382,'Ф_102_2016'!C:F,4,0),0)</f>
        <v>0</v>
      </c>
      <c r="C382" s="75">
        <f>IFERROR(VLOOKUP(A382,Ф_102_2017!C:F,4,0),0)</f>
        <v>0</v>
      </c>
      <c r="D382" s="75">
        <f>IFERROR(VLOOKUP(A382,Ф_102_2018!C:F,4,0),0)</f>
        <v>0</v>
      </c>
      <c r="E382" s="75">
        <f>IFERROR(VLOOKUP(A382,Ф_102_2019!C:F,4,0),0)</f>
        <v>0</v>
      </c>
      <c r="F382" s="75">
        <f>IFERROR(VLOOKUP(A382,Ф_102_2020!C:F,4,0),0)</f>
        <v>0</v>
      </c>
      <c r="G382" s="75">
        <f>IFERROR(VLOOKUP(A382,Ф_102_2021!C:F,4,0),0)</f>
        <v>0</v>
      </c>
    </row>
    <row r="383" spans="1:7" x14ac:dyDescent="0.2">
      <c r="A383" s="21">
        <v>44209</v>
      </c>
      <c r="B383" s="75">
        <f>IFERROR(VLOOKUP(A383,'Ф_102_2016'!C:F,4,0),0)</f>
        <v>0</v>
      </c>
      <c r="C383" s="75">
        <f>IFERROR(VLOOKUP(A383,Ф_102_2017!C:F,4,0),0)</f>
        <v>0</v>
      </c>
      <c r="D383" s="75">
        <f>IFERROR(VLOOKUP(A383,Ф_102_2018!C:F,4,0),0)</f>
        <v>0</v>
      </c>
      <c r="E383" s="75">
        <f>IFERROR(VLOOKUP(A383,Ф_102_2019!C:F,4,0),0)</f>
        <v>0</v>
      </c>
      <c r="F383" s="75">
        <f>IFERROR(VLOOKUP(A383,Ф_102_2020!C:F,4,0),0)</f>
        <v>533</v>
      </c>
      <c r="G383" s="75">
        <f>IFERROR(VLOOKUP(A383,Ф_102_2021!C:F,4,0),0)</f>
        <v>110</v>
      </c>
    </row>
    <row r="384" spans="1:7" x14ac:dyDescent="0.2">
      <c r="A384" s="21">
        <v>44210</v>
      </c>
      <c r="B384" s="75">
        <f>IFERROR(VLOOKUP(A384,'Ф_102_2016'!C:F,4,0),0)</f>
        <v>0</v>
      </c>
      <c r="C384" s="75">
        <f>IFERROR(VLOOKUP(A384,Ф_102_2017!C:F,4,0),0)</f>
        <v>0</v>
      </c>
      <c r="D384" s="75">
        <f>IFERROR(VLOOKUP(A384,Ф_102_2018!C:F,4,0),0)</f>
        <v>0</v>
      </c>
      <c r="E384" s="75">
        <f>IFERROR(VLOOKUP(A384,Ф_102_2019!C:F,4,0),0)</f>
        <v>0</v>
      </c>
      <c r="F384" s="75">
        <f>IFERROR(VLOOKUP(A384,Ф_102_2020!C:F,4,0),0)</f>
        <v>128251</v>
      </c>
      <c r="G384" s="75">
        <f>IFERROR(VLOOKUP(A384,Ф_102_2021!C:F,4,0),0)</f>
        <v>103986</v>
      </c>
    </row>
    <row r="385" spans="1:7" x14ac:dyDescent="0.2">
      <c r="A385" s="21">
        <v>44211</v>
      </c>
      <c r="B385" s="75">
        <f>IFERROR(VLOOKUP(A385,'Ф_102_2016'!C:F,4,0),0)</f>
        <v>0</v>
      </c>
      <c r="C385" s="75">
        <f>IFERROR(VLOOKUP(A385,Ф_102_2017!C:F,4,0),0)</f>
        <v>0</v>
      </c>
      <c r="D385" s="75">
        <f>IFERROR(VLOOKUP(A385,Ф_102_2018!C:F,4,0),0)</f>
        <v>0</v>
      </c>
      <c r="E385" s="75">
        <f>IFERROR(VLOOKUP(A385,Ф_102_2019!C:F,4,0),0)</f>
        <v>0</v>
      </c>
      <c r="F385" s="75">
        <f>IFERROR(VLOOKUP(A385,Ф_102_2020!C:F,4,0),0)</f>
        <v>40855</v>
      </c>
      <c r="G385" s="75">
        <f>IFERROR(VLOOKUP(A385,Ф_102_2021!C:F,4,0),0)</f>
        <v>58462</v>
      </c>
    </row>
    <row r="386" spans="1:7" x14ac:dyDescent="0.2">
      <c r="A386" s="21">
        <v>44212</v>
      </c>
      <c r="B386" s="75">
        <f>IFERROR(VLOOKUP(A386,'Ф_102_2016'!C:F,4,0),0)</f>
        <v>0</v>
      </c>
      <c r="C386" s="75">
        <f>IFERROR(VLOOKUP(A386,Ф_102_2017!C:F,4,0),0)</f>
        <v>0</v>
      </c>
      <c r="D386" s="75">
        <f>IFERROR(VLOOKUP(A386,Ф_102_2018!C:F,4,0),0)</f>
        <v>0</v>
      </c>
      <c r="E386" s="75">
        <f>IFERROR(VLOOKUP(A386,Ф_102_2019!C:F,4,0),0)</f>
        <v>5562</v>
      </c>
      <c r="F386" s="75">
        <f>IFERROR(VLOOKUP(A386,Ф_102_2020!C:F,4,0),0)</f>
        <v>67330</v>
      </c>
      <c r="G386" s="75">
        <f>IFERROR(VLOOKUP(A386,Ф_102_2021!C:F,4,0),0)</f>
        <v>96099</v>
      </c>
    </row>
    <row r="387" spans="1:7" x14ac:dyDescent="0.2">
      <c r="A387" s="21">
        <v>44213</v>
      </c>
      <c r="B387" s="75">
        <f>IFERROR(VLOOKUP(A387,'Ф_102_2016'!C:F,4,0),0)</f>
        <v>0</v>
      </c>
      <c r="C387" s="75">
        <f>IFERROR(VLOOKUP(A387,Ф_102_2017!C:F,4,0),0)</f>
        <v>0</v>
      </c>
      <c r="D387" s="75">
        <f>IFERROR(VLOOKUP(A387,Ф_102_2018!C:F,4,0),0)</f>
        <v>0</v>
      </c>
      <c r="E387" s="75">
        <f>IFERROR(VLOOKUP(A387,Ф_102_2019!C:F,4,0),0)</f>
        <v>0</v>
      </c>
      <c r="F387" s="75">
        <f>IFERROR(VLOOKUP(A387,Ф_102_2020!C:F,4,0),0)</f>
        <v>931492</v>
      </c>
      <c r="G387" s="75">
        <f>IFERROR(VLOOKUP(A387,Ф_102_2021!C:F,4,0),0)</f>
        <v>1964841</v>
      </c>
    </row>
    <row r="388" spans="1:7" x14ac:dyDescent="0.2">
      <c r="A388" s="21">
        <v>44214</v>
      </c>
      <c r="B388" s="75">
        <f>IFERROR(VLOOKUP(A388,'Ф_102_2016'!C:F,4,0),0)</f>
        <v>0</v>
      </c>
      <c r="C388" s="75">
        <f>IFERROR(VLOOKUP(A388,Ф_102_2017!C:F,4,0),0)</f>
        <v>0</v>
      </c>
      <c r="D388" s="75">
        <f>IFERROR(VLOOKUP(A388,Ф_102_2018!C:F,4,0),0)</f>
        <v>0</v>
      </c>
      <c r="E388" s="75">
        <f>IFERROR(VLOOKUP(A388,Ф_102_2019!C:F,4,0),0)</f>
        <v>0</v>
      </c>
      <c r="F388" s="75">
        <f>IFERROR(VLOOKUP(A388,Ф_102_2020!C:F,4,0),0)</f>
        <v>0</v>
      </c>
      <c r="G388" s="75">
        <f>IFERROR(VLOOKUP(A388,Ф_102_2021!C:F,4,0),0)</f>
        <v>0</v>
      </c>
    </row>
    <row r="389" spans="1:7" x14ac:dyDescent="0.2">
      <c r="A389" s="21">
        <v>44215</v>
      </c>
      <c r="B389" s="75">
        <f>IFERROR(VLOOKUP(A389,'Ф_102_2016'!C:F,4,0),0)</f>
        <v>0</v>
      </c>
      <c r="C389" s="75">
        <f>IFERROR(VLOOKUP(A389,Ф_102_2017!C:F,4,0),0)</f>
        <v>0</v>
      </c>
      <c r="D389" s="75">
        <f>IFERROR(VLOOKUP(A389,Ф_102_2018!C:F,4,0),0)</f>
        <v>0</v>
      </c>
      <c r="E389" s="75">
        <f>IFERROR(VLOOKUP(A389,Ф_102_2019!C:F,4,0),0)</f>
        <v>0</v>
      </c>
      <c r="F389" s="75">
        <f>IFERROR(VLOOKUP(A389,Ф_102_2020!C:F,4,0),0)</f>
        <v>0</v>
      </c>
      <c r="G389" s="75">
        <f>IFERROR(VLOOKUP(A389,Ф_102_2021!C:F,4,0),0)</f>
        <v>0</v>
      </c>
    </row>
    <row r="390" spans="1:7" x14ac:dyDescent="0.2">
      <c r="A390" s="21">
        <v>44216</v>
      </c>
      <c r="B390" s="75">
        <f>IFERROR(VLOOKUP(A390,'Ф_102_2016'!C:F,4,0),0)</f>
        <v>0</v>
      </c>
      <c r="C390" s="75">
        <f>IFERROR(VLOOKUP(A390,Ф_102_2017!C:F,4,0),0)</f>
        <v>0</v>
      </c>
      <c r="D390" s="75">
        <f>IFERROR(VLOOKUP(A390,Ф_102_2018!C:F,4,0),0)</f>
        <v>0</v>
      </c>
      <c r="E390" s="75">
        <f>IFERROR(VLOOKUP(A390,Ф_102_2019!C:F,4,0),0)</f>
        <v>0</v>
      </c>
      <c r="F390" s="75">
        <f>IFERROR(VLOOKUP(A390,Ф_102_2020!C:F,4,0),0)</f>
        <v>0</v>
      </c>
      <c r="G390" s="75">
        <f>IFERROR(VLOOKUP(A390,Ф_102_2021!C:F,4,0),0)</f>
        <v>0</v>
      </c>
    </row>
    <row r="391" spans="1:7" x14ac:dyDescent="0.2">
      <c r="A391" s="21">
        <v>44217</v>
      </c>
      <c r="B391" s="75">
        <f>IFERROR(VLOOKUP(A391,'Ф_102_2016'!C:F,4,0),0)</f>
        <v>0</v>
      </c>
      <c r="C391" s="75">
        <f>IFERROR(VLOOKUP(A391,Ф_102_2017!C:F,4,0),0)</f>
        <v>0</v>
      </c>
      <c r="D391" s="75">
        <f>IFERROR(VLOOKUP(A391,Ф_102_2018!C:F,4,0),0)</f>
        <v>0</v>
      </c>
      <c r="E391" s="75">
        <f>IFERROR(VLOOKUP(A391,Ф_102_2019!C:F,4,0),0)</f>
        <v>0</v>
      </c>
      <c r="F391" s="75">
        <f>IFERROR(VLOOKUP(A391,Ф_102_2020!C:F,4,0),0)</f>
        <v>0</v>
      </c>
      <c r="G391" s="75">
        <f>IFERROR(VLOOKUP(A391,Ф_102_2021!C:F,4,0),0)</f>
        <v>0</v>
      </c>
    </row>
    <row r="392" spans="1:7" x14ac:dyDescent="0.2">
      <c r="A392" s="341">
        <v>44218</v>
      </c>
      <c r="B392" s="75">
        <f>IFERROR(VLOOKUP(A392,'Ф_102_2016'!C:F,4,0),0)</f>
        <v>0</v>
      </c>
      <c r="C392" s="75">
        <f>IFERROR(VLOOKUP(A392,Ф_102_2017!C:F,4,0),0)</f>
        <v>0</v>
      </c>
      <c r="D392" s="75">
        <f>IFERROR(VLOOKUP(A392,Ф_102_2018!C:F,4,0),0)</f>
        <v>0</v>
      </c>
      <c r="E392" s="73">
        <f>IFERROR(VLOOKUP(A392,Ф_102_2019!C:F,4,0),0)</f>
        <v>17</v>
      </c>
      <c r="F392" s="73">
        <f>IFERROR(VLOOKUP(A392,Ф_102_2020!C:F,4,0),0)</f>
        <v>226</v>
      </c>
      <c r="G392" s="73">
        <f>IFERROR(VLOOKUP(A392,Ф_102_2021!C:F,4,0),0)</f>
        <v>23</v>
      </c>
    </row>
    <row r="393" spans="1:7" x14ac:dyDescent="0.2">
      <c r="A393" s="27">
        <v>44301</v>
      </c>
      <c r="B393" s="1258">
        <f>IFERROR(VLOOKUP(A393,'Ф_102_2016'!C:F,4,0),0)</f>
        <v>0</v>
      </c>
      <c r="C393" s="1258">
        <f>IFERROR(VLOOKUP(A393,Ф_102_2017!C:F,4,0),0)</f>
        <v>0</v>
      </c>
      <c r="D393" s="1258">
        <f>IFERROR(VLOOKUP(A393,Ф_102_2018!C:F,4,0),0)</f>
        <v>0</v>
      </c>
      <c r="E393" s="75">
        <f>IFERROR(VLOOKUP(A393,Ф_102_2019!C:F,4,0),0)</f>
        <v>0</v>
      </c>
      <c r="F393" s="75">
        <f>IFERROR(VLOOKUP(A393,Ф_102_2020!C:F,4,0),0)</f>
        <v>0</v>
      </c>
      <c r="G393" s="75">
        <f>IFERROR(VLOOKUP(A393,Ф_102_2021!C:F,4,0),0)</f>
        <v>0</v>
      </c>
    </row>
    <row r="394" spans="1:7" x14ac:dyDescent="0.2">
      <c r="A394" s="21">
        <v>44302</v>
      </c>
      <c r="B394" s="75">
        <f>IFERROR(VLOOKUP(A394,'Ф_102_2016'!C:F,4,0),0)</f>
        <v>0</v>
      </c>
      <c r="C394" s="75">
        <f>IFERROR(VLOOKUP(A394,Ф_102_2017!C:F,4,0),0)</f>
        <v>0</v>
      </c>
      <c r="D394" s="75">
        <f>IFERROR(VLOOKUP(A394,Ф_102_2018!C:F,4,0),0)</f>
        <v>0</v>
      </c>
      <c r="E394" s="75">
        <f>IFERROR(VLOOKUP(A394,Ф_102_2019!C:F,4,0),0)</f>
        <v>0</v>
      </c>
      <c r="F394" s="75">
        <f>IFERROR(VLOOKUP(A394,Ф_102_2020!C:F,4,0),0)</f>
        <v>0</v>
      </c>
      <c r="G394" s="75">
        <f>IFERROR(VLOOKUP(A394,Ф_102_2021!C:F,4,0),0)</f>
        <v>0</v>
      </c>
    </row>
    <row r="395" spans="1:7" x14ac:dyDescent="0.2">
      <c r="A395" s="21">
        <v>44303</v>
      </c>
      <c r="B395" s="75">
        <f>IFERROR(VLOOKUP(A395,'Ф_102_2016'!C:F,4,0),0)</f>
        <v>0</v>
      </c>
      <c r="C395" s="75">
        <f>IFERROR(VLOOKUP(A395,Ф_102_2017!C:F,4,0),0)</f>
        <v>0</v>
      </c>
      <c r="D395" s="75">
        <f>IFERROR(VLOOKUP(A395,Ф_102_2018!C:F,4,0),0)</f>
        <v>0</v>
      </c>
      <c r="E395" s="75">
        <f>IFERROR(VLOOKUP(A395,Ф_102_2019!C:F,4,0),0)</f>
        <v>0</v>
      </c>
      <c r="F395" s="75">
        <f>IFERROR(VLOOKUP(A395,Ф_102_2020!C:F,4,0),0)</f>
        <v>0</v>
      </c>
      <c r="G395" s="75">
        <f>IFERROR(VLOOKUP(A395,Ф_102_2021!C:F,4,0),0)</f>
        <v>0</v>
      </c>
    </row>
    <row r="396" spans="1:7" x14ac:dyDescent="0.2">
      <c r="A396" s="21">
        <v>44304</v>
      </c>
      <c r="B396" s="75">
        <f>IFERROR(VLOOKUP(A396,'Ф_102_2016'!C:F,4,0),0)</f>
        <v>0</v>
      </c>
      <c r="C396" s="75">
        <f>IFERROR(VLOOKUP(A396,Ф_102_2017!C:F,4,0),0)</f>
        <v>0</v>
      </c>
      <c r="D396" s="75">
        <f>IFERROR(VLOOKUP(A396,Ф_102_2018!C:F,4,0),0)</f>
        <v>0</v>
      </c>
      <c r="E396" s="75">
        <f>IFERROR(VLOOKUP(A396,Ф_102_2019!C:F,4,0),0)</f>
        <v>0</v>
      </c>
      <c r="F396" s="75">
        <f>IFERROR(VLOOKUP(A396,Ф_102_2020!C:F,4,0),0)</f>
        <v>0</v>
      </c>
      <c r="G396" s="75">
        <f>IFERROR(VLOOKUP(A396,Ф_102_2021!C:F,4,0),0)</f>
        <v>0</v>
      </c>
    </row>
    <row r="397" spans="1:7" x14ac:dyDescent="0.2">
      <c r="A397" s="21">
        <v>44305</v>
      </c>
      <c r="B397" s="75">
        <f>IFERROR(VLOOKUP(A397,'Ф_102_2016'!C:F,4,0),0)</f>
        <v>0</v>
      </c>
      <c r="C397" s="75">
        <f>IFERROR(VLOOKUP(A397,Ф_102_2017!C:F,4,0),0)</f>
        <v>0</v>
      </c>
      <c r="D397" s="75">
        <f>IFERROR(VLOOKUP(A397,Ф_102_2018!C:F,4,0),0)</f>
        <v>0</v>
      </c>
      <c r="E397" s="75">
        <f>IFERROR(VLOOKUP(A397,Ф_102_2019!C:F,4,0),0)</f>
        <v>0</v>
      </c>
      <c r="F397" s="75">
        <f>IFERROR(VLOOKUP(A397,Ф_102_2020!C:F,4,0),0)</f>
        <v>0</v>
      </c>
      <c r="G397" s="75">
        <f>IFERROR(VLOOKUP(A397,Ф_102_2021!C:F,4,0),0)</f>
        <v>0</v>
      </c>
    </row>
    <row r="398" spans="1:7" x14ac:dyDescent="0.2">
      <c r="A398" s="21">
        <v>44306</v>
      </c>
      <c r="B398" s="75">
        <f>IFERROR(VLOOKUP(A398,'Ф_102_2016'!C:F,4,0),0)</f>
        <v>0</v>
      </c>
      <c r="C398" s="75">
        <f>IFERROR(VLOOKUP(A398,Ф_102_2017!C:F,4,0),0)</f>
        <v>0</v>
      </c>
      <c r="D398" s="75">
        <f>IFERROR(VLOOKUP(A398,Ф_102_2018!C:F,4,0),0)</f>
        <v>0</v>
      </c>
      <c r="E398" s="75">
        <f>IFERROR(VLOOKUP(A398,Ф_102_2019!C:F,4,0),0)</f>
        <v>0</v>
      </c>
      <c r="F398" s="75">
        <f>IFERROR(VLOOKUP(A398,Ф_102_2020!C:F,4,0),0)</f>
        <v>0</v>
      </c>
      <c r="G398" s="75">
        <f>IFERROR(VLOOKUP(A398,Ф_102_2021!C:F,4,0),0)</f>
        <v>0</v>
      </c>
    </row>
    <row r="399" spans="1:7" x14ac:dyDescent="0.2">
      <c r="A399" s="21">
        <v>44307</v>
      </c>
      <c r="B399" s="75">
        <f>IFERROR(VLOOKUP(A399,'Ф_102_2016'!C:F,4,0),0)</f>
        <v>0</v>
      </c>
      <c r="C399" s="75">
        <f>IFERROR(VLOOKUP(A399,Ф_102_2017!C:F,4,0),0)</f>
        <v>0</v>
      </c>
      <c r="D399" s="75">
        <f>IFERROR(VLOOKUP(A399,Ф_102_2018!C:F,4,0),0)</f>
        <v>0</v>
      </c>
      <c r="E399" s="75">
        <f>IFERROR(VLOOKUP(A399,Ф_102_2019!C:F,4,0),0)</f>
        <v>0</v>
      </c>
      <c r="F399" s="75">
        <f>IFERROR(VLOOKUP(A399,Ф_102_2020!C:F,4,0),0)</f>
        <v>0</v>
      </c>
      <c r="G399" s="75">
        <f>IFERROR(VLOOKUP(A399,Ф_102_2021!C:F,4,0),0)</f>
        <v>0</v>
      </c>
    </row>
    <row r="400" spans="1:7" x14ac:dyDescent="0.2">
      <c r="A400" s="21">
        <v>44308</v>
      </c>
      <c r="B400" s="75">
        <f>IFERROR(VLOOKUP(A400,'Ф_102_2016'!C:F,4,0),0)</f>
        <v>0</v>
      </c>
      <c r="C400" s="75">
        <f>IFERROR(VLOOKUP(A400,Ф_102_2017!C:F,4,0),0)</f>
        <v>0</v>
      </c>
      <c r="D400" s="75">
        <f>IFERROR(VLOOKUP(A400,Ф_102_2018!C:F,4,0),0)</f>
        <v>0</v>
      </c>
      <c r="E400" s="75">
        <f>IFERROR(VLOOKUP(A400,Ф_102_2019!C:F,4,0),0)</f>
        <v>0</v>
      </c>
      <c r="F400" s="75">
        <f>IFERROR(VLOOKUP(A400,Ф_102_2020!C:F,4,0),0)</f>
        <v>0</v>
      </c>
      <c r="G400" s="75">
        <f>IFERROR(VLOOKUP(A400,Ф_102_2021!C:F,4,0),0)</f>
        <v>0</v>
      </c>
    </row>
    <row r="401" spans="1:7" x14ac:dyDescent="0.2">
      <c r="A401" s="21">
        <v>44309</v>
      </c>
      <c r="B401" s="75">
        <f>IFERROR(VLOOKUP(A401,'Ф_102_2016'!C:F,4,0),0)</f>
        <v>0</v>
      </c>
      <c r="C401" s="75">
        <f>IFERROR(VLOOKUP(A401,Ф_102_2017!C:F,4,0),0)</f>
        <v>0</v>
      </c>
      <c r="D401" s="75">
        <f>IFERROR(VLOOKUP(A401,Ф_102_2018!C:F,4,0),0)</f>
        <v>0</v>
      </c>
      <c r="E401" s="75">
        <f>IFERROR(VLOOKUP(A401,Ф_102_2019!C:F,4,0),0)</f>
        <v>0</v>
      </c>
      <c r="F401" s="75">
        <f>IFERROR(VLOOKUP(A401,Ф_102_2020!C:F,4,0),0)</f>
        <v>0</v>
      </c>
      <c r="G401" s="75">
        <f>IFERROR(VLOOKUP(A401,Ф_102_2021!C:F,4,0),0)</f>
        <v>0</v>
      </c>
    </row>
    <row r="402" spans="1:7" x14ac:dyDescent="0.2">
      <c r="A402" s="21">
        <v>44310</v>
      </c>
      <c r="B402" s="75">
        <f>IFERROR(VLOOKUP(A402,'Ф_102_2016'!C:F,4,0),0)</f>
        <v>0</v>
      </c>
      <c r="C402" s="75">
        <f>IFERROR(VLOOKUP(A402,Ф_102_2017!C:F,4,0),0)</f>
        <v>0</v>
      </c>
      <c r="D402" s="75">
        <f>IFERROR(VLOOKUP(A402,Ф_102_2018!C:F,4,0),0)</f>
        <v>0</v>
      </c>
      <c r="E402" s="75">
        <f>IFERROR(VLOOKUP(A402,Ф_102_2019!C:F,4,0),0)</f>
        <v>0</v>
      </c>
      <c r="F402" s="75">
        <f>IFERROR(VLOOKUP(A402,Ф_102_2020!C:F,4,0),0)</f>
        <v>0</v>
      </c>
      <c r="G402" s="75">
        <f>IFERROR(VLOOKUP(A402,Ф_102_2021!C:F,4,0),0)</f>
        <v>0</v>
      </c>
    </row>
    <row r="403" spans="1:7" x14ac:dyDescent="0.2">
      <c r="A403" s="21">
        <v>44311</v>
      </c>
      <c r="B403" s="75">
        <f>IFERROR(VLOOKUP(A403,'Ф_102_2016'!C:F,4,0),0)</f>
        <v>0</v>
      </c>
      <c r="C403" s="75">
        <f>IFERROR(VLOOKUP(A403,Ф_102_2017!C:F,4,0),0)</f>
        <v>0</v>
      </c>
      <c r="D403" s="75">
        <f>IFERROR(VLOOKUP(A403,Ф_102_2018!C:F,4,0),0)</f>
        <v>0</v>
      </c>
      <c r="E403" s="75">
        <f>IFERROR(VLOOKUP(A403,Ф_102_2019!C:F,4,0),0)</f>
        <v>0</v>
      </c>
      <c r="F403" s="75">
        <f>IFERROR(VLOOKUP(A403,Ф_102_2020!C:F,4,0),0)</f>
        <v>0</v>
      </c>
      <c r="G403" s="75">
        <f>IFERROR(VLOOKUP(A403,Ф_102_2021!C:F,4,0),0)</f>
        <v>0</v>
      </c>
    </row>
    <row r="404" spans="1:7" x14ac:dyDescent="0.2">
      <c r="A404" s="21">
        <v>44312</v>
      </c>
      <c r="B404" s="75">
        <f>IFERROR(VLOOKUP(A404,'Ф_102_2016'!C:F,4,0),0)</f>
        <v>0</v>
      </c>
      <c r="C404" s="75">
        <f>IFERROR(VLOOKUP(A404,Ф_102_2017!C:F,4,0),0)</f>
        <v>0</v>
      </c>
      <c r="D404" s="75">
        <f>IFERROR(VLOOKUP(A404,Ф_102_2018!C:F,4,0),0)</f>
        <v>0</v>
      </c>
      <c r="E404" s="75">
        <f>IFERROR(VLOOKUP(A404,Ф_102_2019!C:F,4,0),0)</f>
        <v>0</v>
      </c>
      <c r="F404" s="75">
        <f>IFERROR(VLOOKUP(A404,Ф_102_2020!C:F,4,0),0)</f>
        <v>0</v>
      </c>
      <c r="G404" s="75">
        <f>IFERROR(VLOOKUP(A404,Ф_102_2021!C:F,4,0),0)</f>
        <v>0</v>
      </c>
    </row>
    <row r="405" spans="1:7" x14ac:dyDescent="0.2">
      <c r="A405" s="21">
        <v>44313</v>
      </c>
      <c r="B405" s="75">
        <f>IFERROR(VLOOKUP(A405,'Ф_102_2016'!C:F,4,0),0)</f>
        <v>0</v>
      </c>
      <c r="C405" s="75">
        <f>IFERROR(VLOOKUP(A405,Ф_102_2017!C:F,4,0),0)</f>
        <v>0</v>
      </c>
      <c r="D405" s="75">
        <f>IFERROR(VLOOKUP(A405,Ф_102_2018!C:F,4,0),0)</f>
        <v>0</v>
      </c>
      <c r="E405" s="75">
        <f>IFERROR(VLOOKUP(A405,Ф_102_2019!C:F,4,0),0)</f>
        <v>0</v>
      </c>
      <c r="F405" s="75">
        <f>IFERROR(VLOOKUP(A405,Ф_102_2020!C:F,4,0),0)</f>
        <v>0</v>
      </c>
      <c r="G405" s="75">
        <f>IFERROR(VLOOKUP(A405,Ф_102_2021!C:F,4,0),0)</f>
        <v>0</v>
      </c>
    </row>
    <row r="406" spans="1:7" x14ac:dyDescent="0.2">
      <c r="A406" s="21">
        <v>44314</v>
      </c>
      <c r="B406" s="75">
        <f>IFERROR(VLOOKUP(A406,'Ф_102_2016'!C:F,4,0),0)</f>
        <v>0</v>
      </c>
      <c r="C406" s="75">
        <f>IFERROR(VLOOKUP(A406,Ф_102_2017!C:F,4,0),0)</f>
        <v>0</v>
      </c>
      <c r="D406" s="75">
        <f>IFERROR(VLOOKUP(A406,Ф_102_2018!C:F,4,0),0)</f>
        <v>0</v>
      </c>
      <c r="E406" s="75">
        <f>IFERROR(VLOOKUP(A406,Ф_102_2019!C:F,4,0),0)</f>
        <v>0</v>
      </c>
      <c r="F406" s="75">
        <f>IFERROR(VLOOKUP(A406,Ф_102_2020!C:F,4,0),0)</f>
        <v>0</v>
      </c>
      <c r="G406" s="75">
        <f>IFERROR(VLOOKUP(A406,Ф_102_2021!C:F,4,0),0)</f>
        <v>0</v>
      </c>
    </row>
    <row r="407" spans="1:7" x14ac:dyDescent="0.2">
      <c r="A407" s="21">
        <v>44315</v>
      </c>
      <c r="B407" s="75">
        <f>IFERROR(VLOOKUP(A407,'Ф_102_2016'!C:F,4,0),0)</f>
        <v>0</v>
      </c>
      <c r="C407" s="75">
        <f>IFERROR(VLOOKUP(A407,Ф_102_2017!C:F,4,0),0)</f>
        <v>0</v>
      </c>
      <c r="D407" s="75">
        <f>IFERROR(VLOOKUP(A407,Ф_102_2018!C:F,4,0),0)</f>
        <v>0</v>
      </c>
      <c r="E407" s="75">
        <f>IFERROR(VLOOKUP(A407,Ф_102_2019!C:F,4,0),0)</f>
        <v>0</v>
      </c>
      <c r="F407" s="75">
        <f>IFERROR(VLOOKUP(A407,Ф_102_2020!C:F,4,0),0)</f>
        <v>0</v>
      </c>
      <c r="G407" s="75">
        <f>IFERROR(VLOOKUP(A407,Ф_102_2021!C:F,4,0),0)</f>
        <v>0</v>
      </c>
    </row>
    <row r="408" spans="1:7" x14ac:dyDescent="0.2">
      <c r="A408" s="21">
        <v>44316</v>
      </c>
      <c r="B408" s="75">
        <f>IFERROR(VLOOKUP(A408,'Ф_102_2016'!C:F,4,0),0)</f>
        <v>0</v>
      </c>
      <c r="C408" s="75">
        <f>IFERROR(VLOOKUP(A408,Ф_102_2017!C:F,4,0),0)</f>
        <v>0</v>
      </c>
      <c r="D408" s="75">
        <f>IFERROR(VLOOKUP(A408,Ф_102_2018!C:F,4,0),0)</f>
        <v>0</v>
      </c>
      <c r="E408" s="75">
        <f>IFERROR(VLOOKUP(A408,Ф_102_2019!C:F,4,0),0)</f>
        <v>0</v>
      </c>
      <c r="F408" s="75">
        <f>IFERROR(VLOOKUP(A408,Ф_102_2020!C:F,4,0),0)</f>
        <v>0</v>
      </c>
      <c r="G408" s="75">
        <f>IFERROR(VLOOKUP(A408,Ф_102_2021!C:F,4,0),0)</f>
        <v>0</v>
      </c>
    </row>
    <row r="409" spans="1:7" x14ac:dyDescent="0.2">
      <c r="A409" s="21">
        <v>44317</v>
      </c>
      <c r="B409" s="75">
        <f>IFERROR(VLOOKUP(A409,'Ф_102_2016'!C:F,4,0),0)</f>
        <v>0</v>
      </c>
      <c r="C409" s="75">
        <f>IFERROR(VLOOKUP(A409,Ф_102_2017!C:F,4,0),0)</f>
        <v>0</v>
      </c>
      <c r="D409" s="75">
        <f>IFERROR(VLOOKUP(A409,Ф_102_2018!C:F,4,0),0)</f>
        <v>0</v>
      </c>
      <c r="E409" s="75">
        <f>IFERROR(VLOOKUP(A409,Ф_102_2019!C:F,4,0),0)</f>
        <v>0</v>
      </c>
      <c r="F409" s="75">
        <f>IFERROR(VLOOKUP(A409,Ф_102_2020!C:F,4,0),0)</f>
        <v>0</v>
      </c>
      <c r="G409" s="75">
        <f>IFERROR(VLOOKUP(A409,Ф_102_2021!C:F,4,0),0)</f>
        <v>0</v>
      </c>
    </row>
    <row r="410" spans="1:7" x14ac:dyDescent="0.2">
      <c r="A410" s="341">
        <v>44318</v>
      </c>
      <c r="B410" s="75">
        <f>IFERROR(VLOOKUP(A410,'Ф_102_2016'!C:F,4,0),0)</f>
        <v>0</v>
      </c>
      <c r="C410" s="75">
        <f>IFERROR(VLOOKUP(A410,Ф_102_2017!C:F,4,0),0)</f>
        <v>0</v>
      </c>
      <c r="D410" s="75">
        <f>IFERROR(VLOOKUP(A410,Ф_102_2018!C:F,4,0),0)</f>
        <v>0</v>
      </c>
      <c r="E410" s="75">
        <f>IFERROR(VLOOKUP(A410,Ф_102_2019!C:F,4,0),0)</f>
        <v>0</v>
      </c>
      <c r="F410" s="75">
        <f>IFERROR(VLOOKUP(A410,Ф_102_2020!C:F,4,0),0)</f>
        <v>0</v>
      </c>
      <c r="G410" s="75">
        <f>IFERROR(VLOOKUP(A410,Ф_102_2021!C:F,4,0),0)</f>
        <v>0</v>
      </c>
    </row>
    <row r="411" spans="1:7" x14ac:dyDescent="0.2">
      <c r="A411" s="27">
        <v>44401</v>
      </c>
      <c r="B411" s="1258">
        <f>IFERROR(VLOOKUP(A411,'Ф_102_2016'!C:F,4,0),0)</f>
        <v>0</v>
      </c>
      <c r="C411" s="1258">
        <f>IFERROR(VLOOKUP(A411,Ф_102_2017!C:F,4,0),0)</f>
        <v>0</v>
      </c>
      <c r="D411" s="1258">
        <f>IFERROR(VLOOKUP(A411,Ф_102_2018!C:F,4,0),0)</f>
        <v>0</v>
      </c>
      <c r="E411" s="1258">
        <f>IFERROR(VLOOKUP(A411,Ф_102_2019!C:F,4,0),0)</f>
        <v>0</v>
      </c>
      <c r="F411" s="1258">
        <f>IFERROR(VLOOKUP(A411,Ф_102_2020!C:F,4,0),0)</f>
        <v>0</v>
      </c>
      <c r="G411" s="1258">
        <f>IFERROR(VLOOKUP(A411,Ф_102_2021!C:F,4,0),0)</f>
        <v>0</v>
      </c>
    </row>
    <row r="412" spans="1:7" x14ac:dyDescent="0.2">
      <c r="A412" s="341">
        <v>44402</v>
      </c>
      <c r="B412" s="73">
        <f>IFERROR(VLOOKUP(A412,'Ф_102_2016'!C:F,4,0),0)</f>
        <v>0</v>
      </c>
      <c r="C412" s="73">
        <f>IFERROR(VLOOKUP(A412,Ф_102_2017!C:F,4,0),0)</f>
        <v>0</v>
      </c>
      <c r="D412" s="73">
        <f>IFERROR(VLOOKUP(A412,Ф_102_2018!C:F,4,0),0)</f>
        <v>0</v>
      </c>
      <c r="E412" s="73">
        <f>IFERROR(VLOOKUP(A412,Ф_102_2019!C:F,4,0),0)</f>
        <v>0</v>
      </c>
      <c r="F412" s="73">
        <f>IFERROR(VLOOKUP(A412,Ф_102_2020!C:F,4,0),0)</f>
        <v>0</v>
      </c>
      <c r="G412" s="73">
        <f>IFERROR(VLOOKUP(A412,Ф_102_2021!C:F,4,0),0)</f>
        <v>0</v>
      </c>
    </row>
    <row r="413" spans="1:7" x14ac:dyDescent="0.2">
      <c r="A413" s="27">
        <v>44501</v>
      </c>
      <c r="B413" s="1258">
        <f>IFERROR(VLOOKUP(A413,'Ф_102_2016'!C:F,4,0),0)</f>
        <v>0</v>
      </c>
      <c r="C413" s="1258">
        <f>IFERROR(VLOOKUP(A413,Ф_102_2017!C:F,4,0),0)</f>
        <v>0</v>
      </c>
      <c r="D413" s="1258">
        <f>IFERROR(VLOOKUP(A413,Ф_102_2018!C:F,4,0),0)</f>
        <v>0</v>
      </c>
      <c r="E413" s="1258">
        <f>IFERROR(VLOOKUP(A413,Ф_102_2019!C:F,4,0),0)</f>
        <v>0</v>
      </c>
      <c r="F413" s="1258">
        <f>IFERROR(VLOOKUP(A413,Ф_102_2020!C:F,4,0),0)</f>
        <v>1691</v>
      </c>
      <c r="G413" s="1258">
        <f>IFERROR(VLOOKUP(A413,Ф_102_2021!C:F,4,0),0)</f>
        <v>9206</v>
      </c>
    </row>
    <row r="414" spans="1:7" x14ac:dyDescent="0.2">
      <c r="A414" s="341">
        <v>44502</v>
      </c>
      <c r="B414" s="73">
        <f>IFERROR(VLOOKUP(A414,'Ф_102_2016'!C:F,4,0),0)</f>
        <v>0</v>
      </c>
      <c r="C414" s="73">
        <f>IFERROR(VLOOKUP(A414,Ф_102_2017!C:F,4,0),0)</f>
        <v>0</v>
      </c>
      <c r="D414" s="73">
        <f>IFERROR(VLOOKUP(A414,Ф_102_2018!C:F,4,0),0)</f>
        <v>0</v>
      </c>
      <c r="E414" s="73">
        <f>IFERROR(VLOOKUP(A414,Ф_102_2019!C:F,4,0),0)</f>
        <v>0</v>
      </c>
      <c r="F414" s="73">
        <f>IFERROR(VLOOKUP(A414,Ф_102_2020!C:F,4,0),0)</f>
        <v>0</v>
      </c>
      <c r="G414" s="73">
        <f>IFERROR(VLOOKUP(A414,Ф_102_2021!C:F,4,0),0)</f>
        <v>0</v>
      </c>
    </row>
    <row r="415" spans="1:7" x14ac:dyDescent="0.2">
      <c r="A415" s="27">
        <v>44601</v>
      </c>
      <c r="B415" s="1258">
        <f>IFERROR(VLOOKUP(A415,'Ф_102_2016'!C:F,4,0),0)</f>
        <v>29589</v>
      </c>
      <c r="C415" s="1258">
        <f>IFERROR(VLOOKUP(A415,Ф_102_2017!C:F,4,0),0)</f>
        <v>7643</v>
      </c>
      <c r="D415" s="1258">
        <f>IFERROR(VLOOKUP(A415,Ф_102_2018!C:F,4,0),0)</f>
        <v>10768</v>
      </c>
      <c r="E415" s="1258">
        <f>IFERROR(VLOOKUP(A415,Ф_102_2019!C:F,4,0),0)</f>
        <v>8653</v>
      </c>
      <c r="F415" s="1258">
        <f>IFERROR(VLOOKUP(A415,Ф_102_2020!C:F,4,0),0)</f>
        <v>4879</v>
      </c>
      <c r="G415" s="1258">
        <f>IFERROR(VLOOKUP(A415,Ф_102_2021!C:F,4,0),0)</f>
        <v>7790</v>
      </c>
    </row>
    <row r="416" spans="1:7" x14ac:dyDescent="0.2">
      <c r="A416" s="21">
        <v>44602</v>
      </c>
      <c r="B416" s="75">
        <f>IFERROR(VLOOKUP(A416,'Ф_102_2016'!C:F,4,0),0)</f>
        <v>0</v>
      </c>
      <c r="C416" s="75">
        <f>IFERROR(VLOOKUP(A416,Ф_102_2017!C:F,4,0),0)</f>
        <v>0</v>
      </c>
      <c r="D416" s="75">
        <f>IFERROR(VLOOKUP(A416,Ф_102_2018!C:F,4,0),0)</f>
        <v>0</v>
      </c>
      <c r="E416" s="75">
        <f>IFERROR(VLOOKUP(A416,Ф_102_2019!C:F,4,0),0)</f>
        <v>0</v>
      </c>
      <c r="F416" s="75">
        <f>IFERROR(VLOOKUP(A416,Ф_102_2020!C:F,4,0),0)</f>
        <v>0</v>
      </c>
      <c r="G416" s="75">
        <f>IFERROR(VLOOKUP(A416,Ф_102_2021!C:F,4,0),0)</f>
        <v>0</v>
      </c>
    </row>
    <row r="417" spans="1:7" x14ac:dyDescent="0.2">
      <c r="A417" s="21">
        <v>44603</v>
      </c>
      <c r="B417" s="75">
        <f>IFERROR(VLOOKUP(A417,'Ф_102_2016'!C:F,4,0),0)</f>
        <v>0</v>
      </c>
      <c r="C417" s="75">
        <f>IFERROR(VLOOKUP(A417,Ф_102_2017!C:F,4,0),0)</f>
        <v>0</v>
      </c>
      <c r="D417" s="75">
        <f>IFERROR(VLOOKUP(A417,Ф_102_2018!C:F,4,0),0)</f>
        <v>0</v>
      </c>
      <c r="E417" s="75">
        <f>IFERROR(VLOOKUP(A417,Ф_102_2019!C:F,4,0),0)</f>
        <v>0</v>
      </c>
      <c r="F417" s="75">
        <f>IFERROR(VLOOKUP(A417,Ф_102_2020!C:F,4,0),0)</f>
        <v>0</v>
      </c>
      <c r="G417" s="75">
        <f>IFERROR(VLOOKUP(A417,Ф_102_2021!C:F,4,0),0)</f>
        <v>0</v>
      </c>
    </row>
    <row r="418" spans="1:7" x14ac:dyDescent="0.2">
      <c r="A418" s="21">
        <v>44604</v>
      </c>
      <c r="B418" s="75">
        <f>IFERROR(VLOOKUP(A418,'Ф_102_2016'!C:F,4,0),0)</f>
        <v>0</v>
      </c>
      <c r="C418" s="75">
        <f>IFERROR(VLOOKUP(A418,Ф_102_2017!C:F,4,0),0)</f>
        <v>0</v>
      </c>
      <c r="D418" s="75">
        <f>IFERROR(VLOOKUP(A418,Ф_102_2018!C:F,4,0),0)</f>
        <v>0</v>
      </c>
      <c r="E418" s="75">
        <f>IFERROR(VLOOKUP(A418,Ф_102_2019!C:F,4,0),0)</f>
        <v>0</v>
      </c>
      <c r="F418" s="75">
        <f>IFERROR(VLOOKUP(A418,Ф_102_2020!C:F,4,0),0)</f>
        <v>0</v>
      </c>
      <c r="G418" s="75">
        <f>IFERROR(VLOOKUP(A418,Ф_102_2021!C:F,4,0),0)</f>
        <v>0</v>
      </c>
    </row>
    <row r="419" spans="1:7" x14ac:dyDescent="0.2">
      <c r="A419" s="341">
        <v>44605</v>
      </c>
      <c r="B419" s="73">
        <f>IFERROR(VLOOKUP(A419,'Ф_102_2016'!C:F,4,0),0)</f>
        <v>0</v>
      </c>
      <c r="C419" s="73">
        <f>IFERROR(VLOOKUP(A419,Ф_102_2017!C:F,4,0),0)</f>
        <v>0</v>
      </c>
      <c r="D419" s="73">
        <f>IFERROR(VLOOKUP(A419,Ф_102_2018!C:F,4,0),0)</f>
        <v>0</v>
      </c>
      <c r="E419" s="73">
        <f>IFERROR(VLOOKUP(A419,Ф_102_2019!C:F,4,0),0)</f>
        <v>0</v>
      </c>
      <c r="F419" s="73">
        <f>IFERROR(VLOOKUP(A419,Ф_102_2020!C:F,4,0),0)</f>
        <v>0</v>
      </c>
      <c r="G419" s="73">
        <f>IFERROR(VLOOKUP(A419,Ф_102_2021!C:F,4,0),0)</f>
        <v>0</v>
      </c>
    </row>
    <row r="420" spans="1:7" x14ac:dyDescent="0.2">
      <c r="A420" s="27">
        <v>44701</v>
      </c>
      <c r="B420" s="75">
        <f>IFERROR(VLOOKUP(A420,'Ф_102_2016'!C:F,4,0),0)</f>
        <v>0</v>
      </c>
      <c r="C420" s="75">
        <f>IFERROR(VLOOKUP(A420,Ф_102_2017!C:F,4,0),0)</f>
        <v>0</v>
      </c>
      <c r="D420" s="75">
        <f>IFERROR(VLOOKUP(A420,Ф_102_2018!C:F,4,0),0)</f>
        <v>0</v>
      </c>
      <c r="E420" s="75">
        <f>IFERROR(VLOOKUP(A420,Ф_102_2019!C:F,4,0),0)</f>
        <v>0</v>
      </c>
      <c r="F420" s="75">
        <f>IFERROR(VLOOKUP(A420,Ф_102_2020!C:F,4,0),0)</f>
        <v>0</v>
      </c>
      <c r="G420" s="75">
        <f>IFERROR(VLOOKUP(A420,Ф_102_2021!C:F,4,0),0)</f>
        <v>0</v>
      </c>
    </row>
    <row r="421" spans="1:7" x14ac:dyDescent="0.2">
      <c r="A421" s="21">
        <v>44702</v>
      </c>
      <c r="B421" s="75">
        <f>IFERROR(VLOOKUP(A421,'Ф_102_2016'!C:F,4,0),0)</f>
        <v>0</v>
      </c>
      <c r="C421" s="75">
        <f>IFERROR(VLOOKUP(A421,Ф_102_2017!C:F,4,0),0)</f>
        <v>0</v>
      </c>
      <c r="D421" s="75">
        <f>IFERROR(VLOOKUP(A421,Ф_102_2018!C:F,4,0),0)</f>
        <v>0</v>
      </c>
      <c r="E421" s="75">
        <f>IFERROR(VLOOKUP(A421,Ф_102_2019!C:F,4,0),0)</f>
        <v>0</v>
      </c>
      <c r="F421" s="75">
        <f>IFERROR(VLOOKUP(A421,Ф_102_2020!C:F,4,0),0)</f>
        <v>0</v>
      </c>
      <c r="G421" s="75">
        <f>IFERROR(VLOOKUP(A421,Ф_102_2021!C:F,4,0),0)</f>
        <v>0</v>
      </c>
    </row>
    <row r="422" spans="1:7" x14ac:dyDescent="0.2">
      <c r="A422" s="21">
        <v>44703</v>
      </c>
      <c r="B422" s="75">
        <f>IFERROR(VLOOKUP(A422,'Ф_102_2016'!C:F,4,0),0)</f>
        <v>0</v>
      </c>
      <c r="C422" s="75">
        <f>IFERROR(VLOOKUP(A422,Ф_102_2017!C:F,4,0),0)</f>
        <v>0</v>
      </c>
      <c r="D422" s="75">
        <f>IFERROR(VLOOKUP(A422,Ф_102_2018!C:F,4,0),0)</f>
        <v>0</v>
      </c>
      <c r="E422" s="75">
        <f>IFERROR(VLOOKUP(A422,Ф_102_2019!C:F,4,0),0)</f>
        <v>0</v>
      </c>
      <c r="F422" s="75">
        <f>IFERROR(VLOOKUP(A422,Ф_102_2020!C:F,4,0),0)</f>
        <v>0</v>
      </c>
      <c r="G422" s="75">
        <f>IFERROR(VLOOKUP(A422,Ф_102_2021!C:F,4,0),0)</f>
        <v>0</v>
      </c>
    </row>
    <row r="423" spans="1:7" x14ac:dyDescent="0.2">
      <c r="A423" s="21">
        <v>44704</v>
      </c>
      <c r="B423" s="75">
        <f>IFERROR(VLOOKUP(A423,'Ф_102_2016'!C:F,4,0),0)</f>
        <v>0</v>
      </c>
      <c r="C423" s="75">
        <f>IFERROR(VLOOKUP(A423,Ф_102_2017!C:F,4,0),0)</f>
        <v>0</v>
      </c>
      <c r="D423" s="75">
        <f>IFERROR(VLOOKUP(A423,Ф_102_2018!C:F,4,0),0)</f>
        <v>0</v>
      </c>
      <c r="E423" s="75">
        <f>IFERROR(VLOOKUP(A423,Ф_102_2019!C:F,4,0),0)</f>
        <v>0</v>
      </c>
      <c r="F423" s="75">
        <f>IFERROR(VLOOKUP(A423,Ф_102_2020!C:F,4,0),0)</f>
        <v>0</v>
      </c>
      <c r="G423" s="75">
        <f>IFERROR(VLOOKUP(A423,Ф_102_2021!C:F,4,0),0)</f>
        <v>0</v>
      </c>
    </row>
    <row r="424" spans="1:7" x14ac:dyDescent="0.2">
      <c r="A424" s="21">
        <v>44705</v>
      </c>
      <c r="B424" s="75">
        <f>IFERROR(VLOOKUP(A424,'Ф_102_2016'!C:F,4,0),0)</f>
        <v>0</v>
      </c>
      <c r="C424" s="75">
        <f>IFERROR(VLOOKUP(A424,Ф_102_2017!C:F,4,0),0)</f>
        <v>0</v>
      </c>
      <c r="D424" s="75">
        <f>IFERROR(VLOOKUP(A424,Ф_102_2018!C:F,4,0),0)</f>
        <v>0</v>
      </c>
      <c r="E424" s="75">
        <f>IFERROR(VLOOKUP(A424,Ф_102_2019!C:F,4,0),0)</f>
        <v>0</v>
      </c>
      <c r="F424" s="75">
        <f>IFERROR(VLOOKUP(A424,Ф_102_2020!C:F,4,0),0)</f>
        <v>0</v>
      </c>
      <c r="G424" s="75">
        <f>IFERROR(VLOOKUP(A424,Ф_102_2021!C:F,4,0),0)</f>
        <v>0</v>
      </c>
    </row>
    <row r="425" spans="1:7" x14ac:dyDescent="0.2">
      <c r="A425" s="21">
        <v>44706</v>
      </c>
      <c r="B425" s="75">
        <f>IFERROR(VLOOKUP(A425,'Ф_102_2016'!C:F,4,0),0)</f>
        <v>0</v>
      </c>
      <c r="C425" s="75">
        <f>IFERROR(VLOOKUP(A425,Ф_102_2017!C:F,4,0),0)</f>
        <v>0</v>
      </c>
      <c r="D425" s="75">
        <f>IFERROR(VLOOKUP(A425,Ф_102_2018!C:F,4,0),0)</f>
        <v>0</v>
      </c>
      <c r="E425" s="75">
        <f>IFERROR(VLOOKUP(A425,Ф_102_2019!C:F,4,0),0)</f>
        <v>0</v>
      </c>
      <c r="F425" s="75">
        <f>IFERROR(VLOOKUP(A425,Ф_102_2020!C:F,4,0),0)</f>
        <v>0</v>
      </c>
      <c r="G425" s="75">
        <f>IFERROR(VLOOKUP(A425,Ф_102_2021!C:F,4,0),0)</f>
        <v>0</v>
      </c>
    </row>
    <row r="426" spans="1:7" x14ac:dyDescent="0.2">
      <c r="A426" s="21">
        <v>44707</v>
      </c>
      <c r="B426" s="75">
        <f>IFERROR(VLOOKUP(A426,'Ф_102_2016'!C:F,4,0),0)</f>
        <v>0</v>
      </c>
      <c r="C426" s="75">
        <f>IFERROR(VLOOKUP(A426,Ф_102_2017!C:F,4,0),0)</f>
        <v>0</v>
      </c>
      <c r="D426" s="75">
        <f>IFERROR(VLOOKUP(A426,Ф_102_2018!C:F,4,0),0)</f>
        <v>0</v>
      </c>
      <c r="E426" s="75">
        <f>IFERROR(VLOOKUP(A426,Ф_102_2019!C:F,4,0),0)</f>
        <v>0</v>
      </c>
      <c r="F426" s="75">
        <f>IFERROR(VLOOKUP(A426,Ф_102_2020!C:F,4,0),0)</f>
        <v>0</v>
      </c>
      <c r="G426" s="75">
        <f>IFERROR(VLOOKUP(A426,Ф_102_2021!C:F,4,0),0)</f>
        <v>0</v>
      </c>
    </row>
    <row r="427" spans="1:7" x14ac:dyDescent="0.2">
      <c r="A427" s="21">
        <v>44708</v>
      </c>
      <c r="B427" s="75">
        <f>IFERROR(VLOOKUP(A427,'Ф_102_2016'!C:F,4,0),0)</f>
        <v>0</v>
      </c>
      <c r="C427" s="75">
        <f>IFERROR(VLOOKUP(A427,Ф_102_2017!C:F,4,0),0)</f>
        <v>0</v>
      </c>
      <c r="D427" s="75">
        <f>IFERROR(VLOOKUP(A427,Ф_102_2018!C:F,4,0),0)</f>
        <v>0</v>
      </c>
      <c r="E427" s="75">
        <f>IFERROR(VLOOKUP(A427,Ф_102_2019!C:F,4,0),0)</f>
        <v>0</v>
      </c>
      <c r="F427" s="75">
        <f>IFERROR(VLOOKUP(A427,Ф_102_2020!C:F,4,0),0)</f>
        <v>0</v>
      </c>
      <c r="G427" s="75">
        <f>IFERROR(VLOOKUP(A427,Ф_102_2021!C:F,4,0),0)</f>
        <v>0</v>
      </c>
    </row>
    <row r="428" spans="1:7" x14ac:dyDescent="0.2">
      <c r="A428" s="21">
        <v>44709</v>
      </c>
      <c r="B428" s="75">
        <f>IFERROR(VLOOKUP(A428,'Ф_102_2016'!C:F,4,0),0)</f>
        <v>0</v>
      </c>
      <c r="C428" s="75">
        <f>IFERROR(VLOOKUP(A428,Ф_102_2017!C:F,4,0),0)</f>
        <v>0</v>
      </c>
      <c r="D428" s="75">
        <f>IFERROR(VLOOKUP(A428,Ф_102_2018!C:F,4,0),0)</f>
        <v>0</v>
      </c>
      <c r="E428" s="75">
        <f>IFERROR(VLOOKUP(A428,Ф_102_2019!C:F,4,0),0)</f>
        <v>0</v>
      </c>
      <c r="F428" s="75">
        <f>IFERROR(VLOOKUP(A428,Ф_102_2020!C:F,4,0),0)</f>
        <v>0</v>
      </c>
      <c r="G428" s="75">
        <f>IFERROR(VLOOKUP(A428,Ф_102_2021!C:F,4,0),0)</f>
        <v>0</v>
      </c>
    </row>
    <row r="429" spans="1:7" x14ac:dyDescent="0.2">
      <c r="A429" s="21">
        <v>44710</v>
      </c>
      <c r="B429" s="75">
        <f>IFERROR(VLOOKUP(A429,'Ф_102_2016'!C:F,4,0),0)</f>
        <v>0</v>
      </c>
      <c r="C429" s="75">
        <f>IFERROR(VLOOKUP(A429,Ф_102_2017!C:F,4,0),0)</f>
        <v>0</v>
      </c>
      <c r="D429" s="75">
        <f>IFERROR(VLOOKUP(A429,Ф_102_2018!C:F,4,0),0)</f>
        <v>0</v>
      </c>
      <c r="E429" s="75">
        <f>IFERROR(VLOOKUP(A429,Ф_102_2019!C:F,4,0),0)</f>
        <v>0</v>
      </c>
      <c r="F429" s="75">
        <f>IFERROR(VLOOKUP(A429,Ф_102_2020!C:F,4,0),0)</f>
        <v>0</v>
      </c>
      <c r="G429" s="75">
        <f>IFERROR(VLOOKUP(A429,Ф_102_2021!C:F,4,0),0)</f>
        <v>0</v>
      </c>
    </row>
    <row r="430" spans="1:7" x14ac:dyDescent="0.2">
      <c r="A430" s="21">
        <v>44711</v>
      </c>
      <c r="B430" s="75">
        <f>IFERROR(VLOOKUP(A430,'Ф_102_2016'!C:F,4,0),0)</f>
        <v>0</v>
      </c>
      <c r="C430" s="75">
        <f>IFERROR(VLOOKUP(A430,Ф_102_2017!C:F,4,0),0)</f>
        <v>0</v>
      </c>
      <c r="D430" s="75">
        <f>IFERROR(VLOOKUP(A430,Ф_102_2018!C:F,4,0),0)</f>
        <v>0</v>
      </c>
      <c r="E430" s="75">
        <f>IFERROR(VLOOKUP(A430,Ф_102_2019!C:F,4,0),0)</f>
        <v>0</v>
      </c>
      <c r="F430" s="75">
        <f>IFERROR(VLOOKUP(A430,Ф_102_2020!C:F,4,0),0)</f>
        <v>0</v>
      </c>
      <c r="G430" s="75">
        <f>IFERROR(VLOOKUP(A430,Ф_102_2021!C:F,4,0),0)</f>
        <v>0</v>
      </c>
    </row>
    <row r="431" spans="1:7" x14ac:dyDescent="0.2">
      <c r="A431" s="21">
        <v>44712</v>
      </c>
      <c r="B431" s="75">
        <f>IFERROR(VLOOKUP(A431,'Ф_102_2016'!C:F,4,0),0)</f>
        <v>0</v>
      </c>
      <c r="C431" s="75">
        <f>IFERROR(VLOOKUP(A431,Ф_102_2017!C:F,4,0),0)</f>
        <v>0</v>
      </c>
      <c r="D431" s="75">
        <f>IFERROR(VLOOKUP(A431,Ф_102_2018!C:F,4,0),0)</f>
        <v>0</v>
      </c>
      <c r="E431" s="75">
        <f>IFERROR(VLOOKUP(A431,Ф_102_2019!C:F,4,0),0)</f>
        <v>0</v>
      </c>
      <c r="F431" s="75">
        <f>IFERROR(VLOOKUP(A431,Ф_102_2020!C:F,4,0),0)</f>
        <v>0</v>
      </c>
      <c r="G431" s="75">
        <f>IFERROR(VLOOKUP(A431,Ф_102_2021!C:F,4,0),0)</f>
        <v>0</v>
      </c>
    </row>
    <row r="432" spans="1:7" x14ac:dyDescent="0.2">
      <c r="A432" s="21">
        <v>44713</v>
      </c>
      <c r="B432" s="75">
        <f>IFERROR(VLOOKUP(A432,'Ф_102_2016'!C:F,4,0),0)</f>
        <v>0</v>
      </c>
      <c r="C432" s="75">
        <f>IFERROR(VLOOKUP(A432,Ф_102_2017!C:F,4,0),0)</f>
        <v>0</v>
      </c>
      <c r="D432" s="75">
        <f>IFERROR(VLOOKUP(A432,Ф_102_2018!C:F,4,0),0)</f>
        <v>0</v>
      </c>
      <c r="E432" s="75">
        <f>IFERROR(VLOOKUP(A432,Ф_102_2019!C:F,4,0),0)</f>
        <v>0</v>
      </c>
      <c r="F432" s="75">
        <f>IFERROR(VLOOKUP(A432,Ф_102_2020!C:F,4,0),0)</f>
        <v>0</v>
      </c>
      <c r="G432" s="75">
        <f>IFERROR(VLOOKUP(A432,Ф_102_2021!C:F,4,0),0)</f>
        <v>0</v>
      </c>
    </row>
    <row r="433" spans="1:7" x14ac:dyDescent="0.2">
      <c r="A433" s="21">
        <v>44714</v>
      </c>
      <c r="B433" s="75">
        <f>IFERROR(VLOOKUP(A433,'Ф_102_2016'!C:F,4,0),0)</f>
        <v>0</v>
      </c>
      <c r="C433" s="75">
        <f>IFERROR(VLOOKUP(A433,Ф_102_2017!C:F,4,0),0)</f>
        <v>0</v>
      </c>
      <c r="D433" s="75">
        <f>IFERROR(VLOOKUP(A433,Ф_102_2018!C:F,4,0),0)</f>
        <v>0</v>
      </c>
      <c r="E433" s="75">
        <f>IFERROR(VLOOKUP(A433,Ф_102_2019!C:F,4,0),0)</f>
        <v>0</v>
      </c>
      <c r="F433" s="75">
        <f>IFERROR(VLOOKUP(A433,Ф_102_2020!C:F,4,0),0)</f>
        <v>0</v>
      </c>
      <c r="G433" s="75">
        <f>IFERROR(VLOOKUP(A433,Ф_102_2021!C:F,4,0),0)</f>
        <v>0</v>
      </c>
    </row>
    <row r="434" spans="1:7" x14ac:dyDescent="0.2">
      <c r="A434" s="21">
        <v>44715</v>
      </c>
      <c r="B434" s="75">
        <f>IFERROR(VLOOKUP(A434,'Ф_102_2016'!C:F,4,0),0)</f>
        <v>0</v>
      </c>
      <c r="C434" s="75">
        <f>IFERROR(VLOOKUP(A434,Ф_102_2017!C:F,4,0),0)</f>
        <v>0</v>
      </c>
      <c r="D434" s="75">
        <f>IFERROR(VLOOKUP(A434,Ф_102_2018!C:F,4,0),0)</f>
        <v>0</v>
      </c>
      <c r="E434" s="75">
        <f>IFERROR(VLOOKUP(A434,Ф_102_2019!C:F,4,0),0)</f>
        <v>0</v>
      </c>
      <c r="F434" s="75">
        <f>IFERROR(VLOOKUP(A434,Ф_102_2020!C:F,4,0),0)</f>
        <v>0</v>
      </c>
      <c r="G434" s="75">
        <f>IFERROR(VLOOKUP(A434,Ф_102_2021!C:F,4,0),0)</f>
        <v>0</v>
      </c>
    </row>
    <row r="435" spans="1:7" x14ac:dyDescent="0.2">
      <c r="A435" s="21">
        <v>44716</v>
      </c>
      <c r="B435" s="75">
        <f>IFERROR(VLOOKUP(A435,'Ф_102_2016'!C:F,4,0),0)</f>
        <v>0</v>
      </c>
      <c r="C435" s="75">
        <f>IFERROR(VLOOKUP(A435,Ф_102_2017!C:F,4,0),0)</f>
        <v>0</v>
      </c>
      <c r="D435" s="75">
        <f>IFERROR(VLOOKUP(A435,Ф_102_2018!C:F,4,0),0)</f>
        <v>0</v>
      </c>
      <c r="E435" s="75">
        <f>IFERROR(VLOOKUP(A435,Ф_102_2019!C:F,4,0),0)</f>
        <v>0</v>
      </c>
      <c r="F435" s="75">
        <f>IFERROR(VLOOKUP(A435,Ф_102_2020!C:F,4,0),0)</f>
        <v>0</v>
      </c>
      <c r="G435" s="75">
        <f>IFERROR(VLOOKUP(A435,Ф_102_2021!C:F,4,0),0)</f>
        <v>0</v>
      </c>
    </row>
    <row r="436" spans="1:7" x14ac:dyDescent="0.2">
      <c r="A436" s="21">
        <v>44717</v>
      </c>
      <c r="B436" s="75">
        <f>IFERROR(VLOOKUP(A436,'Ф_102_2016'!C:F,4,0),0)</f>
        <v>0</v>
      </c>
      <c r="C436" s="75">
        <f>IFERROR(VLOOKUP(A436,Ф_102_2017!C:F,4,0),0)</f>
        <v>0</v>
      </c>
      <c r="D436" s="75">
        <f>IFERROR(VLOOKUP(A436,Ф_102_2018!C:F,4,0),0)</f>
        <v>0</v>
      </c>
      <c r="E436" s="75">
        <f>IFERROR(VLOOKUP(A436,Ф_102_2019!C:F,4,0),0)</f>
        <v>0</v>
      </c>
      <c r="F436" s="75">
        <f>IFERROR(VLOOKUP(A436,Ф_102_2020!C:F,4,0),0)</f>
        <v>0</v>
      </c>
      <c r="G436" s="75">
        <f>IFERROR(VLOOKUP(A436,Ф_102_2021!C:F,4,0),0)</f>
        <v>0</v>
      </c>
    </row>
    <row r="437" spans="1:7" x14ac:dyDescent="0.2">
      <c r="A437" s="21">
        <v>44718</v>
      </c>
      <c r="B437" s="75">
        <f>IFERROR(VLOOKUP(A437,'Ф_102_2016'!C:F,4,0),0)</f>
        <v>0</v>
      </c>
      <c r="C437" s="75">
        <f>IFERROR(VLOOKUP(A437,Ф_102_2017!C:F,4,0),0)</f>
        <v>0</v>
      </c>
      <c r="D437" s="75">
        <f>IFERROR(VLOOKUP(A437,Ф_102_2018!C:F,4,0),0)</f>
        <v>0</v>
      </c>
      <c r="E437" s="75">
        <f>IFERROR(VLOOKUP(A437,Ф_102_2019!C:F,4,0),0)</f>
        <v>0</v>
      </c>
      <c r="F437" s="75">
        <f>IFERROR(VLOOKUP(A437,Ф_102_2020!C:F,4,0),0)</f>
        <v>0</v>
      </c>
      <c r="G437" s="75">
        <f>IFERROR(VLOOKUP(A437,Ф_102_2021!C:F,4,0),0)</f>
        <v>0</v>
      </c>
    </row>
    <row r="438" spans="1:7" x14ac:dyDescent="0.2">
      <c r="A438" s="21">
        <v>44719</v>
      </c>
      <c r="B438" s="75">
        <f>IFERROR(VLOOKUP(A438,'Ф_102_2016'!C:F,4,0),0)</f>
        <v>0</v>
      </c>
      <c r="C438" s="75">
        <f>IFERROR(VLOOKUP(A438,Ф_102_2017!C:F,4,0),0)</f>
        <v>0</v>
      </c>
      <c r="D438" s="75">
        <f>IFERROR(VLOOKUP(A438,Ф_102_2018!C:F,4,0),0)</f>
        <v>0</v>
      </c>
      <c r="E438" s="75">
        <f>IFERROR(VLOOKUP(A438,Ф_102_2019!C:F,4,0),0)</f>
        <v>0</v>
      </c>
      <c r="F438" s="75">
        <f>IFERROR(VLOOKUP(A438,Ф_102_2020!C:F,4,0),0)</f>
        <v>0</v>
      </c>
      <c r="G438" s="75">
        <f>IFERROR(VLOOKUP(A438,Ф_102_2021!C:F,4,0),0)</f>
        <v>0</v>
      </c>
    </row>
    <row r="439" spans="1:7" x14ac:dyDescent="0.2">
      <c r="A439" s="21">
        <v>44720</v>
      </c>
      <c r="B439" s="75">
        <f>IFERROR(VLOOKUP(A439,'Ф_102_2016'!C:F,4,0),0)</f>
        <v>0</v>
      </c>
      <c r="C439" s="75">
        <f>IFERROR(VLOOKUP(A439,Ф_102_2017!C:F,4,0),0)</f>
        <v>0</v>
      </c>
      <c r="D439" s="75">
        <f>IFERROR(VLOOKUP(A439,Ф_102_2018!C:F,4,0),0)</f>
        <v>0</v>
      </c>
      <c r="E439" s="75">
        <f>IFERROR(VLOOKUP(A439,Ф_102_2019!C:F,4,0),0)</f>
        <v>0</v>
      </c>
      <c r="F439" s="75">
        <f>IFERROR(VLOOKUP(A439,Ф_102_2020!C:F,4,0),0)</f>
        <v>0</v>
      </c>
      <c r="G439" s="75">
        <f>IFERROR(VLOOKUP(A439,Ф_102_2021!C:F,4,0),0)</f>
        <v>0</v>
      </c>
    </row>
    <row r="440" spans="1:7" x14ac:dyDescent="0.2">
      <c r="A440" s="21">
        <v>44721</v>
      </c>
      <c r="B440" s="75">
        <f>IFERROR(VLOOKUP(A440,'Ф_102_2016'!C:F,4,0),0)</f>
        <v>0</v>
      </c>
      <c r="C440" s="75">
        <f>IFERROR(VLOOKUP(A440,Ф_102_2017!C:F,4,0),0)</f>
        <v>0</v>
      </c>
      <c r="D440" s="75">
        <f>IFERROR(VLOOKUP(A440,Ф_102_2018!C:F,4,0),0)</f>
        <v>0</v>
      </c>
      <c r="E440" s="75">
        <f>IFERROR(VLOOKUP(A440,Ф_102_2019!C:F,4,0),0)</f>
        <v>0</v>
      </c>
      <c r="F440" s="75">
        <f>IFERROR(VLOOKUP(A440,Ф_102_2020!C:F,4,0),0)</f>
        <v>0</v>
      </c>
      <c r="G440" s="75">
        <f>IFERROR(VLOOKUP(A440,Ф_102_2021!C:F,4,0),0)</f>
        <v>0</v>
      </c>
    </row>
    <row r="441" spans="1:7" x14ac:dyDescent="0.2">
      <c r="A441" s="21">
        <v>44722</v>
      </c>
      <c r="B441" s="75">
        <f>IFERROR(VLOOKUP(A441,'Ф_102_2016'!C:F,4,0),0)</f>
        <v>0</v>
      </c>
      <c r="C441" s="75">
        <f>IFERROR(VLOOKUP(A441,Ф_102_2017!C:F,4,0),0)</f>
        <v>0</v>
      </c>
      <c r="D441" s="75">
        <f>IFERROR(VLOOKUP(A441,Ф_102_2018!C:F,4,0),0)</f>
        <v>0</v>
      </c>
      <c r="E441" s="75">
        <f>IFERROR(VLOOKUP(A441,Ф_102_2019!C:F,4,0),0)</f>
        <v>0</v>
      </c>
      <c r="F441" s="75">
        <f>IFERROR(VLOOKUP(A441,Ф_102_2020!C:F,4,0),0)</f>
        <v>0</v>
      </c>
      <c r="G441" s="75">
        <f>IFERROR(VLOOKUP(A441,Ф_102_2021!C:F,4,0),0)</f>
        <v>0</v>
      </c>
    </row>
    <row r="442" spans="1:7" x14ac:dyDescent="0.2">
      <c r="A442" s="21">
        <v>44723</v>
      </c>
      <c r="B442" s="75">
        <f>IFERROR(VLOOKUP(A442,'Ф_102_2016'!C:F,4,0),0)</f>
        <v>0</v>
      </c>
      <c r="C442" s="75">
        <f>IFERROR(VLOOKUP(A442,Ф_102_2017!C:F,4,0),0)</f>
        <v>0</v>
      </c>
      <c r="D442" s="75">
        <f>IFERROR(VLOOKUP(A442,Ф_102_2018!C:F,4,0),0)</f>
        <v>0</v>
      </c>
      <c r="E442" s="75">
        <f>IFERROR(VLOOKUP(A442,Ф_102_2019!C:F,4,0),0)</f>
        <v>0</v>
      </c>
      <c r="F442" s="75">
        <f>IFERROR(VLOOKUP(A442,Ф_102_2020!C:F,4,0),0)</f>
        <v>0</v>
      </c>
      <c r="G442" s="75">
        <f>IFERROR(VLOOKUP(A442,Ф_102_2021!C:F,4,0),0)</f>
        <v>0</v>
      </c>
    </row>
    <row r="443" spans="1:7" x14ac:dyDescent="0.2">
      <c r="A443" s="21">
        <v>44724</v>
      </c>
      <c r="B443" s="75">
        <f>IFERROR(VLOOKUP(A443,'Ф_102_2016'!C:F,4,0),0)</f>
        <v>0</v>
      </c>
      <c r="C443" s="75">
        <f>IFERROR(VLOOKUP(A443,Ф_102_2017!C:F,4,0),0)</f>
        <v>0</v>
      </c>
      <c r="D443" s="75">
        <f>IFERROR(VLOOKUP(A443,Ф_102_2018!C:F,4,0),0)</f>
        <v>0</v>
      </c>
      <c r="E443" s="75">
        <f>IFERROR(VLOOKUP(A443,Ф_102_2019!C:F,4,0),0)</f>
        <v>0</v>
      </c>
      <c r="F443" s="75">
        <f>IFERROR(VLOOKUP(A443,Ф_102_2020!C:F,4,0),0)</f>
        <v>0</v>
      </c>
      <c r="G443" s="75">
        <f>IFERROR(VLOOKUP(A443,Ф_102_2021!C:F,4,0),0)</f>
        <v>0</v>
      </c>
    </row>
    <row r="444" spans="1:7" x14ac:dyDescent="0.2">
      <c r="A444" s="21">
        <v>44725</v>
      </c>
      <c r="B444" s="75">
        <f>IFERROR(VLOOKUP(A444,'Ф_102_2016'!C:F,4,0),0)</f>
        <v>0</v>
      </c>
      <c r="C444" s="75">
        <f>IFERROR(VLOOKUP(A444,Ф_102_2017!C:F,4,0),0)</f>
        <v>0</v>
      </c>
      <c r="D444" s="75">
        <f>IFERROR(VLOOKUP(A444,Ф_102_2018!C:F,4,0),0)</f>
        <v>0</v>
      </c>
      <c r="E444" s="75">
        <f>IFERROR(VLOOKUP(A444,Ф_102_2019!C:F,4,0),0)</f>
        <v>0</v>
      </c>
      <c r="F444" s="75">
        <f>IFERROR(VLOOKUP(A444,Ф_102_2020!C:F,4,0),0)</f>
        <v>0</v>
      </c>
      <c r="G444" s="75">
        <f>IFERROR(VLOOKUP(A444,Ф_102_2021!C:F,4,0),0)</f>
        <v>0</v>
      </c>
    </row>
    <row r="445" spans="1:7" x14ac:dyDescent="0.2">
      <c r="A445" s="21">
        <v>44726</v>
      </c>
      <c r="B445" s="75">
        <f>IFERROR(VLOOKUP(A445,'Ф_102_2016'!C:F,4,0),0)</f>
        <v>0</v>
      </c>
      <c r="C445" s="75">
        <f>IFERROR(VLOOKUP(A445,Ф_102_2017!C:F,4,0),0)</f>
        <v>0</v>
      </c>
      <c r="D445" s="75">
        <f>IFERROR(VLOOKUP(A445,Ф_102_2018!C:F,4,0),0)</f>
        <v>0</v>
      </c>
      <c r="E445" s="75">
        <f>IFERROR(VLOOKUP(A445,Ф_102_2019!C:F,4,0),0)</f>
        <v>0</v>
      </c>
      <c r="F445" s="75">
        <f>IFERROR(VLOOKUP(A445,Ф_102_2020!C:F,4,0),0)</f>
        <v>0</v>
      </c>
      <c r="G445" s="75">
        <f>IFERROR(VLOOKUP(A445,Ф_102_2021!C:F,4,0),0)</f>
        <v>0</v>
      </c>
    </row>
    <row r="446" spans="1:7" x14ac:dyDescent="0.2">
      <c r="A446" s="21">
        <v>44727</v>
      </c>
      <c r="B446" s="75">
        <f>IFERROR(VLOOKUP(A446,'Ф_102_2016'!C:F,4,0),0)</f>
        <v>0</v>
      </c>
      <c r="C446" s="75">
        <f>IFERROR(VLOOKUP(A446,Ф_102_2017!C:F,4,0),0)</f>
        <v>0</v>
      </c>
      <c r="D446" s="75">
        <f>IFERROR(VLOOKUP(A446,Ф_102_2018!C:F,4,0),0)</f>
        <v>0</v>
      </c>
      <c r="E446" s="75">
        <f>IFERROR(VLOOKUP(A446,Ф_102_2019!C:F,4,0),0)</f>
        <v>0</v>
      </c>
      <c r="F446" s="75">
        <f>IFERROR(VLOOKUP(A446,Ф_102_2020!C:F,4,0),0)</f>
        <v>0</v>
      </c>
      <c r="G446" s="75">
        <f>IFERROR(VLOOKUP(A446,Ф_102_2021!C:F,4,0),0)</f>
        <v>0</v>
      </c>
    </row>
    <row r="447" spans="1:7" x14ac:dyDescent="0.2">
      <c r="A447" s="21">
        <v>44728</v>
      </c>
      <c r="B447" s="75">
        <f>IFERROR(VLOOKUP(A447,'Ф_102_2016'!C:F,4,0),0)</f>
        <v>0</v>
      </c>
      <c r="C447" s="75">
        <f>IFERROR(VLOOKUP(A447,Ф_102_2017!C:F,4,0),0)</f>
        <v>0</v>
      </c>
      <c r="D447" s="75">
        <f>IFERROR(VLOOKUP(A447,Ф_102_2018!C:F,4,0),0)</f>
        <v>0</v>
      </c>
      <c r="E447" s="75">
        <f>IFERROR(VLOOKUP(A447,Ф_102_2019!C:F,4,0),0)</f>
        <v>0</v>
      </c>
      <c r="F447" s="75">
        <f>IFERROR(VLOOKUP(A447,Ф_102_2020!C:F,4,0),0)</f>
        <v>0</v>
      </c>
      <c r="G447" s="75">
        <f>IFERROR(VLOOKUP(A447,Ф_102_2021!C:F,4,0),0)</f>
        <v>0</v>
      </c>
    </row>
    <row r="448" spans="1:7" x14ac:dyDescent="0.2">
      <c r="A448" s="21">
        <v>44729</v>
      </c>
      <c r="B448" s="75">
        <f>IFERROR(VLOOKUP(A448,'Ф_102_2016'!C:F,4,0),0)</f>
        <v>0</v>
      </c>
      <c r="C448" s="75">
        <f>IFERROR(VLOOKUP(A448,Ф_102_2017!C:F,4,0),0)</f>
        <v>0</v>
      </c>
      <c r="D448" s="75">
        <f>IFERROR(VLOOKUP(A448,Ф_102_2018!C:F,4,0),0)</f>
        <v>0</v>
      </c>
      <c r="E448" s="75">
        <f>IFERROR(VLOOKUP(A448,Ф_102_2019!C:F,4,0),0)</f>
        <v>0</v>
      </c>
      <c r="F448" s="75">
        <f>IFERROR(VLOOKUP(A448,Ф_102_2020!C:F,4,0),0)</f>
        <v>0</v>
      </c>
      <c r="G448" s="75">
        <f>IFERROR(VLOOKUP(A448,Ф_102_2021!C:F,4,0),0)</f>
        <v>0</v>
      </c>
    </row>
    <row r="449" spans="1:7" x14ac:dyDescent="0.2">
      <c r="A449" s="21">
        <v>44730</v>
      </c>
      <c r="B449" s="75">
        <f>IFERROR(VLOOKUP(A449,'Ф_102_2016'!C:F,4,0),0)</f>
        <v>0</v>
      </c>
      <c r="C449" s="75">
        <f>IFERROR(VLOOKUP(A449,Ф_102_2017!C:F,4,0),0)</f>
        <v>0</v>
      </c>
      <c r="D449" s="75">
        <f>IFERROR(VLOOKUP(A449,Ф_102_2018!C:F,4,0),0)</f>
        <v>0</v>
      </c>
      <c r="E449" s="75">
        <f>IFERROR(VLOOKUP(A449,Ф_102_2019!C:F,4,0),0)</f>
        <v>0</v>
      </c>
      <c r="F449" s="75">
        <f>IFERROR(VLOOKUP(A449,Ф_102_2020!C:F,4,0),0)</f>
        <v>0</v>
      </c>
      <c r="G449" s="75">
        <f>IFERROR(VLOOKUP(A449,Ф_102_2021!C:F,4,0),0)</f>
        <v>0</v>
      </c>
    </row>
    <row r="450" spans="1:7" x14ac:dyDescent="0.2">
      <c r="A450" s="21">
        <v>44731</v>
      </c>
      <c r="B450" s="75">
        <f>IFERROR(VLOOKUP(A450,'Ф_102_2016'!C:F,4,0),0)</f>
        <v>0</v>
      </c>
      <c r="C450" s="75">
        <f>IFERROR(VLOOKUP(A450,Ф_102_2017!C:F,4,0),0)</f>
        <v>0</v>
      </c>
      <c r="D450" s="75">
        <f>IFERROR(VLOOKUP(A450,Ф_102_2018!C:F,4,0),0)</f>
        <v>0</v>
      </c>
      <c r="E450" s="75">
        <f>IFERROR(VLOOKUP(A450,Ф_102_2019!C:F,4,0),0)</f>
        <v>0</v>
      </c>
      <c r="F450" s="75">
        <f>IFERROR(VLOOKUP(A450,Ф_102_2020!C:F,4,0),0)</f>
        <v>0</v>
      </c>
      <c r="G450" s="75">
        <f>IFERROR(VLOOKUP(A450,Ф_102_2021!C:F,4,0),0)</f>
        <v>0</v>
      </c>
    </row>
    <row r="451" spans="1:7" x14ac:dyDescent="0.2">
      <c r="A451" s="21">
        <v>44732</v>
      </c>
      <c r="B451" s="75">
        <f>IFERROR(VLOOKUP(A451,'Ф_102_2016'!C:F,4,0),0)</f>
        <v>0</v>
      </c>
      <c r="C451" s="75">
        <f>IFERROR(VLOOKUP(A451,Ф_102_2017!C:F,4,0),0)</f>
        <v>0</v>
      </c>
      <c r="D451" s="75">
        <f>IFERROR(VLOOKUP(A451,Ф_102_2018!C:F,4,0),0)</f>
        <v>0</v>
      </c>
      <c r="E451" s="75">
        <f>IFERROR(VLOOKUP(A451,Ф_102_2019!C:F,4,0),0)</f>
        <v>0</v>
      </c>
      <c r="F451" s="75">
        <f>IFERROR(VLOOKUP(A451,Ф_102_2020!C:F,4,0),0)</f>
        <v>0</v>
      </c>
      <c r="G451" s="75">
        <f>IFERROR(VLOOKUP(A451,Ф_102_2021!C:F,4,0),0)</f>
        <v>0</v>
      </c>
    </row>
    <row r="452" spans="1:7" x14ac:dyDescent="0.2">
      <c r="A452" s="21">
        <v>44733</v>
      </c>
      <c r="B452" s="75">
        <f>IFERROR(VLOOKUP(A452,'Ф_102_2016'!C:F,4,0),0)</f>
        <v>0</v>
      </c>
      <c r="C452" s="75">
        <f>IFERROR(VLOOKUP(A452,Ф_102_2017!C:F,4,0),0)</f>
        <v>0</v>
      </c>
      <c r="D452" s="75">
        <f>IFERROR(VLOOKUP(A452,Ф_102_2018!C:F,4,0),0)</f>
        <v>0</v>
      </c>
      <c r="E452" s="75">
        <f>IFERROR(VLOOKUP(A452,Ф_102_2019!C:F,4,0),0)</f>
        <v>0</v>
      </c>
      <c r="F452" s="75">
        <f>IFERROR(VLOOKUP(A452,Ф_102_2020!C:F,4,0),0)</f>
        <v>0</v>
      </c>
      <c r="G452" s="75">
        <f>IFERROR(VLOOKUP(A452,Ф_102_2021!C:F,4,0),0)</f>
        <v>0</v>
      </c>
    </row>
    <row r="453" spans="1:7" x14ac:dyDescent="0.2">
      <c r="A453" s="21">
        <v>44734</v>
      </c>
      <c r="B453" s="75">
        <f>IFERROR(VLOOKUP(A453,'Ф_102_2016'!C:F,4,0),0)</f>
        <v>0</v>
      </c>
      <c r="C453" s="75">
        <f>IFERROR(VLOOKUP(A453,Ф_102_2017!C:F,4,0),0)</f>
        <v>0</v>
      </c>
      <c r="D453" s="75">
        <f>IFERROR(VLOOKUP(A453,Ф_102_2018!C:F,4,0),0)</f>
        <v>0</v>
      </c>
      <c r="E453" s="75">
        <f>IFERROR(VLOOKUP(A453,Ф_102_2019!C:F,4,0),0)</f>
        <v>0</v>
      </c>
      <c r="F453" s="75">
        <f>IFERROR(VLOOKUP(A453,Ф_102_2020!C:F,4,0),0)</f>
        <v>0</v>
      </c>
      <c r="G453" s="75">
        <f>IFERROR(VLOOKUP(A453,Ф_102_2021!C:F,4,0),0)</f>
        <v>0</v>
      </c>
    </row>
    <row r="454" spans="1:7" x14ac:dyDescent="0.2">
      <c r="A454" s="21">
        <v>44735</v>
      </c>
      <c r="B454" s="75">
        <f>IFERROR(VLOOKUP(A454,'Ф_102_2016'!C:F,4,0),0)</f>
        <v>0</v>
      </c>
      <c r="C454" s="75">
        <f>IFERROR(VLOOKUP(A454,Ф_102_2017!C:F,4,0),0)</f>
        <v>0</v>
      </c>
      <c r="D454" s="75">
        <f>IFERROR(VLOOKUP(A454,Ф_102_2018!C:F,4,0),0)</f>
        <v>0</v>
      </c>
      <c r="E454" s="75">
        <f>IFERROR(VLOOKUP(A454,Ф_102_2019!C:F,4,0),0)</f>
        <v>0</v>
      </c>
      <c r="F454" s="75">
        <f>IFERROR(VLOOKUP(A454,Ф_102_2020!C:F,4,0),0)</f>
        <v>0</v>
      </c>
      <c r="G454" s="75">
        <f>IFERROR(VLOOKUP(A454,Ф_102_2021!C:F,4,0),0)</f>
        <v>0</v>
      </c>
    </row>
    <row r="455" spans="1:7" x14ac:dyDescent="0.2">
      <c r="A455" s="21">
        <v>44736</v>
      </c>
      <c r="B455" s="75">
        <f>IFERROR(VLOOKUP(A455,'Ф_102_2016'!C:F,4,0),0)</f>
        <v>0</v>
      </c>
      <c r="C455" s="75">
        <f>IFERROR(VLOOKUP(A455,Ф_102_2017!C:F,4,0),0)</f>
        <v>0</v>
      </c>
      <c r="D455" s="75">
        <f>IFERROR(VLOOKUP(A455,Ф_102_2018!C:F,4,0),0)</f>
        <v>0</v>
      </c>
      <c r="E455" s="75">
        <f>IFERROR(VLOOKUP(A455,Ф_102_2019!C:F,4,0),0)</f>
        <v>0</v>
      </c>
      <c r="F455" s="75">
        <f>IFERROR(VLOOKUP(A455,Ф_102_2020!C:F,4,0),0)</f>
        <v>0</v>
      </c>
      <c r="G455" s="75">
        <f>IFERROR(VLOOKUP(A455,Ф_102_2021!C:F,4,0),0)</f>
        <v>0</v>
      </c>
    </row>
    <row r="456" spans="1:7" x14ac:dyDescent="0.2">
      <c r="A456" s="21">
        <v>44737</v>
      </c>
      <c r="B456" s="75">
        <f>IFERROR(VLOOKUP(A456,'Ф_102_2016'!C:F,4,0),0)</f>
        <v>0</v>
      </c>
      <c r="C456" s="75">
        <f>IFERROR(VLOOKUP(A456,Ф_102_2017!C:F,4,0),0)</f>
        <v>0</v>
      </c>
      <c r="D456" s="75">
        <f>IFERROR(VLOOKUP(A456,Ф_102_2018!C:F,4,0),0)</f>
        <v>0</v>
      </c>
      <c r="E456" s="75">
        <f>IFERROR(VLOOKUP(A456,Ф_102_2019!C:F,4,0),0)</f>
        <v>0</v>
      </c>
      <c r="F456" s="75">
        <f>IFERROR(VLOOKUP(A456,Ф_102_2020!C:F,4,0),0)</f>
        <v>0</v>
      </c>
      <c r="G456" s="75">
        <f>IFERROR(VLOOKUP(A456,Ф_102_2021!C:F,4,0),0)</f>
        <v>0</v>
      </c>
    </row>
    <row r="457" spans="1:7" x14ac:dyDescent="0.2">
      <c r="A457" s="21">
        <v>44738</v>
      </c>
      <c r="B457" s="75">
        <f>IFERROR(VLOOKUP(A457,'Ф_102_2016'!C:F,4,0),0)</f>
        <v>0</v>
      </c>
      <c r="C457" s="75">
        <f>IFERROR(VLOOKUP(A457,Ф_102_2017!C:F,4,0),0)</f>
        <v>0</v>
      </c>
      <c r="D457" s="75">
        <f>IFERROR(VLOOKUP(A457,Ф_102_2018!C:F,4,0),0)</f>
        <v>0</v>
      </c>
      <c r="E457" s="75">
        <f>IFERROR(VLOOKUP(A457,Ф_102_2019!C:F,4,0),0)</f>
        <v>0</v>
      </c>
      <c r="F457" s="75">
        <f>IFERROR(VLOOKUP(A457,Ф_102_2020!C:F,4,0),0)</f>
        <v>0</v>
      </c>
      <c r="G457" s="75">
        <f>IFERROR(VLOOKUP(A457,Ф_102_2021!C:F,4,0),0)</f>
        <v>0</v>
      </c>
    </row>
    <row r="458" spans="1:7" x14ac:dyDescent="0.2">
      <c r="A458" s="21">
        <v>44739</v>
      </c>
      <c r="B458" s="75">
        <f>IFERROR(VLOOKUP(A458,'Ф_102_2016'!C:F,4,0),0)</f>
        <v>0</v>
      </c>
      <c r="C458" s="75">
        <f>IFERROR(VLOOKUP(A458,Ф_102_2017!C:F,4,0),0)</f>
        <v>0</v>
      </c>
      <c r="D458" s="75">
        <f>IFERROR(VLOOKUP(A458,Ф_102_2018!C:F,4,0),0)</f>
        <v>0</v>
      </c>
      <c r="E458" s="75">
        <f>IFERROR(VLOOKUP(A458,Ф_102_2019!C:F,4,0),0)</f>
        <v>0</v>
      </c>
      <c r="F458" s="75">
        <f>IFERROR(VLOOKUP(A458,Ф_102_2020!C:F,4,0),0)</f>
        <v>0</v>
      </c>
      <c r="G458" s="75">
        <f>IFERROR(VLOOKUP(A458,Ф_102_2021!C:F,4,0),0)</f>
        <v>0</v>
      </c>
    </row>
    <row r="459" spans="1:7" x14ac:dyDescent="0.2">
      <c r="A459" s="21">
        <v>44740</v>
      </c>
      <c r="B459" s="75">
        <f>IFERROR(VLOOKUP(A459,'Ф_102_2016'!C:F,4,0),0)</f>
        <v>0</v>
      </c>
      <c r="C459" s="75">
        <f>IFERROR(VLOOKUP(A459,Ф_102_2017!C:F,4,0),0)</f>
        <v>0</v>
      </c>
      <c r="D459" s="75">
        <f>IFERROR(VLOOKUP(A459,Ф_102_2018!C:F,4,0),0)</f>
        <v>0</v>
      </c>
      <c r="E459" s="75">
        <f>IFERROR(VLOOKUP(A459,Ф_102_2019!C:F,4,0),0)</f>
        <v>0</v>
      </c>
      <c r="F459" s="75">
        <f>IFERROR(VLOOKUP(A459,Ф_102_2020!C:F,4,0),0)</f>
        <v>0</v>
      </c>
      <c r="G459" s="75">
        <f>IFERROR(VLOOKUP(A459,Ф_102_2021!C:F,4,0),0)</f>
        <v>0</v>
      </c>
    </row>
    <row r="460" spans="1:7" x14ac:dyDescent="0.2">
      <c r="A460" s="341">
        <v>44741</v>
      </c>
      <c r="B460" s="75">
        <f>IFERROR(VLOOKUP(A460,'Ф_102_2016'!C:F,4,0),0)</f>
        <v>0</v>
      </c>
      <c r="C460" s="75">
        <f>IFERROR(VLOOKUP(A460,Ф_102_2017!C:F,4,0),0)</f>
        <v>0</v>
      </c>
      <c r="D460" s="75">
        <f>IFERROR(VLOOKUP(A460,Ф_102_2018!C:F,4,0),0)</f>
        <v>0</v>
      </c>
      <c r="E460" s="75">
        <f>IFERROR(VLOOKUP(A460,Ф_102_2019!C:F,4,0),0)</f>
        <v>0</v>
      </c>
      <c r="F460" s="75">
        <f>IFERROR(VLOOKUP(A460,Ф_102_2020!C:F,4,0),0)</f>
        <v>0</v>
      </c>
      <c r="G460" s="75">
        <f>IFERROR(VLOOKUP(A460,Ф_102_2021!C:F,4,0),0)</f>
        <v>0</v>
      </c>
    </row>
    <row r="461" spans="1:7" x14ac:dyDescent="0.2">
      <c r="A461" s="27">
        <v>44801</v>
      </c>
      <c r="B461" s="1258">
        <f>IFERROR(VLOOKUP(A461,'Ф_102_2016'!C:F,4,0),0)</f>
        <v>0</v>
      </c>
      <c r="C461" s="1258">
        <f>IFERROR(VLOOKUP(A461,Ф_102_2017!C:F,4,0),0)</f>
        <v>0</v>
      </c>
      <c r="D461" s="1258">
        <f>IFERROR(VLOOKUP(A461,Ф_102_2018!C:F,4,0),0)</f>
        <v>0</v>
      </c>
      <c r="E461" s="1258">
        <f>IFERROR(VLOOKUP(A461,Ф_102_2019!C:F,4,0),0)</f>
        <v>0</v>
      </c>
      <c r="F461" s="1258">
        <f>IFERROR(VLOOKUP(A461,Ф_102_2020!C:F,4,0),0)</f>
        <v>0</v>
      </c>
      <c r="G461" s="1258">
        <f>IFERROR(VLOOKUP(A461,Ф_102_2021!C:F,4,0),0)</f>
        <v>0</v>
      </c>
    </row>
    <row r="462" spans="1:7" x14ac:dyDescent="0.2">
      <c r="A462" s="21">
        <v>44802</v>
      </c>
      <c r="B462" s="75">
        <f>IFERROR(VLOOKUP(A462,'Ф_102_2016'!C:F,4,0),0)</f>
        <v>0</v>
      </c>
      <c r="C462" s="75">
        <f>IFERROR(VLOOKUP(A462,Ф_102_2017!C:F,4,0),0)</f>
        <v>0</v>
      </c>
      <c r="D462" s="75">
        <f>IFERROR(VLOOKUP(A462,Ф_102_2018!C:F,4,0),0)</f>
        <v>0</v>
      </c>
      <c r="E462" s="75">
        <f>IFERROR(VLOOKUP(A462,Ф_102_2019!C:F,4,0),0)</f>
        <v>0</v>
      </c>
      <c r="F462" s="75">
        <f>IFERROR(VLOOKUP(A462,Ф_102_2020!C:F,4,0),0)</f>
        <v>0</v>
      </c>
      <c r="G462" s="75">
        <f>IFERROR(VLOOKUP(A462,Ф_102_2021!C:F,4,0),0)</f>
        <v>0</v>
      </c>
    </row>
    <row r="463" spans="1:7" x14ac:dyDescent="0.2">
      <c r="A463" s="21">
        <v>44803</v>
      </c>
      <c r="B463" s="75">
        <f>IFERROR(VLOOKUP(A463,'Ф_102_2016'!C:F,4,0),0)</f>
        <v>0</v>
      </c>
      <c r="C463" s="75">
        <f>IFERROR(VLOOKUP(A463,Ф_102_2017!C:F,4,0),0)</f>
        <v>0</v>
      </c>
      <c r="D463" s="75">
        <f>IFERROR(VLOOKUP(A463,Ф_102_2018!C:F,4,0),0)</f>
        <v>0</v>
      </c>
      <c r="E463" s="75">
        <f>IFERROR(VLOOKUP(A463,Ф_102_2019!C:F,4,0),0)</f>
        <v>0</v>
      </c>
      <c r="F463" s="75">
        <f>IFERROR(VLOOKUP(A463,Ф_102_2020!C:F,4,0),0)</f>
        <v>0</v>
      </c>
      <c r="G463" s="75">
        <f>IFERROR(VLOOKUP(A463,Ф_102_2021!C:F,4,0),0)</f>
        <v>0</v>
      </c>
    </row>
    <row r="464" spans="1:7" x14ac:dyDescent="0.2">
      <c r="A464" s="341">
        <v>44804</v>
      </c>
      <c r="B464" s="73">
        <f>IFERROR(VLOOKUP(A464,'Ф_102_2016'!C:F,4,0),0)</f>
        <v>0</v>
      </c>
      <c r="C464" s="73">
        <f>IFERROR(VLOOKUP(A464,Ф_102_2017!C:F,4,0),0)</f>
        <v>0</v>
      </c>
      <c r="D464" s="73">
        <f>IFERROR(VLOOKUP(A464,Ф_102_2018!C:F,4,0),0)</f>
        <v>0</v>
      </c>
      <c r="E464" s="73">
        <f>IFERROR(VLOOKUP(A464,Ф_102_2019!C:F,4,0),0)</f>
        <v>0</v>
      </c>
      <c r="F464" s="73">
        <f>IFERROR(VLOOKUP(A464,Ф_102_2020!C:F,4,0),0)</f>
        <v>0</v>
      </c>
      <c r="G464" s="73">
        <f>IFERROR(VLOOKUP(A464,Ф_102_2021!C:F,4,0),0)</f>
        <v>0</v>
      </c>
    </row>
    <row r="465" spans="1:7" x14ac:dyDescent="0.2">
      <c r="A465" s="27">
        <v>44901</v>
      </c>
      <c r="B465" s="75">
        <f>IFERROR(VLOOKUP(A465,'Ф_102_2016'!C:F,4,0),0)</f>
        <v>0</v>
      </c>
      <c r="C465" s="75">
        <f>IFERROR(VLOOKUP(A465,Ф_102_2017!C:F,4,0),0)</f>
        <v>0</v>
      </c>
      <c r="D465" s="75">
        <f>IFERROR(VLOOKUP(A465,Ф_102_2018!C:F,4,0),0)</f>
        <v>0</v>
      </c>
      <c r="E465" s="75">
        <f>IFERROR(VLOOKUP(A465,Ф_102_2019!C:F,4,0),0)</f>
        <v>0</v>
      </c>
      <c r="F465" s="75">
        <f>IFERROR(VLOOKUP(A465,Ф_102_2020!C:F,4,0),0)</f>
        <v>0</v>
      </c>
      <c r="G465" s="75">
        <f>IFERROR(VLOOKUP(A465,Ф_102_2021!C:F,4,0),0)</f>
        <v>0</v>
      </c>
    </row>
    <row r="466" spans="1:7" x14ac:dyDescent="0.2">
      <c r="A466" s="21">
        <v>44902</v>
      </c>
      <c r="B466" s="75">
        <f>IFERROR(VLOOKUP(A466,'Ф_102_2016'!C:F,4,0),0)</f>
        <v>0</v>
      </c>
      <c r="C466" s="75">
        <f>IFERROR(VLOOKUP(A466,Ф_102_2017!C:F,4,0),0)</f>
        <v>0</v>
      </c>
      <c r="D466" s="75">
        <f>IFERROR(VLOOKUP(A466,Ф_102_2018!C:F,4,0),0)</f>
        <v>0</v>
      </c>
      <c r="E466" s="75">
        <f>IFERROR(VLOOKUP(A466,Ф_102_2019!C:F,4,0),0)</f>
        <v>0</v>
      </c>
      <c r="F466" s="75">
        <f>IFERROR(VLOOKUP(A466,Ф_102_2020!C:F,4,0),0)</f>
        <v>0</v>
      </c>
      <c r="G466" s="75">
        <f>IFERROR(VLOOKUP(A466,Ф_102_2021!C:F,4,0),0)</f>
        <v>0</v>
      </c>
    </row>
    <row r="467" spans="1:7" x14ac:dyDescent="0.2">
      <c r="A467" s="21">
        <v>44903</v>
      </c>
      <c r="B467" s="75">
        <f>IFERROR(VLOOKUP(A467,'Ф_102_2016'!C:F,4,0),0)</f>
        <v>0</v>
      </c>
      <c r="C467" s="75">
        <f>IFERROR(VLOOKUP(A467,Ф_102_2017!C:F,4,0),0)</f>
        <v>0</v>
      </c>
      <c r="D467" s="75">
        <f>IFERROR(VLOOKUP(A467,Ф_102_2018!C:F,4,0),0)</f>
        <v>0</v>
      </c>
      <c r="E467" s="75">
        <f>IFERROR(VLOOKUP(A467,Ф_102_2019!C:F,4,0),0)</f>
        <v>0</v>
      </c>
      <c r="F467" s="75">
        <f>IFERROR(VLOOKUP(A467,Ф_102_2020!C:F,4,0),0)</f>
        <v>0</v>
      </c>
      <c r="G467" s="75">
        <f>IFERROR(VLOOKUP(A467,Ф_102_2021!C:F,4,0),0)</f>
        <v>0</v>
      </c>
    </row>
    <row r="468" spans="1:7" x14ac:dyDescent="0.2">
      <c r="A468" s="21">
        <v>44904</v>
      </c>
      <c r="B468" s="75">
        <f>IFERROR(VLOOKUP(A468,'Ф_102_2016'!C:F,4,0),0)</f>
        <v>0</v>
      </c>
      <c r="C468" s="75">
        <f>IFERROR(VLOOKUP(A468,Ф_102_2017!C:F,4,0),0)</f>
        <v>0</v>
      </c>
      <c r="D468" s="75">
        <f>IFERROR(VLOOKUP(A468,Ф_102_2018!C:F,4,0),0)</f>
        <v>0</v>
      </c>
      <c r="E468" s="75">
        <f>IFERROR(VLOOKUP(A468,Ф_102_2019!C:F,4,0),0)</f>
        <v>0</v>
      </c>
      <c r="F468" s="75">
        <f>IFERROR(VLOOKUP(A468,Ф_102_2020!C:F,4,0),0)</f>
        <v>0</v>
      </c>
      <c r="G468" s="75">
        <f>IFERROR(VLOOKUP(A468,Ф_102_2021!C:F,4,0),0)</f>
        <v>0</v>
      </c>
    </row>
    <row r="469" spans="1:7" x14ac:dyDescent="0.2">
      <c r="A469" s="341">
        <v>44905</v>
      </c>
      <c r="B469" s="75">
        <f>IFERROR(VLOOKUP(A469,'Ф_102_2016'!C:F,4,0),0)</f>
        <v>0</v>
      </c>
      <c r="C469" s="75">
        <f>IFERROR(VLOOKUP(A469,Ф_102_2017!C:F,4,0),0)</f>
        <v>0</v>
      </c>
      <c r="D469" s="75">
        <f>IFERROR(VLOOKUP(A469,Ф_102_2018!C:F,4,0),0)</f>
        <v>0</v>
      </c>
      <c r="E469" s="75">
        <f>IFERROR(VLOOKUP(A469,Ф_102_2019!C:F,4,0),0)</f>
        <v>0</v>
      </c>
      <c r="F469" s="75">
        <f>IFERROR(VLOOKUP(A469,Ф_102_2020!C:F,4,0),0)</f>
        <v>0</v>
      </c>
      <c r="G469" s="75">
        <f>IFERROR(VLOOKUP(A469,Ф_102_2021!C:F,4,0),0)</f>
        <v>0</v>
      </c>
    </row>
    <row r="470" spans="1:7" ht="189.75" thickBot="1" x14ac:dyDescent="0.25">
      <c r="A470" s="1155" t="s">
        <v>1524</v>
      </c>
      <c r="B470" s="1156">
        <f t="shared" ref="B470:E470" si="26">SUM(B370:B469)</f>
        <v>29719</v>
      </c>
      <c r="C470" s="1156">
        <f t="shared" si="26"/>
        <v>7643</v>
      </c>
      <c r="D470" s="1156">
        <f t="shared" si="26"/>
        <v>10768</v>
      </c>
      <c r="E470" s="1156">
        <f t="shared" si="26"/>
        <v>18775</v>
      </c>
      <c r="F470" s="1156">
        <f>SUM(F370:F469)</f>
        <v>1208388</v>
      </c>
      <c r="G470" s="1156">
        <f>SUM(G370:G469)</f>
        <v>2243165</v>
      </c>
    </row>
  </sheetData>
  <dataConsolidate/>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770"/>
  <sheetViews>
    <sheetView zoomScale="60" zoomScaleNormal="60" workbookViewId="0">
      <pane xSplit="5" ySplit="7" topLeftCell="F384" activePane="bottomRight" state="frozen"/>
      <selection pane="topRight" activeCell="D1" sqref="D1"/>
      <selection pane="bottomLeft" activeCell="A8" sqref="A8"/>
      <selection pane="bottomRight" activeCell="N413" sqref="N413"/>
    </sheetView>
  </sheetViews>
  <sheetFormatPr defaultColWidth="9.140625" defaultRowHeight="15" outlineLevelRow="1" x14ac:dyDescent="0.2"/>
  <cols>
    <col min="1" max="1" width="12.85546875" style="22" customWidth="1"/>
    <col min="2" max="2" width="12.140625" style="22" customWidth="1"/>
    <col min="3" max="3" width="18.42578125" style="22" customWidth="1"/>
    <col min="4" max="4" width="16.42578125" style="22" customWidth="1"/>
    <col min="5" max="5" width="81.7109375" style="293" customWidth="1"/>
    <col min="6" max="6" width="10" style="22" customWidth="1"/>
    <col min="7" max="7" width="20.42578125" style="22" customWidth="1"/>
    <col min="8" max="8" width="22.28515625" style="22" customWidth="1"/>
    <col min="9" max="9" width="30.5703125" style="22" customWidth="1"/>
    <col min="10" max="10" width="20.7109375" style="22" customWidth="1"/>
    <col min="11" max="11" width="24.85546875" style="22" customWidth="1"/>
    <col min="12" max="12" width="22" style="22" customWidth="1"/>
    <col min="13" max="13" width="20.85546875" style="22" customWidth="1"/>
    <col min="14" max="14" width="22" style="22" customWidth="1"/>
    <col min="15" max="15" width="21.85546875" style="22" customWidth="1"/>
    <col min="16" max="16" width="20.7109375" style="22" customWidth="1"/>
    <col min="17" max="17" width="9.140625" style="22"/>
    <col min="18" max="18" width="15.5703125" style="22" bestFit="1" customWidth="1"/>
    <col min="19" max="23" width="16.5703125" style="22" customWidth="1"/>
    <col min="24" max="16384" width="9.140625" style="22"/>
  </cols>
  <sheetData>
    <row r="1" spans="1:16" ht="16.5" thickBot="1" x14ac:dyDescent="0.3">
      <c r="A1" s="327"/>
      <c r="B1" s="1694"/>
      <c r="C1" s="21"/>
      <c r="D1" s="21"/>
      <c r="E1" s="291"/>
      <c r="F1" s="21"/>
      <c r="G1" s="21"/>
      <c r="H1" s="1487"/>
      <c r="I1" s="21"/>
      <c r="J1" s="21"/>
      <c r="K1" s="21"/>
      <c r="L1" s="21"/>
      <c r="M1" s="21"/>
      <c r="N1" s="21"/>
      <c r="O1" s="21"/>
      <c r="P1" s="21"/>
    </row>
    <row r="2" spans="1:16" ht="19.5" thickTop="1" thickBot="1" x14ac:dyDescent="0.3">
      <c r="A2" s="327"/>
      <c r="B2" s="1694"/>
      <c r="C2" s="21"/>
      <c r="D2" s="21"/>
      <c r="E2" s="291" t="s">
        <v>333</v>
      </c>
      <c r="F2" s="1998" t="s">
        <v>2926</v>
      </c>
      <c r="G2" s="1525"/>
      <c r="H2" s="1526"/>
      <c r="I2" s="21"/>
      <c r="J2" s="21"/>
      <c r="K2" s="21"/>
      <c r="L2" s="21"/>
      <c r="M2" s="21"/>
      <c r="N2" s="21"/>
      <c r="O2" s="21"/>
      <c r="P2" s="21"/>
    </row>
    <row r="3" spans="1:16" ht="16.5" thickTop="1" x14ac:dyDescent="0.25">
      <c r="A3" s="327"/>
      <c r="B3" s="1694"/>
      <c r="C3" s="21"/>
      <c r="D3" s="21"/>
      <c r="E3" s="291" t="s">
        <v>419</v>
      </c>
      <c r="F3" s="338" t="s">
        <v>559</v>
      </c>
      <c r="G3" s="21"/>
      <c r="H3" s="21"/>
      <c r="I3" s="21"/>
      <c r="J3" s="21"/>
      <c r="K3" s="21"/>
      <c r="L3" s="21"/>
      <c r="M3" s="21"/>
      <c r="N3" s="21"/>
      <c r="O3" s="21"/>
      <c r="P3" s="21"/>
    </row>
    <row r="4" spans="1:16" x14ac:dyDescent="0.2">
      <c r="A4" s="21"/>
      <c r="B4" s="21"/>
      <c r="C4" s="21"/>
      <c r="D4" s="21"/>
      <c r="E4" s="291" t="s">
        <v>334</v>
      </c>
      <c r="F4" s="21" t="s">
        <v>560</v>
      </c>
      <c r="G4" s="21"/>
      <c r="H4" s="21"/>
      <c r="I4" s="21"/>
      <c r="J4" s="21"/>
      <c r="K4" s="21"/>
      <c r="L4" s="21"/>
      <c r="M4" s="21"/>
      <c r="N4" s="21"/>
      <c r="O4" s="21"/>
      <c r="P4" s="21"/>
    </row>
    <row r="5" spans="1:16" x14ac:dyDescent="0.2">
      <c r="A5" s="21"/>
      <c r="B5" s="21"/>
      <c r="C5" s="21"/>
      <c r="D5" s="21"/>
      <c r="E5" s="291"/>
      <c r="F5" s="21"/>
      <c r="G5" s="21"/>
      <c r="H5" s="21"/>
      <c r="I5" s="21"/>
      <c r="J5" s="21"/>
      <c r="K5" s="1310"/>
      <c r="L5" s="1310"/>
      <c r="M5" s="1310"/>
      <c r="N5" s="1310"/>
      <c r="O5" s="1310"/>
      <c r="P5" s="21"/>
    </row>
    <row r="6" spans="1:16" ht="16.5" thickBot="1" x14ac:dyDescent="0.3">
      <c r="A6" s="21"/>
      <c r="B6" s="21"/>
      <c r="C6" s="21"/>
      <c r="D6" s="21"/>
      <c r="E6" s="316" t="s">
        <v>577</v>
      </c>
      <c r="F6" s="21" t="s">
        <v>348</v>
      </c>
      <c r="G6" s="1329" t="str">
        <f>TEXT(G7,0)</f>
        <v>2016</v>
      </c>
      <c r="H6" s="1329" t="str">
        <f t="shared" ref="H6:P6" si="0">TEXT(H7,0)</f>
        <v>2017</v>
      </c>
      <c r="I6" s="1329" t="str">
        <f t="shared" si="0"/>
        <v>2018</v>
      </c>
      <c r="J6" s="1329" t="str">
        <f t="shared" si="0"/>
        <v>2019</v>
      </c>
      <c r="K6" s="1329" t="str">
        <f t="shared" si="0"/>
        <v>2020</v>
      </c>
      <c r="L6" s="1329" t="str">
        <f t="shared" si="0"/>
        <v>2021</v>
      </c>
      <c r="M6" s="1329" t="str">
        <f t="shared" si="0"/>
        <v>2022</v>
      </c>
      <c r="N6" s="1329" t="str">
        <f t="shared" si="0"/>
        <v>2023</v>
      </c>
      <c r="O6" s="1329" t="str">
        <f t="shared" si="0"/>
        <v>2024</v>
      </c>
      <c r="P6" s="1329" t="str">
        <f t="shared" si="0"/>
        <v>2025</v>
      </c>
    </row>
    <row r="7" spans="1:16" ht="15.75" thickTop="1" x14ac:dyDescent="0.2">
      <c r="A7" s="21"/>
      <c r="B7" s="21"/>
      <c r="C7" s="21"/>
      <c r="D7" s="21"/>
      <c r="E7" s="306" t="s">
        <v>3339</v>
      </c>
      <c r="F7" s="301"/>
      <c r="G7" s="1502">
        <v>2016</v>
      </c>
      <c r="H7" s="1328">
        <v>2017</v>
      </c>
      <c r="I7" s="1328">
        <v>2018</v>
      </c>
      <c r="J7" s="1298">
        <v>2019</v>
      </c>
      <c r="K7" s="1298">
        <v>2020</v>
      </c>
      <c r="L7" s="1298">
        <v>2021</v>
      </c>
      <c r="M7" s="1298">
        <v>2022</v>
      </c>
      <c r="N7" s="2009">
        <v>2023</v>
      </c>
      <c r="O7" s="2009">
        <v>2024</v>
      </c>
      <c r="P7" s="2010">
        <v>2025</v>
      </c>
    </row>
    <row r="8" spans="1:16" ht="39" customHeight="1" x14ac:dyDescent="0.25">
      <c r="A8" s="21"/>
      <c r="B8" s="1180" t="s">
        <v>1437</v>
      </c>
      <c r="C8" s="1297" t="s">
        <v>3420</v>
      </c>
      <c r="D8" s="2008" t="s">
        <v>3421</v>
      </c>
      <c r="E8" s="303" t="s">
        <v>145</v>
      </c>
      <c r="F8" s="294"/>
      <c r="G8" s="1503"/>
      <c r="H8" s="1268"/>
      <c r="I8" s="1268"/>
      <c r="J8" s="1268"/>
      <c r="K8" s="1268"/>
      <c r="L8" s="1268"/>
      <c r="M8" s="1268"/>
      <c r="N8" s="1268"/>
      <c r="O8" s="1268"/>
      <c r="P8" s="1267"/>
    </row>
    <row r="9" spans="1:16" x14ac:dyDescent="0.2">
      <c r="A9" s="21"/>
      <c r="B9" s="1215" t="s">
        <v>1571</v>
      </c>
      <c r="C9" s="1215" t="s">
        <v>1571</v>
      </c>
      <c r="D9" s="1215" t="s">
        <v>1571</v>
      </c>
      <c r="E9" s="291" t="s">
        <v>561</v>
      </c>
      <c r="F9" s="373"/>
      <c r="G9" s="1504">
        <f>IF($B9="нет",0,VLOOKUP($B9,Ф_806_2018_2015[],MATCH(G$6,'Ф_806_2018-2015'!$1:$1,0),0))</f>
        <v>10866168</v>
      </c>
      <c r="H9" s="1281">
        <f>IF($B9="нет",0,VLOOKUP($B9,Ф_806_2018_2015[],MATCH(H$6,'Ф_806_2018-2015'!$1:$1,0),0))</f>
        <v>10371248</v>
      </c>
      <c r="I9" s="1281">
        <f>IF($B9="нет",0,VLOOKUP($B9,Ф_806_2018_2015[],MATCH(I$6,'Ф_806_2018-2015'!$1:$1,0),0))</f>
        <v>9651096</v>
      </c>
      <c r="J9" s="1270">
        <f>IF($C9="нет",0,VLOOKUP($C9,Ф_806_2023_2019[],MATCH(J$6,'Ф_806_2023-2019'!$1:$1,0),0))</f>
        <v>8786054</v>
      </c>
      <c r="K9" s="1270">
        <f>IF($C9="нет",0,VLOOKUP($C9,Ф_806_2023_2019[],MATCH(K$6,'Ф_806_2023-2019'!$1:$1,0),0))</f>
        <v>14699337</v>
      </c>
      <c r="L9" s="1270">
        <f>IF($C9="нет",0,VLOOKUP($C9,Ф_806_2023_2019[],MATCH(L$6,'Ф_806_2023-2019'!$1:$1,0),0))</f>
        <v>13125643</v>
      </c>
      <c r="M9" s="1270">
        <f>IF($C9="нет",0,VLOOKUP($C9,Ф_806_2023_2019[],MATCH(M$6,'Ф_806_2023-2019'!$1:$1,0),0))</f>
        <v>12124725</v>
      </c>
      <c r="N9" s="1270">
        <f>IF($C9="нет",0,VLOOKUP($C9,Ф_806_2023_2019[],MATCH(N$6,'Ф_806_2023-2019'!$1:$1,0),0))</f>
        <v>29701298</v>
      </c>
      <c r="O9" s="1270">
        <f>IF($D9="нет",0,VLOOKUP($D9,Ф_806_2024[],MATCH(O$6,'Ф_806_2024'!$1:$1,0),0))</f>
        <v>20326092</v>
      </c>
      <c r="P9" s="1269"/>
    </row>
    <row r="10" spans="1:16" ht="30" x14ac:dyDescent="0.2">
      <c r="A10" s="21"/>
      <c r="B10" s="1215" t="s">
        <v>1572</v>
      </c>
      <c r="C10" s="1215" t="s">
        <v>1572</v>
      </c>
      <c r="D10" s="1215" t="s">
        <v>1572</v>
      </c>
      <c r="E10" s="291" t="s">
        <v>2557</v>
      </c>
      <c r="F10" s="373"/>
      <c r="G10" s="1504">
        <f>IF($B10="нет",0,VLOOKUP($B10,Ф_806_2018_2015[],MATCH(G$6,'Ф_806_2018-2015'!$1:$1,0),0))</f>
        <v>12836368</v>
      </c>
      <c r="H10" s="1281">
        <f>IF($B10="нет",0,VLOOKUP($B10,Ф_806_2018_2015[],MATCH(H$6,'Ф_806_2018-2015'!$1:$1,0),0))</f>
        <v>11954847</v>
      </c>
      <c r="I10" s="1281">
        <f>IF($B10="нет",0,VLOOKUP($B10,Ф_806_2018_2015[],MATCH(I$6,'Ф_806_2018-2015'!$1:$1,0),0))</f>
        <v>12086758</v>
      </c>
      <c r="J10" s="1270">
        <f>IF($C10="нет",0,VLOOKUP($C10,Ф_806_2023_2019[],MATCH(J$6,'Ф_806_2023-2019'!$1:$1,0),0))</f>
        <v>18630222</v>
      </c>
      <c r="K10" s="1270">
        <f>IF($C10="нет",0,VLOOKUP($C10,Ф_806_2023_2019[],MATCH(K$6,'Ф_806_2023-2019'!$1:$1,0),0))</f>
        <v>17545793</v>
      </c>
      <c r="L10" s="1270">
        <f>IF($C10="нет",0,VLOOKUP($C10,Ф_806_2023_2019[],MATCH(L$6,'Ф_806_2023-2019'!$1:$1,0),0))</f>
        <v>16963663</v>
      </c>
      <c r="M10" s="1270">
        <f>IF($C10="нет",0,VLOOKUP($C10,Ф_806_2023_2019[],MATCH(M$6,'Ф_806_2023-2019'!$1:$1,0),0))</f>
        <v>17255953</v>
      </c>
      <c r="N10" s="1270">
        <f>IF($C10="нет",0,VLOOKUP($C10,Ф_806_2023_2019[],MATCH(N$6,'Ф_806_2023-2019'!$1:$1,0),0))</f>
        <v>41660710</v>
      </c>
      <c r="O10" s="1270">
        <f>IF($D10="нет",0,VLOOKUP($D10,Ф_806_2024[],MATCH(O$6,'Ф_806_2024'!$1:$1,0),0))</f>
        <v>41078760</v>
      </c>
      <c r="P10" s="1269"/>
    </row>
    <row r="11" spans="1:16" s="442" customFormat="1" x14ac:dyDescent="0.2">
      <c r="A11" s="439"/>
      <c r="B11" s="932" t="s">
        <v>6</v>
      </c>
      <c r="C11" s="932" t="s">
        <v>6</v>
      </c>
      <c r="D11" s="932" t="s">
        <v>6</v>
      </c>
      <c r="E11" s="440" t="s">
        <v>562</v>
      </c>
      <c r="F11" s="441"/>
      <c r="G11" s="1505">
        <f>IF($B11="нет",0,VLOOKUP($B11,Ф_806_2018_2015[],MATCH(G$6,'Ф_806_2018-2015'!$1:$1,0),0))</f>
        <v>4266434</v>
      </c>
      <c r="H11" s="1272">
        <f>IF($B11="нет",0,VLOOKUP($B11,Ф_806_2018_2015[],MATCH(H$6,'Ф_806_2018-2015'!$1:$1,0),0))</f>
        <v>3836490</v>
      </c>
      <c r="I11" s="1272">
        <f>IF($B11="нет",0,VLOOKUP($B11,Ф_806_2018_2015[],MATCH(I$6,'Ф_806_2018-2015'!$1:$1,0),0))</f>
        <v>2848617</v>
      </c>
      <c r="J11" s="1272">
        <f>IF($C11="нет",0,VLOOKUP($C11,Ф_806_2023_2019[],MATCH(J$6,'Ф_806_2023-2019'!$1:$1,0),0))</f>
        <v>3360185</v>
      </c>
      <c r="K11" s="1272">
        <f>IF($C11="нет",0,VLOOKUP($C11,Ф_806_2023_2019[],MATCH(K$6,'Ф_806_2023-2019'!$1:$1,0),0))</f>
        <v>3454685</v>
      </c>
      <c r="L11" s="1272">
        <f>IF($C11="нет",0,VLOOKUP($C11,Ф_806_2023_2019[],MATCH(L$6,'Ф_806_2023-2019'!$1:$1,0),0))</f>
        <v>3878169</v>
      </c>
      <c r="M11" s="1272">
        <f>IF($C11="нет",0,VLOOKUP($C11,Ф_806_2023_2019[],MATCH(M$6,'Ф_806_2023-2019'!$1:$1,0),0))</f>
        <v>927450</v>
      </c>
      <c r="N11" s="1272">
        <f>IF($C11="нет",0,VLOOKUP($C11,Ф_806_2023_2019[],MATCH(N$6,'Ф_806_2023-2019'!$1:$1,0),0))</f>
        <v>2047374</v>
      </c>
      <c r="O11" s="1272">
        <f>IF($D11="нет",0,VLOOKUP($D11,Ф_806_2024[],MATCH(O$6,'Ф_806_2024'!$1:$1,0),0))</f>
        <v>2875662</v>
      </c>
      <c r="P11" s="1273"/>
    </row>
    <row r="12" spans="1:16" x14ac:dyDescent="0.2">
      <c r="A12" s="21"/>
      <c r="B12" s="1215" t="s">
        <v>1539</v>
      </c>
      <c r="C12" s="1215" t="s">
        <v>1539</v>
      </c>
      <c r="D12" s="1215" t="s">
        <v>1539</v>
      </c>
      <c r="E12" s="291" t="s">
        <v>563</v>
      </c>
      <c r="F12" s="373"/>
      <c r="G12" s="1504">
        <f>IF($B12="нет",0,VLOOKUP($B12,Ф_806_2018_2015[],MATCH(G$6,'Ф_806_2018-2015'!$1:$1,0),0))</f>
        <v>3625500</v>
      </c>
      <c r="H12" s="1281">
        <f>IF($B12="нет",0,VLOOKUP($B12,Ф_806_2018_2015[],MATCH(H$6,'Ф_806_2018-2015'!$1:$1,0),0))</f>
        <v>2812293</v>
      </c>
      <c r="I12" s="1281">
        <f>IF($B12="нет",0,VLOOKUP($B12,Ф_806_2018_2015[],MATCH(I$6,'Ф_806_2018-2015'!$1:$1,0),0))</f>
        <v>2884465</v>
      </c>
      <c r="J12" s="1270">
        <f>IF($C12="нет",0,VLOOKUP($C12,Ф_806_2023_2019[],MATCH(J$6,'Ф_806_2023-2019'!$1:$1,0),0))</f>
        <v>5271415</v>
      </c>
      <c r="K12" s="1270">
        <f>IF($C12="нет",0,VLOOKUP($C12,Ф_806_2023_2019[],MATCH(K$6,'Ф_806_2023-2019'!$1:$1,0),0))</f>
        <v>6715428</v>
      </c>
      <c r="L12" s="1270">
        <f>IF($C12="нет",0,VLOOKUP($C12,Ф_806_2023_2019[],MATCH(L$6,'Ф_806_2023-2019'!$1:$1,0),0))</f>
        <v>6830454</v>
      </c>
      <c r="M12" s="1270">
        <f>IF($C12="нет",0,VLOOKUP($C12,Ф_806_2023_2019[],MATCH(M$6,'Ф_806_2023-2019'!$1:$1,0),0))</f>
        <v>83365775</v>
      </c>
      <c r="N12" s="1270">
        <f>IF($C12="нет",0,VLOOKUP($C12,Ф_806_2023_2019[],MATCH(N$6,'Ф_806_2023-2019'!$1:$1,0),0))</f>
        <v>12298870</v>
      </c>
      <c r="O12" s="1270">
        <f>IF($D12="нет",0,VLOOKUP($D12,Ф_806_2024[],MATCH(O$6,'Ф_806_2024'!$1:$1,0),0))</f>
        <v>2803131</v>
      </c>
      <c r="P12" s="1269"/>
    </row>
    <row r="13" spans="1:16" ht="30" x14ac:dyDescent="0.2">
      <c r="A13" s="21"/>
      <c r="B13" s="1215" t="s">
        <v>1540</v>
      </c>
      <c r="C13" s="1215" t="s">
        <v>1540</v>
      </c>
      <c r="D13" s="1215" t="s">
        <v>1540</v>
      </c>
      <c r="E13" s="291" t="s">
        <v>3</v>
      </c>
      <c r="F13" s="373"/>
      <c r="G13" s="1504">
        <f>IF($B13="нет",0,VLOOKUP($B13,Ф_806_2018_2015[],MATCH(G$6,'Ф_806_2018-2015'!$1:$1,0),0))</f>
        <v>774422</v>
      </c>
      <c r="H13" s="1281">
        <f>IF($B13="нет",0,VLOOKUP($B13,Ф_806_2018_2015[],MATCH(H$6,'Ф_806_2018-2015'!$1:$1,0),0))</f>
        <v>1061566</v>
      </c>
      <c r="I13" s="1281">
        <f>IF($B13="нет",0,VLOOKUP($B13,Ф_806_2018_2015[],MATCH(I$6,'Ф_806_2018-2015'!$1:$1,0),0))</f>
        <v>151584</v>
      </c>
      <c r="J13" s="1270">
        <f>IF($C13="нет",0,VLOOKUP($C13,Ф_806_2023_2019[],MATCH(J$6,'Ф_806_2023-2019'!$1:$1,0),0))</f>
        <v>3165995</v>
      </c>
      <c r="K13" s="1270">
        <f>IF($C13="нет",0,VLOOKUP($C13,Ф_806_2023_2019[],MATCH(K$6,'Ф_806_2023-2019'!$1:$1,0),0))</f>
        <v>3261718</v>
      </c>
      <c r="L13" s="1270">
        <f>IF($C13="нет",0,VLOOKUP($C13,Ф_806_2023_2019[],MATCH(L$6,'Ф_806_2023-2019'!$1:$1,0),0))</f>
        <v>3310084</v>
      </c>
      <c r="M13" s="1270">
        <f>IF($C13="нет",0,VLOOKUP($C13,Ф_806_2023_2019[],MATCH(M$6,'Ф_806_2023-2019'!$1:$1,0),0))</f>
        <v>1081829</v>
      </c>
      <c r="N13" s="1270">
        <f>IF($C13="нет",0,VLOOKUP($C13,Ф_806_2023_2019[],MATCH(N$6,'Ф_806_2023-2019'!$1:$1,0),0))</f>
        <v>847302</v>
      </c>
      <c r="O13" s="1270">
        <f>IF($D13="нет",0,VLOOKUP($D13,Ф_806_2024[],MATCH(O$6,'Ф_806_2024'!$1:$1,0),0))</f>
        <v>1148295</v>
      </c>
      <c r="P13" s="1269"/>
    </row>
    <row r="14" spans="1:16" ht="30.75" x14ac:dyDescent="0.25">
      <c r="A14" s="21"/>
      <c r="B14" s="1215" t="s">
        <v>1541</v>
      </c>
      <c r="C14" s="1215" t="s">
        <v>1541</v>
      </c>
      <c r="D14" s="1215" t="s">
        <v>1541</v>
      </c>
      <c r="E14" s="291" t="s">
        <v>1224</v>
      </c>
      <c r="F14" s="373"/>
      <c r="G14" s="1504">
        <f>IF($B14="нет",0,VLOOKUP($B14,Ф_806_2018_2015[],MATCH(G$6,'Ф_806_2018-2015'!$1:$1,0),0))</f>
        <v>246715767</v>
      </c>
      <c r="H14" s="1281">
        <f>IF($B14="нет",0,VLOOKUP($B14,Ф_806_2018_2015[],MATCH(H$6,'Ф_806_2018-2015'!$1:$1,0),0))</f>
        <v>224707711</v>
      </c>
      <c r="I14" s="1281">
        <f>IF($B14="нет",0,VLOOKUP($B14,Ф_806_2018_2015[],MATCH(I$6,'Ф_806_2018-2015'!$1:$1,0),0))</f>
        <v>315918432</v>
      </c>
      <c r="J14" s="1270">
        <f>IF($C14="нет",0,VLOOKUP($C14,Ф_806_2023_2019[],MATCH(J$6,'Ф_806_2023-2019'!$1:$1,0),0))</f>
        <v>322491423</v>
      </c>
      <c r="K14" s="1270">
        <f>IF($C14="нет",0,VLOOKUP($C14,Ф_806_2023_2019[],MATCH(K$6,'Ф_806_2023-2019'!$1:$1,0),0))</f>
        <v>334777604</v>
      </c>
      <c r="L14" s="1270">
        <f>IF($C14="нет",0,VLOOKUP($C14,Ф_806_2023_2019[],MATCH(L$6,'Ф_806_2023-2019'!$1:$1,0),0))</f>
        <v>382942668</v>
      </c>
      <c r="M14" s="1270">
        <f>IF($C14="нет",0,VLOOKUP($C14,Ф_806_2023_2019[],MATCH(M$6,'Ф_806_2023-2019'!$1:$1,0),0))</f>
        <v>474062674</v>
      </c>
      <c r="N14" s="1270">
        <f>IF($C14="нет",0,VLOOKUP($C14,Ф_806_2023_2019[],MATCH(N$6,'Ф_806_2023-2019'!$1:$1,0),0))</f>
        <v>527651671</v>
      </c>
      <c r="O14" s="1270">
        <f>IF($D14="нет",0,VLOOKUP($D14,Ф_806_2024[],MATCH(O$6,'Ф_806_2024'!$1:$1,0),0))</f>
        <v>546142705</v>
      </c>
      <c r="P14" s="1269"/>
    </row>
    <row r="15" spans="1:16" ht="60.75" x14ac:dyDescent="0.2">
      <c r="A15" s="21"/>
      <c r="B15" s="1215" t="s">
        <v>1542</v>
      </c>
      <c r="C15" s="1215" t="s">
        <v>1542</v>
      </c>
      <c r="D15" s="1215" t="s">
        <v>1542</v>
      </c>
      <c r="E15" s="291" t="s">
        <v>1223</v>
      </c>
      <c r="F15" s="373"/>
      <c r="G15" s="1504">
        <f>IF($B15="нет",0,VLOOKUP($B15,Ф_806_2018_2015[],MATCH(G$6,'Ф_806_2018-2015'!$1:$1,0),0))</f>
        <v>112519879</v>
      </c>
      <c r="H15" s="1281">
        <f>IF($B15="нет",0,VLOOKUP($B15,Ф_806_2018_2015[],MATCH(H$6,'Ф_806_2018-2015'!$1:$1,0),0))</f>
        <v>146559139</v>
      </c>
      <c r="I15" s="1281">
        <f>IF($B15="нет",0,VLOOKUP($B15,Ф_806_2018_2015[],MATCH(I$6,'Ф_806_2018-2015'!$1:$1,0),0))</f>
        <v>88072946</v>
      </c>
      <c r="J15" s="1270">
        <f>IF($C15="нет",0,VLOOKUP($C15,Ф_806_2023_2019[],MATCH(J$6,'Ф_806_2023-2019'!$1:$1,0),0))</f>
        <v>78267457</v>
      </c>
      <c r="K15" s="1270">
        <f>IF($C15="нет",0,VLOOKUP($C15,Ф_806_2023_2019[],MATCH(K$6,'Ф_806_2023-2019'!$1:$1,0),0))</f>
        <v>77441935</v>
      </c>
      <c r="L15" s="1270">
        <f>IF($C15="нет",0,VLOOKUP($C15,Ф_806_2023_2019[],MATCH(L$6,'Ф_806_2023-2019'!$1:$1,0),0))</f>
        <v>70842146</v>
      </c>
      <c r="M15" s="1270">
        <f>IF($C15="нет",0,VLOOKUP($C15,Ф_806_2023_2019[],MATCH(M$6,'Ф_806_2023-2019'!$1:$1,0),0))</f>
        <v>30563075</v>
      </c>
      <c r="N15" s="1270">
        <f>IF($C15="нет",0,VLOOKUP($C15,Ф_806_2023_2019[],MATCH(N$6,'Ф_806_2023-2019'!$1:$1,0),0))</f>
        <v>64334445</v>
      </c>
      <c r="O15" s="1270">
        <f>IF($D15="нет",0,VLOOKUP($D15,Ф_806_2024[],MATCH(O$6,'Ф_806_2024'!$1:$1,0),0))</f>
        <v>78910803</v>
      </c>
      <c r="P15" s="1269"/>
    </row>
    <row r="16" spans="1:16" s="442" customFormat="1" ht="50.25" customHeight="1" x14ac:dyDescent="0.2">
      <c r="A16" s="439"/>
      <c r="B16" s="932" t="s">
        <v>29</v>
      </c>
      <c r="C16" s="932" t="s">
        <v>1226</v>
      </c>
      <c r="D16" s="932" t="s">
        <v>1226</v>
      </c>
      <c r="E16" s="440" t="s">
        <v>1225</v>
      </c>
      <c r="F16" s="441"/>
      <c r="G16" s="1505">
        <f>IF($B16="нет",0,VLOOKUP($B16,Ф_806_2018_2015[],MATCH(G$6,'Ф_806_2018-2015'!$1:$1,0),0))</f>
        <v>1609029</v>
      </c>
      <c r="H16" s="1272">
        <f>IF($B16="нет",0,VLOOKUP($B16,Ф_806_2018_2015[],MATCH(H$6,'Ф_806_2018-2015'!$1:$1,0),0))</f>
        <v>1614782</v>
      </c>
      <c r="I16" s="1272">
        <f>IF($B16="нет",0,VLOOKUP($B16,Ф_806_2018_2015[],MATCH(I$6,'Ф_806_2018-2015'!$1:$1,0),0))</f>
        <v>1749596</v>
      </c>
      <c r="J16" s="1272">
        <f>IF($C16="нет",0,VLOOKUP($C16,Ф_806_2023_2019[],MATCH(J$6,'Ф_806_2023-2019'!$1:$1,0),0))</f>
        <v>1867112</v>
      </c>
      <c r="K16" s="1272">
        <f>IF($C16="нет",0,VLOOKUP($C16,Ф_806_2023_2019[],MATCH(K$6,'Ф_806_2023-2019'!$1:$1,0),0))</f>
        <v>1786060</v>
      </c>
      <c r="L16" s="1272">
        <f>IF($C16="нет",0,VLOOKUP($C16,Ф_806_2023_2019[],MATCH(L$6,'Ф_806_2023-2019'!$1:$1,0),0))</f>
        <v>0</v>
      </c>
      <c r="M16" s="1777">
        <f>IF($C16="нет",0,VLOOKUP($C16,Ф_806_2023_2019[],MATCH(M$6,'Ф_806_2023-2019'!$1:$1,0),0))</f>
        <v>0</v>
      </c>
      <c r="N16" s="1777">
        <f>IF($C16="нет",0,VLOOKUP($C16,Ф_806_2023_2019[],MATCH(N$6,'Ф_806_2023-2019'!$1:$1,0),0))</f>
        <v>0</v>
      </c>
      <c r="O16" s="1777">
        <f>IF($D16="нет",0,VLOOKUP($D16,Ф_806_2024[],MATCH(O$6,'Ф_806_2024'!$1:$1,0),0))</f>
        <v>0</v>
      </c>
      <c r="P16" s="1778"/>
    </row>
    <row r="17" spans="1:16" ht="60.75" x14ac:dyDescent="0.2">
      <c r="A17" s="21"/>
      <c r="B17" s="1215" t="s">
        <v>1543</v>
      </c>
      <c r="C17" s="1215" t="s">
        <v>1543</v>
      </c>
      <c r="D17" s="1215" t="s">
        <v>1543</v>
      </c>
      <c r="E17" s="291" t="s">
        <v>1222</v>
      </c>
      <c r="F17" s="373"/>
      <c r="G17" s="1504">
        <f>IF($B17="нет",0,VLOOKUP($B17,Ф_806_2018_2015[],MATCH(G$6,'Ф_806_2018-2015'!$1:$1,0),0))</f>
        <v>19041393</v>
      </c>
      <c r="H17" s="1281">
        <f>IF($B17="нет",0,VLOOKUP($B17,Ф_806_2018_2015[],MATCH(H$6,'Ф_806_2018-2015'!$1:$1,0),0))</f>
        <v>9250660</v>
      </c>
      <c r="I17" s="1281">
        <f>IF($B17="нет",0,VLOOKUP($B17,Ф_806_2018_2015[],MATCH(I$6,'Ф_806_2018-2015'!$1:$1,0),0))</f>
        <v>37930296</v>
      </c>
      <c r="J17" s="1281">
        <f>IF($C17="нет",0,VLOOKUP($C17,Ф_806_2023_2019[],MATCH(J$6,'Ф_806_2023-2019'!$1:$1,0),0))</f>
        <v>92865288</v>
      </c>
      <c r="K17" s="1281">
        <f>IF($C17="нет",0,VLOOKUP($C17,Ф_806_2023_2019[],MATCH(K$6,'Ф_806_2023-2019'!$1:$1,0),0))</f>
        <v>105029800</v>
      </c>
      <c r="L17" s="1281">
        <f>IF($C17="нет",0,VLOOKUP($C17,Ф_806_2023_2019[],MATCH(L$6,'Ф_806_2023-2019'!$1:$1,0),0))</f>
        <v>121775858</v>
      </c>
      <c r="M17" s="1281">
        <f>IF($C17="нет",0,VLOOKUP($C17,Ф_806_2023_2019[],MATCH(M$6,'Ф_806_2023-2019'!$1:$1,0),0))</f>
        <v>115991855</v>
      </c>
      <c r="N17" s="1281">
        <f>IF($C17="нет",0,VLOOKUP($C17,Ф_806_2023_2019[],MATCH(N$6,'Ф_806_2023-2019'!$1:$1,0),0))</f>
        <v>108480427</v>
      </c>
      <c r="O17" s="1281">
        <f>IF($D17="нет",0,VLOOKUP($D17,Ф_806_2024[],MATCH(O$6,'Ф_806_2024'!$1:$1,0),0))</f>
        <v>177249140</v>
      </c>
      <c r="P17" s="1296"/>
    </row>
    <row r="18" spans="1:16" x14ac:dyDescent="0.2">
      <c r="A18" s="21"/>
      <c r="B18" s="1215" t="s">
        <v>1226</v>
      </c>
      <c r="C18" s="1215" t="s">
        <v>1544</v>
      </c>
      <c r="D18" s="1215" t="s">
        <v>1544</v>
      </c>
      <c r="E18" s="291" t="s">
        <v>566</v>
      </c>
      <c r="F18" s="373"/>
      <c r="G18" s="1504">
        <f>IF($B18="нет",0,VLOOKUP($B18,Ф_806_2018_2015[],MATCH(G$6,'Ф_806_2018-2015'!$1:$1,0),0))</f>
        <v>0</v>
      </c>
      <c r="H18" s="1281">
        <f>IF($B18="нет",0,VLOOKUP($B18,Ф_806_2018_2015[],MATCH(H$6,'Ф_806_2018-2015'!$1:$1,0),0))</f>
        <v>0</v>
      </c>
      <c r="I18" s="1281">
        <f>IF($B18="нет",0,VLOOKUP($B18,Ф_806_2018_2015[],MATCH(I$6,'Ф_806_2018-2015'!$1:$1,0),0))</f>
        <v>920</v>
      </c>
      <c r="J18" s="1270">
        <f>IF($C18="нет",0,VLOOKUP($C18,Ф_806_2023_2019[],MATCH(J$6,'Ф_806_2023-2019'!$1:$1,0),0))</f>
        <v>19509</v>
      </c>
      <c r="K18" s="1270">
        <f>IF($C18="нет",0,VLOOKUP($C18,Ф_806_2023_2019[],MATCH(K$6,'Ф_806_2023-2019'!$1:$1,0),0))</f>
        <v>85088</v>
      </c>
      <c r="L18" s="1270">
        <f>IF($C18="нет",0,VLOOKUP($C18,Ф_806_2023_2019[],MATCH(L$6,'Ф_806_2023-2019'!$1:$1,0),0))</f>
        <v>0</v>
      </c>
      <c r="M18" s="1270">
        <f>IF($C18="нет",0,VLOOKUP($C18,Ф_806_2023_2019[],MATCH(M$6,'Ф_806_2023-2019'!$1:$1,0),0))</f>
        <v>0</v>
      </c>
      <c r="N18" s="1270">
        <f>IF($C18="нет",0,VLOOKUP($C18,Ф_806_2023_2019[],MATCH(N$6,'Ф_806_2023-2019'!$1:$1,0),0))</f>
        <v>135112</v>
      </c>
      <c r="O18" s="1270">
        <f>IF($D18="нет",0,VLOOKUP($D18,Ф_806_2024[],MATCH(O$6,'Ф_806_2024'!$1:$1,0),0))</f>
        <v>0</v>
      </c>
      <c r="P18" s="1269"/>
    </row>
    <row r="19" spans="1:16" x14ac:dyDescent="0.2">
      <c r="A19" s="21"/>
      <c r="B19" s="1215" t="s">
        <v>1544</v>
      </c>
      <c r="C19" s="1215" t="s">
        <v>1545</v>
      </c>
      <c r="D19" s="1215" t="s">
        <v>1545</v>
      </c>
      <c r="E19" s="291" t="s">
        <v>567</v>
      </c>
      <c r="F19" s="373"/>
      <c r="G19" s="1504">
        <f>IF($B19="нет",0,VLOOKUP($B19,Ф_806_2018_2015[],MATCH(G$6,'Ф_806_2018-2015'!$1:$1,0),0))</f>
        <v>0</v>
      </c>
      <c r="H19" s="1281">
        <f>IF($B19="нет",0,VLOOKUP($B19,Ф_806_2018_2015[],MATCH(H$6,'Ф_806_2018-2015'!$1:$1,0),0))</f>
        <v>0</v>
      </c>
      <c r="I19" s="1281">
        <f>IF($B19="нет",0,VLOOKUP($B19,Ф_806_2018_2015[],MATCH(I$6,'Ф_806_2018-2015'!$1:$1,0),0))</f>
        <v>0</v>
      </c>
      <c r="J19" s="1270">
        <f>IF($C19="нет",0,VLOOKUP($C19,Ф_806_2023_2019[],MATCH(J$6,'Ф_806_2023-2019'!$1:$1,0),0))</f>
        <v>708714</v>
      </c>
      <c r="K19" s="1270">
        <f>IF($C19="нет",0,VLOOKUP($C19,Ф_806_2023_2019[],MATCH(K$6,'Ф_806_2023-2019'!$1:$1,0),0))</f>
        <v>1988000</v>
      </c>
      <c r="L19" s="1270">
        <f>IF($C19="нет",0,VLOOKUP($C19,Ф_806_2023_2019[],MATCH(L$6,'Ф_806_2023-2019'!$1:$1,0),0))</f>
        <v>2695422</v>
      </c>
      <c r="M19" s="1270">
        <f>IF($C19="нет",0,VLOOKUP($C19,Ф_806_2023_2019[],MATCH(M$6,'Ф_806_2023-2019'!$1:$1,0),0))</f>
        <v>2458409</v>
      </c>
      <c r="N19" s="1270">
        <f>IF($C19="нет",0,VLOOKUP($C19,Ф_806_2023_2019[],MATCH(N$6,'Ф_806_2023-2019'!$1:$1,0),0))</f>
        <v>789697</v>
      </c>
      <c r="O19" s="1270">
        <f>IF($D19="нет",0,VLOOKUP($D19,Ф_806_2024[],MATCH(O$6,'Ф_806_2024'!$1:$1,0),0))</f>
        <v>0</v>
      </c>
      <c r="P19" s="1269"/>
    </row>
    <row r="20" spans="1:16" ht="30" x14ac:dyDescent="0.2">
      <c r="A20" s="21"/>
      <c r="B20" s="1215" t="s">
        <v>1545</v>
      </c>
      <c r="C20" s="1215" t="s">
        <v>1546</v>
      </c>
      <c r="D20" s="1215" t="s">
        <v>1546</v>
      </c>
      <c r="E20" s="291" t="s">
        <v>1502</v>
      </c>
      <c r="F20" s="373"/>
      <c r="G20" s="1504">
        <f>IF($B20="нет",0,VLOOKUP($B20,Ф_806_2018_2015[],MATCH(G$6,'Ф_806_2018-2015'!$1:$1,0),0))</f>
        <v>3712388</v>
      </c>
      <c r="H20" s="1281">
        <f>IF($B20="нет",0,VLOOKUP($B20,Ф_806_2018_2015[],MATCH(H$6,'Ф_806_2018-2015'!$1:$1,0),0))</f>
        <v>3890826</v>
      </c>
      <c r="I20" s="1281">
        <f>IF($B20="нет",0,VLOOKUP($B20,Ф_806_2018_2015[],MATCH(I$6,'Ф_806_2018-2015'!$1:$1,0),0))</f>
        <v>4381648</v>
      </c>
      <c r="J20" s="1281">
        <f>IF($C20="нет",0,VLOOKUP($C20,Ф_806_2023_2019[],MATCH(J$6,'Ф_806_2023-2019'!$1:$1,0),0))</f>
        <v>5453352</v>
      </c>
      <c r="K20" s="1281">
        <f>IF($C20="нет",0,VLOOKUP($C20,Ф_806_2023_2019[],MATCH(K$6,'Ф_806_2023-2019'!$1:$1,0),0))</f>
        <v>9019962</v>
      </c>
      <c r="L20" s="1281">
        <f>IF($C20="нет",0,VLOOKUP($C20,Ф_806_2023_2019[],MATCH(L$6,'Ф_806_2023-2019'!$1:$1,0),0))</f>
        <v>10001922</v>
      </c>
      <c r="M20" s="1281">
        <f>IF($C20="нет",0,VLOOKUP($C20,Ф_806_2023_2019[],MATCH(M$6,'Ф_806_2023-2019'!$1:$1,0),0))</f>
        <v>14379514</v>
      </c>
      <c r="N20" s="1281">
        <f>IF($C20="нет",0,VLOOKUP($C20,Ф_806_2023_2019[],MATCH(N$6,'Ф_806_2023-2019'!$1:$1,0),0))</f>
        <v>16468963</v>
      </c>
      <c r="O20" s="1281">
        <f>IF($D20="нет",0,VLOOKUP($D20,Ф_806_2024[],MATCH(O$6,'Ф_806_2024'!$1:$1,0),0))</f>
        <v>20647817</v>
      </c>
      <c r="P20" s="1296"/>
    </row>
    <row r="21" spans="1:16" x14ac:dyDescent="0.2">
      <c r="A21" s="21"/>
      <c r="B21" s="1215" t="s">
        <v>1546</v>
      </c>
      <c r="C21" s="1215" t="s">
        <v>1547</v>
      </c>
      <c r="D21" s="1215" t="s">
        <v>1547</v>
      </c>
      <c r="E21" s="291" t="s">
        <v>1049</v>
      </c>
      <c r="F21" s="373"/>
      <c r="G21" s="1504">
        <f>IF($B21="нет",0,VLOOKUP($B21,Ф_806_2018_2015[],MATCH(G$6,'Ф_806_2018-2015'!$1:$1,0),0))</f>
        <v>536707</v>
      </c>
      <c r="H21" s="1281">
        <f>IF($B21="нет",0,VLOOKUP($B21,Ф_806_2018_2015[],MATCH(H$6,'Ф_806_2018-2015'!$1:$1,0),0))</f>
        <v>357580</v>
      </c>
      <c r="I21" s="1281">
        <f>IF($B21="нет",0,VLOOKUP($B21,Ф_806_2018_2015[],MATCH(I$6,'Ф_806_2018-2015'!$1:$1,0),0))</f>
        <v>1309806</v>
      </c>
      <c r="J21" s="1270">
        <f>IF($C21="нет",0,VLOOKUP($C21,Ф_806_2023_2019[],MATCH(J$6,'Ф_806_2023-2019'!$1:$1,0),0))</f>
        <v>1401161</v>
      </c>
      <c r="K21" s="1270">
        <f>IF($C21="нет",0,VLOOKUP($C21,Ф_806_2023_2019[],MATCH(K$6,'Ф_806_2023-2019'!$1:$1,0),0))</f>
        <v>1138795</v>
      </c>
      <c r="L21" s="1270">
        <f>IF($C21="нет",0,VLOOKUP($C21,Ф_806_2023_2019[],MATCH(L$6,'Ф_806_2023-2019'!$1:$1,0),0))</f>
        <v>492276</v>
      </c>
      <c r="M21" s="1270">
        <f>IF($C21="нет",0,VLOOKUP($C21,Ф_806_2023_2019[],MATCH(M$6,'Ф_806_2023-2019'!$1:$1,0),0))</f>
        <v>755624</v>
      </c>
      <c r="N21" s="1270">
        <f>IF($C21="нет",0,VLOOKUP($C21,Ф_806_2023_2019[],MATCH(N$6,'Ф_806_2023-2019'!$1:$1,0),0))</f>
        <v>506598</v>
      </c>
      <c r="O21" s="1270">
        <f>IF($D21="нет",0,VLOOKUP($D21,Ф_806_2024[],MATCH(O$6,'Ф_806_2024'!$1:$1,0),0))</f>
        <v>463446</v>
      </c>
      <c r="P21" s="1269"/>
    </row>
    <row r="22" spans="1:16" ht="15.75" thickBot="1" x14ac:dyDescent="0.25">
      <c r="A22" s="21"/>
      <c r="B22" s="1215" t="s">
        <v>1547</v>
      </c>
      <c r="C22" s="1215" t="s">
        <v>1548</v>
      </c>
      <c r="D22" s="1215" t="s">
        <v>1548</v>
      </c>
      <c r="E22" s="291" t="s">
        <v>346</v>
      </c>
      <c r="F22" s="373"/>
      <c r="G22" s="1504">
        <f>IF($B22="нет",0,VLOOKUP($B22,Ф_806_2018_2015[],MATCH(G$6,'Ф_806_2018-2015'!$1:$1,0),0))</f>
        <v>31719394</v>
      </c>
      <c r="H22" s="1281">
        <f>IF($B22="нет",0,VLOOKUP($B22,Ф_806_2018_2015[],MATCH(H$6,'Ф_806_2018-2015'!$1:$1,0),0))</f>
        <v>25418511</v>
      </c>
      <c r="I22" s="1281">
        <f>IF($B22="нет",0,VLOOKUP($B22,Ф_806_2018_2015[],MATCH(I$6,'Ф_806_2018-2015'!$1:$1,0),0))</f>
        <v>25939543</v>
      </c>
      <c r="J22" s="1270">
        <f>IF($C22="нет",0,VLOOKUP($C22,Ф_806_2023_2019[],MATCH(J$6,'Ф_806_2023-2019'!$1:$1,0),0))</f>
        <v>22216978</v>
      </c>
      <c r="K22" s="1270">
        <f>IF($C22="нет",0,VLOOKUP($C22,Ф_806_2023_2019[],MATCH(K$6,'Ф_806_2023-2019'!$1:$1,0),0))</f>
        <v>20536023</v>
      </c>
      <c r="L22" s="1270">
        <f>IF($C22="нет",0,VLOOKUP($C22,Ф_806_2023_2019[],MATCH(L$6,'Ф_806_2023-2019'!$1:$1,0),0))</f>
        <v>0</v>
      </c>
      <c r="M22" s="1270">
        <f>IF($C22="нет",0,VLOOKUP($C22,Ф_806_2023_2019[],MATCH(M$6,'Ф_806_2023-2019'!$1:$1,0),0))</f>
        <v>0</v>
      </c>
      <c r="N22" s="1270">
        <f>IF($C22="нет",0,VLOOKUP($C22,Ф_806_2023_2019[],MATCH(N$6,'Ф_806_2023-2019'!$1:$1,0),0))</f>
        <v>0</v>
      </c>
      <c r="O22" s="1270">
        <f>IF($D22="нет",0,VLOOKUP($D22,Ф_806_2024[],MATCH(O$6,'Ф_806_2024'!$1:$1,0),0))</f>
        <v>0</v>
      </c>
      <c r="P22" s="1269"/>
    </row>
    <row r="23" spans="1:16" s="1540" customFormat="1" ht="16.5" thickTop="1" x14ac:dyDescent="0.25">
      <c r="A23" s="585"/>
      <c r="B23" s="1535"/>
      <c r="C23" s="1535"/>
      <c r="D23" s="1535"/>
      <c r="E23" s="1536" t="s">
        <v>3430</v>
      </c>
      <c r="F23" s="1537"/>
      <c r="G23" s="1538">
        <f>VLOOKUP($E23,'Ф_806_2018-2015'!$62:$65,MATCH(Ввод!G$6,'Ф_806_2018-2015'!$62:$62,0))</f>
        <v>0</v>
      </c>
      <c r="H23" s="1538">
        <f>VLOOKUP($E23,'Ф_806_2018-2015'!$62:$65,MATCH(Ввод!H$6,'Ф_806_2018-2015'!$62:$62,0))</f>
        <v>0</v>
      </c>
      <c r="I23" s="1538">
        <f>VLOOKUP($E23,'Ф_806_2018-2015'!$62:$65,MATCH(Ввод!I$6,'Ф_806_2018-2015'!$62:$62,0))</f>
        <v>0</v>
      </c>
      <c r="J23" s="1538">
        <f>VLOOKUP($E23,'Ф_806_2023-2019'!$62:$65,MATCH(Ввод!J$6,'Ф_806_2023-2019'!$62:$62,0))</f>
        <v>0</v>
      </c>
      <c r="K23" s="1538">
        <f>VLOOKUP($E23,'Ф_806_2023-2019'!$62:$65,MATCH(Ввод!K$6,'Ф_806_2023-2019'!$62:$62,0))</f>
        <v>0</v>
      </c>
      <c r="L23" s="1538">
        <f>VLOOKUP($E23,'Ф_806_2023-2019'!$62:$65,MATCH(Ввод!L$6,'Ф_806_2023-2019'!$62:$62,0))</f>
        <v>24594307</v>
      </c>
      <c r="M23" s="1538">
        <f>VLOOKUP($E23,'Ф_806_2023-2019'!$62:$65,MATCH(Ввод!M$6,'Ф_806_2023-2019'!$62:$62,0))</f>
        <v>59227316</v>
      </c>
      <c r="N23" s="1538">
        <f>VLOOKUP($E23,'Ф_806_2023-2019'!$62:$65,MATCH(Ввод!N$6,'Ф_806_2023-2019'!$62:$62,0))</f>
        <v>34809744</v>
      </c>
      <c r="O23" s="1538">
        <f>VLOOKUP($E23,'Ф_806_2024'!$62:$65,MATCH(Ввод!O$6,'Ф_806_2024'!$62:$62,0))</f>
        <v>42736448</v>
      </c>
      <c r="P23" s="1538"/>
    </row>
    <row r="24" spans="1:16" s="292" customFormat="1" ht="35.25" customHeight="1" thickBot="1" x14ac:dyDescent="0.3">
      <c r="A24" s="297"/>
      <c r="B24" s="1218" t="s">
        <v>1548</v>
      </c>
      <c r="C24" s="1218" t="s">
        <v>1549</v>
      </c>
      <c r="D24" s="1218" t="s">
        <v>1549</v>
      </c>
      <c r="E24" s="307" t="s">
        <v>1503</v>
      </c>
      <c r="F24" s="375"/>
      <c r="G24" s="1530">
        <f>IF(G7&lt;2019,SUM(G9:G10,G12:G15,G17:G23),SUM(G9:G10,G12:G23))</f>
        <v>442347986</v>
      </c>
      <c r="H24" s="1530">
        <f t="shared" ref="H24:O24" si="1">IF(H7&lt;2019,SUM(H9:H10,H12:H15,H17:H23),SUM(H9:H10,H12:H23))</f>
        <v>436384381</v>
      </c>
      <c r="I24" s="1530">
        <f t="shared" si="1"/>
        <v>498327494</v>
      </c>
      <c r="J24" s="1530">
        <f t="shared" si="1"/>
        <v>561144680</v>
      </c>
      <c r="K24" s="1530">
        <f t="shared" si="1"/>
        <v>594025543</v>
      </c>
      <c r="L24" s="1530">
        <f t="shared" si="1"/>
        <v>653574443</v>
      </c>
      <c r="M24" s="1530">
        <f t="shared" si="1"/>
        <v>811266749</v>
      </c>
      <c r="N24" s="1530">
        <f t="shared" si="1"/>
        <v>837684837</v>
      </c>
      <c r="O24" s="1530">
        <f t="shared" si="1"/>
        <v>931506637</v>
      </c>
      <c r="P24" s="1530"/>
    </row>
    <row r="25" spans="1:16" ht="24.75" customHeight="1" thickTop="1" x14ac:dyDescent="0.25">
      <c r="A25" s="21"/>
      <c r="B25" s="1215"/>
      <c r="C25" s="1215"/>
      <c r="D25" s="1215"/>
      <c r="E25" s="303" t="s">
        <v>135</v>
      </c>
      <c r="F25" s="373"/>
      <c r="G25" s="1503"/>
      <c r="H25" s="1270"/>
      <c r="I25" s="1270"/>
      <c r="J25" s="1270"/>
      <c r="K25" s="1270"/>
      <c r="L25" s="1270"/>
      <c r="M25" s="1270"/>
      <c r="N25" s="1270"/>
      <c r="O25" s="1270"/>
      <c r="P25" s="1269"/>
    </row>
    <row r="26" spans="1:16" ht="30" x14ac:dyDescent="0.2">
      <c r="A26" s="21"/>
      <c r="B26" s="1215" t="s">
        <v>1549</v>
      </c>
      <c r="C26" s="1215" t="s">
        <v>1490</v>
      </c>
      <c r="D26" s="1215" t="s">
        <v>1490</v>
      </c>
      <c r="E26" s="291" t="s">
        <v>1504</v>
      </c>
      <c r="F26" s="373"/>
      <c r="G26" s="1504">
        <f>IF($B26="нет",0,VLOOKUP($B26,Ф_806_2018_2015[],MATCH(G$6,'Ф_806_2018-2015'!$1:$1,0),0))</f>
        <v>0</v>
      </c>
      <c r="H26" s="1270">
        <f>IF($B26="нет",0,VLOOKUP($B26,Ф_806_2018_2015[],MATCH(H$6,'Ф_806_2018-2015'!$1:$1,0),0))</f>
        <v>0</v>
      </c>
      <c r="I26" s="1270">
        <f>IF($B26="нет",0,VLOOKUP($B26,Ф_806_2018_2015[],MATCH(I$6,'Ф_806_2018-2015'!$1:$1,0),0))</f>
        <v>742061</v>
      </c>
      <c r="J26" s="1270">
        <f>IF($C26="нет",0,VLOOKUP($C26,Ф_806_2023_2019[],MATCH(J$6,'Ф_806_2023-2019'!$1:$1,0),0))</f>
        <v>1523408</v>
      </c>
      <c r="K26" s="1270">
        <f>IF($C26="нет",0,VLOOKUP($C26,Ф_806_2023_2019[],MATCH(K$6,'Ф_806_2023-2019'!$1:$1,0),0))</f>
        <v>6207334</v>
      </c>
      <c r="L26" s="1270">
        <f>IF($C26="нет",0,VLOOKUP($C26,Ф_806_2023_2019[],MATCH(L$6,'Ф_806_2023-2019'!$1:$1,0),0))</f>
        <v>1743193</v>
      </c>
      <c r="M26" s="1270">
        <f>IF($C26="нет",0,VLOOKUP($C26,Ф_806_2023_2019[],MATCH(M$6,'Ф_806_2023-2019'!$1:$1,0),0))</f>
        <v>2763779</v>
      </c>
      <c r="N26" s="1270">
        <f>IF($C26="нет",0,VLOOKUP($C26,Ф_806_2023_2019[],MATCH(N$6,'Ф_806_2023-2019'!$1:$1,0),0))</f>
        <v>10717397</v>
      </c>
      <c r="O26" s="1270">
        <f>IF($D26="нет",0,VLOOKUP($D26,Ф_806_2024[],MATCH(O$6,'Ф_806_2024'!$1:$1,0),0))</f>
        <v>3443821</v>
      </c>
      <c r="P26" s="1269"/>
    </row>
    <row r="27" spans="1:16" x14ac:dyDescent="0.2">
      <c r="A27" s="21"/>
      <c r="B27" s="1215" t="s">
        <v>1463</v>
      </c>
      <c r="C27" s="1215" t="s">
        <v>1491</v>
      </c>
      <c r="D27" s="1215" t="s">
        <v>1491</v>
      </c>
      <c r="E27" s="291" t="s">
        <v>1505</v>
      </c>
      <c r="F27" s="373"/>
      <c r="G27" s="1504">
        <f>IF($B27="нет",0,VLOOKUP($B27,Ф_806_2018_2015[],MATCH(G$6,'Ф_806_2018-2015'!$1:$1,0),0))</f>
        <v>0</v>
      </c>
      <c r="H27" s="1271">
        <f>IF($B27="нет",0,VLOOKUP($B27,Ф_806_2018_2015[],MATCH(H$6,'Ф_806_2018-2015'!$1:$1,0),0))</f>
        <v>0</v>
      </c>
      <c r="I27" s="1271">
        <f>IF($B27="нет",0,VLOOKUP($B27,Ф_806_2018_2015[],MATCH(I$6,'Ф_806_2018-2015'!$1:$1,0),0))</f>
        <v>0</v>
      </c>
      <c r="J27" s="1270">
        <f>IF($C27="нет",0,VLOOKUP($C27,Ф_806_2023_2019[],MATCH(J$6,'Ф_806_2023-2019'!$1:$1,0),0))</f>
        <v>481331669</v>
      </c>
      <c r="K27" s="1270">
        <f>IF($C27="нет",0,VLOOKUP($C27,Ф_806_2023_2019[],MATCH(K$6,'Ф_806_2023-2019'!$1:$1,0),0))</f>
        <v>505595436</v>
      </c>
      <c r="L27" s="1270">
        <f>IF($C27="нет",0,VLOOKUP($C27,Ф_806_2023_2019[],MATCH(L$6,'Ф_806_2023-2019'!$1:$1,0),0))</f>
        <v>564680606</v>
      </c>
      <c r="M27" s="1270">
        <f>IF($C27="нет",0,VLOOKUP($C27,Ф_806_2023_2019[],MATCH(M$6,'Ф_806_2023-2019'!$1:$1,0),0))</f>
        <v>716258469</v>
      </c>
      <c r="N27" s="1270">
        <f>IF($C27="нет",0,VLOOKUP($C27,Ф_806_2023_2019[],MATCH(N$6,'Ф_806_2023-2019'!$1:$1,0),0))</f>
        <v>717776447</v>
      </c>
      <c r="O27" s="1270">
        <f>IF($D27="нет",0,VLOOKUP($D27,Ф_806_2024[],MATCH(O$6,'Ф_806_2024'!$1:$1,0),0))</f>
        <v>788548611</v>
      </c>
      <c r="P27" s="1269"/>
    </row>
    <row r="28" spans="1:16" x14ac:dyDescent="0.2">
      <c r="A28" s="21"/>
      <c r="B28" s="1506" t="s">
        <v>1490</v>
      </c>
      <c r="C28" s="1506" t="s">
        <v>1508</v>
      </c>
      <c r="D28" s="1506" t="s">
        <v>1508</v>
      </c>
      <c r="E28" s="1515" t="s">
        <v>1506</v>
      </c>
      <c r="F28" s="1516"/>
      <c r="G28" s="2016">
        <f>IF($B28="нет",0,VLOOKUP($B28,Ф_806_2018_2015[],MATCH(G$6,'Ф_806_2018-2015'!$1:$1,0),0))</f>
        <v>9090401</v>
      </c>
      <c r="H28" s="1281">
        <f>IF($B28="нет",0,VLOOKUP($B28,Ф_806_2018_2015[],MATCH(H$6,'Ф_806_2018-2015'!$1:$1,0),0))</f>
        <v>12780993</v>
      </c>
      <c r="I28" s="1281">
        <f>IF($B28="нет",0,VLOOKUP($B28,Ф_806_2018_2015[],MATCH(I$6,'Ф_806_2018-2015'!$1:$1,0),0))</f>
        <v>1340666</v>
      </c>
      <c r="J28" s="1517">
        <f>IF($C28="нет",0,VLOOKUP($C28,Ф_806_2023_2019[],MATCH(J$6,'Ф_806_2023-2019'!$1:$1,0),0))</f>
        <v>4849737</v>
      </c>
      <c r="K28" s="1517">
        <f>IF($C28="нет",0,VLOOKUP($C28,Ф_806_2023_2019[],MATCH(K$6,'Ф_806_2023-2019'!$1:$1,0),0))</f>
        <v>3912068</v>
      </c>
      <c r="L28" s="1517">
        <f>IF($C28="нет",0,VLOOKUP($C28,Ф_806_2023_2019[],MATCH(L$6,'Ф_806_2023-2019'!$1:$1,0),0))</f>
        <v>2653423</v>
      </c>
      <c r="M28" s="1517">
        <f>IF($C28="нет",0,VLOOKUP($C28,Ф_806_2023_2019[],MATCH(M$6,'Ф_806_2023-2019'!$1:$1,0),0))</f>
        <v>9780212</v>
      </c>
      <c r="N28" s="1517">
        <f>IF($C28="нет",0,VLOOKUP($C28,Ф_806_2023_2019[],MATCH(N$6,'Ф_806_2023-2019'!$1:$1,0),0))</f>
        <v>56180218</v>
      </c>
      <c r="O28" s="1517">
        <f>IF($D28="нет",0,VLOOKUP($D28,Ф_806_2024[],MATCH(O$6,'Ф_806_2024'!$1:$1,0),0))</f>
        <v>123148633</v>
      </c>
      <c r="P28" s="1518"/>
    </row>
    <row r="29" spans="1:16" x14ac:dyDescent="0.2">
      <c r="A29" s="21"/>
      <c r="B29" s="1507" t="s">
        <v>1491</v>
      </c>
      <c r="C29" s="1507" t="s">
        <v>1509</v>
      </c>
      <c r="D29" s="1507" t="s">
        <v>1509</v>
      </c>
      <c r="E29" s="1519" t="s">
        <v>1507</v>
      </c>
      <c r="F29" s="1520"/>
      <c r="G29" s="2017">
        <f>IF($B29="нет",0,VLOOKUP($B29,Ф_806_2018_2015[],MATCH(G$6,'Ф_806_2018-2015'!$1:$1,0),0))</f>
        <v>321096467</v>
      </c>
      <c r="H29" s="1521">
        <f>IF($B29="нет",0,VLOOKUP($B29,Ф_806_2018_2015[],MATCH(H$6,'Ф_806_2018-2015'!$1:$1,0),0))</f>
        <v>346024092</v>
      </c>
      <c r="I29" s="1521">
        <f>IF($B29="нет",0,VLOOKUP($B29,Ф_806_2018_2015[],MATCH(I$6,'Ф_806_2018-2015'!$1:$1,0),0))</f>
        <v>402943978</v>
      </c>
      <c r="J29" s="1522">
        <f>IF($C29="нет",0,VLOOKUP($C29,Ф_806_2023_2019[],MATCH(J$6,'Ф_806_2023-2019'!$1:$1,0),0))</f>
        <v>476481932</v>
      </c>
      <c r="K29" s="1522">
        <f>IF($C29="нет",0,VLOOKUP($C29,Ф_806_2023_2019[],MATCH(K$6,'Ф_806_2023-2019'!$1:$1,0),0))</f>
        <v>501683368</v>
      </c>
      <c r="L29" s="1522">
        <f>IF($C29="нет",0,VLOOKUP($C29,Ф_806_2023_2019[],MATCH(L$6,'Ф_806_2023-2019'!$1:$1,0),0))</f>
        <v>562027183</v>
      </c>
      <c r="M29" s="1522">
        <f>IF($C29="нет",0,VLOOKUP($C29,Ф_806_2023_2019[],MATCH(M$6,'Ф_806_2023-2019'!$1:$1,0),0))</f>
        <v>706478257</v>
      </c>
      <c r="N29" s="1522">
        <f>IF($C29="нет",0,VLOOKUP($C29,Ф_806_2023_2019[],MATCH(N$6,'Ф_806_2023-2019'!$1:$1,0),0))</f>
        <v>661596229</v>
      </c>
      <c r="O29" s="1522">
        <f>IF($D29="нет",0,VLOOKUP($D29,Ф_806_2024[],MATCH(O$6,'Ф_806_2024'!$1:$1,0),0))</f>
        <v>665399978</v>
      </c>
      <c r="P29" s="1523"/>
    </row>
    <row r="30" spans="1:16" s="442" customFormat="1" x14ac:dyDescent="0.2">
      <c r="A30" s="439"/>
      <c r="B30" s="932" t="s">
        <v>1508</v>
      </c>
      <c r="C30" s="932" t="s">
        <v>1510</v>
      </c>
      <c r="D30" s="932" t="s">
        <v>1510</v>
      </c>
      <c r="E30" s="440" t="s">
        <v>136</v>
      </c>
      <c r="F30" s="441"/>
      <c r="G30" s="1505">
        <f>IF($B30="нет",0,VLOOKUP($B30,Ф_806_2018_2015[],MATCH(G$6,'Ф_806_2018-2015'!$1:$1,0),0))</f>
        <v>107992639</v>
      </c>
      <c r="H30" s="1272">
        <f>IF($B30="нет",0,VLOOKUP($B30,Ф_806_2018_2015[],MATCH(H$6,'Ф_806_2018-2015'!$1:$1,0),0))</f>
        <v>110028833</v>
      </c>
      <c r="I30" s="1272">
        <f>IF($B30="нет",0,VLOOKUP($B30,Ф_806_2018_2015[],MATCH(I$6,'Ф_806_2018-2015'!$1:$1,0),0))</f>
        <v>114448382</v>
      </c>
      <c r="J30" s="1272">
        <f>IF($C30="нет",0,VLOOKUP($C30,Ф_806_2023_2019[],MATCH(J$6,'Ф_806_2023-2019'!$1:$1,0),0))</f>
        <v>124289828</v>
      </c>
      <c r="K30" s="1272">
        <f>IF($C30="нет",0,VLOOKUP($C30,Ф_806_2023_2019[],MATCH(K$6,'Ф_806_2023-2019'!$1:$1,0),0))</f>
        <v>127642669</v>
      </c>
      <c r="L30" s="1272">
        <f>IF($C30="нет",0,VLOOKUP($C30,Ф_806_2023_2019[],MATCH(L$6,'Ф_806_2023-2019'!$1:$1,0),0))</f>
        <v>119057672</v>
      </c>
      <c r="M30" s="1272">
        <f>IF($C30="нет",0,VLOOKUP($C30,Ф_806_2023_2019[],MATCH(M$6,'Ф_806_2023-2019'!$1:$1,0),0))</f>
        <v>152421895</v>
      </c>
      <c r="N30" s="1272">
        <f>IF($C30="нет",0,VLOOKUP($C30,Ф_806_2023_2019[],MATCH(N$6,'Ф_806_2023-2019'!$1:$1,0),0))</f>
        <v>152962532</v>
      </c>
      <c r="O30" s="1272">
        <f>IF($D30="нет",0,VLOOKUP($D30,Ф_806_2024[],MATCH(O$6,'Ф_806_2024'!$1:$1,0),0))</f>
        <v>148946994</v>
      </c>
      <c r="P30" s="1273"/>
    </row>
    <row r="31" spans="1:16" ht="30" x14ac:dyDescent="0.2">
      <c r="A31" s="21"/>
      <c r="B31" s="1215" t="s">
        <v>1492</v>
      </c>
      <c r="C31" s="1215" t="s">
        <v>1492</v>
      </c>
      <c r="D31" s="1215" t="s">
        <v>1492</v>
      </c>
      <c r="E31" s="291" t="s">
        <v>21</v>
      </c>
      <c r="F31" s="373"/>
      <c r="G31" s="1504">
        <f>IF($B31="нет",0,VLOOKUP($B31,Ф_806_2018_2015[],MATCH(G$6,'Ф_806_2018-2015'!$1:$1,0),0))</f>
        <v>0</v>
      </c>
      <c r="H31" s="1281">
        <f>IF($B31="нет",0,VLOOKUP($B31,Ф_806_2018_2015[],MATCH(H$6,'Ф_806_2018-2015'!$1:$1,0),0))</f>
        <v>70481</v>
      </c>
      <c r="I31" s="1281">
        <f>IF($B31="нет",0,VLOOKUP($B31,Ф_806_2018_2015[],MATCH(I$6,'Ф_806_2018-2015'!$1:$1,0),0))</f>
        <v>15833674</v>
      </c>
      <c r="J31" s="1270">
        <f>IF($C31="нет",0,VLOOKUP($C31,Ф_806_2023_2019[],MATCH(J$6,'Ф_806_2023-2019'!$1:$1,0),0))</f>
        <v>594868</v>
      </c>
      <c r="K31" s="1270">
        <f>IF($C31="нет",0,VLOOKUP($C31,Ф_806_2023_2019[],MATCH(K$6,'Ф_806_2023-2019'!$1:$1,0),0))</f>
        <v>3034631</v>
      </c>
      <c r="L31" s="1270">
        <f>IF($C31="нет",0,VLOOKUP($C31,Ф_806_2023_2019[],MATCH(L$6,'Ф_806_2023-2019'!$1:$1,0),0))</f>
        <v>1356231</v>
      </c>
      <c r="M31" s="1270">
        <f>IF($C31="нет",0,VLOOKUP($C31,Ф_806_2023_2019[],MATCH(M$6,'Ф_806_2023-2019'!$1:$1,0),0))</f>
        <v>1453922</v>
      </c>
      <c r="N31" s="1270">
        <f>IF($C31="нет",0,VLOOKUP($C31,Ф_806_2023_2019[],MATCH(N$6,'Ф_806_2023-2019'!$1:$1,0),0))</f>
        <v>7500034</v>
      </c>
      <c r="O31" s="1270">
        <f>IF($D31="нет",0,VLOOKUP($D31,Ф_806_2024[],MATCH(O$6,'Ф_806_2024'!$1:$1,0),0))</f>
        <v>7754218</v>
      </c>
      <c r="P31" s="1269"/>
    </row>
    <row r="32" spans="1:16" s="442" customFormat="1" ht="30" x14ac:dyDescent="0.2">
      <c r="A32" s="439"/>
      <c r="B32" s="932" t="s">
        <v>1463</v>
      </c>
      <c r="C32" s="932" t="s">
        <v>1512</v>
      </c>
      <c r="D32" s="932" t="s">
        <v>1512</v>
      </c>
      <c r="E32" s="440" t="s">
        <v>1511</v>
      </c>
      <c r="F32" s="441"/>
      <c r="G32" s="1504">
        <f>IF($B32="нет",0,VLOOKUP($B32,Ф_806_2018_2015[],MATCH(G$6,'Ф_806_2018-2015'!$1:$1,0),0))</f>
        <v>0</v>
      </c>
      <c r="H32" s="1281">
        <f>IF($B32="нет",0,VLOOKUP($B32,Ф_806_2018_2015[],MATCH(H$6,'Ф_806_2018-2015'!$1:$1,0),0))</f>
        <v>0</v>
      </c>
      <c r="I32" s="1281">
        <f>IF($B32="нет",0,VLOOKUP($B32,Ф_806_2018_2015[],MATCH(I$6,'Ф_806_2018-2015'!$1:$1,0),0))</f>
        <v>0</v>
      </c>
      <c r="J32" s="1272">
        <f>IF($C32="нет",0,VLOOKUP($C32,Ф_806_2023_2019[],MATCH(J$6,'Ф_806_2023-2019'!$1:$1,0),0))</f>
        <v>0</v>
      </c>
      <c r="K32" s="1272">
        <f>IF($C32="нет",0,VLOOKUP($C32,Ф_806_2023_2019[],MATCH(K$6,'Ф_806_2023-2019'!$1:$1,0),0))</f>
        <v>0</v>
      </c>
      <c r="L32" s="1272">
        <f>IF($C32="нет",0,VLOOKUP($C32,Ф_806_2023_2019[],MATCH(L$6,'Ф_806_2023-2019'!$1:$1,0),0))</f>
        <v>0</v>
      </c>
      <c r="M32" s="1272">
        <f>IF($C32="нет",0,VLOOKUP($C32,Ф_806_2023_2019[],MATCH(M$6,'Ф_806_2023-2019'!$1:$1,0),0))</f>
        <v>0</v>
      </c>
      <c r="N32" s="1272">
        <f>IF($C32="нет",0,VLOOKUP($C32,Ф_806_2023_2019[],MATCH(N$6,'Ф_806_2023-2019'!$1:$1,0),0))</f>
        <v>0</v>
      </c>
      <c r="O32" s="1272">
        <f>IF($D32="нет",0,VLOOKUP($D32,Ф_806_2024[],MATCH(O$6,'Ф_806_2024'!$1:$1,0),0))</f>
        <v>0</v>
      </c>
      <c r="P32" s="1273"/>
    </row>
    <row r="33" spans="1:16" x14ac:dyDescent="0.2">
      <c r="A33" s="21"/>
      <c r="B33" s="1215" t="s">
        <v>1493</v>
      </c>
      <c r="C33" s="1215" t="s">
        <v>1493</v>
      </c>
      <c r="D33" s="1215" t="s">
        <v>1493</v>
      </c>
      <c r="E33" s="291" t="s">
        <v>569</v>
      </c>
      <c r="F33" s="373"/>
      <c r="G33" s="1504">
        <f>IF($B33="нет",0,VLOOKUP($B33,Ф_806_2018_2015[],MATCH(G$6,'Ф_806_2018-2015'!$1:$1,0),0))</f>
        <v>50154203</v>
      </c>
      <c r="H33" s="1281">
        <f>IF($B33="нет",0,VLOOKUP($B33,Ф_806_2018_2015[],MATCH(H$6,'Ф_806_2018-2015'!$1:$1,0),0))</f>
        <v>3455571</v>
      </c>
      <c r="I33" s="1281">
        <f>IF($B33="нет",0,VLOOKUP($B33,Ф_806_2018_2015[],MATCH(I$6,'Ф_806_2018-2015'!$1:$1,0),0))</f>
        <v>1275982</v>
      </c>
      <c r="J33" s="1270">
        <f>IF($C33="нет",0,VLOOKUP($C33,Ф_806_2023_2019[],MATCH(J$6,'Ф_806_2023-2019'!$1:$1,0),0))</f>
        <v>1393560</v>
      </c>
      <c r="K33" s="1270">
        <f>IF($C33="нет",0,VLOOKUP($C33,Ф_806_2023_2019[],MATCH(K$6,'Ф_806_2023-2019'!$1:$1,0),0))</f>
        <v>185218</v>
      </c>
      <c r="L33" s="1270">
        <f>IF($C33="нет",0,VLOOKUP($C33,Ф_806_2023_2019[],MATCH(L$6,'Ф_806_2023-2019'!$1:$1,0),0))</f>
        <v>229063</v>
      </c>
      <c r="M33" s="1270">
        <f>IF($C33="нет",0,VLOOKUP($C33,Ф_806_2023_2019[],MATCH(M$6,'Ф_806_2023-2019'!$1:$1,0),0))</f>
        <v>1100576</v>
      </c>
      <c r="N33" s="1270">
        <f>IF($C33="нет",0,VLOOKUP($C33,Ф_806_2023_2019[],MATCH(N$6,'Ф_806_2023-2019'!$1:$1,0),0))</f>
        <v>58896</v>
      </c>
      <c r="O33" s="1270">
        <f>IF($D33="нет",0,VLOOKUP($D33,Ф_806_2024[],MATCH(O$6,'Ф_806_2024'!$1:$1,0),0))</f>
        <v>77939</v>
      </c>
      <c r="P33" s="1269"/>
    </row>
    <row r="34" spans="1:16" s="442" customFormat="1" ht="15.75" customHeight="1" x14ac:dyDescent="0.2">
      <c r="A34" s="439"/>
      <c r="B34" s="932" t="s">
        <v>1463</v>
      </c>
      <c r="C34" s="932" t="s">
        <v>1514</v>
      </c>
      <c r="D34" s="932" t="s">
        <v>1514</v>
      </c>
      <c r="E34" s="440" t="s">
        <v>1513</v>
      </c>
      <c r="F34" s="441"/>
      <c r="G34" s="1505">
        <f>IF($B34="нет",0,VLOOKUP($B34,Ф_806_2018_2015[],MATCH(G$6,'Ф_806_2018-2015'!$1:$1,0),0))</f>
        <v>0</v>
      </c>
      <c r="H34" s="1272">
        <f>IF($B34="нет",0,VLOOKUP($B34,Ф_806_2018_2015[],MATCH(H$6,'Ф_806_2018-2015'!$1:$1,0),0))</f>
        <v>0</v>
      </c>
      <c r="I34" s="1272">
        <f>IF($B34="нет",0,VLOOKUP($B34,Ф_806_2018_2015[],MATCH(I$6,'Ф_806_2018-2015'!$1:$1,0),0))</f>
        <v>0</v>
      </c>
      <c r="J34" s="1272">
        <f>IF($C34="нет",0,VLOOKUP($C34,Ф_806_2023_2019[],MATCH(J$6,'Ф_806_2023-2019'!$1:$1,0),0))</f>
        <v>0</v>
      </c>
      <c r="K34" s="1272">
        <f>IF($C34="нет",0,VLOOKUP($C34,Ф_806_2023_2019[],MATCH(K$6,'Ф_806_2023-2019'!$1:$1,0),0))</f>
        <v>0</v>
      </c>
      <c r="L34" s="1272">
        <f>IF($C34="нет",0,VLOOKUP($C34,Ф_806_2023_2019[],MATCH(L$6,'Ф_806_2023-2019'!$1:$1,0),0))</f>
        <v>0</v>
      </c>
      <c r="M34" s="1272">
        <f>IF($C34="нет",0,VLOOKUP($C34,Ф_806_2023_2019[],MATCH(M$6,'Ф_806_2023-2019'!$1:$1,0),0))</f>
        <v>0</v>
      </c>
      <c r="N34" s="1272">
        <f>IF($C34="нет",0,VLOOKUP($C34,Ф_806_2023_2019[],MATCH(N$6,'Ф_806_2023-2019'!$1:$1,0),0))</f>
        <v>0</v>
      </c>
      <c r="O34" s="1272">
        <f>IF($D34="нет",0,VLOOKUP($D34,Ф_806_2024[],MATCH(O$6,'Ф_806_2024'!$1:$1,0),0))</f>
        <v>0</v>
      </c>
      <c r="P34" s="1273"/>
    </row>
    <row r="35" spans="1:16" s="442" customFormat="1" x14ac:dyDescent="0.2">
      <c r="A35" s="439"/>
      <c r="B35" s="932" t="s">
        <v>1463</v>
      </c>
      <c r="C35" s="932" t="s">
        <v>1515</v>
      </c>
      <c r="D35" s="932" t="s">
        <v>1515</v>
      </c>
      <c r="E35" s="440" t="s">
        <v>1516</v>
      </c>
      <c r="F35" s="441"/>
      <c r="G35" s="1505">
        <f>IF($B35="нет",0,VLOOKUP($B35,Ф_806_2018_2015[],MATCH(G$6,'Ф_806_2018-2015'!$1:$1,0),0))</f>
        <v>0</v>
      </c>
      <c r="H35" s="1272">
        <f>IF($B35="нет",0,VLOOKUP($B35,Ф_806_2018_2015[],MATCH(H$6,'Ф_806_2018-2015'!$1:$1,0),0))</f>
        <v>0</v>
      </c>
      <c r="I35" s="1272">
        <f>IF($B35="нет",0,VLOOKUP($B35,Ф_806_2018_2015[],MATCH(I$6,'Ф_806_2018-2015'!$1:$1,0),0))</f>
        <v>0</v>
      </c>
      <c r="J35" s="1272">
        <f>IF($C35="нет",0,VLOOKUP($C35,Ф_806_2023_2019[],MATCH(J$6,'Ф_806_2023-2019'!$1:$1,0),0))</f>
        <v>1393560</v>
      </c>
      <c r="K35" s="1272">
        <f>IF($C35="нет",0,VLOOKUP($C35,Ф_806_2023_2019[],MATCH(K$6,'Ф_806_2023-2019'!$1:$1,0),0))</f>
        <v>185218</v>
      </c>
      <c r="L35" s="1272">
        <f>IF($C35="нет",0,VLOOKUP($C35,Ф_806_2023_2019[],MATCH(L$6,'Ф_806_2023-2019'!$1:$1,0),0))</f>
        <v>229063</v>
      </c>
      <c r="M35" s="1272">
        <f>IF($C35="нет",0,VLOOKUP($C35,Ф_806_2023_2019[],MATCH(M$6,'Ф_806_2023-2019'!$1:$1,0),0))</f>
        <v>1100576</v>
      </c>
      <c r="N35" s="1272">
        <f>IF($C35="нет",0,VLOOKUP($C35,Ф_806_2023_2019[],MATCH(N$6,'Ф_806_2023-2019'!$1:$1,0),0))</f>
        <v>58896</v>
      </c>
      <c r="O35" s="1272">
        <f>IF($D35="нет",0,VLOOKUP($D35,Ф_806_2024[],MATCH(O$6,'Ф_806_2024'!$1:$1,0),0))</f>
        <v>77939</v>
      </c>
      <c r="P35" s="1273"/>
    </row>
    <row r="36" spans="1:16" ht="46.5" x14ac:dyDescent="0.25">
      <c r="A36" s="21"/>
      <c r="B36" s="932" t="s">
        <v>1463</v>
      </c>
      <c r="C36" s="932" t="s">
        <v>1463</v>
      </c>
      <c r="D36" s="1215" t="s">
        <v>1494</v>
      </c>
      <c r="E36" s="291" t="s">
        <v>3429</v>
      </c>
      <c r="F36" s="373"/>
      <c r="G36" s="1504">
        <f>IF($B36="нет",0,VLOOKUP($B36,Ф_806_2018_2015[],MATCH(G$6,'Ф_806_2018-2015'!$1:$1,0),0))</f>
        <v>0</v>
      </c>
      <c r="H36" s="1281">
        <f>IF($B36="нет",0,VLOOKUP($B36,Ф_806_2018_2015[],MATCH(H$6,'Ф_806_2018-2015'!$1:$1,0),0))</f>
        <v>0</v>
      </c>
      <c r="I36" s="1281">
        <f>IF($B36="нет",0,VLOOKUP($B36,Ф_806_2018_2015[],MATCH(I$6,'Ф_806_2018-2015'!$1:$1,0),0))</f>
        <v>0</v>
      </c>
      <c r="J36" s="1270">
        <f>IF($C36="нет",0,VLOOKUP($C36,Ф_806_2023_2019[],MATCH(J$6,'Ф_806_2023-2019'!$1:$1,0),0))</f>
        <v>0</v>
      </c>
      <c r="K36" s="1270">
        <f>IF($C36="нет",0,VLOOKUP($C36,Ф_806_2023_2019[],MATCH(K$6,'Ф_806_2023-2019'!$1:$1,0),0))</f>
        <v>0</v>
      </c>
      <c r="L36" s="1270">
        <f>IF($C36="нет",0,VLOOKUP($C36,Ф_806_2023_2019[],MATCH(L$6,'Ф_806_2023-2019'!$1:$1,0),0))</f>
        <v>0</v>
      </c>
      <c r="M36" s="1270">
        <f>IF($C36="нет",0,VLOOKUP($C36,Ф_806_2023_2019[],MATCH(M$6,'Ф_806_2023-2019'!$1:$1,0),0))</f>
        <v>0</v>
      </c>
      <c r="N36" s="1270">
        <f>IF($C36="нет",0,VLOOKUP($C36,Ф_806_2023_2019[],MATCH(N$6,'Ф_806_2023-2019'!$1:$1,0),0))</f>
        <v>0</v>
      </c>
      <c r="O36" s="1270">
        <f>IF($D36="нет",0,VLOOKUP($D36,Ф_806_2024[],MATCH(O$6,'Ф_806_2024'!$1:$1,0),0))</f>
        <v>0</v>
      </c>
      <c r="P36" s="1269"/>
    </row>
    <row r="37" spans="1:16" x14ac:dyDescent="0.2">
      <c r="A37" s="21"/>
      <c r="B37" s="1215" t="s">
        <v>1494</v>
      </c>
      <c r="C37" s="1215" t="s">
        <v>1494</v>
      </c>
      <c r="D37" s="1215" t="s">
        <v>1495</v>
      </c>
      <c r="E37" s="291" t="s">
        <v>1517</v>
      </c>
      <c r="F37" s="373"/>
      <c r="G37" s="1504">
        <f>IF($B37="нет",0,VLOOKUP($B37,Ф_806_2018_2015[],MATCH(G$6,'Ф_806_2018-2015'!$1:$1,0),0))</f>
        <v>0</v>
      </c>
      <c r="H37" s="1281">
        <f>IF($B37="нет",0,VLOOKUP($B37,Ф_806_2018_2015[],MATCH(H$6,'Ф_806_2018-2015'!$1:$1,0),0))</f>
        <v>0</v>
      </c>
      <c r="I37" s="1281">
        <f>IF($B37="нет",0,VLOOKUP($B37,Ф_806_2018_2015[],MATCH(I$6,'Ф_806_2018-2015'!$1:$1,0),0))</f>
        <v>0</v>
      </c>
      <c r="J37" s="1270">
        <f>IF($C37="нет",0,VLOOKUP($C37,Ф_806_2023_2019[],MATCH(J$6,'Ф_806_2023-2019'!$1:$1,0),0))</f>
        <v>0</v>
      </c>
      <c r="K37" s="1270">
        <f>IF($C37="нет",0,VLOOKUP($C37,Ф_806_2023_2019[],MATCH(K$6,'Ф_806_2023-2019'!$1:$1,0),0))</f>
        <v>0</v>
      </c>
      <c r="L37" s="1270">
        <f>IF($C37="нет",0,VLOOKUP($C37,Ф_806_2023_2019[],MATCH(L$6,'Ф_806_2023-2019'!$1:$1,0),0))</f>
        <v>0</v>
      </c>
      <c r="M37" s="1270">
        <f>IF($C37="нет",0,VLOOKUP($C37,Ф_806_2023_2019[],MATCH(M$6,'Ф_806_2023-2019'!$1:$1,0),0))</f>
        <v>0</v>
      </c>
      <c r="N37" s="1270">
        <f>IF($C37="нет",0,VLOOKUP($C37,Ф_806_2023_2019[],MATCH(N$6,'Ф_806_2023-2019'!$1:$1,0),0))</f>
        <v>0</v>
      </c>
      <c r="O37" s="1270">
        <f>IF($D37="нет",0,VLOOKUP($D37,Ф_806_2024[],MATCH(O$6,'Ф_806_2024'!$1:$1,0),0))</f>
        <v>0</v>
      </c>
      <c r="P37" s="1269"/>
    </row>
    <row r="38" spans="1:16" x14ac:dyDescent="0.2">
      <c r="A38" s="21"/>
      <c r="B38" s="1215" t="s">
        <v>1495</v>
      </c>
      <c r="C38" s="1215" t="s">
        <v>1495</v>
      </c>
      <c r="D38" s="1215" t="s">
        <v>1496</v>
      </c>
      <c r="E38" s="291" t="s">
        <v>356</v>
      </c>
      <c r="F38" s="373"/>
      <c r="G38" s="1504">
        <f>IF($B38="нет",0,VLOOKUP($B38,Ф_806_2018_2015[],MATCH(G$6,'Ф_806_2018-2015'!$1:$1,0),0))</f>
        <v>1067049</v>
      </c>
      <c r="H38" s="1281">
        <f>IF($B38="нет",0,VLOOKUP($B38,Ф_806_2018_2015[],MATCH(H$6,'Ф_806_2018-2015'!$1:$1,0),0))</f>
        <v>689686</v>
      </c>
      <c r="I38" s="1281">
        <f>IF($B38="нет",0,VLOOKUP($B38,Ф_806_2018_2015[],MATCH(I$6,'Ф_806_2018-2015'!$1:$1,0),0))</f>
        <v>489478</v>
      </c>
      <c r="J38" s="1270">
        <f>IF($C38="нет",0,VLOOKUP($C38,Ф_806_2023_2019[],MATCH(J$6,'Ф_806_2023-2019'!$1:$1,0),0))</f>
        <v>810242</v>
      </c>
      <c r="K38" s="1270">
        <f>IF($C38="нет",0,VLOOKUP($C38,Ф_806_2023_2019[],MATCH(K$6,'Ф_806_2023-2019'!$1:$1,0),0))</f>
        <v>1104926</v>
      </c>
      <c r="L38" s="1270">
        <f>IF($C38="нет",0,VLOOKUP($C38,Ф_806_2023_2019[],MATCH(L$6,'Ф_806_2023-2019'!$1:$1,0),0))</f>
        <v>1773576</v>
      </c>
      <c r="M38" s="1270">
        <f>IF($C38="нет",0,VLOOKUP($C38,Ф_806_2023_2019[],MATCH(M$6,'Ф_806_2023-2019'!$1:$1,0),0))</f>
        <v>0</v>
      </c>
      <c r="N38" s="1270">
        <f>IF($C38="нет",0,VLOOKUP($C38,Ф_806_2023_2019[],MATCH(N$6,'Ф_806_2023-2019'!$1:$1,0),0))</f>
        <v>1579395</v>
      </c>
      <c r="O38" s="1270">
        <f>IF($D38="нет",0,VLOOKUP($D38,Ф_806_2024[],MATCH(O$6,'Ф_806_2024'!$1:$1,0),0))</f>
        <v>1845878</v>
      </c>
      <c r="P38" s="1269"/>
    </row>
    <row r="39" spans="1:16" ht="15.75" thickBot="1" x14ac:dyDescent="0.25">
      <c r="A39" s="21"/>
      <c r="B39" s="1215" t="s">
        <v>1496</v>
      </c>
      <c r="C39" s="1215" t="s">
        <v>1496</v>
      </c>
      <c r="D39" s="1215" t="s">
        <v>1497</v>
      </c>
      <c r="E39" s="291" t="s">
        <v>22</v>
      </c>
      <c r="F39" s="373"/>
      <c r="G39" s="1504">
        <f>IF($B39="нет",0,VLOOKUP($B39,Ф_806_2018_2015[],MATCH(G$6,'Ф_806_2018-2015'!$1:$1,0),0))</f>
        <v>5481430</v>
      </c>
      <c r="H39" s="1281">
        <f>IF($B39="нет",0,VLOOKUP($B39,Ф_806_2018_2015[],MATCH(H$6,'Ф_806_2018-2015'!$1:$1,0),0))</f>
        <v>5494893</v>
      </c>
      <c r="I39" s="1281">
        <f>IF($B39="нет",0,VLOOKUP($B39,Ф_806_2018_2015[],MATCH(I$6,'Ф_806_2018-2015'!$1:$1,0),0))</f>
        <v>6729587</v>
      </c>
      <c r="J39" s="1270">
        <f>IF($C39="нет",0,VLOOKUP($C39,Ф_806_2023_2019[],MATCH(J$6,'Ф_806_2023-2019'!$1:$1,0),0))</f>
        <v>1888793</v>
      </c>
      <c r="K39" s="1270">
        <f>IF($C39="нет",0,VLOOKUP($C39,Ф_806_2023_2019[],MATCH(K$6,'Ф_806_2023-2019'!$1:$1,0),0))</f>
        <v>4073070</v>
      </c>
      <c r="L39" s="1270">
        <f>IF($C39="нет",0,VLOOKUP($C39,Ф_806_2023_2019[],MATCH(L$6,'Ф_806_2023-2019'!$1:$1,0),0))</f>
        <v>0</v>
      </c>
      <c r="M39" s="1779">
        <f>IF($C39="нет",0,VLOOKUP($C39,Ф_806_2023_2019[],MATCH(M$6,'Ф_806_2023-2019'!$1:$1,0),0))</f>
        <v>0</v>
      </c>
      <c r="N39" s="1779">
        <f>IF($C39="нет",0,VLOOKUP($C39,Ф_806_2023_2019[],MATCH(N$6,'Ф_806_2023-2019'!$1:$1,0),0))</f>
        <v>0</v>
      </c>
      <c r="O39" s="1779">
        <f>IF($D39="нет",0,VLOOKUP($D39,Ф_806_2024[],MATCH(O$6,'Ф_806_2024'!$1:$1,0),0))</f>
        <v>0</v>
      </c>
      <c r="P39" s="1780"/>
    </row>
    <row r="40" spans="1:16" ht="17.25" thickTop="1" thickBot="1" x14ac:dyDescent="0.3">
      <c r="A40" s="21"/>
      <c r="B40" s="1527"/>
      <c r="C40" s="1527"/>
      <c r="D40" s="1527"/>
      <c r="E40" s="1536" t="s">
        <v>3431</v>
      </c>
      <c r="F40" s="1528"/>
      <c r="G40" s="1541">
        <f>VLOOKUP($E40,'Ф_806_2018-2015'!$62:$65,MATCH(Ввод!G$6,'Ф_806_2018-2015'!$62:$62,0))</f>
        <v>0</v>
      </c>
      <c r="H40" s="1541">
        <f>VLOOKUP($E40,'Ф_806_2018-2015'!$62:$65,MATCH(Ввод!H$6,'Ф_806_2018-2015'!$62:$62,0))</f>
        <v>0</v>
      </c>
      <c r="I40" s="1541">
        <f>VLOOKUP($E40,'Ф_806_2018-2015'!$62:$65,MATCH(Ввод!I$6,'Ф_806_2018-2015'!$62:$62,0))</f>
        <v>0</v>
      </c>
      <c r="J40" s="1541">
        <f>VLOOKUP($E40,'Ф_806_2023-2019'!$62:$65,MATCH(Ввод!J$6,'Ф_806_2023-2019'!$62:$62,0))</f>
        <v>0</v>
      </c>
      <c r="K40" s="1541">
        <f>VLOOKUP($E40,'Ф_806_2023-2019'!$62:$65,MATCH(Ввод!K$6,'Ф_806_2023-2019'!$62:$62,0))</f>
        <v>0</v>
      </c>
      <c r="L40" s="1541">
        <f>VLOOKUP($E40,'Ф_806_2023-2019'!$62:$65,MATCH(Ввод!L$6,'Ф_806_2023-2019'!$62:$62,0))</f>
        <v>5594457</v>
      </c>
      <c r="M40" s="1541">
        <f>VLOOKUP($E40,'Ф_806_2023-2019'!$62:$65,MATCH(Ввод!M$6,'Ф_806_2023-2019'!$62:$62,0))</f>
        <v>13041732</v>
      </c>
      <c r="N40" s="1541">
        <f>VLOOKUP($E40,'Ф_806_2023-2019'!$62:$65,MATCH(Ввод!N$6,'Ф_806_2023-2019'!$62:$62,0))</f>
        <v>7414261</v>
      </c>
      <c r="O40" s="1542">
        <f>VLOOKUP($E40,'Ф_806_2024'!$62:$65,MATCH(Ввод!O$6,'Ф_806_2024'!$62:$62,0))</f>
        <v>24737210</v>
      </c>
      <c r="P40" s="2013"/>
    </row>
    <row r="41" spans="1:16" ht="46.5" thickTop="1" thickBot="1" x14ac:dyDescent="0.25">
      <c r="A41" s="21"/>
      <c r="B41" s="1215" t="s">
        <v>1497</v>
      </c>
      <c r="C41" s="1215" t="s">
        <v>1497</v>
      </c>
      <c r="D41" s="1215" t="s">
        <v>1498</v>
      </c>
      <c r="E41" s="291" t="s">
        <v>570</v>
      </c>
      <c r="F41" s="373"/>
      <c r="G41" s="1504">
        <f>IF($B41="нет",0,VLOOKUP($B41,Ф_806_2018_2015[],MATCH(G$6,'Ф_806_2018-2015'!$1:$1,0),0))</f>
        <v>5588092</v>
      </c>
      <c r="H41" s="1281">
        <f>IF($B41="нет",0,VLOOKUP($B41,Ф_806_2018_2015[],MATCH(H$6,'Ф_806_2018-2015'!$1:$1,0),0))</f>
        <v>3992419</v>
      </c>
      <c r="I41" s="1281">
        <f>IF($B41="нет",0,VLOOKUP($B41,Ф_806_2018_2015[],MATCH(I$6,'Ф_806_2018-2015'!$1:$1,0),0))</f>
        <v>3492658</v>
      </c>
      <c r="J41" s="1270">
        <f>IF($C41="нет",0,VLOOKUP($C41,Ф_806_2023_2019[],MATCH(J$6,'Ф_806_2023-2019'!$1:$1,0),0))</f>
        <v>438661</v>
      </c>
      <c r="K41" s="1270">
        <f>IF($C41="нет",0,VLOOKUP($C41,Ф_806_2023_2019[],MATCH(K$6,'Ф_806_2023-2019'!$1:$1,0),0))</f>
        <v>1097501</v>
      </c>
      <c r="L41" s="1270">
        <f>IF($C41="нет",0,VLOOKUP($C41,Ф_806_2023_2019[],MATCH(L$6,'Ф_806_2023-2019'!$1:$1,0),0))</f>
        <v>0</v>
      </c>
      <c r="M41" s="1270">
        <f>IF($C41="нет",0,VLOOKUP($C41,Ф_806_2023_2019[],MATCH(M$6,'Ф_806_2023-2019'!$1:$1,0),0))</f>
        <v>0</v>
      </c>
      <c r="N41" s="1270">
        <f>IF($C41="нет",0,VLOOKUP($C41,Ф_806_2023_2019[],MATCH(N$6,'Ф_806_2023-2019'!$1:$1,0),0))</f>
        <v>0</v>
      </c>
      <c r="O41" s="1270">
        <f>IF($D41="нет",0,VLOOKUP($D41,Ф_806_2024[],MATCH(O$6,'Ф_806_2024'!$1:$1,0),0))</f>
        <v>0</v>
      </c>
      <c r="P41" s="1269"/>
    </row>
    <row r="42" spans="1:16" s="292" customFormat="1" ht="35.25" customHeight="1" thickTop="1" thickBot="1" x14ac:dyDescent="0.3">
      <c r="A42" s="297"/>
      <c r="B42" s="1221" t="s">
        <v>1498</v>
      </c>
      <c r="C42" s="1221" t="s">
        <v>1498</v>
      </c>
      <c r="D42" s="1215" t="s">
        <v>1499</v>
      </c>
      <c r="E42" s="307" t="s">
        <v>1518</v>
      </c>
      <c r="F42" s="375">
        <f t="shared" ref="F42" si="2">SUM(F26:F27,F31,F33,F37:F41)</f>
        <v>0</v>
      </c>
      <c r="G42" s="1531">
        <f>IF(G7&lt;2019,SUM(G26,G28:G29,G31,G33,G37:G41),SUM(G26:G27,G31,G33,G37:G41))</f>
        <v>392477642</v>
      </c>
      <c r="H42" s="1514">
        <f t="shared" ref="H42:N42" si="3">IF(H7&lt;2019,SUM(H26,H28:H29,H31,H33,H37:H41),SUM(H26:H27,H31,H33,H37:H41))</f>
        <v>372508135</v>
      </c>
      <c r="I42" s="1514">
        <f t="shared" si="3"/>
        <v>432848084</v>
      </c>
      <c r="J42" s="1514">
        <f t="shared" ref="J42" si="4">IF(J7&lt;2019,SUM(J26,J28:J29,J31,J33,J37:J41),SUM(J26:J27,J31,J33,J37:J41))</f>
        <v>487981201</v>
      </c>
      <c r="K42" s="1514">
        <f t="shared" si="3"/>
        <v>521298116</v>
      </c>
      <c r="L42" s="1514">
        <f t="shared" si="3"/>
        <v>575377126</v>
      </c>
      <c r="M42" s="1514">
        <f t="shared" si="3"/>
        <v>734618478</v>
      </c>
      <c r="N42" s="1514">
        <f t="shared" si="3"/>
        <v>745046430</v>
      </c>
      <c r="O42" s="1514">
        <f>IF(O7&lt;2019,SUM(O26,O28:O29,O31,O33,O36:O41),SUM(O26:O27,O31,O33,O36:O41))</f>
        <v>826407677</v>
      </c>
      <c r="P42" s="1514"/>
    </row>
    <row r="43" spans="1:16" ht="23.25" customHeight="1" thickTop="1" x14ac:dyDescent="0.25">
      <c r="A43" s="21"/>
      <c r="B43" s="1215"/>
      <c r="C43" s="1215"/>
      <c r="D43" s="1215"/>
      <c r="E43" s="303" t="s">
        <v>28</v>
      </c>
      <c r="F43" s="373"/>
      <c r="G43" s="1503"/>
      <c r="H43" s="1270"/>
      <c r="I43" s="1270"/>
      <c r="J43" s="1270"/>
      <c r="K43" s="1270"/>
      <c r="L43" s="1270"/>
      <c r="M43" s="1270"/>
      <c r="N43" s="1270"/>
      <c r="O43" s="1270"/>
      <c r="P43" s="1269"/>
    </row>
    <row r="44" spans="1:16" x14ac:dyDescent="0.2">
      <c r="A44" s="21"/>
      <c r="B44" s="1215" t="s">
        <v>1499</v>
      </c>
      <c r="C44" s="1215" t="s">
        <v>1499</v>
      </c>
      <c r="D44" s="1215" t="s">
        <v>1487</v>
      </c>
      <c r="E44" s="291" t="s">
        <v>571</v>
      </c>
      <c r="F44" s="373"/>
      <c r="G44" s="1504">
        <f>IF($B44="нет",0,VLOOKUP($B44,Ф_806_2018_2015[],MATCH(G$6,'Ф_806_2018-2015'!$1:$1,0),0))</f>
        <v>38015396</v>
      </c>
      <c r="H44" s="1281">
        <f>IF($B44="нет",0,VLOOKUP($B44,Ф_806_2018_2015[],MATCH(H$6,'Ф_806_2018-2015'!$1:$1,0),0))</f>
        <v>48015396</v>
      </c>
      <c r="I44" s="1281">
        <f>IF($B44="нет",0,VLOOKUP($B44,Ф_806_2018_2015[],MATCH(I$6,'Ф_806_2018-2015'!$1:$1,0),0))</f>
        <v>48015396</v>
      </c>
      <c r="J44" s="1270">
        <f>IF($C44="нет",0,VLOOKUP($C44,Ф_806_2023_2019[],MATCH(J$6,'Ф_806_2023-2019'!$1:$1,0),0))</f>
        <v>48015396</v>
      </c>
      <c r="K44" s="1270">
        <f>IF($C44="нет",0,VLOOKUP($C44,Ф_806_2023_2019[],MATCH(K$6,'Ф_806_2023-2019'!$1:$1,0),0))</f>
        <v>48015396</v>
      </c>
      <c r="L44" s="1270">
        <f>IF($C44="нет",0,VLOOKUP($C44,Ф_806_2023_2019[],MATCH(L$6,'Ф_806_2023-2019'!$1:$1,0),0))</f>
        <v>48015396</v>
      </c>
      <c r="M44" s="1270">
        <f>IF($C44="нет",0,VLOOKUP($C44,Ф_806_2023_2019[],MATCH(M$6,'Ф_806_2023-2019'!$1:$1,0),0))</f>
        <v>48015396</v>
      </c>
      <c r="N44" s="1270">
        <f>IF($C44="нет",0,VLOOKUP($C44,Ф_806_2023_2019[],MATCH(N$6,'Ф_806_2023-2019'!$1:$1,0),0))</f>
        <v>48015396</v>
      </c>
      <c r="O44" s="1270">
        <f>IF($D44="нет",0,VLOOKUP($D44,Ф_806_2024[],MATCH(O$6,'Ф_806_2024'!$1:$1,0),0))</f>
        <v>48015396</v>
      </c>
      <c r="P44" s="1269"/>
    </row>
    <row r="45" spans="1:16" x14ac:dyDescent="0.2">
      <c r="A45" s="21"/>
      <c r="B45" s="1215" t="s">
        <v>1487</v>
      </c>
      <c r="C45" s="1215" t="s">
        <v>1487</v>
      </c>
      <c r="D45" s="1215" t="s">
        <v>1488</v>
      </c>
      <c r="E45" s="291" t="s">
        <v>572</v>
      </c>
      <c r="F45" s="373"/>
      <c r="G45" s="1504">
        <f>IF($B45="нет",0,VLOOKUP($B45,Ф_806_2018_2015[],MATCH(G$6,'Ф_806_2018-2015'!$1:$1,0),0))</f>
        <v>0</v>
      </c>
      <c r="H45" s="1281">
        <f>IF($B45="нет",0,VLOOKUP($B45,Ф_806_2018_2015[],MATCH(H$6,'Ф_806_2018-2015'!$1:$1,0),0))</f>
        <v>0</v>
      </c>
      <c r="I45" s="1281">
        <f>IF($B45="нет",0,VLOOKUP($B45,Ф_806_2018_2015[],MATCH(I$6,'Ф_806_2018-2015'!$1:$1,0),0))</f>
        <v>0</v>
      </c>
      <c r="J45" s="1270">
        <f>IF($C45="нет",0,VLOOKUP($C45,Ф_806_2023_2019[],MATCH(J$6,'Ф_806_2023-2019'!$1:$1,0),0))</f>
        <v>0</v>
      </c>
      <c r="K45" s="1270">
        <f>IF($C45="нет",0,VLOOKUP($C45,Ф_806_2023_2019[],MATCH(K$6,'Ф_806_2023-2019'!$1:$1,0),0))</f>
        <v>0</v>
      </c>
      <c r="L45" s="1270">
        <f>IF($C45="нет",0,VLOOKUP($C45,Ф_806_2023_2019[],MATCH(L$6,'Ф_806_2023-2019'!$1:$1,0),0))</f>
        <v>0</v>
      </c>
      <c r="M45" s="1270">
        <f>IF($C45="нет",0,VLOOKUP($C45,Ф_806_2023_2019[],MATCH(M$6,'Ф_806_2023-2019'!$1:$1,0),0))</f>
        <v>0</v>
      </c>
      <c r="N45" s="1270">
        <f>IF($C45="нет",0,VLOOKUP($C45,Ф_806_2023_2019[],MATCH(N$6,'Ф_806_2023-2019'!$1:$1,0),0))</f>
        <v>0</v>
      </c>
      <c r="O45" s="1270">
        <f>IF($D45="нет",0,VLOOKUP($D45,Ф_806_2024[],MATCH(O$6,'Ф_806_2024'!$1:$1,0),0))</f>
        <v>0</v>
      </c>
      <c r="P45" s="1269"/>
    </row>
    <row r="46" spans="1:16" x14ac:dyDescent="0.2">
      <c r="A46" s="21"/>
      <c r="B46" s="1215" t="s">
        <v>1488</v>
      </c>
      <c r="C46" s="1215" t="s">
        <v>1488</v>
      </c>
      <c r="D46" s="1215" t="s">
        <v>1526</v>
      </c>
      <c r="E46" s="291" t="s">
        <v>32</v>
      </c>
      <c r="F46" s="373"/>
      <c r="G46" s="1504">
        <f>IF($B46="нет",0,VLOOKUP($B46,Ф_806_2018_2015[],MATCH(G$6,'Ф_806_2018-2015'!$1:$1,0),0))</f>
        <v>0</v>
      </c>
      <c r="H46" s="1281">
        <f>IF($B46="нет",0,VLOOKUP($B46,Ф_806_2018_2015[],MATCH(H$6,'Ф_806_2018-2015'!$1:$1,0),0))</f>
        <v>0</v>
      </c>
      <c r="I46" s="1281">
        <f>IF($B46="нет",0,VLOOKUP($B46,Ф_806_2018_2015[],MATCH(I$6,'Ф_806_2018-2015'!$1:$1,0),0))</f>
        <v>0</v>
      </c>
      <c r="J46" s="1270">
        <f>IF($C46="нет",0,VLOOKUP($C46,Ф_806_2023_2019[],MATCH(J$6,'Ф_806_2023-2019'!$1:$1,0),0))</f>
        <v>0</v>
      </c>
      <c r="K46" s="1270">
        <f>IF($C46="нет",0,VLOOKUP($C46,Ф_806_2023_2019[],MATCH(K$6,'Ф_806_2023-2019'!$1:$1,0),0))</f>
        <v>0</v>
      </c>
      <c r="L46" s="1270">
        <f>IF($C46="нет",0,VLOOKUP($C46,Ф_806_2023_2019[],MATCH(L$6,'Ф_806_2023-2019'!$1:$1,0),0))</f>
        <v>0</v>
      </c>
      <c r="M46" s="1270">
        <f>IF($C46="нет",0,VLOOKUP($C46,Ф_806_2023_2019[],MATCH(M$6,'Ф_806_2023-2019'!$1:$1,0),0))</f>
        <v>0</v>
      </c>
      <c r="N46" s="1270">
        <f>IF($C46="нет",0,VLOOKUP($C46,Ф_806_2023_2019[],MATCH(N$6,'Ф_806_2023-2019'!$1:$1,0),0))</f>
        <v>0</v>
      </c>
      <c r="O46" s="1270">
        <f>IF($D46="нет",0,VLOOKUP($D46,Ф_806_2024[],MATCH(O$6,'Ф_806_2024'!$1:$1,0),0))</f>
        <v>0</v>
      </c>
      <c r="P46" s="1269"/>
    </row>
    <row r="47" spans="1:16" x14ac:dyDescent="0.2">
      <c r="A47" s="21"/>
      <c r="B47" s="1215" t="s">
        <v>1526</v>
      </c>
      <c r="C47" s="1215" t="s">
        <v>1526</v>
      </c>
      <c r="D47" s="1215" t="s">
        <v>1527</v>
      </c>
      <c r="E47" s="291" t="s">
        <v>33</v>
      </c>
      <c r="F47" s="373"/>
      <c r="G47" s="1504">
        <f>IF($B47="нет",0,VLOOKUP($B47,Ф_806_2018_2015[],MATCH(G$6,'Ф_806_2018-2015'!$1:$1,0),0))</f>
        <v>0</v>
      </c>
      <c r="H47" s="1281">
        <f>IF($B47="нет",0,VLOOKUP($B47,Ф_806_2018_2015[],MATCH(H$6,'Ф_806_2018-2015'!$1:$1,0),0))</f>
        <v>32534</v>
      </c>
      <c r="I47" s="1281">
        <f>IF($B47="нет",0,VLOOKUP($B47,Ф_806_2018_2015[],MATCH(I$6,'Ф_806_2018-2015'!$1:$1,0),0))</f>
        <v>72364</v>
      </c>
      <c r="J47" s="1270">
        <f>IF($C47="нет",0,VLOOKUP($C47,Ф_806_2023_2019[],MATCH(J$6,'Ф_806_2023-2019'!$1:$1,0),0))</f>
        <v>207894</v>
      </c>
      <c r="K47" s="1270">
        <f>IF($C47="нет",0,VLOOKUP($C47,Ф_806_2023_2019[],MATCH(K$6,'Ф_806_2023-2019'!$1:$1,0),0))</f>
        <v>520535</v>
      </c>
      <c r="L47" s="1270">
        <f>IF($C47="нет",0,VLOOKUP($C47,Ф_806_2023_2019[],MATCH(L$6,'Ф_806_2023-2019'!$1:$1,0),0))</f>
        <v>738407</v>
      </c>
      <c r="M47" s="1270">
        <f>IF($C47="нет",0,VLOOKUP($C47,Ф_806_2023_2019[],MATCH(M$6,'Ф_806_2023-2019'!$1:$1,0),0))</f>
        <v>1053596</v>
      </c>
      <c r="N47" s="1270">
        <f>IF($C47="нет",0,VLOOKUP($C47,Ф_806_2023_2019[],MATCH(N$6,'Ф_806_2023-2019'!$1:$1,0),0))</f>
        <v>1131454</v>
      </c>
      <c r="O47" s="1270">
        <f>IF($D47="нет",0,VLOOKUP($D47,Ф_806_2024[],MATCH(O$6,'Ф_806_2024'!$1:$1,0),0))</f>
        <v>1451972</v>
      </c>
      <c r="P47" s="1269"/>
    </row>
    <row r="48" spans="1:16" ht="60" x14ac:dyDescent="0.2">
      <c r="A48" s="21"/>
      <c r="B48" s="1215" t="s">
        <v>1527</v>
      </c>
      <c r="C48" s="1215" t="s">
        <v>1527</v>
      </c>
      <c r="D48" s="1215" t="s">
        <v>1528</v>
      </c>
      <c r="E48" s="291" t="s">
        <v>1530</v>
      </c>
      <c r="F48" s="373"/>
      <c r="G48" s="1504">
        <f>IF($B48="нет",0,VLOOKUP($B48,Ф_806_2018_2015[],MATCH(G$6,'Ф_806_2018-2015'!$1:$1,0),0))</f>
        <v>6183303</v>
      </c>
      <c r="H48" s="1281">
        <f>IF($B48="нет",0,VLOOKUP($B48,Ф_806_2018_2015[],MATCH(H$6,'Ф_806_2018-2015'!$1:$1,0),0))</f>
        <v>9392614</v>
      </c>
      <c r="I48" s="1281">
        <f>IF($B48="нет",0,VLOOKUP($B48,Ф_806_2018_2015[],MATCH(I$6,'Ф_806_2018-2015'!$1:$1,0),0))</f>
        <v>8285386</v>
      </c>
      <c r="J48" s="1270">
        <f>IF($C48="нет",0,VLOOKUP($C48,Ф_806_2023_2019[],MATCH(J$6,'Ф_806_2023-2019'!$1:$1,0),0))</f>
        <v>6354127</v>
      </c>
      <c r="K48" s="1270">
        <f>IF($C48="нет",0,VLOOKUP($C48,Ф_806_2023_2019[],MATCH(K$6,'Ф_806_2023-2019'!$1:$1,0),0))</f>
        <v>1646306</v>
      </c>
      <c r="L48" s="1270">
        <f>IF($C48="нет",0,VLOOKUP($C48,Ф_806_2023_2019[],MATCH(L$6,'Ф_806_2023-2019'!$1:$1,0),0))</f>
        <v>793290</v>
      </c>
      <c r="M48" s="1270">
        <f>IF($C48="нет",0,VLOOKUP($C48,Ф_806_2023_2019[],MATCH(M$6,'Ф_806_2023-2019'!$1:$1,0),0))</f>
        <v>-3789500</v>
      </c>
      <c r="N48" s="1270">
        <f>IF($C48="нет",0,VLOOKUP($C48,Ф_806_2023_2019[],MATCH(N$6,'Ф_806_2023-2019'!$1:$1,0),0))</f>
        <v>5595206</v>
      </c>
      <c r="O48" s="1270">
        <f>IF($D48="нет",0,VLOOKUP($D48,Ф_806_2024[],MATCH(O$6,'Ф_806_2024'!$1:$1,0),0))</f>
        <v>2017491</v>
      </c>
      <c r="P48" s="1269"/>
    </row>
    <row r="49" spans="1:16" ht="45" x14ac:dyDescent="0.2">
      <c r="A49" s="21"/>
      <c r="B49" s="1215" t="s">
        <v>1528</v>
      </c>
      <c r="C49" s="1215" t="s">
        <v>1528</v>
      </c>
      <c r="D49" s="1215" t="s">
        <v>1531</v>
      </c>
      <c r="E49" s="291" t="s">
        <v>1529</v>
      </c>
      <c r="F49" s="373"/>
      <c r="G49" s="1504">
        <f>IF($B49="нет",0,VLOOKUP($B49,Ф_806_2018_2015[],MATCH(G$6,'Ф_806_2018-2015'!$1:$1,0),0))</f>
        <v>4413</v>
      </c>
      <c r="H49" s="1281">
        <f>IF($B49="нет",0,VLOOKUP($B49,Ф_806_2018_2015[],MATCH(H$6,'Ф_806_2018-2015'!$1:$1,0),0))</f>
        <v>4386</v>
      </c>
      <c r="I49" s="1281">
        <f>IF($B49="нет",0,VLOOKUP($B49,Ф_806_2018_2015[],MATCH(I$6,'Ф_806_2018-2015'!$1:$1,0),0))</f>
        <v>4163</v>
      </c>
      <c r="J49" s="1270">
        <f>IF($C49="нет",0,VLOOKUP($C49,Ф_806_2023_2019[],MATCH(J$6,'Ф_806_2023-2019'!$1:$1,0),0))</f>
        <v>4163</v>
      </c>
      <c r="K49" s="1270">
        <f>IF($C49="нет",0,VLOOKUP($C49,Ф_806_2023_2019[],MATCH(K$6,'Ф_806_2023-2019'!$1:$1,0),0))</f>
        <v>3725</v>
      </c>
      <c r="L49" s="1270">
        <f>IF($C49="нет",0,VLOOKUP($C49,Ф_806_2023_2019[],MATCH(L$6,'Ф_806_2023-2019'!$1:$1,0),0))</f>
        <v>3725</v>
      </c>
      <c r="M49" s="1270">
        <f>IF($C49="нет",0,VLOOKUP($C49,Ф_806_2023_2019[],MATCH(M$6,'Ф_806_2023-2019'!$1:$1,0),0))</f>
        <v>1498269</v>
      </c>
      <c r="N49" s="1270">
        <f>IF($C49="нет",0,VLOOKUP($C49,Ф_806_2023_2019[],MATCH(N$6,'Ф_806_2023-2019'!$1:$1,0),0))</f>
        <v>1619662</v>
      </c>
      <c r="O49" s="1270">
        <f>IF($D49="нет",0,VLOOKUP($D49,Ф_806_2024[],MATCH(O$6,'Ф_806_2024'!$1:$1,0),0))</f>
        <v>1855101</v>
      </c>
      <c r="P49" s="1269"/>
    </row>
    <row r="50" spans="1:16" ht="30" x14ac:dyDescent="0.2">
      <c r="A50" s="21"/>
      <c r="B50" s="1215" t="s">
        <v>1531</v>
      </c>
      <c r="C50" s="1215" t="s">
        <v>1531</v>
      </c>
      <c r="D50" s="1215" t="s">
        <v>1532</v>
      </c>
      <c r="E50" s="291" t="s">
        <v>1050</v>
      </c>
      <c r="F50" s="373"/>
      <c r="G50" s="1504">
        <f>IF($B50="нет",0,VLOOKUP($B50,Ф_806_2018_2015[],MATCH(G$6,'Ф_806_2018-2015'!$1:$1,0),0))</f>
        <v>0</v>
      </c>
      <c r="H50" s="1281">
        <f>IF($B50="нет",0,VLOOKUP($B50,Ф_806_2018_2015[],MATCH(H$6,'Ф_806_2018-2015'!$1:$1,0),0))</f>
        <v>0</v>
      </c>
      <c r="I50" s="1281">
        <f>IF($B50="нет",0,VLOOKUP($B50,Ф_806_2018_2015[],MATCH(I$6,'Ф_806_2018-2015'!$1:$1,0),0))</f>
        <v>0</v>
      </c>
      <c r="J50" s="1270">
        <f>IF($C50="нет",0,VLOOKUP($C50,Ф_806_2023_2019[],MATCH(J$6,'Ф_806_2023-2019'!$1:$1,0),0))</f>
        <v>0</v>
      </c>
      <c r="K50" s="1270">
        <f>IF($C50="нет",0,VLOOKUP($C50,Ф_806_2023_2019[],MATCH(K$6,'Ф_806_2023-2019'!$1:$1,0),0))</f>
        <v>0</v>
      </c>
      <c r="L50" s="1270">
        <f>IF($C50="нет",0,VLOOKUP($C50,Ф_806_2023_2019[],MATCH(L$6,'Ф_806_2023-2019'!$1:$1,0),0))</f>
        <v>0</v>
      </c>
      <c r="M50" s="1270">
        <f>IF($C50="нет",0,VLOOKUP($C50,Ф_806_2023_2019[],MATCH(M$6,'Ф_806_2023-2019'!$1:$1,0),0))</f>
        <v>0</v>
      </c>
      <c r="N50" s="1270">
        <f>IF($C50="нет",0,VLOOKUP($C50,Ф_806_2023_2019[],MATCH(N$6,'Ф_806_2023-2019'!$1:$1,0),0))</f>
        <v>0</v>
      </c>
      <c r="O50" s="1270">
        <f>IF($D50="нет",0,VLOOKUP($D50,Ф_806_2024[],MATCH(O$6,'Ф_806_2024'!$1:$1,0),0))</f>
        <v>0</v>
      </c>
      <c r="P50" s="1269"/>
    </row>
    <row r="51" spans="1:16" x14ac:dyDescent="0.2">
      <c r="A51" s="21"/>
      <c r="B51" s="1215" t="s">
        <v>1532</v>
      </c>
      <c r="C51" s="1215" t="s">
        <v>1532</v>
      </c>
      <c r="D51" s="1215" t="s">
        <v>1533</v>
      </c>
      <c r="E51" s="291" t="s">
        <v>1051</v>
      </c>
      <c r="F51" s="373"/>
      <c r="G51" s="1504">
        <f>IF($B51="нет",0,VLOOKUP($B51,Ф_806_2018_2015[],MATCH(G$6,'Ф_806_2018-2015'!$1:$1,0),0))</f>
        <v>0</v>
      </c>
      <c r="H51" s="1281">
        <f>IF($B51="нет",0,VLOOKUP($B51,Ф_806_2018_2015[],MATCH(H$6,'Ф_806_2018-2015'!$1:$1,0),0))</f>
        <v>0</v>
      </c>
      <c r="I51" s="1281">
        <f>IF($B51="нет",0,VLOOKUP($B51,Ф_806_2018_2015[],MATCH(I$6,'Ф_806_2018-2015'!$1:$1,0),0))</f>
        <v>0</v>
      </c>
      <c r="J51" s="1270">
        <f>IF($C51="нет",0,VLOOKUP($C51,Ф_806_2023_2019[],MATCH(J$6,'Ф_806_2023-2019'!$1:$1,0),0))</f>
        <v>0</v>
      </c>
      <c r="K51" s="1270">
        <f>IF($C51="нет",0,VLOOKUP($C51,Ф_806_2023_2019[],MATCH(K$6,'Ф_806_2023-2019'!$1:$1,0),0))</f>
        <v>0</v>
      </c>
      <c r="L51" s="1270">
        <f>IF($C51="нет",0,VLOOKUP($C51,Ф_806_2023_2019[],MATCH(L$6,'Ф_806_2023-2019'!$1:$1,0),0))</f>
        <v>0</v>
      </c>
      <c r="M51" s="1270">
        <f>IF($C51="нет",0,VLOOKUP($C51,Ф_806_2023_2019[],MATCH(M$6,'Ф_806_2023-2019'!$1:$1,0),0))</f>
        <v>0</v>
      </c>
      <c r="N51" s="1270">
        <f>IF($C51="нет",0,VLOOKUP($C51,Ф_806_2023_2019[],MATCH(N$6,'Ф_806_2023-2019'!$1:$1,0),0))</f>
        <v>0</v>
      </c>
      <c r="O51" s="1270">
        <f>IF($D51="нет",0,VLOOKUP($D51,Ф_806_2024[],MATCH(O$6,'Ф_806_2024'!$1:$1,0),0))</f>
        <v>0</v>
      </c>
      <c r="P51" s="1269"/>
    </row>
    <row r="52" spans="1:16" ht="30" x14ac:dyDescent="0.2">
      <c r="A52" s="21"/>
      <c r="B52" s="1215" t="s">
        <v>1533</v>
      </c>
      <c r="C52" s="1215" t="s">
        <v>1533</v>
      </c>
      <c r="D52" s="2012" t="s">
        <v>1534</v>
      </c>
      <c r="E52" s="291" t="s">
        <v>1060</v>
      </c>
      <c r="F52" s="373"/>
      <c r="G52" s="1504">
        <f>IF($B52="нет",0,VLOOKUP($B52,Ф_806_2018_2015[],MATCH(G$6,'Ф_806_2018-2015'!$1:$1,0),0))</f>
        <v>4210837</v>
      </c>
      <c r="H52" s="1281">
        <f>IF($B52="нет",0,VLOOKUP($B52,Ф_806_2018_2015[],MATCH(H$6,'Ф_806_2018-2015'!$1:$1,0),0))</f>
        <v>4210837</v>
      </c>
      <c r="I52" s="1281">
        <f>IF($B52="нет",0,VLOOKUP($B52,Ф_806_2018_2015[],MATCH(I$6,'Ф_806_2018-2015'!$1:$1,0),0))</f>
        <v>4210837</v>
      </c>
      <c r="J52" s="1270">
        <f>IF($C52="нет",0,VLOOKUP($C52,Ф_806_2023_2019[],MATCH(J$6,'Ф_806_2023-2019'!$1:$1,0),0))</f>
        <v>4210837</v>
      </c>
      <c r="K52" s="1270">
        <f>IF($C52="нет",0,VLOOKUP($C52,Ф_806_2023_2019[],MATCH(K$6,'Ф_806_2023-2019'!$1:$1,0),0))</f>
        <v>4210837</v>
      </c>
      <c r="L52" s="1270">
        <f>IF($C52="нет",0,VLOOKUP($C52,Ф_806_2023_2019[],MATCH(L$6,'Ф_806_2023-2019'!$1:$1,0),0))</f>
        <v>4210837</v>
      </c>
      <c r="M52" s="1270">
        <f>IF($C52="нет",0,VLOOKUP($C52,Ф_806_2023_2019[],MATCH(M$6,'Ф_806_2023-2019'!$1:$1,0),0))</f>
        <v>4210837</v>
      </c>
      <c r="N52" s="1270">
        <f>IF($C52="нет",0,VLOOKUP($C52,Ф_806_2023_2019[],MATCH(N$6,'Ф_806_2023-2019'!$1:$1,0),0))</f>
        <v>4210837</v>
      </c>
      <c r="O52" s="1270">
        <f>IF($D52="нет",0,VLOOKUP($D52,Ф_806_2024[],MATCH(O$6,'Ф_806_2024'!$1:$1,0),0))</f>
        <v>4210837</v>
      </c>
      <c r="P52" s="1269"/>
    </row>
    <row r="53" spans="1:16" ht="30" x14ac:dyDescent="0.2">
      <c r="A53" s="21"/>
      <c r="B53" s="1508" t="s">
        <v>1463</v>
      </c>
      <c r="C53" s="1508" t="s">
        <v>1534</v>
      </c>
      <c r="D53" s="1508" t="s">
        <v>1535</v>
      </c>
      <c r="E53" s="291" t="s">
        <v>1398</v>
      </c>
      <c r="F53" s="373"/>
      <c r="G53" s="1504">
        <f>IF($B53="нет",0,VLOOKUP($B53,Ф_806_2018_2015[],MATCH(G$6,'Ф_806_2018-2015'!$1:$1,0),0))</f>
        <v>0</v>
      </c>
      <c r="H53" s="1281">
        <f>IF($B53="нет",0,VLOOKUP($B53,Ф_806_2018_2015[],MATCH(H$6,'Ф_806_2018-2015'!$1:$1,0),0))</f>
        <v>0</v>
      </c>
      <c r="I53" s="1281">
        <f>IF($B53="нет",0,VLOOKUP($B53,Ф_806_2018_2015[],MATCH(I$6,'Ф_806_2018-2015'!$1:$1,0),0))</f>
        <v>0</v>
      </c>
      <c r="J53" s="1270">
        <f>IF($C53="нет",0,VLOOKUP($C53,Ф_806_2023_2019[],MATCH(J$6,'Ф_806_2023-2019'!$1:$1,0),0))</f>
        <v>0</v>
      </c>
      <c r="K53" s="1270">
        <f>IF($C53="нет",0,VLOOKUP($C53,Ф_806_2023_2019[],MATCH(K$6,'Ф_806_2023-2019'!$1:$1,0),0))</f>
        <v>0</v>
      </c>
      <c r="L53" s="1270">
        <f>IF($C53="нет",0,VLOOKUP($C53,Ф_806_2023_2019[],MATCH(L$6,'Ф_806_2023-2019'!$1:$1,0),0))</f>
        <v>0</v>
      </c>
      <c r="M53" s="1270">
        <f>IF($C53="нет",0,VLOOKUP($C53,Ф_806_2023_2019[],MATCH(M$6,'Ф_806_2023-2019'!$1:$1,0),0))</f>
        <v>0</v>
      </c>
      <c r="N53" s="1270">
        <f>IF($C53="нет",0,VLOOKUP($C53,Ф_806_2023_2019[],MATCH(N$6,'Ф_806_2023-2019'!$1:$1,0),0))</f>
        <v>0</v>
      </c>
      <c r="O53" s="1270">
        <f>IF($D53="нет",0,VLOOKUP($D53,Ф_806_2024[],MATCH(O$6,'Ф_806_2024'!$1:$1,0),0))</f>
        <v>0</v>
      </c>
      <c r="P53" s="1269"/>
    </row>
    <row r="54" spans="1:16" ht="46.5" x14ac:dyDescent="0.25">
      <c r="A54" s="21"/>
      <c r="B54" s="1508" t="s">
        <v>1463</v>
      </c>
      <c r="C54" s="1508" t="s">
        <v>1463</v>
      </c>
      <c r="D54" s="1508" t="s">
        <v>1536</v>
      </c>
      <c r="E54" s="291" t="s">
        <v>3428</v>
      </c>
      <c r="F54" s="373"/>
      <c r="G54" s="1504">
        <f>IF($B54="нет",0,VLOOKUP($B54,Ф_806_2018_2015[],MATCH(G$6,'Ф_806_2018-2015'!$1:$1,0),0))</f>
        <v>0</v>
      </c>
      <c r="H54" s="1281">
        <f>IF($B54="нет",0,VLOOKUP($B54,Ф_806_2018_2015[],MATCH(H$6,'Ф_806_2018-2015'!$1:$1,0),0))</f>
        <v>0</v>
      </c>
      <c r="I54" s="1281">
        <f>IF($B54="нет",0,VLOOKUP($B54,Ф_806_2018_2015[],MATCH(I$6,'Ф_806_2018-2015'!$1:$1,0),0))</f>
        <v>0</v>
      </c>
      <c r="J54" s="1270">
        <f>IF($C54="нет",0,VLOOKUP($C54,Ф_806_2023_2019[],MATCH(J$6,'Ф_806_2023-2019'!$1:$1,0),0))</f>
        <v>0</v>
      </c>
      <c r="K54" s="1270">
        <f>IF($C54="нет",0,VLOOKUP($C54,Ф_806_2023_2019[],MATCH(K$6,'Ф_806_2023-2019'!$1:$1,0),0))</f>
        <v>0</v>
      </c>
      <c r="L54" s="1270">
        <f>IF($C54="нет",0,VLOOKUP($C54,Ф_806_2023_2019[],MATCH(L$6,'Ф_806_2023-2019'!$1:$1,0),0))</f>
        <v>0</v>
      </c>
      <c r="M54" s="1270">
        <f>IF($C54="нет",0,VLOOKUP($C54,Ф_806_2023_2019[],MATCH(M$6,'Ф_806_2023-2019'!$1:$1,0),0))</f>
        <v>0</v>
      </c>
      <c r="N54" s="1270">
        <f>IF($C54="нет",0,VLOOKUP($C54,Ф_806_2023_2019[],MATCH(N$6,'Ф_806_2023-2019'!$1:$1,0),0))</f>
        <v>0</v>
      </c>
      <c r="O54" s="1270">
        <f>IF($D54="нет",0,VLOOKUP($D54,Ф_806_2024[],MATCH(O$6,'Ф_806_2024'!$1:$1,0),0))</f>
        <v>0</v>
      </c>
      <c r="P54" s="1269"/>
    </row>
    <row r="55" spans="1:16" x14ac:dyDescent="0.2">
      <c r="A55" s="21"/>
      <c r="B55" s="1508" t="s">
        <v>1463</v>
      </c>
      <c r="C55" s="1508" t="s">
        <v>1535</v>
      </c>
      <c r="D55" s="1508" t="s">
        <v>1537</v>
      </c>
      <c r="E55" s="291" t="s">
        <v>1399</v>
      </c>
      <c r="F55" s="373"/>
      <c r="G55" s="1504">
        <f>IF($B55="нет",0,VLOOKUP($B55,Ф_806_2018_2015[],MATCH(G$6,'Ф_806_2018-2015'!$1:$1,0),0))</f>
        <v>0</v>
      </c>
      <c r="H55" s="1281">
        <f>IF($B55="нет",0,VLOOKUP($B55,Ф_806_2018_2015[],MATCH(H$6,'Ф_806_2018-2015'!$1:$1,0),0))</f>
        <v>0</v>
      </c>
      <c r="I55" s="1281">
        <f>IF($B55="нет",0,VLOOKUP($B55,Ф_806_2018_2015[],MATCH(I$6,'Ф_806_2018-2015'!$1:$1,0),0))</f>
        <v>0</v>
      </c>
      <c r="J55" s="1270">
        <f>IF($C55="нет",0,VLOOKUP($C55,Ф_806_2023_2019[],MATCH(J$6,'Ф_806_2023-2019'!$1:$1,0),0))</f>
        <v>120902</v>
      </c>
      <c r="K55" s="1270">
        <f>IF($C55="нет",0,VLOOKUP($C55,Ф_806_2023_2019[],MATCH(K$6,'Ф_806_2023-2019'!$1:$1,0),0))</f>
        <v>35233</v>
      </c>
      <c r="L55" s="1270">
        <f>IF($C55="нет",0,VLOOKUP($C55,Ф_806_2023_2019[],MATCH(L$6,'Ф_806_2023-2019'!$1:$1,0),0))</f>
        <v>54360</v>
      </c>
      <c r="M55" s="1270">
        <f>IF($C55="нет",0,VLOOKUP($C55,Ф_806_2023_2019[],MATCH(M$6,'Ф_806_2023-2019'!$1:$1,0),0))</f>
        <v>36258</v>
      </c>
      <c r="N55" s="1270">
        <f>IF($C55="нет",0,VLOOKUP($C55,Ф_806_2023_2019[],MATCH(N$6,'Ф_806_2023-2019'!$1:$1,0),0))</f>
        <v>92027</v>
      </c>
      <c r="O55" s="1270">
        <f>IF($D55="нет",0,VLOOKUP($D55,Ф_806_2024[],MATCH(O$6,'Ф_806_2024'!$1:$1,0),0))</f>
        <v>474163</v>
      </c>
      <c r="P55" s="1269"/>
    </row>
    <row r="56" spans="1:16" x14ac:dyDescent="0.2">
      <c r="A56" s="21"/>
      <c r="B56" s="1508" t="s">
        <v>1534</v>
      </c>
      <c r="C56" s="1508" t="s">
        <v>1463</v>
      </c>
      <c r="D56" s="1508" t="s">
        <v>1463</v>
      </c>
      <c r="E56" s="291" t="s">
        <v>1550</v>
      </c>
      <c r="F56" s="373"/>
      <c r="G56" s="1504">
        <f>IF($B56="нет",0,VLOOKUP($B56,Ф_806_2018_2015[],MATCH(G$6,'Ф_806_2018-2015'!$1:$1,0),0))</f>
        <v>805713</v>
      </c>
      <c r="H56" s="1281">
        <f>IF($B56="нет",0,VLOOKUP($B56,Ф_806_2018_2015[],MATCH(H$6,'Ф_806_2018-2015'!$1:$1,0),0))</f>
        <v>1423889</v>
      </c>
      <c r="I56" s="1281">
        <f>IF($B56="нет",0,VLOOKUP($B56,Ф_806_2018_2015[],MATCH(I$6,'Ф_806_2018-2015'!$1:$1,0),0))</f>
        <v>2180649</v>
      </c>
      <c r="J56" s="1270">
        <f>IF($C56="нет",0,VLOOKUP($C56,Ф_806_2023_2019[],MATCH(J$6,'Ф_806_2023-2019'!$1:$1,0),0))</f>
        <v>0</v>
      </c>
      <c r="K56" s="1270">
        <f>IF($C56="нет",0,VLOOKUP($C56,Ф_806_2023_2019[],MATCH(K$6,'Ф_806_2023-2019'!$1:$1,0),0))</f>
        <v>0</v>
      </c>
      <c r="L56" s="1270">
        <f>IF($C56="нет",0,VLOOKUP($C56,Ф_806_2023_2019[],MATCH(L$6,'Ф_806_2023-2019'!$1:$1,0),0))</f>
        <v>0</v>
      </c>
      <c r="M56" s="1270">
        <f>IF($C56="нет",0,VLOOKUP($C56,Ф_806_2023_2019[],MATCH(M$6,'Ф_806_2023-2019'!$1:$1,0),0))</f>
        <v>0</v>
      </c>
      <c r="N56" s="1270">
        <f>IF($C56="нет",0,VLOOKUP($C56,Ф_806_2023_2019[],MATCH(N$6,'Ф_806_2023-2019'!$1:$1,0),0))</f>
        <v>0</v>
      </c>
      <c r="O56" s="1270">
        <f>IF($D56="нет",0,VLOOKUP($D56,Ф_806_2024[],MATCH(O$6,'Ф_806_2024'!$1:$1,0),0))</f>
        <v>0</v>
      </c>
      <c r="P56" s="1269"/>
    </row>
    <row r="57" spans="1:16" x14ac:dyDescent="0.2">
      <c r="A57" s="21"/>
      <c r="B57" s="1508" t="s">
        <v>1535</v>
      </c>
      <c r="C57" s="1508" t="s">
        <v>1463</v>
      </c>
      <c r="D57" s="1508" t="s">
        <v>1463</v>
      </c>
      <c r="E57" s="291" t="s">
        <v>1551</v>
      </c>
      <c r="F57" s="373"/>
      <c r="G57" s="1504">
        <f>IF($B57="нет",0,VLOOKUP($B57,Ф_806_2018_2015[],MATCH(G$6,'Ф_806_2018-2015'!$1:$1,0),0))</f>
        <v>650682</v>
      </c>
      <c r="H57" s="1281">
        <f>IF($B57="нет",0,VLOOKUP($B57,Ф_806_2018_2015[],MATCH(H$6,'Ф_806_2018-2015'!$1:$1,0),0))</f>
        <v>796590</v>
      </c>
      <c r="I57" s="1281">
        <f>IF($B57="нет",0,VLOOKUP($B57,Ф_806_2018_2015[],MATCH(I$6,'Ф_806_2018-2015'!$1:$1,0),0))</f>
        <v>2710615</v>
      </c>
      <c r="J57" s="1270">
        <f>IF($C57="нет",0,VLOOKUP($C57,Ф_806_2023_2019[],MATCH(J$6,'Ф_806_2023-2019'!$1:$1,0),0))</f>
        <v>0</v>
      </c>
      <c r="K57" s="1270">
        <f>IF($C57="нет",0,VLOOKUP($C57,Ф_806_2023_2019[],MATCH(K$6,'Ф_806_2023-2019'!$1:$1,0),0))</f>
        <v>0</v>
      </c>
      <c r="L57" s="1270">
        <f>IF($C57="нет",0,VLOOKUP($C57,Ф_806_2023_2019[],MATCH(L$6,'Ф_806_2023-2019'!$1:$1,0),0))</f>
        <v>0</v>
      </c>
      <c r="M57" s="1270">
        <f>IF($C57="нет",0,VLOOKUP($C57,Ф_806_2023_2019[],MATCH(M$6,'Ф_806_2023-2019'!$1:$1,0),0))</f>
        <v>0</v>
      </c>
      <c r="N57" s="1270">
        <f>IF($C57="нет",0,VLOOKUP($C57,Ф_806_2023_2019[],MATCH(N$6,'Ф_806_2023-2019'!$1:$1,0),0))</f>
        <v>0</v>
      </c>
      <c r="O57" s="1270">
        <f>IF($D57="нет",0,VLOOKUP($D57,Ф_806_2024[],MATCH(O$6,'Ф_806_2024'!$1:$1,0),0))</f>
        <v>0</v>
      </c>
      <c r="P57" s="1269"/>
    </row>
    <row r="58" spans="1:16" ht="15.75" thickBot="1" x14ac:dyDescent="0.25">
      <c r="A58" s="21"/>
      <c r="B58" s="1508" t="s">
        <v>1463</v>
      </c>
      <c r="C58" s="1508" t="s">
        <v>1536</v>
      </c>
      <c r="D58" s="1508" t="s">
        <v>2594</v>
      </c>
      <c r="E58" s="291" t="s">
        <v>1538</v>
      </c>
      <c r="F58" s="373"/>
      <c r="G58" s="1503">
        <f>IF($B58="нет",0,VLOOKUP($B58,Ф_806_2018_2015[],MATCH(G$6,'Ф_806_2018-2015'!$1:$1,0),0))</f>
        <v>0</v>
      </c>
      <c r="H58" s="1270">
        <f>IF($B58="нет",0,VLOOKUP($B58,Ф_806_2018_2015[],MATCH(H$6,'Ф_806_2018-2015'!$1:$1,0),0))</f>
        <v>0</v>
      </c>
      <c r="I58" s="1270">
        <f>IF($B58="нет",0,VLOOKUP($B58,Ф_806_2018_2015[],MATCH(I$6,'Ф_806_2018-2015'!$1:$1,0),0))</f>
        <v>0</v>
      </c>
      <c r="J58" s="1270">
        <f>IF($C58="нет",0,VLOOKUP($C58,Ф_806_2023_2019[],MATCH(J$6,'Ф_806_2023-2019'!$1:$1,0),0))</f>
        <v>14250160</v>
      </c>
      <c r="K58" s="1270">
        <f>IF($C58="нет",0,VLOOKUP($C58,Ф_806_2023_2019[],MATCH(K$6,'Ф_806_2023-2019'!$1:$1,0),0))</f>
        <v>18295395</v>
      </c>
      <c r="L58" s="1270">
        <f>IF($C58="нет",0,VLOOKUP($C58,Ф_806_2023_2019[],MATCH(L$6,'Ф_806_2023-2019'!$1:$1,0),0))</f>
        <v>24381302</v>
      </c>
      <c r="M58" s="1270">
        <f>IF($C58="нет",0,VLOOKUP($C58,Ф_806_2023_2019[],MATCH(M$6,'Ф_806_2023-2019'!$1:$1,0),0))</f>
        <v>25623415</v>
      </c>
      <c r="N58" s="1270">
        <f>IF($C58="нет",0,VLOOKUP($C58,Ф_806_2023_2019[],MATCH(N$6,'Ф_806_2023-2019'!$1:$1,0),0))</f>
        <v>31973825</v>
      </c>
      <c r="O58" s="1270">
        <f>IF($D58="нет",0,VLOOKUP($D58,Ф_806_2024[],MATCH(O$6,'Ф_806_2024'!$1:$1,0),0))</f>
        <v>47074000</v>
      </c>
      <c r="P58" s="1269"/>
    </row>
    <row r="59" spans="1:16" ht="18" customHeight="1" thickTop="1" x14ac:dyDescent="0.25">
      <c r="A59" s="21"/>
      <c r="B59" s="1529"/>
      <c r="C59" s="1529"/>
      <c r="D59" s="1529"/>
      <c r="E59" s="1536" t="s">
        <v>3432</v>
      </c>
      <c r="F59" s="1528"/>
      <c r="G59" s="1538">
        <f>VLOOKUP($E59,'Ф_806_2018-2015'!$62:$65,MATCH(Ввод!G$6,'Ф_806_2018-2015'!$62:$62,0))</f>
        <v>0</v>
      </c>
      <c r="H59" s="1538">
        <f>VLOOKUP($E59,'Ф_806_2018-2015'!$62:$65,MATCH(Ввод!H$6,'Ф_806_2018-2015'!$62:$62,0))</f>
        <v>0</v>
      </c>
      <c r="I59" s="1538">
        <f>VLOOKUP($E59,'Ф_806_2018-2015'!$62:$65,MATCH(Ввод!I$6,'Ф_806_2018-2015'!$62:$62,0))</f>
        <v>0</v>
      </c>
      <c r="J59" s="1538">
        <f>VLOOKUP($E59,'Ф_806_2023-2019'!$62:$65,MATCH(Ввод!J$6,'Ф_806_2023-2019'!$62:$62,0))</f>
        <v>0</v>
      </c>
      <c r="K59" s="1538">
        <f>VLOOKUP($E59,'Ф_806_2023-2019'!$62:$65,MATCH(Ввод!K$6,'Ф_806_2023-2019'!$62:$62,0))</f>
        <v>0</v>
      </c>
      <c r="L59" s="1538">
        <f>VLOOKUP($E59,'Ф_806_2023-2019'!$62:$65,MATCH(Ввод!L$6,'Ф_806_2023-2019'!$62:$62,0))</f>
        <v>0</v>
      </c>
      <c r="M59" s="1538">
        <f>VLOOKUP($E59,'Ф_806_2023-2019'!$62:$65,MATCH(Ввод!M$6,'Ф_806_2023-2019'!$62:$62,0))</f>
        <v>0</v>
      </c>
      <c r="N59" s="1538">
        <f>VLOOKUP($E59,'Ф_806_2023-2019'!$62:$65,MATCH(Ввод!N$6,'Ф_806_2023-2019'!$62:$62,0))</f>
        <v>0</v>
      </c>
      <c r="O59" s="1539">
        <f>VLOOKUP($E59,'Ф_806_2024'!$62:$65,MATCH(Ввод!O$6,'Ф_806_2024'!$62:$62,0))</f>
        <v>0</v>
      </c>
      <c r="P59" s="1539"/>
    </row>
    <row r="60" spans="1:16" s="292" customFormat="1" ht="24" customHeight="1" x14ac:dyDescent="0.25">
      <c r="A60" s="297"/>
      <c r="B60" s="1221" t="s">
        <v>1536</v>
      </c>
      <c r="C60" s="1221" t="s">
        <v>1537</v>
      </c>
      <c r="D60" s="1221" t="s">
        <v>2595</v>
      </c>
      <c r="E60" s="307" t="s">
        <v>364</v>
      </c>
      <c r="F60" s="377">
        <f t="shared" ref="F60" si="5">SUM(F44:F58)</f>
        <v>0</v>
      </c>
      <c r="G60" s="1532">
        <f>IF(G7&lt;2019,SUM(G44,-G45,G46:G52,G56:G57,G59),SUM(G44,-G45,G46:G55,G58:G59))</f>
        <v>49870344</v>
      </c>
      <c r="H60" s="1524">
        <f t="shared" ref="H60:N60" si="6">IF(H7&lt;2019,SUM(H44,-H45,H46:H52,H56:H57,H59),SUM(H44,-H45,H46:H55,H58:H59))</f>
        <v>63876246</v>
      </c>
      <c r="I60" s="1524">
        <f t="shared" si="6"/>
        <v>65479410</v>
      </c>
      <c r="J60" s="1524">
        <f t="shared" ref="J60" si="7">IF(J7&lt;2019,SUM(J44,-J45,J46:J52,J56:J57,J59),SUM(J44,-J45,J46:J55,J58:J59))</f>
        <v>73163479</v>
      </c>
      <c r="K60" s="1524">
        <f t="shared" si="6"/>
        <v>72727427</v>
      </c>
      <c r="L60" s="1524">
        <f t="shared" si="6"/>
        <v>78197317</v>
      </c>
      <c r="M60" s="1524">
        <f t="shared" si="6"/>
        <v>76648271</v>
      </c>
      <c r="N60" s="1524">
        <f t="shared" si="6"/>
        <v>92638407</v>
      </c>
      <c r="O60" s="1524">
        <f>IF(O7&lt;2019,SUM(O44,-O45,O46:O52,O56:O57,O59),SUM(O44,-O45,O46:O55,O58:O59))</f>
        <v>105098960</v>
      </c>
      <c r="P60" s="1524"/>
    </row>
    <row r="61" spans="1:16" s="292" customFormat="1" ht="35.25" customHeight="1" x14ac:dyDescent="0.25">
      <c r="A61" s="297"/>
      <c r="B61" s="437"/>
      <c r="C61" s="1221"/>
      <c r="D61" s="1221"/>
      <c r="E61" s="307" t="s">
        <v>365</v>
      </c>
      <c r="F61" s="375">
        <f t="shared" ref="F61:G61" si="8">F42+F60</f>
        <v>0</v>
      </c>
      <c r="G61" s="1533">
        <f t="shared" si="8"/>
        <v>442347986</v>
      </c>
      <c r="H61" s="1534">
        <f t="shared" ref="H61:O61" si="9">H42+H60</f>
        <v>436384381</v>
      </c>
      <c r="I61" s="1534">
        <f t="shared" si="9"/>
        <v>498327494</v>
      </c>
      <c r="J61" s="1534">
        <f t="shared" ref="J61" si="10">J42+J60</f>
        <v>561144680</v>
      </c>
      <c r="K61" s="1534">
        <f t="shared" si="9"/>
        <v>594025543</v>
      </c>
      <c r="L61" s="1534">
        <f t="shared" si="9"/>
        <v>653574443</v>
      </c>
      <c r="M61" s="1534">
        <f t="shared" si="9"/>
        <v>811266749</v>
      </c>
      <c r="N61" s="1534">
        <f t="shared" si="9"/>
        <v>837684837</v>
      </c>
      <c r="O61" s="1534">
        <f t="shared" si="9"/>
        <v>931506637</v>
      </c>
      <c r="P61" s="1534"/>
    </row>
    <row r="62" spans="1:16" s="305" customFormat="1" ht="19.5" customHeight="1" outlineLevel="1" x14ac:dyDescent="0.25">
      <c r="A62" s="304"/>
      <c r="B62" s="304"/>
      <c r="C62" s="1241"/>
      <c r="D62" s="1241"/>
      <c r="E62" s="309" t="s">
        <v>366</v>
      </c>
      <c r="F62" s="386">
        <f t="shared" ref="F62:L62" si="11">F24-F61</f>
        <v>0</v>
      </c>
      <c r="G62" s="1311">
        <f t="shared" si="11"/>
        <v>0</v>
      </c>
      <c r="H62" s="1311">
        <f t="shared" si="11"/>
        <v>0</v>
      </c>
      <c r="I62" s="1311">
        <f t="shared" si="11"/>
        <v>0</v>
      </c>
      <c r="J62" s="1311">
        <f t="shared" si="11"/>
        <v>0</v>
      </c>
      <c r="K62" s="1311">
        <f t="shared" si="11"/>
        <v>0</v>
      </c>
      <c r="L62" s="1311">
        <f t="shared" si="11"/>
        <v>0</v>
      </c>
      <c r="M62" s="1311">
        <f t="shared" ref="M62:O62" si="12">M24-M61</f>
        <v>0</v>
      </c>
      <c r="N62" s="1311">
        <f t="shared" si="12"/>
        <v>0</v>
      </c>
      <c r="O62" s="1311">
        <f t="shared" si="12"/>
        <v>0</v>
      </c>
      <c r="P62" s="1311"/>
    </row>
    <row r="63" spans="1:16" x14ac:dyDescent="0.2">
      <c r="A63" s="21"/>
      <c r="B63" s="21"/>
      <c r="C63" s="21"/>
      <c r="D63" s="21"/>
      <c r="E63" s="291"/>
      <c r="F63" s="387"/>
      <c r="G63" s="1281"/>
      <c r="H63" s="1281"/>
      <c r="I63" s="1281"/>
      <c r="J63" s="1281"/>
      <c r="K63" s="1281"/>
      <c r="L63" s="1281"/>
      <c r="M63" s="1281"/>
      <c r="N63" s="1281"/>
      <c r="O63" s="1281"/>
      <c r="P63" s="1281"/>
    </row>
    <row r="64" spans="1:16" x14ac:dyDescent="0.2">
      <c r="A64" s="21"/>
      <c r="B64" s="21"/>
      <c r="C64" s="21"/>
      <c r="D64" s="21"/>
      <c r="E64" s="291"/>
      <c r="F64" s="387"/>
      <c r="G64" s="1281"/>
      <c r="H64" s="1281"/>
      <c r="I64" s="1281"/>
      <c r="J64" s="1281"/>
      <c r="K64" s="1281"/>
      <c r="L64" s="1281"/>
      <c r="M64" s="1281"/>
      <c r="N64" s="1281"/>
      <c r="O64" s="1281"/>
      <c r="P64" s="1281"/>
    </row>
    <row r="65" spans="1:16" s="28" customFormat="1" ht="16.5" thickBot="1" x14ac:dyDescent="0.3">
      <c r="A65" s="11"/>
      <c r="B65" s="437"/>
      <c r="C65" s="437"/>
      <c r="D65" s="437"/>
      <c r="E65" s="303" t="s">
        <v>217</v>
      </c>
      <c r="F65" s="390"/>
      <c r="G65" s="1313"/>
      <c r="H65" s="1314"/>
      <c r="I65" s="1315"/>
      <c r="J65" s="1314"/>
      <c r="K65" s="1315"/>
      <c r="L65" s="1315"/>
      <c r="M65" s="1315"/>
      <c r="N65" s="1315"/>
      <c r="O65" s="1315"/>
      <c r="P65" s="1315"/>
    </row>
    <row r="66" spans="1:16" ht="15.75" thickTop="1" x14ac:dyDescent="0.2">
      <c r="A66" s="21"/>
      <c r="B66" s="1215" t="s">
        <v>1537</v>
      </c>
      <c r="C66" s="1215" t="s">
        <v>2594</v>
      </c>
      <c r="D66" s="1215" t="s">
        <v>2596</v>
      </c>
      <c r="E66" s="291" t="s">
        <v>575</v>
      </c>
      <c r="F66" s="373"/>
      <c r="G66" s="1511">
        <f>IF($B66="нет",0,VLOOKUP($B66,Ф_806_2018_2015[],MATCH(G$6,'Ф_806_2018-2015'!$1:$1,0),0))</f>
        <v>105551441</v>
      </c>
      <c r="H66" s="1132">
        <f>IF($B66="нет",0,VLOOKUP($B66,Ф_806_2018_2015[],MATCH(H$6,'Ф_806_2018-2015'!$1:$1,0),0))</f>
        <v>168695869</v>
      </c>
      <c r="I66" s="1132">
        <f>IF($B66="нет",0,VLOOKUP($B66,Ф_806_2018_2015[],MATCH(I$6,'Ф_806_2018-2015'!$1:$1,0),0))</f>
        <v>250882222</v>
      </c>
      <c r="J66" s="1281" t="e">
        <f>IF($B66="нет",0,VLOOKUP($B66,Ф_806_2018_2015[],MATCH(J$6,'Ф_806_2018-2015'!$1:$1,0),0))</f>
        <v>#N/A</v>
      </c>
      <c r="K66" s="1132">
        <f>IF($C66="нет",0,VLOOKUP($C66,Ф_806_2023_2019[],MATCH(K$6,'Ф_806_2023-2019'!$1:$1,0),0))</f>
        <v>515255497</v>
      </c>
      <c r="L66" s="1132">
        <f>IF($C66="нет",0,VLOOKUP($C66,Ф_806_2023_2019[],MATCH(L$6,'Ф_806_2023-2019'!$1:$1,0),0))</f>
        <v>584732323</v>
      </c>
      <c r="M66" s="1132">
        <f>IF($C66="нет",0,VLOOKUP($C66,Ф_806_2023_2019[],MATCH(M$6,'Ф_806_2023-2019'!$1:$1,0),0))</f>
        <v>589820020</v>
      </c>
      <c r="N66" s="1132">
        <f>IF($C66="нет",0,VLOOKUP($C66,Ф_806_2023_2019[],MATCH(N$6,'Ф_806_2023-2019'!$1:$1,0),0))</f>
        <v>696809435</v>
      </c>
      <c r="O66" s="1132">
        <f>IF($D66="нет",0,VLOOKUP($D66,Ф_806_2024[],MATCH(O$6,'Ф_806_2024'!$1:$1,0),0))</f>
        <v>704624144</v>
      </c>
      <c r="P66" s="1316"/>
    </row>
    <row r="67" spans="1:16" x14ac:dyDescent="0.2">
      <c r="A67" s="21"/>
      <c r="B67" s="1215" t="s">
        <v>2594</v>
      </c>
      <c r="C67" s="1215" t="s">
        <v>2595</v>
      </c>
      <c r="D67" s="1215" t="s">
        <v>3110</v>
      </c>
      <c r="E67" s="291" t="s">
        <v>576</v>
      </c>
      <c r="F67" s="373"/>
      <c r="G67" s="1133">
        <f>IF($B67="нет",0,VLOOKUP($B67,Ф_806_2018_2015[],MATCH(G$6,'Ф_806_2018-2015'!$1:$1,0),0))</f>
        <v>28053711</v>
      </c>
      <c r="H67" s="1132">
        <f>IF($B67="нет",0,VLOOKUP($B67,Ф_806_2018_2015[],MATCH(H$6,'Ф_806_2018-2015'!$1:$1,0),0))</f>
        <v>36693585</v>
      </c>
      <c r="I67" s="1132">
        <f>IF($B67="нет",0,VLOOKUP($B67,Ф_806_2018_2015[],MATCH(I$6,'Ф_806_2018-2015'!$1:$1,0),0))</f>
        <v>38193257</v>
      </c>
      <c r="J67" s="1281" t="e">
        <f>IF($B67="нет",0,VLOOKUP($B67,Ф_806_2018_2015[],MATCH(J$6,'Ф_806_2018-2015'!$1:$1,0),0))</f>
        <v>#N/A</v>
      </c>
      <c r="K67" s="1132">
        <f>IF($C67="нет",0,VLOOKUP($C67,Ф_806_2023_2019[],MATCH(K$6,'Ф_806_2023-2019'!$1:$1,0),0))</f>
        <v>79537401</v>
      </c>
      <c r="L67" s="1132">
        <f>IF($C67="нет",0,VLOOKUP($C67,Ф_806_2023_2019[],MATCH(L$6,'Ф_806_2023-2019'!$1:$1,0),0))</f>
        <v>120409768</v>
      </c>
      <c r="M67" s="1132">
        <f>IF($C67="нет",0,VLOOKUP($C67,Ф_806_2023_2019[],MATCH(M$6,'Ф_806_2023-2019'!$1:$1,0),0))</f>
        <v>165422734</v>
      </c>
      <c r="N67" s="1132">
        <f>IF($C67="нет",0,VLOOKUP($C67,Ф_806_2023_2019[],MATCH(N$6,'Ф_806_2023-2019'!$1:$1,0),0))</f>
        <v>180142323</v>
      </c>
      <c r="O67" s="1132">
        <f>IF($D67="нет",0,VLOOKUP($D67,Ф_806_2024[],MATCH(O$6,'Ф_806_2024'!$1:$1,0),0))</f>
        <v>167663603</v>
      </c>
      <c r="P67" s="1134"/>
    </row>
    <row r="68" spans="1:16" ht="15.75" thickBot="1" x14ac:dyDescent="0.25">
      <c r="A68" s="21"/>
      <c r="B68" s="1215" t="s">
        <v>2595</v>
      </c>
      <c r="C68" s="1215" t="s">
        <v>2596</v>
      </c>
      <c r="D68" s="1215" t="s">
        <v>3112</v>
      </c>
      <c r="E68" s="291" t="s">
        <v>218</v>
      </c>
      <c r="F68" s="373"/>
      <c r="G68" s="1319">
        <f>IF($B68="нет",0,VLOOKUP($B68,Ф_806_2018_2015[],MATCH(G$6,'Ф_806_2018-2015'!$1:$1,0),0))</f>
        <v>0</v>
      </c>
      <c r="H68" s="1317">
        <f>IF($B68="нет",0,VLOOKUP($B68,Ф_806_2018_2015[],MATCH(H$6,'Ф_806_2018-2015'!$1:$1,0),0))</f>
        <v>0</v>
      </c>
      <c r="I68" s="1317">
        <f>IF($B68="нет",0,VLOOKUP($B68,Ф_806_2018_2015[],MATCH(I$6,'Ф_806_2018-2015'!$1:$1,0),0))</f>
        <v>0</v>
      </c>
      <c r="J68" s="1317" t="e">
        <f>IF($B68="нет",0,VLOOKUP($B68,Ф_806_2018_2015[],MATCH(J$6,'Ф_806_2018-2015'!$1:$1,0),0))</f>
        <v>#N/A</v>
      </c>
      <c r="K68" s="1317">
        <f>IF($C68="нет",0,VLOOKUP($C68,Ф_806_2023_2019[],MATCH(K$6,'Ф_806_2023-2019'!$1:$1,0),0))</f>
        <v>0</v>
      </c>
      <c r="L68" s="1317">
        <f>IF($C68="нет",0,VLOOKUP($C68,Ф_806_2023_2019[],MATCH(L$6,'Ф_806_2023-2019'!$1:$1,0),0))</f>
        <v>0</v>
      </c>
      <c r="M68" s="1317">
        <f>IF($C68="нет",0,VLOOKUP($C68,Ф_806_2023_2019[],MATCH(M$6,'Ф_806_2023-2019'!$1:$1,0),0))</f>
        <v>0</v>
      </c>
      <c r="N68" s="1317">
        <f>IF($C68="нет",0,VLOOKUP($C68,Ф_806_2023_2019[],MATCH(N$6,'Ф_806_2023-2019'!$1:$1,0),0))</f>
        <v>0</v>
      </c>
      <c r="O68" s="1317">
        <f>IF($D68="нет",0,VLOOKUP($D68,Ф_806_2024[],MATCH(O$6,'Ф_806_2024'!$1:$1,0),0))</f>
        <v>0</v>
      </c>
      <c r="P68" s="1318"/>
    </row>
    <row r="69" spans="1:16" ht="15.75" thickTop="1" x14ac:dyDescent="0.2">
      <c r="A69" s="21"/>
      <c r="B69" s="438"/>
      <c r="C69" s="438"/>
      <c r="D69" s="438"/>
      <c r="E69" s="291"/>
      <c r="F69" s="373"/>
      <c r="G69" s="1132"/>
      <c r="H69" s="1132"/>
      <c r="I69" s="1132"/>
      <c r="J69" s="1132"/>
      <c r="K69" s="1132"/>
      <c r="L69" s="1132"/>
      <c r="M69" s="1132"/>
      <c r="N69" s="1132"/>
      <c r="O69" s="1132"/>
      <c r="P69" s="1512"/>
    </row>
    <row r="70" spans="1:16" x14ac:dyDescent="0.2">
      <c r="A70" s="21"/>
      <c r="B70" s="438"/>
      <c r="C70" s="438"/>
      <c r="D70" s="438"/>
      <c r="E70" s="291"/>
      <c r="F70" s="373"/>
      <c r="G70" s="1132"/>
      <c r="H70" s="1132"/>
      <c r="I70" s="1132"/>
      <c r="J70" s="1132"/>
      <c r="K70" s="1132"/>
      <c r="L70" s="1132"/>
      <c r="M70" s="1132"/>
      <c r="N70" s="1132"/>
      <c r="O70" s="1132"/>
      <c r="P70" s="1132"/>
    </row>
    <row r="71" spans="1:16" x14ac:dyDescent="0.2">
      <c r="A71" s="21"/>
      <c r="B71" s="438"/>
      <c r="C71" s="438"/>
      <c r="D71" s="438"/>
      <c r="E71" s="291"/>
      <c r="F71" s="373"/>
      <c r="G71" s="1132"/>
      <c r="H71" s="1132"/>
      <c r="I71" s="1132"/>
      <c r="J71" s="1132"/>
      <c r="K71" s="1132"/>
      <c r="L71" s="1132"/>
      <c r="M71" s="1132"/>
      <c r="N71" s="1132"/>
      <c r="O71" s="1132"/>
      <c r="P71" s="1132"/>
    </row>
    <row r="72" spans="1:16" ht="16.5" thickBot="1" x14ac:dyDescent="0.3">
      <c r="A72" s="21"/>
      <c r="B72" s="1240"/>
      <c r="C72" s="1240"/>
      <c r="D72" s="1240"/>
      <c r="E72" s="316" t="s">
        <v>601</v>
      </c>
      <c r="F72" s="387" t="s">
        <v>368</v>
      </c>
      <c r="G72" s="318"/>
      <c r="H72" s="318"/>
      <c r="I72" s="318"/>
      <c r="J72" s="318"/>
      <c r="K72" s="318"/>
      <c r="L72" s="318"/>
      <c r="M72" s="318"/>
      <c r="N72" s="318"/>
      <c r="O72" s="318"/>
      <c r="P72" s="1513"/>
    </row>
    <row r="73" spans="1:16" ht="32.25" thickTop="1" x14ac:dyDescent="0.2">
      <c r="A73" s="21"/>
      <c r="B73" s="1180" t="s">
        <v>2933</v>
      </c>
      <c r="C73" s="1297" t="s">
        <v>2932</v>
      </c>
      <c r="D73" s="1297"/>
      <c r="E73" s="306" t="str">
        <f>E7</f>
        <v>тыс. руб.</v>
      </c>
      <c r="F73" s="1327">
        <f t="shared" ref="F73" si="13">F7</f>
        <v>0</v>
      </c>
      <c r="G73" s="1330" t="str">
        <f>TEXT(G7,0)</f>
        <v>2016</v>
      </c>
      <c r="H73" s="1331" t="str">
        <f t="shared" ref="H73:P73" si="14">TEXT(H7,0)</f>
        <v>2017</v>
      </c>
      <c r="I73" s="1331" t="str">
        <f t="shared" si="14"/>
        <v>2018</v>
      </c>
      <c r="J73" s="1331" t="str">
        <f t="shared" si="14"/>
        <v>2019</v>
      </c>
      <c r="K73" s="1331" t="str">
        <f t="shared" si="14"/>
        <v>2020</v>
      </c>
      <c r="L73" s="1332" t="str">
        <f t="shared" si="14"/>
        <v>2021</v>
      </c>
      <c r="M73" s="1332" t="str">
        <f t="shared" si="14"/>
        <v>2022</v>
      </c>
      <c r="N73" s="1332" t="str">
        <f t="shared" si="14"/>
        <v>2023</v>
      </c>
      <c r="O73" s="1332" t="str">
        <f t="shared" si="14"/>
        <v>2024</v>
      </c>
      <c r="P73" s="1333" t="str">
        <f t="shared" si="14"/>
        <v>2025</v>
      </c>
    </row>
    <row r="74" spans="1:16" x14ac:dyDescent="0.2">
      <c r="A74" s="21"/>
      <c r="B74" s="1229" t="s">
        <v>1571</v>
      </c>
      <c r="C74" s="1229" t="s">
        <v>1571</v>
      </c>
      <c r="D74" s="1229"/>
      <c r="E74" s="479" t="s">
        <v>578</v>
      </c>
      <c r="F74" s="1781"/>
      <c r="G74" s="1782">
        <f>IF($B74="нет",0,VLOOKUP($B74,Ф_807_2020_2015[],MATCH(G$73,'Ф_807_2020-2015'!$1:$1,0),0))</f>
        <v>39406966</v>
      </c>
      <c r="H74" s="1783">
        <f>IF($B74="нет",0,VLOOKUP($B74,Ф_807_2020_2015[],MATCH(H$73,'Ф_807_2020-2015'!$1:$1,0),0))</f>
        <v>32277374</v>
      </c>
      <c r="I74" s="1783">
        <f>IF($B74="нет",0,VLOOKUP($B74,Ф_807_2020_2015[],MATCH(I$73,'Ф_807_2020-2015'!$1:$1,0),0))</f>
        <v>32696102</v>
      </c>
      <c r="J74" s="1783">
        <f>IF($B74="нет",0,VLOOKUP($B74,Ф_807_2020_2015[],MATCH(J$73,'Ф_807_2020-2015'!$1:$1,0),0))</f>
        <v>34890129</v>
      </c>
      <c r="K74" s="1783">
        <f>IF($B74="нет",0,VLOOKUP($B74,Ф_807_2020_2015[],MATCH(K$73,'Ф_807_2020-2015'!$1:$1,0),0))</f>
        <v>35064279</v>
      </c>
      <c r="L74" s="1783">
        <f>IF($C74="нет",0,VLOOKUP($C74,Ф_807_2023_2021[],MATCH(L$73,'Ф_807_2023-2021'!$1:$1,0),0))</f>
        <v>34478939</v>
      </c>
      <c r="M74" s="1783">
        <f>IF($C74="нет",0,VLOOKUP($C74,Ф_807_2023_2021[],MATCH(M$73,'Ф_807_2023-2021'!$1:$1,0),0))</f>
        <v>52116860</v>
      </c>
      <c r="N74" s="1783">
        <f>IF($C74="нет",0,VLOOKUP($C74,Ф_807_2023_2021[],MATCH(N$73,'Ф_807_2023-2021'!$1:$1,0),0))</f>
        <v>70353320</v>
      </c>
      <c r="O74" s="1783">
        <f>IF($C74="нет",0,VLOOKUP($C74,Ф_807_2023_2021[],MATCH(O$73,'Ф_807_2023-2021'!$1:$1,0),0))</f>
        <v>119578613</v>
      </c>
      <c r="P74" s="1784"/>
    </row>
    <row r="75" spans="1:16" s="442" customFormat="1" x14ac:dyDescent="0.2">
      <c r="A75" s="439"/>
      <c r="B75" s="932" t="s">
        <v>4</v>
      </c>
      <c r="C75" s="932" t="s">
        <v>4</v>
      </c>
      <c r="D75" s="932"/>
      <c r="E75" s="742" t="s">
        <v>1310</v>
      </c>
      <c r="F75" s="1785"/>
      <c r="G75" s="1786">
        <f>IF($B75="нет",0,VLOOKUP($B75,Ф_807_2020_2015[],MATCH(G$73,'Ф_807_2020-2015'!$1:$1,0),0))</f>
        <v>1429268</v>
      </c>
      <c r="H75" s="1787">
        <f>IF($B75="нет",0,VLOOKUP($B75,Ф_807_2020_2015[],MATCH(H$73,'Ф_807_2020-2015'!$1:$1,0),0))</f>
        <v>2290198</v>
      </c>
      <c r="I75" s="1787">
        <f>IF($B75="нет",0,VLOOKUP($B75,Ф_807_2020_2015[],MATCH(I$73,'Ф_807_2020-2015'!$1:$1,0),0))</f>
        <v>5236226</v>
      </c>
      <c r="J75" s="1787">
        <f>IF($B75="нет",0,VLOOKUP($B75,Ф_807_2020_2015[],MATCH(J$73,'Ф_807_2020-2015'!$1:$1,0),0))</f>
        <v>8626417</v>
      </c>
      <c r="K75" s="1787">
        <f>IF($B75="нет",0,VLOOKUP($B75,Ф_807_2020_2015[],MATCH(K$73,'Ф_807_2020-2015'!$1:$1,0),0))</f>
        <v>4687320</v>
      </c>
      <c r="L75" s="1787">
        <f>IF($C75="нет",0,VLOOKUP($C75,Ф_807_2023_2021[],MATCH(L$73,'Ф_807_2023-2021'!$1:$1,0),0))</f>
        <v>3466338</v>
      </c>
      <c r="M75" s="1787">
        <f>IF($C75="нет",0,VLOOKUP($C75,Ф_807_2023_2021[],MATCH(M$73,'Ф_807_2023-2021'!$1:$1,0),0))</f>
        <v>9372191</v>
      </c>
      <c r="N75" s="1787">
        <f>IF($C75="нет",0,VLOOKUP($C75,Ф_807_2023_2021[],MATCH(N$73,'Ф_807_2023-2021'!$1:$1,0),0))</f>
        <v>20637092</v>
      </c>
      <c r="O75" s="1787">
        <f>IF($C75="нет",0,VLOOKUP($C75,Ф_807_2023_2021[],MATCH(O$73,'Ф_807_2023-2021'!$1:$1,0),0))</f>
        <v>35677313</v>
      </c>
      <c r="P75" s="1788"/>
    </row>
    <row r="76" spans="1:16" s="442" customFormat="1" ht="30" x14ac:dyDescent="0.2">
      <c r="A76" s="439"/>
      <c r="B76" s="932" t="s">
        <v>5</v>
      </c>
      <c r="C76" s="932" t="s">
        <v>5</v>
      </c>
      <c r="D76" s="932"/>
      <c r="E76" s="742" t="s">
        <v>1312</v>
      </c>
      <c r="F76" s="1785"/>
      <c r="G76" s="1786">
        <f>IF($B76="нет",0,VLOOKUP($B76,Ф_807_2020_2015[],MATCH(G$73,'Ф_807_2020-2015'!$1:$1,0),0))</f>
        <v>31803404</v>
      </c>
      <c r="H76" s="1787">
        <f>IF($B76="нет",0,VLOOKUP($B76,Ф_807_2020_2015[],MATCH(H$73,'Ф_807_2020-2015'!$1:$1,0),0))</f>
        <v>23222286</v>
      </c>
      <c r="I76" s="1787">
        <f>IF($B76="нет",0,VLOOKUP($B76,Ф_807_2020_2015[],MATCH(I$73,'Ф_807_2020-2015'!$1:$1,0),0))</f>
        <v>20227846</v>
      </c>
      <c r="J76" s="1787">
        <f>IF($B76="нет",0,VLOOKUP($B76,Ф_807_2020_2015[],MATCH(J$73,'Ф_807_2020-2015'!$1:$1,0),0))</f>
        <v>18769588</v>
      </c>
      <c r="K76" s="1787">
        <f>IF($B76="нет",0,VLOOKUP($B76,Ф_807_2020_2015[],MATCH(K$73,'Ф_807_2020-2015'!$1:$1,0),0))</f>
        <v>19162845</v>
      </c>
      <c r="L76" s="1787">
        <f>IF($C76="нет",0,VLOOKUP($C76,Ф_807_2023_2021[],MATCH(L$73,'Ф_807_2023-2021'!$1:$1,0),0))</f>
        <v>19636002</v>
      </c>
      <c r="M76" s="1787">
        <f>IF($C76="нет",0,VLOOKUP($C76,Ф_807_2023_2021[],MATCH(M$73,'Ф_807_2023-2021'!$1:$1,0),0))</f>
        <v>31379804</v>
      </c>
      <c r="N76" s="1787">
        <f>IF($C76="нет",0,VLOOKUP($C76,Ф_807_2023_2021[],MATCH(N$73,'Ф_807_2023-2021'!$1:$1,0),0))</f>
        <v>40192349</v>
      </c>
      <c r="O76" s="1787">
        <f>IF($C76="нет",0,VLOOKUP($C76,Ф_807_2023_2021[],MATCH(O$73,'Ф_807_2023-2021'!$1:$1,0),0))</f>
        <v>61806668</v>
      </c>
      <c r="P76" s="1788"/>
    </row>
    <row r="77" spans="1:16" s="442" customFormat="1" x14ac:dyDescent="0.2">
      <c r="A77" s="439"/>
      <c r="B77" s="932" t="s">
        <v>14</v>
      </c>
      <c r="C77" s="932" t="s">
        <v>1463</v>
      </c>
      <c r="D77" s="932"/>
      <c r="E77" s="742" t="s">
        <v>1314</v>
      </c>
      <c r="F77" s="1785"/>
      <c r="G77" s="1786">
        <f>IF($B77="нет",0,VLOOKUP($B77,Ф_807_2020_2015[],MATCH(G$73,'Ф_807_2020-2015'!$1:$1,0),0))</f>
        <v>0</v>
      </c>
      <c r="H77" s="1787">
        <f>IF($B77="нет",0,VLOOKUP($B77,Ф_807_2020_2015[],MATCH(H$73,'Ф_807_2020-2015'!$1:$1,0),0))</f>
        <v>0</v>
      </c>
      <c r="I77" s="1787">
        <f>IF($B77="нет",0,VLOOKUP($B77,Ф_807_2020_2015[],MATCH(I$73,'Ф_807_2020-2015'!$1:$1,0),0))</f>
        <v>0</v>
      </c>
      <c r="J77" s="1787">
        <f>IF($B77="нет",0,VLOOKUP($B77,Ф_807_2020_2015[],MATCH(J$73,'Ф_807_2020-2015'!$1:$1,0),0))</f>
        <v>0</v>
      </c>
      <c r="K77" s="1787">
        <f>IF($B77="нет",0,VLOOKUP($B77,Ф_807_2020_2015[],MATCH(K$73,'Ф_807_2020-2015'!$1:$1,0),0))</f>
        <v>0</v>
      </c>
      <c r="L77" s="1787">
        <f>IF($C77="нет",0,VLOOKUP($C77,Ф_807_2023_2021[],MATCH(L$73,'Ф_807_2023-2021'!$1:$1,0),0))</f>
        <v>0</v>
      </c>
      <c r="M77" s="1787">
        <f>IF($C77="нет",0,VLOOKUP($C77,Ф_807_2023_2021[],MATCH(M$73,'Ф_807_2023-2021'!$1:$1,0),0))</f>
        <v>0</v>
      </c>
      <c r="N77" s="1787">
        <f>IF($C77="нет",0,VLOOKUP($C77,Ф_807_2023_2021[],MATCH(N$73,'Ф_807_2023-2021'!$1:$1,0),0))</f>
        <v>0</v>
      </c>
      <c r="O77" s="1787">
        <f>IF($C77="нет",0,VLOOKUP($C77,Ф_807_2023_2021[],MATCH(O$73,'Ф_807_2023-2021'!$1:$1,0),0))</f>
        <v>0</v>
      </c>
      <c r="P77" s="1788"/>
    </row>
    <row r="78" spans="1:16" s="442" customFormat="1" x14ac:dyDescent="0.2">
      <c r="A78" s="439"/>
      <c r="B78" s="932" t="s">
        <v>540</v>
      </c>
      <c r="C78" s="932" t="s">
        <v>14</v>
      </c>
      <c r="D78" s="932"/>
      <c r="E78" s="742" t="s">
        <v>1315</v>
      </c>
      <c r="F78" s="1785"/>
      <c r="G78" s="1786">
        <f>IF($B78="нет",0,VLOOKUP($B78,Ф_807_2020_2015[],MATCH(G$73,'Ф_807_2020-2015'!$1:$1,0),0))</f>
        <v>6174294</v>
      </c>
      <c r="H78" s="1787">
        <f>IF($B78="нет",0,VLOOKUP($B78,Ф_807_2020_2015[],MATCH(H$73,'Ф_807_2020-2015'!$1:$1,0),0))</f>
        <v>6764890</v>
      </c>
      <c r="I78" s="1787">
        <f>IF($B78="нет",0,VLOOKUP($B78,Ф_807_2020_2015[],MATCH(I$73,'Ф_807_2020-2015'!$1:$1,0),0))</f>
        <v>7232030</v>
      </c>
      <c r="J78" s="1787">
        <f>IF($B78="нет",0,VLOOKUP($B78,Ф_807_2020_2015[],MATCH(J$73,'Ф_807_2020-2015'!$1:$1,0),0))</f>
        <v>7494124</v>
      </c>
      <c r="K78" s="1787">
        <f>IF($B78="нет",0,VLOOKUP($B78,Ф_807_2020_2015[],MATCH(K$73,'Ф_807_2020-2015'!$1:$1,0),0))</f>
        <v>11214114</v>
      </c>
      <c r="L78" s="1787">
        <f>IF($C78="нет",0,VLOOKUP($C78,Ф_807_2023_2021[],MATCH(L$73,'Ф_807_2023-2021'!$1:$1,0),0))</f>
        <v>11376599</v>
      </c>
      <c r="M78" s="1787">
        <f>IF($C78="нет",0,VLOOKUP($C78,Ф_807_2023_2021[],MATCH(M$73,'Ф_807_2023-2021'!$1:$1,0),0))</f>
        <v>11364865</v>
      </c>
      <c r="N78" s="1787">
        <f>IF($C78="нет",0,VLOOKUP($C78,Ф_807_2023_2021[],MATCH(N$73,'Ф_807_2023-2021'!$1:$1,0),0))</f>
        <v>9523879</v>
      </c>
      <c r="O78" s="1787">
        <f>IF($C78="нет",0,VLOOKUP($C78,Ф_807_2023_2021[],MATCH(O$73,'Ф_807_2023-2021'!$1:$1,0),0))</f>
        <v>22094632</v>
      </c>
      <c r="P78" s="1788"/>
    </row>
    <row r="79" spans="1:16" x14ac:dyDescent="0.2">
      <c r="A79" s="21"/>
      <c r="B79" s="1215" t="s">
        <v>1572</v>
      </c>
      <c r="C79" s="1215" t="s">
        <v>1572</v>
      </c>
      <c r="D79" s="1215"/>
      <c r="E79" s="479" t="s">
        <v>583</v>
      </c>
      <c r="F79" s="1781"/>
      <c r="G79" s="1782">
        <f>IF($B79="нет",0,VLOOKUP($B79,Ф_807_2020_2015[],MATCH(G$73,'Ф_807_2020-2015'!$1:$1,0),0))</f>
        <v>28438041</v>
      </c>
      <c r="H79" s="1783">
        <f>IF($B79="нет",0,VLOOKUP($B79,Ф_807_2020_2015[],MATCH(H$73,'Ф_807_2020-2015'!$1:$1,0),0))</f>
        <v>23507935</v>
      </c>
      <c r="I79" s="1783">
        <f>IF($B79="нет",0,VLOOKUP($B79,Ф_807_2020_2015[],MATCH(I$73,'Ф_807_2020-2015'!$1:$1,0),0))</f>
        <v>21830036</v>
      </c>
      <c r="J79" s="1783">
        <f>IF($B79="нет",0,VLOOKUP($B79,Ф_807_2020_2015[],MATCH(J$73,'Ф_807_2020-2015'!$1:$1,0),0))</f>
        <v>23983878</v>
      </c>
      <c r="K79" s="1783">
        <f>IF($B79="нет",0,VLOOKUP($B79,Ф_807_2020_2015[],MATCH(K$73,'Ф_807_2020-2015'!$1:$1,0),0))</f>
        <v>21867589</v>
      </c>
      <c r="L79" s="1783">
        <f>IF($C79="нет",0,VLOOKUP($C79,Ф_807_2023_2021[],MATCH(L$73,'Ф_807_2023-2021'!$1:$1,0),0))</f>
        <v>20186165</v>
      </c>
      <c r="M79" s="1783">
        <f>IF($C79="нет",0,VLOOKUP($C79,Ф_807_2023_2021[],MATCH(M$73,'Ф_807_2023-2021'!$1:$1,0),0))</f>
        <v>37110655</v>
      </c>
      <c r="N79" s="1783">
        <f>IF($C79="нет",0,VLOOKUP($C79,Ф_807_2023_2021[],MATCH(N$73,'Ф_807_2023-2021'!$1:$1,0),0))</f>
        <v>39533603</v>
      </c>
      <c r="O79" s="1783">
        <f>IF($C79="нет",0,VLOOKUP($C79,Ф_807_2023_2021[],MATCH(O$73,'Ф_807_2023-2021'!$1:$1,0),0))</f>
        <v>75149106</v>
      </c>
      <c r="P79" s="1784"/>
    </row>
    <row r="80" spans="1:16" s="442" customFormat="1" x14ac:dyDescent="0.2">
      <c r="A80" s="439"/>
      <c r="B80" s="932" t="s">
        <v>6</v>
      </c>
      <c r="C80" s="932" t="s">
        <v>6</v>
      </c>
      <c r="D80" s="932"/>
      <c r="E80" s="742" t="s">
        <v>1320</v>
      </c>
      <c r="F80" s="1785"/>
      <c r="G80" s="1786">
        <f>IF($B80="нет",0,VLOOKUP($B80,Ф_807_2020_2015[],MATCH(G$73,'Ф_807_2020-2015'!$1:$1,0),0))</f>
        <v>1713221</v>
      </c>
      <c r="H80" s="1787">
        <f>IF($B80="нет",0,VLOOKUP($B80,Ф_807_2020_2015[],MATCH(H$73,'Ф_807_2020-2015'!$1:$1,0),0))</f>
        <v>352116</v>
      </c>
      <c r="I80" s="1787">
        <f>IF($B80="нет",0,VLOOKUP($B80,Ф_807_2020_2015[],MATCH(I$73,'Ф_807_2020-2015'!$1:$1,0),0))</f>
        <v>537340</v>
      </c>
      <c r="J80" s="1787">
        <f>IF($B80="нет",0,VLOOKUP($B80,Ф_807_2020_2015[],MATCH(J$73,'Ф_807_2020-2015'!$1:$1,0),0))</f>
        <v>1127506</v>
      </c>
      <c r="K80" s="1787">
        <f>IF($B80="нет",0,VLOOKUP($B80,Ф_807_2020_2015[],MATCH(K$73,'Ф_807_2020-2015'!$1:$1,0),0))</f>
        <v>501761</v>
      </c>
      <c r="L80" s="1787">
        <f>IF($C80="нет",0,VLOOKUP($C80,Ф_807_2023_2021[],MATCH(L$73,'Ф_807_2023-2021'!$1:$1,0),0))</f>
        <v>1002505</v>
      </c>
      <c r="M80" s="1787">
        <f>IF($C80="нет",0,VLOOKUP($C80,Ф_807_2023_2021[],MATCH(M$73,'Ф_807_2023-2021'!$1:$1,0),0))</f>
        <v>2519571</v>
      </c>
      <c r="N80" s="1787">
        <f>IF($C80="нет",0,VLOOKUP($C80,Ф_807_2023_2021[],MATCH(N$73,'Ф_807_2023-2021'!$1:$1,0),0))</f>
        <v>3072135</v>
      </c>
      <c r="O80" s="1787">
        <f>IF($C80="нет",0,VLOOKUP($C80,Ф_807_2023_2021[],MATCH(O$73,'Ф_807_2023-2021'!$1:$1,0),0))</f>
        <v>15254448</v>
      </c>
      <c r="P80" s="1788"/>
    </row>
    <row r="81" spans="1:16" s="442" customFormat="1" ht="30" x14ac:dyDescent="0.2">
      <c r="A81" s="439"/>
      <c r="B81" s="932" t="s">
        <v>7</v>
      </c>
      <c r="C81" s="932" t="s">
        <v>7</v>
      </c>
      <c r="D81" s="932"/>
      <c r="E81" s="742" t="s">
        <v>1322</v>
      </c>
      <c r="F81" s="1785"/>
      <c r="G81" s="1786">
        <f>IF($B81="нет",0,VLOOKUP($B81,Ф_807_2020_2015[],MATCH(G$73,'Ф_807_2020-2015'!$1:$1,0),0))</f>
        <v>22371151</v>
      </c>
      <c r="H81" s="1787">
        <f>IF($B81="нет",0,VLOOKUP($B81,Ф_807_2020_2015[],MATCH(H$73,'Ф_807_2020-2015'!$1:$1,0),0))</f>
        <v>21251521</v>
      </c>
      <c r="I81" s="1787">
        <f>IF($B81="нет",0,VLOOKUP($B81,Ф_807_2020_2015[],MATCH(I$73,'Ф_807_2020-2015'!$1:$1,0),0))</f>
        <v>21008637</v>
      </c>
      <c r="J81" s="1787">
        <f>IF($B81="нет",0,VLOOKUP($B81,Ф_807_2020_2015[],MATCH(J$73,'Ф_807_2020-2015'!$1:$1,0),0))</f>
        <v>22801814</v>
      </c>
      <c r="K81" s="1787">
        <f>IF($B81="нет",0,VLOOKUP($B81,Ф_807_2020_2015[],MATCH(K$73,'Ф_807_2020-2015'!$1:$1,0),0))</f>
        <v>21304551</v>
      </c>
      <c r="L81" s="1787">
        <f>IF($C81="нет",0,VLOOKUP($C81,Ф_807_2023_2021[],MATCH(L$73,'Ф_807_2023-2021'!$1:$1,0),0))</f>
        <v>19165164</v>
      </c>
      <c r="M81" s="1787">
        <f>IF($C81="нет",0,VLOOKUP($C81,Ф_807_2023_2021[],MATCH(M$73,'Ф_807_2023-2021'!$1:$1,0),0))</f>
        <v>34590034</v>
      </c>
      <c r="N81" s="1787">
        <f>IF($C81="нет",0,VLOOKUP($C81,Ф_807_2023_2021[],MATCH(N$73,'Ф_807_2023-2021'!$1:$1,0),0))</f>
        <v>36453818</v>
      </c>
      <c r="O81" s="1787">
        <f>IF($C81="нет",0,VLOOKUP($C81,Ф_807_2023_2021[],MATCH(O$73,'Ф_807_2023-2021'!$1:$1,0),0))</f>
        <v>59891245</v>
      </c>
      <c r="P81" s="1788"/>
    </row>
    <row r="82" spans="1:16" s="442" customFormat="1" x14ac:dyDescent="0.2">
      <c r="A82" s="439"/>
      <c r="B82" s="932" t="s">
        <v>9</v>
      </c>
      <c r="C82" s="932" t="s">
        <v>9</v>
      </c>
      <c r="D82" s="932"/>
      <c r="E82" s="742" t="s">
        <v>1324</v>
      </c>
      <c r="F82" s="1785"/>
      <c r="G82" s="1786">
        <f>IF($B82="нет",0,VLOOKUP($B82,Ф_807_2020_2015[],MATCH(G$73,'Ф_807_2020-2015'!$1:$1,0),0))</f>
        <v>4353669</v>
      </c>
      <c r="H82" s="1787">
        <f>IF($B82="нет",0,VLOOKUP($B82,Ф_807_2020_2015[],MATCH(H$73,'Ф_807_2020-2015'!$1:$1,0),0))</f>
        <v>1904298</v>
      </c>
      <c r="I82" s="1787">
        <f>IF($B82="нет",0,VLOOKUP($B82,Ф_807_2020_2015[],MATCH(I$73,'Ф_807_2020-2015'!$1:$1,0),0))</f>
        <v>284059</v>
      </c>
      <c r="J82" s="1787">
        <f>IF($B82="нет",0,VLOOKUP($B82,Ф_807_2020_2015[],MATCH(J$73,'Ф_807_2020-2015'!$1:$1,0),0))</f>
        <v>54558</v>
      </c>
      <c r="K82" s="1787">
        <f>IF($B82="нет",0,VLOOKUP($B82,Ф_807_2020_2015[],MATCH(K$73,'Ф_807_2020-2015'!$1:$1,0),0))</f>
        <v>61277</v>
      </c>
      <c r="L82" s="1787">
        <f>IF($C82="нет",0,VLOOKUP($C82,Ф_807_2023_2021[],MATCH(L$73,'Ф_807_2023-2021'!$1:$1,0),0))</f>
        <v>18496</v>
      </c>
      <c r="M82" s="1787">
        <f>IF($C82="нет",0,VLOOKUP($C82,Ф_807_2023_2021[],MATCH(M$73,'Ф_807_2023-2021'!$1:$1,0),0))</f>
        <v>1050</v>
      </c>
      <c r="N82" s="1787">
        <f>IF($C82="нет",0,VLOOKUP($C82,Ф_807_2023_2021[],MATCH(N$73,'Ф_807_2023-2021'!$1:$1,0),0))</f>
        <v>7650</v>
      </c>
      <c r="O82" s="1787">
        <f>IF($C82="нет",0,VLOOKUP($C82,Ф_807_2023_2021[],MATCH(O$73,'Ф_807_2023-2021'!$1:$1,0),0))</f>
        <v>3413</v>
      </c>
      <c r="P82" s="1788"/>
    </row>
    <row r="83" spans="1:16" s="322" customFormat="1" ht="24.75" customHeight="1" x14ac:dyDescent="0.25">
      <c r="A83" s="320"/>
      <c r="B83" s="1229" t="s">
        <v>1539</v>
      </c>
      <c r="C83" s="1229" t="s">
        <v>1539</v>
      </c>
      <c r="D83" s="1229"/>
      <c r="E83" s="312" t="s">
        <v>587</v>
      </c>
      <c r="F83" s="1789"/>
      <c r="G83" s="1790">
        <f>IF($B83="нет",0,VLOOKUP($B83,Ф_807_2020_2015[],MATCH(G$73,'Ф_807_2020-2015'!$1:$1,0),0))</f>
        <v>10968925</v>
      </c>
      <c r="H83" s="1791">
        <f>IF($B83="нет",0,VLOOKUP($B83,Ф_807_2020_2015[],MATCH(H$73,'Ф_807_2020-2015'!$1:$1,0),0))</f>
        <v>8769439</v>
      </c>
      <c r="I83" s="1791">
        <f>IF($B83="нет",0,VLOOKUP($B83,Ф_807_2020_2015[],MATCH(I$73,'Ф_807_2020-2015'!$1:$1,0),0))</f>
        <v>10866066</v>
      </c>
      <c r="J83" s="1791">
        <f>IF($B83="нет",0,VLOOKUP($B83,Ф_807_2020_2015[],MATCH(J$73,'Ф_807_2020-2015'!$1:$1,0),0))</f>
        <v>10906251</v>
      </c>
      <c r="K83" s="1791">
        <f>IF($B83="нет",0,VLOOKUP($B83,Ф_807_2020_2015[],MATCH(K$73,'Ф_807_2020-2015'!$1:$1,0),0))</f>
        <v>13196690</v>
      </c>
      <c r="L83" s="1791">
        <f>IF($C83="нет",0,VLOOKUP($C83,Ф_807_2023_2021[],MATCH(L$73,'Ф_807_2023-2021'!$1:$1,0),0))</f>
        <v>14292774</v>
      </c>
      <c r="M83" s="1791">
        <f>IF($C83="нет",0,VLOOKUP($C83,Ф_807_2023_2021[],MATCH(M$73,'Ф_807_2023-2021'!$1:$1,0),0))</f>
        <v>15006205</v>
      </c>
      <c r="N83" s="1791">
        <f>IF($C83="нет",0,VLOOKUP($C83,Ф_807_2023_2021[],MATCH(N$73,'Ф_807_2023-2021'!$1:$1,0),0))</f>
        <v>30819717</v>
      </c>
      <c r="O83" s="1791">
        <f>IF($C83="нет",0,VLOOKUP($C83,Ф_807_2023_2021[],MATCH(O$73,'Ф_807_2023-2021'!$1:$1,0),0))</f>
        <v>44429507</v>
      </c>
      <c r="P83" s="1792"/>
    </row>
    <row r="84" spans="1:16" ht="74.25" customHeight="1" x14ac:dyDescent="0.2">
      <c r="A84" s="21"/>
      <c r="B84" s="1215" t="s">
        <v>1540</v>
      </c>
      <c r="C84" s="1215" t="s">
        <v>1540</v>
      </c>
      <c r="D84" s="1215"/>
      <c r="E84" s="479" t="s">
        <v>1327</v>
      </c>
      <c r="F84" s="1781"/>
      <c r="G84" s="1782">
        <f>IF($B84="нет",0,VLOOKUP($B84,Ф_807_2020_2015[],MATCH(G$73,'Ф_807_2020-2015'!$1:$1,0),0))</f>
        <v>-4442136</v>
      </c>
      <c r="H84" s="1783">
        <f>IF($B84="нет",0,VLOOKUP($B84,Ф_807_2020_2015[],MATCH(H$73,'Ф_807_2020-2015'!$1:$1,0),0))</f>
        <v>-7370259</v>
      </c>
      <c r="I84" s="1783">
        <f>IF($B84="нет",0,VLOOKUP($B84,Ф_807_2020_2015[],MATCH(I$73,'Ф_807_2020-2015'!$1:$1,0),0))</f>
        <v>-13131603</v>
      </c>
      <c r="J84" s="1783">
        <f>IF($B84="нет",0,VLOOKUP($B84,Ф_807_2020_2015[],MATCH(J$73,'Ф_807_2020-2015'!$1:$1,0),0))</f>
        <v>-189684</v>
      </c>
      <c r="K84" s="1783">
        <f>IF($B84="нет",0,VLOOKUP($B84,Ф_807_2020_2015[],MATCH(K$73,'Ф_807_2020-2015'!$1:$1,0),0))</f>
        <v>-15941611</v>
      </c>
      <c r="L84" s="1783">
        <f>IF($C84="нет",0,VLOOKUP($C84,Ф_807_2023_2021[],MATCH(L$73,'Ф_807_2023-2021'!$1:$1,0),0))</f>
        <v>-417331</v>
      </c>
      <c r="M84" s="1783">
        <f>IF($C84="нет",0,VLOOKUP($C84,Ф_807_2023_2021[],MATCH(M$73,'Ф_807_2023-2021'!$1:$1,0),0))</f>
        <v>-2156923</v>
      </c>
      <c r="N84" s="1783">
        <f>IF($C84="нет",0,VLOOKUP($C84,Ф_807_2023_2021[],MATCH(N$73,'Ф_807_2023-2021'!$1:$1,0),0))</f>
        <v>-9125230</v>
      </c>
      <c r="O84" s="1783">
        <f>IF($C84="нет",0,VLOOKUP($C84,Ф_807_2023_2021[],MATCH(O$73,'Ф_807_2023-2021'!$1:$1,0),0))</f>
        <v>-2780409</v>
      </c>
      <c r="P84" s="1784"/>
    </row>
    <row r="85" spans="1:16" s="442" customFormat="1" ht="36.75" customHeight="1" x14ac:dyDescent="0.2">
      <c r="A85" s="439"/>
      <c r="B85" s="1230" t="s">
        <v>480</v>
      </c>
      <c r="C85" s="1230" t="s">
        <v>480</v>
      </c>
      <c r="D85" s="1230"/>
      <c r="E85" s="742" t="s">
        <v>1329</v>
      </c>
      <c r="F85" s="1785"/>
      <c r="G85" s="1786">
        <f>IF($B85="нет",0,VLOOKUP($B85,Ф_807_2020_2015[],MATCH(G$73,'Ф_807_2020-2015'!$1:$1,0),0))</f>
        <v>-356879</v>
      </c>
      <c r="H85" s="1787">
        <f>IF($B85="нет",0,VLOOKUP($B85,Ф_807_2020_2015[],MATCH(H$73,'Ф_807_2020-2015'!$1:$1,0),0))</f>
        <v>-1256600</v>
      </c>
      <c r="I85" s="1787">
        <f>IF($B85="нет",0,VLOOKUP($B85,Ф_807_2020_2015[],MATCH(I$73,'Ф_807_2020-2015'!$1:$1,0),0))</f>
        <v>-829479</v>
      </c>
      <c r="J85" s="1787">
        <f>IF($B85="нет",0,VLOOKUP($B85,Ф_807_2020_2015[],MATCH(J$73,'Ф_807_2020-2015'!$1:$1,0),0))</f>
        <v>-1290151</v>
      </c>
      <c r="K85" s="1787">
        <f>IF($B85="нет",0,VLOOKUP($B85,Ф_807_2020_2015[],MATCH(K$73,'Ф_807_2020-2015'!$1:$1,0),0))</f>
        <v>-1979090</v>
      </c>
      <c r="L85" s="1787">
        <f>IF($C85="нет",0,VLOOKUP($C85,Ф_807_2023_2021[],MATCH(L$73,'Ф_807_2023-2021'!$1:$1,0),0))</f>
        <v>-325360</v>
      </c>
      <c r="M85" s="1787">
        <f>IF($C85="нет",0,VLOOKUP($C85,Ф_807_2023_2021[],MATCH(M$73,'Ф_807_2023-2021'!$1:$1,0),0))</f>
        <v>-367969</v>
      </c>
      <c r="N85" s="1787">
        <f>IF($C85="нет",0,VLOOKUP($C85,Ф_807_2023_2021[],MATCH(N$73,'Ф_807_2023-2021'!$1:$1,0),0))</f>
        <v>-1045029</v>
      </c>
      <c r="O85" s="1787">
        <f>IF($C85="нет",0,VLOOKUP($C85,Ф_807_2023_2021[],MATCH(O$73,'Ф_807_2023-2021'!$1:$1,0),0))</f>
        <v>-610699</v>
      </c>
      <c r="P85" s="1788"/>
    </row>
    <row r="86" spans="1:16" s="322" customFormat="1" ht="38.25" customHeight="1" x14ac:dyDescent="0.25">
      <c r="A86" s="320"/>
      <c r="B86" s="1215" t="s">
        <v>1541</v>
      </c>
      <c r="C86" s="1215" t="s">
        <v>1541</v>
      </c>
      <c r="D86" s="1215"/>
      <c r="E86" s="312" t="s">
        <v>588</v>
      </c>
      <c r="F86" s="1789"/>
      <c r="G86" s="1790">
        <f>IF($B86="нет",0,VLOOKUP($B86,Ф_807_2020_2015[],MATCH(G$73,'Ф_807_2020-2015'!$1:$1,0),0))</f>
        <v>6526789</v>
      </c>
      <c r="H86" s="1791">
        <f>IF($B86="нет",0,VLOOKUP($B86,Ф_807_2020_2015[],MATCH(H$73,'Ф_807_2020-2015'!$1:$1,0),0))</f>
        <v>1399180</v>
      </c>
      <c r="I86" s="1791">
        <f>IF($B86="нет",0,VLOOKUP($B86,Ф_807_2020_2015[],MATCH(I$73,'Ф_807_2020-2015'!$1:$1,0),0))</f>
        <v>-2265537</v>
      </c>
      <c r="J86" s="1791">
        <f>IF($B86="нет",0,VLOOKUP($B86,Ф_807_2020_2015[],MATCH(J$73,'Ф_807_2020-2015'!$1:$1,0),0))</f>
        <v>10716567</v>
      </c>
      <c r="K86" s="1791">
        <f>IF($B86="нет",0,VLOOKUP($B86,Ф_807_2020_2015[],MATCH(K$73,'Ф_807_2020-2015'!$1:$1,0),0))</f>
        <v>-2744921</v>
      </c>
      <c r="L86" s="1791">
        <f>IF($C86="нет",0,VLOOKUP($C86,Ф_807_2023_2021[],MATCH(L$73,'Ф_807_2023-2021'!$1:$1,0),0))</f>
        <v>13875443</v>
      </c>
      <c r="M86" s="1791">
        <f>IF($C86="нет",0,VLOOKUP($C86,Ф_807_2023_2021[],MATCH(M$73,'Ф_807_2023-2021'!$1:$1,0),0))</f>
        <v>12849282</v>
      </c>
      <c r="N86" s="1791">
        <f>IF($C86="нет",0,VLOOKUP($C86,Ф_807_2023_2021[],MATCH(N$73,'Ф_807_2023-2021'!$1:$1,0),0))</f>
        <v>21694487</v>
      </c>
      <c r="O86" s="1791">
        <f>IF($C86="нет",0,VLOOKUP($C86,Ф_807_2023_2021[],MATCH(O$73,'Ф_807_2023-2021'!$1:$1,0),0))</f>
        <v>41649098</v>
      </c>
      <c r="P86" s="1792"/>
    </row>
    <row r="87" spans="1:16" ht="33" customHeight="1" x14ac:dyDescent="0.2">
      <c r="A87" s="21"/>
      <c r="B87" s="1216" t="s">
        <v>1542</v>
      </c>
      <c r="C87" s="1216" t="s">
        <v>1542</v>
      </c>
      <c r="D87" s="1216"/>
      <c r="E87" s="1219" t="s">
        <v>589</v>
      </c>
      <c r="F87" s="1793"/>
      <c r="G87" s="1794">
        <f>IF($B87="нет",0,VLOOKUP($B87,Ф_807_2020_2015[],MATCH(G$73,'Ф_807_2020-2015'!$1:$1,0),0))</f>
        <v>-690978</v>
      </c>
      <c r="H87" s="1795">
        <f>IF($B87="нет",0,VLOOKUP($B87,Ф_807_2020_2015[],MATCH(H$73,'Ф_807_2020-2015'!$1:$1,0),0))</f>
        <v>-1688868</v>
      </c>
      <c r="I87" s="1795">
        <f>IF($B87="нет",0,VLOOKUP($B87,Ф_807_2020_2015[],MATCH(I$73,'Ф_807_2020-2015'!$1:$1,0),0))</f>
        <v>-921174</v>
      </c>
      <c r="J87" s="1795">
        <f>IF($B87="нет",0,VLOOKUP($B87,Ф_807_2020_2015[],MATCH(J$73,'Ф_807_2020-2015'!$1:$1,0),0))</f>
        <v>6616841</v>
      </c>
      <c r="K87" s="1795">
        <f>IF($B87="нет",0,VLOOKUP($B87,Ф_807_2020_2015[],MATCH(K$73,'Ф_807_2020-2015'!$1:$1,0),0))</f>
        <v>-27294511</v>
      </c>
      <c r="L87" s="1795">
        <f>IF($C87="нет",0,VLOOKUP($C87,Ф_807_2023_2021[],MATCH(L$73,'Ф_807_2023-2021'!$1:$1,0),0))</f>
        <v>6595963</v>
      </c>
      <c r="M87" s="1795">
        <f>IF($C87="нет",0,VLOOKUP($C87,Ф_807_2023_2021[],MATCH(M$73,'Ф_807_2023-2021'!$1:$1,0),0))</f>
        <v>1143110</v>
      </c>
      <c r="N87" s="1795">
        <f>IF($C87="нет",0,VLOOKUP($C87,Ф_807_2023_2021[],MATCH(N$73,'Ф_807_2023-2021'!$1:$1,0),0))</f>
        <v>-3475928</v>
      </c>
      <c r="O87" s="1795">
        <f>IF($C87="нет",0,VLOOKUP($C87,Ф_807_2023_2021[],MATCH(O$73,'Ф_807_2023-2021'!$1:$1,0),0))</f>
        <v>-2846032</v>
      </c>
      <c r="P87" s="1796"/>
    </row>
    <row r="88" spans="1:16" ht="40.5" customHeight="1" x14ac:dyDescent="0.2">
      <c r="A88" s="21"/>
      <c r="B88" s="1216" t="s">
        <v>1543</v>
      </c>
      <c r="C88" s="1216" t="s">
        <v>1543</v>
      </c>
      <c r="D88" s="1216"/>
      <c r="E88" s="1219" t="s">
        <v>1052</v>
      </c>
      <c r="F88" s="1793"/>
      <c r="G88" s="1794">
        <f>IF($B88="нет",0,VLOOKUP($B88,Ф_807_2020_2015[],MATCH(G$73,'Ф_807_2020-2015'!$1:$1,0),0))</f>
        <v>-124714</v>
      </c>
      <c r="H88" s="1795">
        <f>IF($B88="нет",0,VLOOKUP($B88,Ф_807_2020_2015[],MATCH(H$73,'Ф_807_2020-2015'!$1:$1,0),0))</f>
        <v>0</v>
      </c>
      <c r="I88" s="1795">
        <f>IF($B88="нет",0,VLOOKUP($B88,Ф_807_2020_2015[],MATCH(I$73,'Ф_807_2020-2015'!$1:$1,0),0))</f>
        <v>-470461</v>
      </c>
      <c r="J88" s="1795">
        <f>IF($B88="нет",0,VLOOKUP($B88,Ф_807_2020_2015[],MATCH(J$73,'Ф_807_2020-2015'!$1:$1,0),0))</f>
        <v>-1378185</v>
      </c>
      <c r="K88" s="1795">
        <f>IF($B88="нет",0,VLOOKUP($B88,Ф_807_2020_2015[],MATCH(K$73,'Ф_807_2020-2015'!$1:$1,0),0))</f>
        <v>-8797</v>
      </c>
      <c r="L88" s="1795">
        <f>IF($C88="нет",0,VLOOKUP($C88,Ф_807_2023_2021[],MATCH(L$73,'Ф_807_2023-2021'!$1:$1,0),0))</f>
        <v>0</v>
      </c>
      <c r="M88" s="1795">
        <f>IF($C88="нет",0,VLOOKUP($C88,Ф_807_2023_2021[],MATCH(M$73,'Ф_807_2023-2021'!$1:$1,0),0))</f>
        <v>0</v>
      </c>
      <c r="N88" s="1795">
        <f>IF($C88="нет",0,VLOOKUP($C88,Ф_807_2023_2021[],MATCH(N$73,'Ф_807_2023-2021'!$1:$1,0),0))</f>
        <v>-157340</v>
      </c>
      <c r="O88" s="1795">
        <f>IF($C88="нет",0,VLOOKUP($C88,Ф_807_2023_2021[],MATCH(O$73,'Ф_807_2023-2021'!$1:$1,0),0))</f>
        <v>-801779</v>
      </c>
      <c r="P88" s="1796"/>
    </row>
    <row r="89" spans="1:16" ht="56.25" customHeight="1" x14ac:dyDescent="0.2">
      <c r="A89" s="21"/>
      <c r="B89" s="1216" t="s">
        <v>1226</v>
      </c>
      <c r="C89" s="1216" t="s">
        <v>1226</v>
      </c>
      <c r="D89" s="1216"/>
      <c r="E89" s="1219" t="s">
        <v>1220</v>
      </c>
      <c r="F89" s="1793"/>
      <c r="G89" s="1794">
        <f>IF($B89="нет",0,VLOOKUP($B89,Ф_807_2020_2015[],MATCH(G$73,'Ф_807_2020-2015'!$1:$1,0),0))</f>
        <v>5120056</v>
      </c>
      <c r="H89" s="1795">
        <f>IF($B89="нет",0,VLOOKUP($B89,Ф_807_2020_2015[],MATCH(H$73,'Ф_807_2020-2015'!$1:$1,0),0))</f>
        <v>16433696</v>
      </c>
      <c r="I89" s="1795">
        <f>IF($B89="нет",0,VLOOKUP($B89,Ф_807_2020_2015[],MATCH(I$73,'Ф_807_2020-2015'!$1:$1,0),0))</f>
        <v>15638105</v>
      </c>
      <c r="J89" s="1795">
        <f>IF($B89="нет",0,VLOOKUP($B89,Ф_807_2020_2015[],MATCH(J$73,'Ф_807_2020-2015'!$1:$1,0),0))</f>
        <v>707685</v>
      </c>
      <c r="K89" s="1795">
        <f>IF($B89="нет",0,VLOOKUP($B89,Ф_807_2020_2015[],MATCH(K$73,'Ф_807_2020-2015'!$1:$1,0),0))</f>
        <v>381225</v>
      </c>
      <c r="L89" s="1795">
        <f>IF($C89="нет",0,VLOOKUP($C89,Ф_807_2023_2021[],MATCH(L$73,'Ф_807_2023-2021'!$1:$1,0),0))</f>
        <v>-734489</v>
      </c>
      <c r="M89" s="1795">
        <f>IF($C89="нет",0,VLOOKUP($C89,Ф_807_2023_2021[],MATCH(M$73,'Ф_807_2023-2021'!$1:$1,0),0))</f>
        <v>-158605</v>
      </c>
      <c r="N89" s="1795">
        <f>IF($C89="нет",0,VLOOKUP($C89,Ф_807_2023_2021[],MATCH(N$73,'Ф_807_2023-2021'!$1:$1,0),0))</f>
        <v>-745630</v>
      </c>
      <c r="O89" s="1795">
        <f>IF($C89="нет",0,VLOOKUP($C89,Ф_807_2023_2021[],MATCH(O$73,'Ф_807_2023-2021'!$1:$1,0),0))</f>
        <v>-1802559</v>
      </c>
      <c r="P89" s="1796"/>
    </row>
    <row r="90" spans="1:16" ht="41.25" customHeight="1" x14ac:dyDescent="0.2">
      <c r="A90" s="21"/>
      <c r="B90" s="1216" t="s">
        <v>1544</v>
      </c>
      <c r="C90" s="1216" t="s">
        <v>1544</v>
      </c>
      <c r="D90" s="1216"/>
      <c r="E90" s="1219" t="s">
        <v>1221</v>
      </c>
      <c r="F90" s="1793"/>
      <c r="G90" s="1794">
        <f>IF($B90="нет",0,VLOOKUP($B90,Ф_807_2020_2015[],MATCH(G$73,'Ф_807_2020-2015'!$1:$1,0),0))</f>
        <v>11422</v>
      </c>
      <c r="H90" s="1795">
        <f>IF($B90="нет",0,VLOOKUP($B90,Ф_807_2020_2015[],MATCH(H$73,'Ф_807_2020-2015'!$1:$1,0),0))</f>
        <v>-10316</v>
      </c>
      <c r="I90" s="1795">
        <f>IF($B90="нет",0,VLOOKUP($B90,Ф_807_2020_2015[],MATCH(I$73,'Ф_807_2020-2015'!$1:$1,0),0))</f>
        <v>-18390</v>
      </c>
      <c r="J90" s="1795">
        <f>IF($B90="нет",0,VLOOKUP($B90,Ф_807_2020_2015[],MATCH(J$73,'Ф_807_2020-2015'!$1:$1,0),0))</f>
        <v>873078</v>
      </c>
      <c r="K90" s="1795">
        <f>IF($B90="нет",0,VLOOKUP($B90,Ф_807_2020_2015[],MATCH(K$73,'Ф_807_2020-2015'!$1:$1,0),0))</f>
        <v>389668</v>
      </c>
      <c r="L90" s="1795">
        <f>IF($C90="нет",0,VLOOKUP($C90,Ф_807_2023_2021[],MATCH(L$73,'Ф_807_2023-2021'!$1:$1,0),0))</f>
        <v>17404</v>
      </c>
      <c r="M90" s="1795">
        <f>IF($C90="нет",0,VLOOKUP($C90,Ф_807_2023_2021[],MATCH(M$73,'Ф_807_2023-2021'!$1:$1,0),0))</f>
        <v>74361</v>
      </c>
      <c r="N90" s="1795">
        <f>IF($C90="нет",0,VLOOKUP($C90,Ф_807_2023_2021[],MATCH(N$73,'Ф_807_2023-2021'!$1:$1,0),0))</f>
        <v>-761082</v>
      </c>
      <c r="O90" s="1795">
        <f>IF($C90="нет",0,VLOOKUP($C90,Ф_807_2023_2021[],MATCH(O$73,'Ф_807_2023-2021'!$1:$1,0),0))</f>
        <v>3548645</v>
      </c>
      <c r="P90" s="1796"/>
    </row>
    <row r="91" spans="1:16" x14ac:dyDescent="0.2">
      <c r="A91" s="21"/>
      <c r="B91" s="1216" t="s">
        <v>1545</v>
      </c>
      <c r="C91" s="1216" t="s">
        <v>1545</v>
      </c>
      <c r="D91" s="1216"/>
      <c r="E91" s="2018" t="s">
        <v>590</v>
      </c>
      <c r="F91" s="1793"/>
      <c r="G91" s="1794">
        <f>IF($B91="нет",0,VLOOKUP($B91,Ф_807_2020_2015[],MATCH(G$73,'Ф_807_2020-2015'!$1:$1,0),0))</f>
        <v>-38430</v>
      </c>
      <c r="H91" s="1795">
        <f>IF($B91="нет",0,VLOOKUP($B91,Ф_807_2020_2015[],MATCH(H$73,'Ф_807_2020-2015'!$1:$1,0),0))</f>
        <v>-236776</v>
      </c>
      <c r="I91" s="1795">
        <f>IF($B91="нет",0,VLOOKUP($B91,Ф_807_2020_2015[],MATCH(I$73,'Ф_807_2020-2015'!$1:$1,0),0))</f>
        <v>73534</v>
      </c>
      <c r="J91" s="1795">
        <f>IF($B91="нет",0,VLOOKUP($B91,Ф_807_2020_2015[],MATCH(J$73,'Ф_807_2020-2015'!$1:$1,0),0))</f>
        <v>393398</v>
      </c>
      <c r="K91" s="1795">
        <f>IF($B91="нет",0,VLOOKUP($B91,Ф_807_2020_2015[],MATCH(K$73,'Ф_807_2020-2015'!$1:$1,0),0))</f>
        <v>7212275</v>
      </c>
      <c r="L91" s="1797">
        <f>IF($C91="нет",0,VLOOKUP($C91,Ф_807_2023_2021[],MATCH(L$73,'Ф_807_2023-2021'!$1:$1,0),0))</f>
        <v>0</v>
      </c>
      <c r="M91" s="1797">
        <f>IF($C91="нет",0,VLOOKUP($C91,Ф_807_2023_2021[],MATCH(M$73,'Ф_807_2023-2021'!$1:$1,0),0))</f>
        <v>0</v>
      </c>
      <c r="N91" s="1797">
        <f>IF($C91="нет",0,VLOOKUP($C91,Ф_807_2023_2021[],MATCH(N$73,'Ф_807_2023-2021'!$1:$1,0),0))</f>
        <v>0</v>
      </c>
      <c r="O91" s="1797">
        <f>IF($C91="нет",0,VLOOKUP($C91,Ф_807_2023_2021[],MATCH(O$73,'Ф_807_2023-2021'!$1:$1,0),0))</f>
        <v>0</v>
      </c>
      <c r="P91" s="1798"/>
    </row>
    <row r="92" spans="1:16" ht="16.5" customHeight="1" x14ac:dyDescent="0.2">
      <c r="A92" s="21"/>
      <c r="B92" s="1216" t="s">
        <v>1546</v>
      </c>
      <c r="C92" s="1216" t="s">
        <v>1546</v>
      </c>
      <c r="D92" s="1216"/>
      <c r="E92" s="2018" t="s">
        <v>591</v>
      </c>
      <c r="F92" s="1793"/>
      <c r="G92" s="1794">
        <f>IF($B92="нет",0,VLOOKUP($B92,Ф_807_2020_2015[],MATCH(G$73,'Ф_807_2020-2015'!$1:$1,0),0))</f>
        <v>2603288</v>
      </c>
      <c r="H92" s="1795">
        <f>IF($B92="нет",0,VLOOKUP($B92,Ф_807_2020_2015[],MATCH(H$73,'Ф_807_2020-2015'!$1:$1,0),0))</f>
        <v>2015778</v>
      </c>
      <c r="I92" s="1795">
        <f>IF($B92="нет",0,VLOOKUP($B92,Ф_807_2020_2015[],MATCH(I$73,'Ф_807_2020-2015'!$1:$1,0),0))</f>
        <v>1619574</v>
      </c>
      <c r="J92" s="1795">
        <f>IF($B92="нет",0,VLOOKUP($B92,Ф_807_2020_2015[],MATCH(J$73,'Ф_807_2020-2015'!$1:$1,0),0))</f>
        <v>-4663411</v>
      </c>
      <c r="K92" s="1795">
        <f>IF($B92="нет",0,VLOOKUP($B92,Ф_807_2020_2015[],MATCH(K$73,'Ф_807_2020-2015'!$1:$1,0),0))</f>
        <v>23020743</v>
      </c>
      <c r="L92" s="1797">
        <f>IF($C92="нет",0,VLOOKUP($C92,Ф_807_2023_2021[],MATCH(L$73,'Ф_807_2023-2021'!$1:$1,0),0))</f>
        <v>0</v>
      </c>
      <c r="M92" s="1797">
        <f>IF($C92="нет",0,VLOOKUP($C92,Ф_807_2023_2021[],MATCH(M$73,'Ф_807_2023-2021'!$1:$1,0),0))</f>
        <v>0</v>
      </c>
      <c r="N92" s="1797">
        <f>IF($C92="нет",0,VLOOKUP($C92,Ф_807_2023_2021[],MATCH(N$73,'Ф_807_2023-2021'!$1:$1,0),0))</f>
        <v>0</v>
      </c>
      <c r="O92" s="1797">
        <f>IF($C92="нет",0,VLOOKUP($C92,Ф_807_2023_2021[],MATCH(O$73,'Ф_807_2023-2021'!$1:$1,0),0))</f>
        <v>0</v>
      </c>
      <c r="P92" s="1798"/>
    </row>
    <row r="93" spans="1:16" ht="16.5" customHeight="1" x14ac:dyDescent="0.2">
      <c r="A93" s="21"/>
      <c r="B93" s="1216" t="s">
        <v>1547</v>
      </c>
      <c r="C93" s="1216" t="s">
        <v>1547</v>
      </c>
      <c r="D93" s="1216"/>
      <c r="E93" s="1219" t="s">
        <v>1053</v>
      </c>
      <c r="F93" s="1793"/>
      <c r="G93" s="1794">
        <f>IF($B93="нет",0,VLOOKUP($B93,Ф_807_2020_2015[],MATCH(G$73,'Ф_807_2020-2015'!$1:$1,0),0))</f>
        <v>-265726</v>
      </c>
      <c r="H93" s="1795">
        <f>IF($B93="нет",0,VLOOKUP($B93,Ф_807_2020_2015[],MATCH(H$73,'Ф_807_2020-2015'!$1:$1,0),0))</f>
        <v>144770</v>
      </c>
      <c r="I93" s="1795">
        <f>IF($B93="нет",0,VLOOKUP($B93,Ф_807_2020_2015[],MATCH(I$73,'Ф_807_2020-2015'!$1:$1,0),0))</f>
        <v>382401</v>
      </c>
      <c r="J93" s="1795">
        <f>IF($B93="нет",0,VLOOKUP($B93,Ф_807_2020_2015[],MATCH(J$73,'Ф_807_2020-2015'!$1:$1,0),0))</f>
        <v>51630</v>
      </c>
      <c r="K93" s="1795">
        <f>IF($B93="нет",0,VLOOKUP($B93,Ф_807_2020_2015[],MATCH(K$73,'Ф_807_2020-2015'!$1:$1,0),0))</f>
        <v>209689</v>
      </c>
      <c r="L93" s="1795">
        <f>IF($C93="нет",0,VLOOKUP($C93,Ф_807_2023_2021[],MATCH(L$73,'Ф_807_2023-2021'!$1:$1,0),0))</f>
        <v>-40143</v>
      </c>
      <c r="M93" s="1795">
        <f>IF($C93="нет",0,VLOOKUP($C93,Ф_807_2023_2021[],MATCH(M$73,'Ф_807_2023-2021'!$1:$1,0),0))</f>
        <v>-225665</v>
      </c>
      <c r="N93" s="1795">
        <f>IF($C93="нет",0,VLOOKUP($C93,Ф_807_2023_2021[],MATCH(N$73,'Ф_807_2023-2021'!$1:$1,0),0))</f>
        <v>609291</v>
      </c>
      <c r="O93" s="1795">
        <f>IF($C93="нет",0,VLOOKUP($C93,Ф_807_2023_2021[],MATCH(O$73,'Ф_807_2023-2021'!$1:$1,0),0))</f>
        <v>1146075</v>
      </c>
      <c r="P93" s="1796"/>
    </row>
    <row r="94" spans="1:16" x14ac:dyDescent="0.2">
      <c r="A94" s="21"/>
      <c r="B94" s="1216" t="s">
        <v>1548</v>
      </c>
      <c r="C94" s="1216" t="s">
        <v>1548</v>
      </c>
      <c r="D94" s="1216"/>
      <c r="E94" s="2018" t="s">
        <v>592</v>
      </c>
      <c r="F94" s="1793"/>
      <c r="G94" s="1794">
        <f>IF($B94="нет",0,VLOOKUP($B94,Ф_807_2020_2015[],MATCH(G$73,'Ф_807_2020-2015'!$1:$1,0),0))</f>
        <v>1318441</v>
      </c>
      <c r="H94" s="1795">
        <f>IF($B94="нет",0,VLOOKUP($B94,Ф_807_2020_2015[],MATCH(H$73,'Ф_807_2020-2015'!$1:$1,0),0))</f>
        <v>3359363</v>
      </c>
      <c r="I94" s="1795">
        <f>IF($B94="нет",0,VLOOKUP($B94,Ф_807_2020_2015[],MATCH(I$73,'Ф_807_2020-2015'!$1:$1,0),0))</f>
        <v>1648614</v>
      </c>
      <c r="J94" s="1795">
        <f>IF($B94="нет",0,VLOOKUP($B94,Ф_807_2020_2015[],MATCH(J$73,'Ф_807_2020-2015'!$1:$1,0),0))</f>
        <v>2590154</v>
      </c>
      <c r="K94" s="1795">
        <f>IF($B94="нет",0,VLOOKUP($B94,Ф_807_2020_2015[],MATCH(K$73,'Ф_807_2020-2015'!$1:$1,0),0))</f>
        <v>1262634</v>
      </c>
      <c r="L94" s="1797">
        <f>IF($C94="нет",0,VLOOKUP($C94,Ф_807_2023_2021[],MATCH(L$73,'Ф_807_2023-2021'!$1:$1,0),0))</f>
        <v>0</v>
      </c>
      <c r="M94" s="1797">
        <f>IF($C94="нет",0,VLOOKUP($C94,Ф_807_2023_2021[],MATCH(M$73,'Ф_807_2023-2021'!$1:$1,0),0))</f>
        <v>0</v>
      </c>
      <c r="N94" s="1797">
        <f>IF($C94="нет",0,VLOOKUP($C94,Ф_807_2023_2021[],MATCH(N$73,'Ф_807_2023-2021'!$1:$1,0),0))</f>
        <v>0</v>
      </c>
      <c r="O94" s="1797">
        <f>IF($C94="нет",0,VLOOKUP($C94,Ф_807_2023_2021[],MATCH(O$73,'Ф_807_2023-2021'!$1:$1,0),0))</f>
        <v>0</v>
      </c>
      <c r="P94" s="1798"/>
    </row>
    <row r="95" spans="1:16" x14ac:dyDescent="0.2">
      <c r="A95" s="21"/>
      <c r="B95" s="1216" t="s">
        <v>1549</v>
      </c>
      <c r="C95" s="1216" t="s">
        <v>1549</v>
      </c>
      <c r="D95" s="1216"/>
      <c r="E95" s="1219" t="s">
        <v>372</v>
      </c>
      <c r="F95" s="1793"/>
      <c r="G95" s="1794">
        <f>IF($B95="нет",0,VLOOKUP($B95,Ф_807_2020_2015[],MATCH(G$73,'Ф_807_2020-2015'!$1:$1,0),0))</f>
        <v>3665904</v>
      </c>
      <c r="H95" s="1795">
        <f>IF($B95="нет",0,VLOOKUP($B95,Ф_807_2020_2015[],MATCH(H$73,'Ф_807_2020-2015'!$1:$1,0),0))</f>
        <v>4469501</v>
      </c>
      <c r="I95" s="1795">
        <f>IF($B95="нет",0,VLOOKUP($B95,Ф_807_2020_2015[],MATCH(I$73,'Ф_807_2020-2015'!$1:$1,0),0))</f>
        <v>5580882</v>
      </c>
      <c r="J95" s="1795">
        <f>IF($B95="нет",0,VLOOKUP($B95,Ф_807_2020_2015[],MATCH(J$73,'Ф_807_2020-2015'!$1:$1,0),0))</f>
        <v>6994739</v>
      </c>
      <c r="K95" s="1795">
        <f>IF($B95="нет",0,VLOOKUP($B95,Ф_807_2020_2015[],MATCH(K$73,'Ф_807_2020-2015'!$1:$1,0),0))</f>
        <v>7918155</v>
      </c>
      <c r="L95" s="1795">
        <f>IF($C95="нет",0,VLOOKUP($C95,Ф_807_2023_2021[],MATCH(L$73,'Ф_807_2023-2021'!$1:$1,0),0))</f>
        <v>8833704</v>
      </c>
      <c r="M95" s="1795">
        <f>IF($C95="нет",0,VLOOKUP($C95,Ф_807_2023_2021[],MATCH(M$73,'Ф_807_2023-2021'!$1:$1,0),0))</f>
        <v>9326419</v>
      </c>
      <c r="N95" s="1795">
        <f>IF($C95="нет",0,VLOOKUP($C95,Ф_807_2023_2021[],MATCH(N$73,'Ф_807_2023-2021'!$1:$1,0),0))</f>
        <v>11177948</v>
      </c>
      <c r="O95" s="1795">
        <f>IF($C95="нет",0,VLOOKUP($C95,Ф_807_2023_2021[],MATCH(O$73,'Ф_807_2023-2021'!$1:$1,0),0))</f>
        <v>11764283</v>
      </c>
      <c r="P95" s="1796"/>
    </row>
    <row r="96" spans="1:16" x14ac:dyDescent="0.2">
      <c r="A96" s="21"/>
      <c r="B96" s="1216" t="s">
        <v>1490</v>
      </c>
      <c r="C96" s="1216" t="s">
        <v>1490</v>
      </c>
      <c r="D96" s="1216"/>
      <c r="E96" s="1219" t="s">
        <v>373</v>
      </c>
      <c r="F96" s="1793"/>
      <c r="G96" s="1794">
        <f>IF($B96="нет",0,VLOOKUP($B96,Ф_807_2020_2015[],MATCH(G$73,'Ф_807_2020-2015'!$1:$1,0),0))</f>
        <v>988175</v>
      </c>
      <c r="H96" s="1795">
        <f>IF($B96="нет",0,VLOOKUP($B96,Ф_807_2020_2015[],MATCH(H$73,'Ф_807_2020-2015'!$1:$1,0),0))</f>
        <v>1354409</v>
      </c>
      <c r="I96" s="1795">
        <f>IF($B96="нет",0,VLOOKUP($B96,Ф_807_2020_2015[],MATCH(I$73,'Ф_807_2020-2015'!$1:$1,0),0))</f>
        <v>1739783</v>
      </c>
      <c r="J96" s="1795">
        <f>IF($B96="нет",0,VLOOKUP($B96,Ф_807_2020_2015[],MATCH(J$73,'Ф_807_2020-2015'!$1:$1,0),0))</f>
        <v>2329429</v>
      </c>
      <c r="K96" s="1795">
        <f>IF($B96="нет",0,VLOOKUP($B96,Ф_807_2020_2015[],MATCH(K$73,'Ф_807_2020-2015'!$1:$1,0),0))</f>
        <v>3039552</v>
      </c>
      <c r="L96" s="1795">
        <f>IF($C96="нет",0,VLOOKUP($C96,Ф_807_2023_2021[],MATCH(L$73,'Ф_807_2023-2021'!$1:$1,0),0))</f>
        <v>2293031</v>
      </c>
      <c r="M96" s="1795">
        <f>IF($C96="нет",0,VLOOKUP($C96,Ф_807_2023_2021[],MATCH(M$73,'Ф_807_2023-2021'!$1:$1,0),0))</f>
        <v>2430764</v>
      </c>
      <c r="N96" s="1795">
        <f>IF($C96="нет",0,VLOOKUP($C96,Ф_807_2023_2021[],MATCH(N$73,'Ф_807_2023-2021'!$1:$1,0),0))</f>
        <v>3423457</v>
      </c>
      <c r="O96" s="1795">
        <f>IF($C96="нет",0,VLOOKUP($C96,Ф_807_2023_2021[],MATCH(O$73,'Ф_807_2023-2021'!$1:$1,0),0))</f>
        <v>4550902</v>
      </c>
      <c r="P96" s="1796"/>
    </row>
    <row r="97" spans="1:16" ht="60.75" customHeight="1" x14ac:dyDescent="0.2">
      <c r="A97" s="21"/>
      <c r="B97" s="1216" t="s">
        <v>1491</v>
      </c>
      <c r="C97" s="1216" t="s">
        <v>1491</v>
      </c>
      <c r="D97" s="1216"/>
      <c r="E97" s="1219" t="s">
        <v>1489</v>
      </c>
      <c r="F97" s="1793"/>
      <c r="G97" s="1794">
        <f>IF($B97="нет",0,VLOOKUP($B97,Ф_807_2020_2015[],MATCH(G$73,'Ф_807_2020-2015'!$1:$1,0),0))</f>
        <v>-152074</v>
      </c>
      <c r="H97" s="1795">
        <f>IF($B97="нет",0,VLOOKUP($B97,Ф_807_2020_2015[],MATCH(H$73,'Ф_807_2020-2015'!$1:$1,0),0))</f>
        <v>24923</v>
      </c>
      <c r="I97" s="1795">
        <f>IF($B97="нет",0,VLOOKUP($B97,Ф_807_2020_2015[],MATCH(I$73,'Ф_807_2020-2015'!$1:$1,0),0))</f>
        <v>-500274</v>
      </c>
      <c r="J97" s="1795">
        <f>IF($B97="нет",0,VLOOKUP($B97,Ф_807_2020_2015[],MATCH(J$73,'Ф_807_2020-2015'!$1:$1,0),0))</f>
        <v>-380298</v>
      </c>
      <c r="K97" s="1795">
        <f>IF($B97="нет",0,VLOOKUP($B97,Ф_807_2020_2015[],MATCH(K$73,'Ф_807_2020-2015'!$1:$1,0),0))</f>
        <v>-18325</v>
      </c>
      <c r="L97" s="1795">
        <f>IF($C97="нет",0,VLOOKUP($C97,Ф_807_2023_2021[],MATCH(L$73,'Ф_807_2023-2021'!$1:$1,0),0))</f>
        <v>-3547</v>
      </c>
      <c r="M97" s="1795">
        <f>IF($C97="нет",0,VLOOKUP($C97,Ф_807_2023_2021[],MATCH(M$73,'Ф_807_2023-2021'!$1:$1,0),0))</f>
        <v>-450470</v>
      </c>
      <c r="N97" s="1795">
        <f>IF($C97="нет",0,VLOOKUP($C97,Ф_807_2023_2021[],MATCH(N$73,'Ф_807_2023-2021'!$1:$1,0),0))</f>
        <v>-316889</v>
      </c>
      <c r="O97" s="1795">
        <f>IF($C97="нет",0,VLOOKUP($C97,Ф_807_2023_2021[],MATCH(O$73,'Ф_807_2023-2021'!$1:$1,0),0))</f>
        <v>-756964</v>
      </c>
      <c r="P97" s="1796"/>
    </row>
    <row r="98" spans="1:16" ht="50.25" customHeight="1" x14ac:dyDescent="0.2">
      <c r="A98" s="21"/>
      <c r="B98" s="1216" t="s">
        <v>1492</v>
      </c>
      <c r="C98" s="1216" t="s">
        <v>1492</v>
      </c>
      <c r="D98" s="1216"/>
      <c r="E98" s="1219" t="s">
        <v>1344</v>
      </c>
      <c r="F98" s="1793"/>
      <c r="G98" s="1794">
        <f>IF($B98="нет",0,VLOOKUP($B98,Ф_807_2020_2015[],MATCH(G$73,'Ф_807_2020-2015'!$1:$1,0),0))</f>
        <v>65337</v>
      </c>
      <c r="H98" s="1795">
        <f>IF($B98="нет",0,VLOOKUP($B98,Ф_807_2020_2015[],MATCH(H$73,'Ф_807_2020-2015'!$1:$1,0),0))</f>
        <v>-115708</v>
      </c>
      <c r="I98" s="1795">
        <f>IF($B98="нет",0,VLOOKUP($B98,Ф_807_2020_2015[],MATCH(I$73,'Ф_807_2020-2015'!$1:$1,0),0))</f>
        <v>-62725</v>
      </c>
      <c r="J98" s="1795">
        <f>IF($B98="нет",0,VLOOKUP($B98,Ф_807_2020_2015[],MATCH(J$73,'Ф_807_2020-2015'!$1:$1,0),0))</f>
        <v>-224156</v>
      </c>
      <c r="K98" s="1795">
        <f>IF($B98="нет",0,VLOOKUP($B98,Ф_807_2020_2015[],MATCH(K$73,'Ф_807_2020-2015'!$1:$1,0),0))</f>
        <v>79958</v>
      </c>
      <c r="L98" s="1795">
        <f>IF($C98="нет",0,VLOOKUP($C98,Ф_807_2023_2021[],MATCH(L$73,'Ф_807_2023-2021'!$1:$1,0),0))</f>
        <v>-129113</v>
      </c>
      <c r="M98" s="1795">
        <f>IF($C98="нет",0,VLOOKUP($C98,Ф_807_2023_2021[],MATCH(M$73,'Ф_807_2023-2021'!$1:$1,0),0))</f>
        <v>152689</v>
      </c>
      <c r="N98" s="1795">
        <f>IF($C98="нет",0,VLOOKUP($C98,Ф_807_2023_2021[],MATCH(N$73,'Ф_807_2023-2021'!$1:$1,0),0))</f>
        <v>-3761576</v>
      </c>
      <c r="O98" s="1795">
        <f>IF($C98="нет",0,VLOOKUP($C98,Ф_807_2023_2021[],MATCH(O$73,'Ф_807_2023-2021'!$1:$1,0),0))</f>
        <v>-121754</v>
      </c>
      <c r="P98" s="1796"/>
    </row>
    <row r="99" spans="1:16" ht="27" customHeight="1" x14ac:dyDescent="0.2">
      <c r="A99" s="21"/>
      <c r="B99" s="1216" t="s">
        <v>1493</v>
      </c>
      <c r="C99" s="1216" t="s">
        <v>1493</v>
      </c>
      <c r="D99" s="1216"/>
      <c r="E99" s="1219" t="s">
        <v>595</v>
      </c>
      <c r="F99" s="1793"/>
      <c r="G99" s="1794">
        <f>IF($B99="нет",0,VLOOKUP($B99,Ф_807_2020_2015[],MATCH(G$73,'Ф_807_2020-2015'!$1:$1,0),0))</f>
        <v>-4811143</v>
      </c>
      <c r="H99" s="1795">
        <f>IF($B99="нет",0,VLOOKUP($B99,Ф_807_2020_2015[],MATCH(H$73,'Ф_807_2020-2015'!$1:$1,0),0))</f>
        <v>538506</v>
      </c>
      <c r="I99" s="1795">
        <f>IF($B99="нет",0,VLOOKUP($B99,Ф_807_2020_2015[],MATCH(I$73,'Ф_807_2020-2015'!$1:$1,0),0))</f>
        <v>189472</v>
      </c>
      <c r="J99" s="1795">
        <f>IF($B99="нет",0,VLOOKUP($B99,Ф_807_2020_2015[],MATCH(J$73,'Ф_807_2020-2015'!$1:$1,0),0))</f>
        <v>-642104</v>
      </c>
      <c r="K99" s="1795">
        <f>IF($B99="нет",0,VLOOKUP($B99,Ф_807_2020_2015[],MATCH(K$73,'Ф_807_2020-2015'!$1:$1,0),0))</f>
        <v>-1067598</v>
      </c>
      <c r="L99" s="1795">
        <f>IF($C99="нет",0,VLOOKUP($C99,Ф_807_2023_2021[],MATCH(L$73,'Ф_807_2023-2021'!$1:$1,0),0))</f>
        <v>-575651</v>
      </c>
      <c r="M99" s="1795">
        <f>IF($C99="нет",0,VLOOKUP($C99,Ф_807_2023_2021[],MATCH(M$73,'Ф_807_2023-2021'!$1:$1,0),0))</f>
        <v>-5820426</v>
      </c>
      <c r="N99" s="1795">
        <f>IF($C99="нет",0,VLOOKUP($C99,Ф_807_2023_2021[],MATCH(N$73,'Ф_807_2023-2021'!$1:$1,0),0))</f>
        <v>-17531841</v>
      </c>
      <c r="O99" s="1795">
        <f>IF($C99="нет",0,VLOOKUP($C99,Ф_807_2023_2021[],MATCH(O$73,'Ф_807_2023-2021'!$1:$1,0),0))</f>
        <v>-9954768</v>
      </c>
      <c r="P99" s="1796"/>
    </row>
    <row r="100" spans="1:16" ht="21.75" customHeight="1" x14ac:dyDescent="0.2">
      <c r="A100" s="21"/>
      <c r="B100" s="1217" t="s">
        <v>1494</v>
      </c>
      <c r="C100" s="1217" t="s">
        <v>1494</v>
      </c>
      <c r="D100" s="1217"/>
      <c r="E100" s="1220" t="s">
        <v>596</v>
      </c>
      <c r="F100" s="1799"/>
      <c r="G100" s="1800">
        <f>IF($B100="нет",0,VLOOKUP($B100,Ф_807_2020_2015[],MATCH(G$73,'Ф_807_2020-2015'!$1:$1,0),0))</f>
        <v>3173766</v>
      </c>
      <c r="H100" s="1801">
        <f>IF($B100="нет",0,VLOOKUP($B100,Ф_807_2020_2015[],MATCH(H$73,'Ф_807_2020-2015'!$1:$1,0),0))</f>
        <v>1347032</v>
      </c>
      <c r="I100" s="1801">
        <f>IF($B100="нет",0,VLOOKUP($B100,Ф_807_2020_2015[],MATCH(I$73,'Ф_807_2020-2015'!$1:$1,0),0))</f>
        <v>1578875</v>
      </c>
      <c r="J100" s="1801">
        <f>IF($B100="нет",0,VLOOKUP($B100,Ф_807_2020_2015[],MATCH(J$73,'Ф_807_2020-2015'!$1:$1,0),0))</f>
        <v>3430955</v>
      </c>
      <c r="K100" s="1801">
        <f>IF($B100="нет",0,VLOOKUP($B100,Ф_807_2020_2015[],MATCH(K$73,'Ф_807_2020-2015'!$1:$1,0),0))</f>
        <v>17993070</v>
      </c>
      <c r="L100" s="1801">
        <f>IF($C100="нет",0,VLOOKUP($C100,Ф_807_2023_2021[],MATCH(L$73,'Ф_807_2023-2021'!$1:$1,0),0))</f>
        <v>5741051</v>
      </c>
      <c r="M100" s="1801">
        <f>IF($C100="нет",0,VLOOKUP($C100,Ф_807_2023_2021[],MATCH(M$73,'Ф_807_2023-2021'!$1:$1,0),0))</f>
        <v>7143324</v>
      </c>
      <c r="N100" s="1801">
        <f>IF($C100="нет",0,VLOOKUP($C100,Ф_807_2023_2021[],MATCH(N$73,'Ф_807_2023-2021'!$1:$1,0),0))</f>
        <v>10015694</v>
      </c>
      <c r="O100" s="1801">
        <f>IF($C100="нет",0,VLOOKUP($C100,Ф_807_2023_2021[],MATCH(O$73,'Ф_807_2023-2021'!$1:$1,0),0))</f>
        <v>877988</v>
      </c>
      <c r="P100" s="1802"/>
    </row>
    <row r="101" spans="1:16" s="28" customFormat="1" ht="21.75" customHeight="1" x14ac:dyDescent="0.25">
      <c r="A101" s="11"/>
      <c r="B101" s="1227" t="s">
        <v>1495</v>
      </c>
      <c r="C101" s="1227" t="s">
        <v>1495</v>
      </c>
      <c r="D101" s="1227"/>
      <c r="E101" s="312" t="s">
        <v>597</v>
      </c>
      <c r="F101" s="1789"/>
      <c r="G101" s="1790">
        <f>IF($B101="нет",0,VLOOKUP($B101,Ф_807_2020_2015[],MATCH(G$73,'Ф_807_2020-2015'!$1:$1,0),0))</f>
        <v>15413763</v>
      </c>
      <c r="H101" s="1791">
        <f>IF($B101="нет",0,VLOOKUP($B101,Ф_807_2020_2015[],MATCH(H$73,'Ф_807_2020-2015'!$1:$1,0),0))</f>
        <v>26326672</v>
      </c>
      <c r="I101" s="1791">
        <f>IF($B101="нет",0,VLOOKUP($B101,Ф_807_2020_2015[],MATCH(I$73,'Ф_807_2020-2015'!$1:$1,0),0))</f>
        <v>20733113</v>
      </c>
      <c r="J101" s="1791">
        <f>IF($B101="нет",0,VLOOKUP($B101,Ф_807_2020_2015[],MATCH(J$73,'Ф_807_2020-2015'!$1:$1,0),0))</f>
        <v>22757464</v>
      </c>
      <c r="K101" s="1791">
        <f>IF($B101="нет",0,VLOOKUP($B101,Ф_807_2020_2015[],MATCH(K$73,'Ф_807_2020-2015'!$1:$1,0),0))</f>
        <v>24293713</v>
      </c>
      <c r="L101" s="1791">
        <f>IF($C101="нет",0,VLOOKUP($C101,Ф_807_2023_2021[],MATCH(L$73,'Ф_807_2023-2021'!$1:$1,0),0))</f>
        <v>28996613</v>
      </c>
      <c r="M101" s="1791">
        <f>IF($C101="нет",0,VLOOKUP($C101,Ф_807_2023_2021[],MATCH(M$73,'Ф_807_2023-2021'!$1:$1,0),0))</f>
        <v>30578406</v>
      </c>
      <c r="N101" s="1791">
        <f>IF($C101="нет",0,VLOOKUP($C101,Ф_807_2023_2021[],MATCH(N$73,'Ф_807_2023-2021'!$1:$1,0),0))</f>
        <v>36237410</v>
      </c>
      <c r="O101" s="1791">
        <f>IF($C101="нет",0,VLOOKUP($C101,Ф_807_2023_2021[],MATCH(O$73,'Ф_807_2023-2021'!$1:$1,0),0))</f>
        <v>48060940</v>
      </c>
      <c r="P101" s="1792"/>
    </row>
    <row r="102" spans="1:16" x14ac:dyDescent="0.2">
      <c r="A102" s="21"/>
      <c r="B102" s="1228" t="s">
        <v>1496</v>
      </c>
      <c r="C102" s="1228" t="s">
        <v>1496</v>
      </c>
      <c r="D102" s="1228"/>
      <c r="E102" s="479" t="s">
        <v>598</v>
      </c>
      <c r="F102" s="1781"/>
      <c r="G102" s="1782">
        <f>IF($B102="нет",0,VLOOKUP($B102,Ф_807_2020_2015[],MATCH(G$73,'Ф_807_2020-2015'!$1:$1,0),0))</f>
        <v>14559974</v>
      </c>
      <c r="H102" s="1783">
        <f>IF($B102="нет",0,VLOOKUP($B102,Ф_807_2020_2015[],MATCH(H$73,'Ф_807_2020-2015'!$1:$1,0),0))</f>
        <v>25075105</v>
      </c>
      <c r="I102" s="1783">
        <f>IF($B102="нет",0,VLOOKUP($B102,Ф_807_2020_2015[],MATCH(I$73,'Ф_807_2020-2015'!$1:$1,0),0))</f>
        <v>16853565</v>
      </c>
      <c r="J102" s="1783">
        <f>IF($B102="нет",0,VLOOKUP($B102,Ф_807_2020_2015[],MATCH(J$73,'Ф_807_2020-2015'!$1:$1,0),0))</f>
        <v>15033435</v>
      </c>
      <c r="K102" s="1783">
        <f>IF($B102="нет",0,VLOOKUP($B102,Ф_807_2020_2015[],MATCH(K$73,'Ф_807_2020-2015'!$1:$1,0),0))</f>
        <v>17938236</v>
      </c>
      <c r="L102" s="1783">
        <f>IF($C102="нет",0,VLOOKUP($C102,Ф_807_2023_2021[],MATCH(L$73,'Ф_807_2023-2021'!$1:$1,0),0))</f>
        <v>21594560</v>
      </c>
      <c r="M102" s="1783">
        <f>IF($C102="нет",0,VLOOKUP($C102,Ф_807_2023_2021[],MATCH(M$73,'Ф_807_2023-2021'!$1:$1,0),0))</f>
        <v>28587486</v>
      </c>
      <c r="N102" s="1783">
        <f>IF($C102="нет",0,VLOOKUP($C102,Ф_807_2023_2021[],MATCH(N$73,'Ф_807_2023-2021'!$1:$1,0),0))</f>
        <v>26956296</v>
      </c>
      <c r="O102" s="1783">
        <f>IF($C102="нет",0,VLOOKUP($C102,Ф_807_2023_2021[],MATCH(O$73,'Ф_807_2023-2021'!$1:$1,0),0))</f>
        <v>28723624</v>
      </c>
      <c r="P102" s="1784"/>
    </row>
    <row r="103" spans="1:16" s="28" customFormat="1" ht="29.25" customHeight="1" x14ac:dyDescent="0.25">
      <c r="A103" s="11"/>
      <c r="B103" s="1221" t="s">
        <v>1497</v>
      </c>
      <c r="C103" s="1221" t="s">
        <v>1497</v>
      </c>
      <c r="D103" s="1221"/>
      <c r="E103" s="312" t="s">
        <v>599</v>
      </c>
      <c r="F103" s="1789"/>
      <c r="G103" s="1790">
        <f>IF($B103="нет",0,VLOOKUP($B103,Ф_807_2020_2015[],MATCH(G$73,'Ф_807_2020-2015'!$1:$1,0),0))</f>
        <v>853789</v>
      </c>
      <c r="H103" s="1791">
        <f>IF($B103="нет",0,VLOOKUP($B103,Ф_807_2020_2015[],MATCH(H$73,'Ф_807_2020-2015'!$1:$1,0),0))</f>
        <v>1251567</v>
      </c>
      <c r="I103" s="1791">
        <f>IF($B103="нет",0,VLOOKUP($B103,Ф_807_2020_2015[],MATCH(I$73,'Ф_807_2020-2015'!$1:$1,0),0))</f>
        <v>3879548</v>
      </c>
      <c r="J103" s="1791">
        <f>IF($B103="нет",0,VLOOKUP($B103,Ф_807_2020_2015[],MATCH(J$73,'Ф_807_2020-2015'!$1:$1,0),0))</f>
        <v>7724029</v>
      </c>
      <c r="K103" s="1791">
        <f>IF($B103="нет",0,VLOOKUP($B103,Ф_807_2020_2015[],MATCH(K$73,'Ф_807_2020-2015'!$1:$1,0),0))</f>
        <v>6355477</v>
      </c>
      <c r="L103" s="1791">
        <f>IF($C103="нет",0,VLOOKUP($C103,Ф_807_2023_2021[],MATCH(L$73,'Ф_807_2023-2021'!$1:$1,0),0))</f>
        <v>7402053</v>
      </c>
      <c r="M103" s="1791">
        <f>IF($C103="нет",0,VLOOKUP($C103,Ф_807_2023_2021[],MATCH(M$73,'Ф_807_2023-2021'!$1:$1,0),0))</f>
        <v>1990920</v>
      </c>
      <c r="N103" s="1791">
        <f>IF($C103="нет",0,VLOOKUP($C103,Ф_807_2023_2021[],MATCH(N$73,'Ф_807_2023-2021'!$1:$1,0),0))</f>
        <v>9281114</v>
      </c>
      <c r="O103" s="1791">
        <f>IF($C103="нет",0,VLOOKUP($C103,Ф_807_2023_2021[],MATCH(O$73,'Ф_807_2023-2021'!$1:$1,0),0))</f>
        <v>19337316</v>
      </c>
      <c r="P103" s="1792"/>
    </row>
    <row r="104" spans="1:16" x14ac:dyDescent="0.2">
      <c r="A104" s="21"/>
      <c r="B104" s="1215" t="s">
        <v>1498</v>
      </c>
      <c r="C104" s="1215" t="s">
        <v>1498</v>
      </c>
      <c r="D104" s="1215"/>
      <c r="E104" s="479" t="s">
        <v>600</v>
      </c>
      <c r="F104" s="1781"/>
      <c r="G104" s="1782">
        <f>IF($B104="нет",0,VLOOKUP($B104,Ф_807_2020_2015[],MATCH(G$73,'Ф_807_2020-2015'!$1:$1,0),0))</f>
        <v>203107</v>
      </c>
      <c r="H104" s="1783">
        <f>IF($B104="нет",0,VLOOKUP($B104,Ф_807_2020_2015[],MATCH(H$73,'Ф_807_2020-2015'!$1:$1,0),0))</f>
        <v>454977</v>
      </c>
      <c r="I104" s="1783">
        <f>IF($B104="нет",0,VLOOKUP($B104,Ф_807_2020_2015[],MATCH(I$73,'Ф_807_2020-2015'!$1:$1,0),0))</f>
        <v>1168933</v>
      </c>
      <c r="J104" s="1783">
        <f>IF($B104="нет",0,VLOOKUP($B104,Ф_807_2020_2015[],MATCH(J$73,'Ф_807_2020-2015'!$1:$1,0),0))</f>
        <v>1471208</v>
      </c>
      <c r="K104" s="1783">
        <f>IF($B104="нет",0,VLOOKUP($B104,Ф_807_2020_2015[],MATCH(K$73,'Ф_807_2020-2015'!$1:$1,0),0))</f>
        <v>1998039</v>
      </c>
      <c r="L104" s="1783">
        <f>IF($C104="нет",0,VLOOKUP($C104,Ф_807_2023_2021[],MATCH(L$73,'Ф_807_2023-2021'!$1:$1,0),0))</f>
        <v>1098274</v>
      </c>
      <c r="M104" s="1783">
        <f>IF($C104="нет",0,VLOOKUP($C104,Ф_807_2023_2021[],MATCH(M$73,'Ф_807_2023-2021'!$1:$1,0),0))</f>
        <v>433772</v>
      </c>
      <c r="N104" s="1783">
        <f>IF($C104="нет",0,VLOOKUP($C104,Ф_807_2023_2021[],MATCH(N$73,'Ф_807_2023-2021'!$1:$1,0),0))</f>
        <v>2870756</v>
      </c>
      <c r="O104" s="1783">
        <f>IF($C104="нет",0,VLOOKUP($C104,Ф_807_2023_2021[],MATCH(O$73,'Ф_807_2023-2021'!$1:$1,0),0))</f>
        <v>3935762</v>
      </c>
      <c r="P104" s="1784"/>
    </row>
    <row r="105" spans="1:16" s="292" customFormat="1" ht="32.25" customHeight="1" x14ac:dyDescent="0.25">
      <c r="A105" s="297"/>
      <c r="B105" s="1223" t="s">
        <v>1499</v>
      </c>
      <c r="C105" s="1223" t="s">
        <v>1499</v>
      </c>
      <c r="D105" s="1223"/>
      <c r="E105" s="1224" t="s">
        <v>1349</v>
      </c>
      <c r="F105" s="1803"/>
      <c r="G105" s="1804">
        <f>IF($B105="нет",0,VLOOKUP($B105,Ф_807_2020_2015[],MATCH(G$73,'Ф_807_2020-2015'!$1:$1,0),0))</f>
        <v>866108</v>
      </c>
      <c r="H105" s="1803">
        <f>IF($B105="нет",0,VLOOKUP($B105,Ф_807_2020_2015[],MATCH(H$73,'Ф_807_2020-2015'!$1:$1,0),0))</f>
        <v>881913</v>
      </c>
      <c r="I105" s="1803">
        <f>IF($B105="нет",0,VLOOKUP($B105,Ф_807_2020_2015[],MATCH(I$73,'Ф_807_2020-2015'!$1:$1,0),0))</f>
        <v>2727813</v>
      </c>
      <c r="J105" s="1803">
        <f>IF($B105="нет",0,VLOOKUP($B105,Ф_807_2020_2015[],MATCH(J$73,'Ф_807_2020-2015'!$1:$1,0),0))</f>
        <v>6247687</v>
      </c>
      <c r="K105" s="1803">
        <f>IF($B105="нет",0,VLOOKUP($B105,Ф_807_2020_2015[],MATCH(K$73,'Ф_807_2020-2015'!$1:$1,0),0))</f>
        <v>4367673</v>
      </c>
      <c r="L105" s="1803">
        <f>IF($C105="нет",0,VLOOKUP($C105,Ф_807_2023_2021[],MATCH(L$73,'Ф_807_2023-2021'!$1:$1,0),0))</f>
        <v>6123774</v>
      </c>
      <c r="M105" s="1803">
        <f>IF($C105="нет",0,VLOOKUP($C105,Ф_807_2023_2021[],MATCH(M$73,'Ф_807_2023-2021'!$1:$1,0),0))</f>
        <v>1456653</v>
      </c>
      <c r="N105" s="1803">
        <f>IF($C105="нет",0,VLOOKUP($C105,Ф_807_2023_2021[],MATCH(N$73,'Ф_807_2023-2021'!$1:$1,0),0))</f>
        <v>6310896</v>
      </c>
      <c r="O105" s="1803">
        <f>IF($C105="нет",0,VLOOKUP($C105,Ф_807_2023_2021[],MATCH(O$73,'Ф_807_2023-2021'!$1:$1,0),0))</f>
        <v>15315232</v>
      </c>
      <c r="P105" s="1805"/>
    </row>
    <row r="106" spans="1:16" s="442" customFormat="1" x14ac:dyDescent="0.2">
      <c r="A106" s="439"/>
      <c r="B106" s="1225" t="s">
        <v>1487</v>
      </c>
      <c r="C106" s="1225" t="s">
        <v>1487</v>
      </c>
      <c r="D106" s="1225"/>
      <c r="E106" s="1226" t="s">
        <v>1055</v>
      </c>
      <c r="F106" s="1806"/>
      <c r="G106" s="1807">
        <f>IF($B106="нет",0,VLOOKUP($B106,Ф_807_2020_2015[],MATCH(G$73,'Ф_807_2020-2015'!$1:$1,0),0))</f>
        <v>-215426</v>
      </c>
      <c r="H106" s="1808">
        <f>IF($B106="нет",0,VLOOKUP($B106,Ф_807_2020_2015[],MATCH(H$73,'Ф_807_2020-2015'!$1:$1,0),0))</f>
        <v>-85323</v>
      </c>
      <c r="I106" s="1808">
        <f>IF($B106="нет",0,VLOOKUP($B106,Ф_807_2020_2015[],MATCH(I$73,'Ф_807_2020-2015'!$1:$1,0),0))</f>
        <v>-17198</v>
      </c>
      <c r="J106" s="1808">
        <f>IF($B106="нет",0,VLOOKUP($B106,Ф_807_2020_2015[],MATCH(J$73,'Ф_807_2020-2015'!$1:$1,0),0))</f>
        <v>5134</v>
      </c>
      <c r="K106" s="1808">
        <f>IF($B106="нет",0,VLOOKUP($B106,Ф_807_2020_2015[],MATCH(K$73,'Ф_807_2020-2015'!$1:$1,0),0))</f>
        <v>-10235</v>
      </c>
      <c r="L106" s="1808">
        <f>IF($C106="нет",0,VLOOKUP($C106,Ф_807_2023_2021[],MATCH(L$73,'Ф_807_2023-2021'!$1:$1,0),0))</f>
        <v>180005</v>
      </c>
      <c r="M106" s="1808">
        <f>IF($C106="нет",0,VLOOKUP($C106,Ф_807_2023_2021[],MATCH(M$73,'Ф_807_2023-2021'!$1:$1,0),0))</f>
        <v>100495</v>
      </c>
      <c r="N106" s="1808">
        <f>IF($C106="нет",0,VLOOKUP($C106,Ф_807_2023_2021[],MATCH(N$73,'Ф_807_2023-2021'!$1:$1,0),0))</f>
        <v>99462</v>
      </c>
      <c r="O106" s="1808">
        <f>IF($C106="нет",0,VLOOKUP($C106,Ф_807_2023_2021[],MATCH(O$73,'Ф_807_2023-2021'!$1:$1,0),0))</f>
        <v>86322</v>
      </c>
      <c r="P106" s="1809"/>
    </row>
    <row r="107" spans="1:16" s="292" customFormat="1" ht="32.25" customHeight="1" x14ac:dyDescent="0.25">
      <c r="A107" s="297"/>
      <c r="B107" s="363" t="s">
        <v>1488</v>
      </c>
      <c r="C107" s="363" t="s">
        <v>1488</v>
      </c>
      <c r="D107" s="363"/>
      <c r="E107" s="1222" t="s">
        <v>1056</v>
      </c>
      <c r="F107" s="1810"/>
      <c r="G107" s="1811">
        <f>IF($B107="нет",0,VLOOKUP($B107,Ф_807_2020_2015[],MATCH(G$73,'Ф_807_2020-2015'!$1:$1,0),0))</f>
        <v>650682</v>
      </c>
      <c r="H107" s="1810">
        <f>IF($B107="нет",0,VLOOKUP($B107,Ф_807_2020_2015[],MATCH(H$73,'Ф_807_2020-2015'!$1:$1,0),0))</f>
        <v>796590</v>
      </c>
      <c r="I107" s="1810">
        <f>IF($B107="нет",0,VLOOKUP($B107,Ф_807_2020_2015[],MATCH(I$73,'Ф_807_2020-2015'!$1:$1,0),0))</f>
        <v>2710615</v>
      </c>
      <c r="J107" s="1810">
        <f>IF($B107="нет",0,VLOOKUP($B107,Ф_807_2020_2015[],MATCH(J$73,'Ф_807_2020-2015'!$1:$1,0),0))</f>
        <v>6252821</v>
      </c>
      <c r="K107" s="1810">
        <f>IF($B107="нет",0,VLOOKUP($B107,Ф_807_2020_2015[],MATCH(K$73,'Ф_807_2020-2015'!$1:$1,0),0))</f>
        <v>4357438</v>
      </c>
      <c r="L107" s="1810">
        <f>IF($C107="нет",0,VLOOKUP($C107,Ф_807_2023_2021[],MATCH(L$73,'Ф_807_2023-2021'!$1:$1,0),0))</f>
        <v>6303779</v>
      </c>
      <c r="M107" s="1810">
        <f>IF($C107="нет",0,VLOOKUP($C107,Ф_807_2023_2021[],MATCH(M$73,'Ф_807_2023-2021'!$1:$1,0),0))</f>
        <v>1557148</v>
      </c>
      <c r="N107" s="1810">
        <f>IF($C107="нет",0,VLOOKUP($C107,Ф_807_2023_2021[],MATCH(N$73,'Ф_807_2023-2021'!$1:$1,0),0))</f>
        <v>6410358</v>
      </c>
      <c r="O107" s="1810">
        <f>IF($C107="нет",0,VLOOKUP($C107,Ф_807_2023_2021[],MATCH(O$73,'Ф_807_2023-2021'!$1:$1,0),0))</f>
        <v>15401554</v>
      </c>
      <c r="P107" s="1812"/>
    </row>
    <row r="108" spans="1:16" s="292" customFormat="1" ht="32.25" customHeight="1" x14ac:dyDescent="0.25">
      <c r="A108" s="297"/>
      <c r="B108" s="1816"/>
      <c r="C108" s="1816"/>
      <c r="D108" s="1816"/>
      <c r="E108" s="1820" t="s">
        <v>3433</v>
      </c>
      <c r="F108" s="1817"/>
      <c r="G108" s="1818">
        <f>IF(G7&lt;2021,0,HLOOKUP(G$6,'Ф_807_2023-2021'!$50:$51,2,0))</f>
        <v>0</v>
      </c>
      <c r="H108" s="1817">
        <f>IF(H7&lt;2021,0,HLOOKUP(H$6,'Ф_807_2023-2021'!$50:$51,2,0))</f>
        <v>0</v>
      </c>
      <c r="I108" s="1817">
        <f>IF(I7&lt;2021,0,HLOOKUP(I$6,'Ф_807_2023-2021'!$50:$51,2,0))</f>
        <v>0</v>
      </c>
      <c r="J108" s="1817">
        <f>IF(J7&lt;2021,0,HLOOKUP(J$6,'Ф_807_2023-2021'!$50:$51,2,0))</f>
        <v>0</v>
      </c>
      <c r="K108" s="1817">
        <f>IF(K7&lt;2021,0,HLOOKUP(K$6,'Ф_807_2023-2021'!$50:$51,2,0))</f>
        <v>0</v>
      </c>
      <c r="L108" s="1817">
        <f>IF(L7&lt;2021,0,HLOOKUP(L$6,'Ф_807_2023-2021'!$50:$51,2,0))</f>
        <v>-2290978</v>
      </c>
      <c r="M108" s="1817">
        <f>IF(M7&lt;2021,0,HLOOKUP(M$6,'Ф_807_2023-2021'!$50:$51,2,0))</f>
        <v>8975151</v>
      </c>
      <c r="N108" s="1817">
        <f>IF(N7&lt;2021,0,HLOOKUP(N$6,'Ф_807_2023-2021'!$50:$51,2,0))</f>
        <v>22913733</v>
      </c>
      <c r="O108" s="1817">
        <f>IF(O7&lt;2021,0,HLOOKUP(O$6,'Ф_807_2023-2021'!$50:$51,2,0))</f>
        <v>9909609</v>
      </c>
      <c r="P108" s="1819"/>
    </row>
    <row r="109" spans="1:16" ht="15.75" thickBot="1" x14ac:dyDescent="0.25">
      <c r="A109" s="21"/>
      <c r="B109" s="438"/>
      <c r="C109" s="438"/>
      <c r="D109" s="438"/>
      <c r="E109" s="291"/>
      <c r="F109" s="1781"/>
      <c r="G109" s="1813"/>
      <c r="H109" s="1814"/>
      <c r="I109" s="1814"/>
      <c r="J109" s="1814"/>
      <c r="K109" s="1814"/>
      <c r="L109" s="1814"/>
      <c r="M109" s="1814"/>
      <c r="N109" s="1814"/>
      <c r="O109" s="1814"/>
      <c r="P109" s="1815"/>
    </row>
    <row r="110" spans="1:16" ht="15.75" thickTop="1" x14ac:dyDescent="0.2">
      <c r="A110" s="21"/>
      <c r="B110" s="438"/>
      <c r="C110" s="438"/>
      <c r="D110" s="438"/>
      <c r="E110" s="291"/>
      <c r="F110" s="373"/>
      <c r="G110" s="1132"/>
      <c r="H110" s="1132"/>
      <c r="I110" s="1132"/>
      <c r="J110" s="1132"/>
      <c r="K110" s="1132"/>
      <c r="L110" s="1132"/>
      <c r="M110" s="1132"/>
      <c r="N110" s="1132"/>
      <c r="O110" s="1132"/>
      <c r="P110" s="1132"/>
    </row>
    <row r="111" spans="1:16" ht="16.5" thickBot="1" x14ac:dyDescent="0.3">
      <c r="A111" s="21"/>
      <c r="B111" s="21"/>
      <c r="C111" s="21"/>
      <c r="D111" s="21"/>
      <c r="E111" s="316" t="s">
        <v>1011</v>
      </c>
      <c r="F111" s="21" t="s">
        <v>348</v>
      </c>
      <c r="G111" s="318"/>
      <c r="H111" s="318"/>
      <c r="I111" s="318"/>
      <c r="J111" s="318"/>
      <c r="K111" s="318"/>
      <c r="L111" s="318"/>
      <c r="M111" s="318"/>
      <c r="N111" s="318"/>
      <c r="O111" s="318"/>
      <c r="P111" s="318"/>
    </row>
    <row r="112" spans="1:16" ht="32.25" thickTop="1" x14ac:dyDescent="0.2">
      <c r="A112" s="21"/>
      <c r="B112" s="1180" t="s">
        <v>3001</v>
      </c>
      <c r="C112" s="21"/>
      <c r="D112" s="21"/>
      <c r="E112" s="306" t="str">
        <f>E7</f>
        <v>тыс. руб.</v>
      </c>
      <c r="F112" s="301">
        <f t="shared" ref="F112" si="15">F7</f>
        <v>0</v>
      </c>
      <c r="G112" s="1334" t="str">
        <f>TEXT(G7,0)</f>
        <v>2016</v>
      </c>
      <c r="H112" s="1335" t="str">
        <f t="shared" ref="H112:P112" si="16">TEXT(H7,0)</f>
        <v>2017</v>
      </c>
      <c r="I112" s="1335" t="str">
        <f t="shared" si="16"/>
        <v>2018</v>
      </c>
      <c r="J112" s="1335" t="str">
        <f t="shared" si="16"/>
        <v>2019</v>
      </c>
      <c r="K112" s="1335" t="str">
        <f t="shared" si="16"/>
        <v>2020</v>
      </c>
      <c r="L112" s="1335" t="str">
        <f t="shared" si="16"/>
        <v>2021</v>
      </c>
      <c r="M112" s="1335" t="str">
        <f t="shared" si="16"/>
        <v>2022</v>
      </c>
      <c r="N112" s="1335" t="str">
        <f t="shared" si="16"/>
        <v>2023</v>
      </c>
      <c r="O112" s="1335" t="str">
        <f t="shared" si="16"/>
        <v>2024</v>
      </c>
      <c r="P112" s="1336" t="str">
        <f t="shared" si="16"/>
        <v>2025</v>
      </c>
    </row>
    <row r="113" spans="1:16" x14ac:dyDescent="0.2">
      <c r="A113" s="21"/>
      <c r="B113" s="1215" t="s">
        <v>2936</v>
      </c>
      <c r="C113" s="438"/>
      <c r="D113" s="438"/>
      <c r="E113" s="291" t="s">
        <v>1012</v>
      </c>
      <c r="F113" s="373"/>
      <c r="G113" s="1338">
        <f>VLOOKUP($B113,Ф_814_2020_2015[],MATCH(G$112,'Ф_814_2020-2015'!$1:$1,0),0)</f>
        <v>36871823</v>
      </c>
      <c r="H113" s="1337">
        <f>VLOOKUP($B113,Ф_814_2020_2015[],MATCH(H$112,'Ф_814_2020-2015'!$1:$1,0),0)</f>
        <v>32865045</v>
      </c>
      <c r="I113" s="1337">
        <f>VLOOKUP($B113,Ф_814_2020_2015[],MATCH(I$112,'Ф_814_2020-2015'!$1:$1,0),0)</f>
        <v>34367799</v>
      </c>
      <c r="J113" s="1337">
        <f>VLOOKUP($B113,Ф_814_2020_2015[],MATCH(J$112,'Ф_814_2020-2015'!$1:$1,0),0)</f>
        <v>30116929</v>
      </c>
      <c r="K113" s="1337">
        <f>VLOOKUP($B113,Ф_814_2020_2015[],MATCH(K$112,'Ф_814_2020-2015'!$1:$1,0),0)</f>
        <v>31838074</v>
      </c>
      <c r="L113" s="1509"/>
      <c r="M113" s="1509"/>
      <c r="N113" s="1509"/>
      <c r="O113" s="1509"/>
      <c r="P113" s="1510"/>
    </row>
    <row r="114" spans="1:16" x14ac:dyDescent="0.2">
      <c r="A114" s="21"/>
      <c r="B114" s="1215" t="s">
        <v>2938</v>
      </c>
      <c r="C114" s="438"/>
      <c r="D114" s="438"/>
      <c r="E114" s="291" t="s">
        <v>1013</v>
      </c>
      <c r="F114" s="373"/>
      <c r="G114" s="1338">
        <f>VLOOKUP($B114,Ф_814_2020_2015[],MATCH(G$112,'Ф_814_2020-2015'!$1:$1,0),0)</f>
        <v>-29893095</v>
      </c>
      <c r="H114" s="1337">
        <f>VLOOKUP($B114,Ф_814_2020_2015[],MATCH(H$112,'Ф_814_2020-2015'!$1:$1,0),0)</f>
        <v>-23570761</v>
      </c>
      <c r="I114" s="1337">
        <f>VLOOKUP($B114,Ф_814_2020_2015[],MATCH(I$112,'Ф_814_2020-2015'!$1:$1,0),0)</f>
        <v>-20719498</v>
      </c>
      <c r="J114" s="1337">
        <f>VLOOKUP($B114,Ф_814_2020_2015[],MATCH(J$112,'Ф_814_2020-2015'!$1:$1,0),0)</f>
        <v>-25908706</v>
      </c>
      <c r="K114" s="1337">
        <f>VLOOKUP($B114,Ф_814_2020_2015[],MATCH(K$112,'Ф_814_2020-2015'!$1:$1,0),0)</f>
        <v>-22321117</v>
      </c>
      <c r="L114" s="1509"/>
      <c r="M114" s="1509"/>
      <c r="N114" s="1509"/>
      <c r="O114" s="1509"/>
      <c r="P114" s="1510"/>
    </row>
    <row r="115" spans="1:16" x14ac:dyDescent="0.2">
      <c r="A115" s="21"/>
      <c r="B115" s="1215" t="s">
        <v>2940</v>
      </c>
      <c r="C115" s="438"/>
      <c r="D115" s="438"/>
      <c r="E115" s="291" t="s">
        <v>1014</v>
      </c>
      <c r="F115" s="373"/>
      <c r="G115" s="1338">
        <f>VLOOKUP($B115,Ф_814_2020_2015[],MATCH(G$112,'Ф_814_2020-2015'!$1:$1,0),0)</f>
        <v>3665904</v>
      </c>
      <c r="H115" s="1337">
        <f>VLOOKUP($B115,Ф_814_2020_2015[],MATCH(H$112,'Ф_814_2020-2015'!$1:$1,0),0)</f>
        <v>4469501</v>
      </c>
      <c r="I115" s="1337">
        <f>VLOOKUP($B115,Ф_814_2020_2015[],MATCH(I$112,'Ф_814_2020-2015'!$1:$1,0),0)</f>
        <v>5580882</v>
      </c>
      <c r="J115" s="1337">
        <f>VLOOKUP($B115,Ф_814_2020_2015[],MATCH(J$112,'Ф_814_2020-2015'!$1:$1,0),0)</f>
        <v>6994739</v>
      </c>
      <c r="K115" s="1337">
        <f>VLOOKUP($B115,Ф_814_2020_2015[],MATCH(K$112,'Ф_814_2020-2015'!$1:$1,0),0)</f>
        <v>7918155</v>
      </c>
      <c r="L115" s="1509"/>
      <c r="M115" s="1509"/>
      <c r="N115" s="1509"/>
      <c r="O115" s="1509"/>
      <c r="P115" s="1510"/>
    </row>
    <row r="116" spans="1:16" x14ac:dyDescent="0.2">
      <c r="A116" s="21"/>
      <c r="B116" s="1215" t="s">
        <v>2942</v>
      </c>
      <c r="C116" s="438"/>
      <c r="D116" s="438"/>
      <c r="E116" s="291" t="s">
        <v>1015</v>
      </c>
      <c r="F116" s="373"/>
      <c r="G116" s="1338">
        <f>VLOOKUP($B116,Ф_814_2020_2015[],MATCH(G$112,'Ф_814_2020-2015'!$1:$1,0),0)</f>
        <v>-988175</v>
      </c>
      <c r="H116" s="1337">
        <f>VLOOKUP($B116,Ф_814_2020_2015[],MATCH(H$112,'Ф_814_2020-2015'!$1:$1,0),0)</f>
        <v>-1354409</v>
      </c>
      <c r="I116" s="1337">
        <f>VLOOKUP($B116,Ф_814_2020_2015[],MATCH(I$112,'Ф_814_2020-2015'!$1:$1,0),0)</f>
        <v>-1739783</v>
      </c>
      <c r="J116" s="1337">
        <f>VLOOKUP($B116,Ф_814_2020_2015[],MATCH(J$112,'Ф_814_2020-2015'!$1:$1,0),0)</f>
        <v>-2329429</v>
      </c>
      <c r="K116" s="1337">
        <f>VLOOKUP($B116,Ф_814_2020_2015[],MATCH(K$112,'Ф_814_2020-2015'!$1:$1,0),0)</f>
        <v>-3039552</v>
      </c>
      <c r="L116" s="1509"/>
      <c r="M116" s="1509"/>
      <c r="N116" s="1509"/>
      <c r="O116" s="1509"/>
      <c r="P116" s="1510"/>
    </row>
    <row r="117" spans="1:16" x14ac:dyDescent="0.2">
      <c r="A117" s="21"/>
      <c r="B117" s="1215" t="s">
        <v>2994</v>
      </c>
      <c r="C117" s="438"/>
      <c r="D117" s="438"/>
      <c r="E117" s="291" t="s">
        <v>1016</v>
      </c>
      <c r="F117" s="373"/>
      <c r="G117" s="1338">
        <f>VLOOKUP($B117,Ф_814_2020_2015[],MATCH(G$112,'Ф_814_2020-2015'!$1:$1,0),0)</f>
        <v>0</v>
      </c>
      <c r="H117" s="1337">
        <f>VLOOKUP($B117,Ф_814_2020_2015[],MATCH(H$112,'Ф_814_2020-2015'!$1:$1,0),0)</f>
        <v>0</v>
      </c>
      <c r="I117" s="1337">
        <f>VLOOKUP($B117,Ф_814_2020_2015[],MATCH(I$112,'Ф_814_2020-2015'!$1:$1,0),0)</f>
        <v>0</v>
      </c>
      <c r="J117" s="1337">
        <f>VLOOKUP($B117,Ф_814_2020_2015[],MATCH(J$112,'Ф_814_2020-2015'!$1:$1,0),0)</f>
        <v>0</v>
      </c>
      <c r="K117" s="1337">
        <f>VLOOKUP($B117,Ф_814_2020_2015[],MATCH(K$112,'Ф_814_2020-2015'!$1:$1,0),0)</f>
        <v>0</v>
      </c>
      <c r="L117" s="1509"/>
      <c r="M117" s="1509"/>
      <c r="N117" s="1509"/>
      <c r="O117" s="1509"/>
      <c r="P117" s="1510"/>
    </row>
    <row r="118" spans="1:16" ht="15.75" thickBot="1" x14ac:dyDescent="0.25">
      <c r="A118" s="21"/>
      <c r="B118" s="438"/>
      <c r="C118" s="438"/>
      <c r="D118" s="438"/>
      <c r="E118" s="291"/>
      <c r="F118" s="373"/>
      <c r="G118" s="1339"/>
      <c r="H118" s="1340"/>
      <c r="I118" s="1340"/>
      <c r="J118" s="1340"/>
      <c r="K118" s="1340"/>
      <c r="L118" s="1340"/>
      <c r="M118" s="1340"/>
      <c r="N118" s="1340"/>
      <c r="O118" s="1340"/>
      <c r="P118" s="1341"/>
    </row>
    <row r="119" spans="1:16" ht="15.75" thickTop="1" x14ac:dyDescent="0.2">
      <c r="A119" s="21"/>
      <c r="B119" s="438"/>
      <c r="C119" s="438"/>
      <c r="D119" s="438"/>
      <c r="E119" s="291"/>
      <c r="F119" s="373"/>
      <c r="G119" s="1132"/>
      <c r="H119" s="1132"/>
      <c r="I119" s="1132"/>
      <c r="J119" s="1132"/>
      <c r="K119" s="1132"/>
      <c r="L119" s="1132"/>
      <c r="M119" s="1132"/>
      <c r="N119" s="1132"/>
      <c r="O119" s="1132"/>
      <c r="P119" s="1132"/>
    </row>
    <row r="120" spans="1:16" x14ac:dyDescent="0.2">
      <c r="A120" s="21"/>
      <c r="B120" s="438"/>
      <c r="C120" s="438"/>
      <c r="D120" s="438"/>
      <c r="E120" s="291"/>
      <c r="F120" s="373"/>
      <c r="G120" s="1132"/>
      <c r="H120" s="1132"/>
      <c r="I120" s="1132"/>
      <c r="J120" s="1132"/>
      <c r="K120" s="1132"/>
      <c r="L120" s="1132"/>
      <c r="M120" s="1132"/>
      <c r="N120" s="1132"/>
      <c r="O120" s="1132"/>
      <c r="P120" s="1132"/>
    </row>
    <row r="121" spans="1:16" x14ac:dyDescent="0.2">
      <c r="A121" s="21"/>
      <c r="B121" s="438"/>
      <c r="C121" s="438"/>
      <c r="D121" s="438"/>
      <c r="E121" s="291"/>
      <c r="F121" s="373"/>
      <c r="G121" s="1132"/>
      <c r="H121" s="1132"/>
      <c r="I121" s="1132"/>
      <c r="J121" s="1132"/>
      <c r="K121" s="1132"/>
      <c r="L121" s="1132"/>
      <c r="M121" s="1132"/>
      <c r="N121" s="1132"/>
      <c r="O121" s="1132"/>
      <c r="P121" s="1132"/>
    </row>
    <row r="122" spans="1:16" x14ac:dyDescent="0.2">
      <c r="A122" s="21"/>
      <c r="B122" s="438"/>
      <c r="C122" s="438"/>
      <c r="D122" s="438"/>
      <c r="E122" s="291"/>
      <c r="F122" s="373"/>
      <c r="G122" s="1132"/>
      <c r="H122" s="1132"/>
      <c r="I122" s="1132"/>
      <c r="J122" s="1132"/>
      <c r="K122" s="1132"/>
      <c r="L122" s="1132"/>
      <c r="M122" s="1132"/>
      <c r="N122" s="1132"/>
      <c r="O122" s="1132"/>
      <c r="P122" s="1132"/>
    </row>
    <row r="123" spans="1:16" hidden="1" outlineLevel="1" x14ac:dyDescent="0.2">
      <c r="A123" s="21"/>
      <c r="B123" s="438"/>
      <c r="C123" s="438"/>
      <c r="D123" s="438"/>
      <c r="E123" s="291"/>
      <c r="F123" s="373"/>
      <c r="G123" s="1132"/>
      <c r="H123" s="1132"/>
      <c r="I123" s="1132"/>
      <c r="J123" s="1132"/>
      <c r="K123" s="1132"/>
      <c r="L123" s="1132"/>
      <c r="M123" s="1132"/>
      <c r="N123" s="1132"/>
      <c r="O123" s="1132"/>
      <c r="P123" s="1132"/>
    </row>
    <row r="124" spans="1:16" ht="15.75" hidden="1" outlineLevel="1" x14ac:dyDescent="0.25">
      <c r="A124" s="21"/>
      <c r="B124" s="21"/>
      <c r="C124" s="21"/>
      <c r="D124" s="21"/>
      <c r="E124" s="316" t="s">
        <v>603</v>
      </c>
      <c r="F124" s="21" t="s">
        <v>348</v>
      </c>
      <c r="G124" s="318"/>
      <c r="H124" s="318"/>
      <c r="I124" s="318"/>
      <c r="J124" s="318"/>
      <c r="K124" s="318"/>
      <c r="L124" s="318"/>
      <c r="M124" s="318"/>
      <c r="N124" s="318"/>
      <c r="O124" s="318"/>
      <c r="P124" s="318"/>
    </row>
    <row r="125" spans="1:16" hidden="1" outlineLevel="1" x14ac:dyDescent="0.2">
      <c r="A125" s="21"/>
      <c r="B125" s="805"/>
      <c r="C125" s="805"/>
      <c r="D125" s="805"/>
      <c r="E125" s="806" t="s">
        <v>286</v>
      </c>
      <c r="F125" s="807">
        <v>2009</v>
      </c>
      <c r="G125" s="1320">
        <v>2010</v>
      </c>
      <c r="H125" s="1320"/>
      <c r="I125" s="1320"/>
      <c r="J125" s="1320">
        <v>2013</v>
      </c>
      <c r="K125" s="1320">
        <v>2014</v>
      </c>
      <c r="L125" s="1320">
        <v>2015</v>
      </c>
      <c r="M125" s="1320"/>
      <c r="N125" s="1320"/>
      <c r="O125" s="1320"/>
      <c r="P125" s="1320"/>
    </row>
    <row r="126" spans="1:16" s="292" customFormat="1" ht="32.25" hidden="1" customHeight="1" outlineLevel="1" x14ac:dyDescent="0.25">
      <c r="A126" s="297"/>
      <c r="B126" s="808"/>
      <c r="C126" s="808">
        <v>0</v>
      </c>
      <c r="D126" s="808"/>
      <c r="E126" s="809" t="s">
        <v>604</v>
      </c>
      <c r="F126" s="810"/>
      <c r="G126" s="810"/>
      <c r="H126" s="810"/>
      <c r="I126" s="810"/>
      <c r="J126" s="810"/>
      <c r="K126" s="810"/>
      <c r="L126" s="810" t="s">
        <v>643</v>
      </c>
      <c r="M126" s="810"/>
      <c r="N126" s="810"/>
      <c r="O126" s="810"/>
      <c r="P126" s="810"/>
    </row>
    <row r="127" spans="1:16" s="28" customFormat="1" ht="15.75" hidden="1" outlineLevel="1" x14ac:dyDescent="0.25">
      <c r="A127" s="11"/>
      <c r="B127" s="811"/>
      <c r="C127" s="811">
        <v>100</v>
      </c>
      <c r="D127" s="811"/>
      <c r="E127" s="812" t="s">
        <v>605</v>
      </c>
      <c r="F127" s="813"/>
      <c r="G127" s="1321"/>
      <c r="H127" s="1321"/>
      <c r="I127" s="1322"/>
      <c r="J127" s="1321"/>
      <c r="K127" s="1322"/>
      <c r="L127" s="1322"/>
      <c r="M127" s="1322"/>
      <c r="N127" s="1322"/>
      <c r="O127" s="1322"/>
      <c r="P127" s="1322"/>
    </row>
    <row r="128" spans="1:16" hidden="1" outlineLevel="1" x14ac:dyDescent="0.2">
      <c r="A128" s="21"/>
      <c r="B128" s="814"/>
      <c r="C128" s="814">
        <v>101</v>
      </c>
      <c r="D128" s="814"/>
      <c r="E128" s="815" t="s">
        <v>606</v>
      </c>
      <c r="F128" s="816"/>
      <c r="G128" s="1323"/>
      <c r="H128" s="1323"/>
      <c r="I128" s="1324"/>
      <c r="J128" s="1323"/>
      <c r="K128" s="1324"/>
      <c r="L128" s="1324" t="s">
        <v>643</v>
      </c>
      <c r="M128" s="1324"/>
      <c r="N128" s="1324"/>
      <c r="O128" s="1324"/>
      <c r="P128" s="1324"/>
    </row>
    <row r="129" spans="1:16" hidden="1" outlineLevel="1" x14ac:dyDescent="0.2">
      <c r="A129" s="21"/>
      <c r="B129" s="814"/>
      <c r="C129" s="814">
        <v>102</v>
      </c>
      <c r="D129" s="814"/>
      <c r="E129" s="815" t="s">
        <v>607</v>
      </c>
      <c r="F129" s="816"/>
      <c r="G129" s="1323"/>
      <c r="H129" s="1323"/>
      <c r="I129" s="1324"/>
      <c r="J129" s="1323"/>
      <c r="K129" s="1324"/>
      <c r="L129" s="1324" t="s">
        <v>643</v>
      </c>
      <c r="M129" s="1324"/>
      <c r="N129" s="1324"/>
      <c r="O129" s="1324"/>
      <c r="P129" s="1324"/>
    </row>
    <row r="130" spans="1:16" ht="30" hidden="1" outlineLevel="1" x14ac:dyDescent="0.2">
      <c r="A130" s="21"/>
      <c r="B130" s="814"/>
      <c r="C130" s="814">
        <v>103</v>
      </c>
      <c r="D130" s="814"/>
      <c r="E130" s="815" t="s">
        <v>608</v>
      </c>
      <c r="F130" s="816"/>
      <c r="G130" s="1323"/>
      <c r="H130" s="1323"/>
      <c r="I130" s="1324"/>
      <c r="J130" s="1323"/>
      <c r="K130" s="1324"/>
      <c r="L130" s="1324" t="s">
        <v>643</v>
      </c>
      <c r="M130" s="1324"/>
      <c r="N130" s="1324"/>
      <c r="O130" s="1324"/>
      <c r="P130" s="1324"/>
    </row>
    <row r="131" spans="1:16" hidden="1" outlineLevel="1" x14ac:dyDescent="0.2">
      <c r="A131" s="21"/>
      <c r="B131" s="814"/>
      <c r="C131" s="814">
        <v>104</v>
      </c>
      <c r="D131" s="814"/>
      <c r="E131" s="815" t="s">
        <v>609</v>
      </c>
      <c r="F131" s="816"/>
      <c r="G131" s="1323"/>
      <c r="H131" s="1323"/>
      <c r="I131" s="1324"/>
      <c r="J131" s="1323"/>
      <c r="K131" s="1324"/>
      <c r="L131" s="1324" t="s">
        <v>643</v>
      </c>
      <c r="M131" s="1324"/>
      <c r="N131" s="1324"/>
      <c r="O131" s="1324"/>
      <c r="P131" s="1324"/>
    </row>
    <row r="132" spans="1:16" s="442" customFormat="1" ht="45" hidden="1" outlineLevel="1" x14ac:dyDescent="0.2">
      <c r="A132" s="439"/>
      <c r="B132" s="817"/>
      <c r="C132" s="818" t="s">
        <v>610</v>
      </c>
      <c r="D132" s="818"/>
      <c r="E132" s="819" t="s">
        <v>611</v>
      </c>
      <c r="F132" s="820"/>
      <c r="G132" s="1325"/>
      <c r="H132" s="1325"/>
      <c r="I132" s="1325"/>
      <c r="J132" s="1325"/>
      <c r="K132" s="1325"/>
      <c r="L132" s="1325" t="s">
        <v>643</v>
      </c>
      <c r="M132" s="1325"/>
      <c r="N132" s="1325"/>
      <c r="O132" s="1325"/>
      <c r="P132" s="1325"/>
    </row>
    <row r="133" spans="1:16" ht="30" hidden="1" outlineLevel="1" x14ac:dyDescent="0.2">
      <c r="A133" s="21"/>
      <c r="B133" s="814"/>
      <c r="C133" s="814">
        <v>105</v>
      </c>
      <c r="D133" s="814"/>
      <c r="E133" s="815" t="s">
        <v>612</v>
      </c>
      <c r="F133" s="816"/>
      <c r="G133" s="1323"/>
      <c r="H133" s="1323"/>
      <c r="I133" s="1324"/>
      <c r="J133" s="1323"/>
      <c r="K133" s="1324"/>
      <c r="L133" s="1324" t="s">
        <v>643</v>
      </c>
      <c r="M133" s="1324"/>
      <c r="N133" s="1324"/>
      <c r="O133" s="1324"/>
      <c r="P133" s="1324"/>
    </row>
    <row r="134" spans="1:16" hidden="1" outlineLevel="1" x14ac:dyDescent="0.2">
      <c r="A134" s="21"/>
      <c r="B134" s="814"/>
      <c r="C134" s="814">
        <v>106</v>
      </c>
      <c r="D134" s="814"/>
      <c r="E134" s="815" t="s">
        <v>613</v>
      </c>
      <c r="F134" s="816"/>
      <c r="G134" s="1323"/>
      <c r="H134" s="1323"/>
      <c r="I134" s="1324"/>
      <c r="J134" s="1323"/>
      <c r="K134" s="1324"/>
      <c r="L134" s="1324" t="s">
        <v>643</v>
      </c>
      <c r="M134" s="1324"/>
      <c r="N134" s="1324"/>
      <c r="O134" s="1324"/>
      <c r="P134" s="1324"/>
    </row>
    <row r="135" spans="1:16" hidden="1" outlineLevel="1" x14ac:dyDescent="0.2">
      <c r="A135" s="21"/>
      <c r="B135" s="814"/>
      <c r="C135" s="814">
        <v>107</v>
      </c>
      <c r="D135" s="814"/>
      <c r="E135" s="815" t="s">
        <v>232</v>
      </c>
      <c r="F135" s="816"/>
      <c r="G135" s="1323"/>
      <c r="H135" s="1323"/>
      <c r="I135" s="1324"/>
      <c r="J135" s="1323"/>
      <c r="K135" s="1324"/>
      <c r="L135" s="1324" t="s">
        <v>643</v>
      </c>
      <c r="M135" s="1324"/>
      <c r="N135" s="1324"/>
      <c r="O135" s="1324"/>
      <c r="P135" s="1324"/>
    </row>
    <row r="136" spans="1:16" hidden="1" outlineLevel="1" x14ac:dyDescent="0.2">
      <c r="A136" s="21"/>
      <c r="B136" s="814"/>
      <c r="C136" s="814">
        <v>108</v>
      </c>
      <c r="D136" s="814"/>
      <c r="E136" s="815" t="s">
        <v>614</v>
      </c>
      <c r="F136" s="816"/>
      <c r="G136" s="1323"/>
      <c r="H136" s="1323"/>
      <c r="I136" s="1324"/>
      <c r="J136" s="1323"/>
      <c r="K136" s="1324"/>
      <c r="L136" s="1324" t="s">
        <v>643</v>
      </c>
      <c r="M136" s="1324"/>
      <c r="N136" s="1324"/>
      <c r="O136" s="1324"/>
      <c r="P136" s="1324"/>
    </row>
    <row r="137" spans="1:16" hidden="1" outlineLevel="1" x14ac:dyDescent="0.2">
      <c r="A137" s="21"/>
      <c r="B137" s="814"/>
      <c r="C137" s="814">
        <v>109</v>
      </c>
      <c r="D137" s="814"/>
      <c r="E137" s="815" t="s">
        <v>602</v>
      </c>
      <c r="F137" s="816"/>
      <c r="G137" s="1323"/>
      <c r="H137" s="1323"/>
      <c r="I137" s="1324"/>
      <c r="J137" s="1323"/>
      <c r="K137" s="1324"/>
      <c r="L137" s="1324" t="s">
        <v>643</v>
      </c>
      <c r="M137" s="1324"/>
      <c r="N137" s="1324"/>
      <c r="O137" s="1324"/>
      <c r="P137" s="1324"/>
    </row>
    <row r="138" spans="1:16" ht="30" hidden="1" outlineLevel="1" x14ac:dyDescent="0.2">
      <c r="A138" s="21"/>
      <c r="B138" s="814"/>
      <c r="C138" s="814">
        <v>110</v>
      </c>
      <c r="D138" s="814"/>
      <c r="E138" s="815" t="s">
        <v>615</v>
      </c>
      <c r="F138" s="816"/>
      <c r="G138" s="1323"/>
      <c r="H138" s="1323"/>
      <c r="I138" s="1324"/>
      <c r="J138" s="1323"/>
      <c r="K138" s="1324"/>
      <c r="L138" s="1324" t="s">
        <v>643</v>
      </c>
      <c r="M138" s="1324"/>
      <c r="N138" s="1324"/>
      <c r="O138" s="1324"/>
      <c r="P138" s="1324"/>
    </row>
    <row r="139" spans="1:16" hidden="1" outlineLevel="1" x14ac:dyDescent="0.2">
      <c r="A139" s="21"/>
      <c r="B139" s="814"/>
      <c r="C139" s="814">
        <v>111</v>
      </c>
      <c r="D139" s="814"/>
      <c r="E139" s="815" t="s">
        <v>616</v>
      </c>
      <c r="F139" s="816"/>
      <c r="G139" s="1323"/>
      <c r="H139" s="1323"/>
      <c r="I139" s="1324"/>
      <c r="J139" s="1323"/>
      <c r="K139" s="1324"/>
      <c r="L139" s="1324" t="s">
        <v>643</v>
      </c>
      <c r="M139" s="1324"/>
      <c r="N139" s="1324"/>
      <c r="O139" s="1324"/>
      <c r="P139" s="1324"/>
    </row>
    <row r="140" spans="1:16" hidden="1" outlineLevel="1" x14ac:dyDescent="0.2">
      <c r="A140" s="21"/>
      <c r="B140" s="814"/>
      <c r="C140" s="814">
        <v>112</v>
      </c>
      <c r="D140" s="814"/>
      <c r="E140" s="815" t="s">
        <v>617</v>
      </c>
      <c r="F140" s="816"/>
      <c r="G140" s="1323"/>
      <c r="H140" s="1323"/>
      <c r="I140" s="1324"/>
      <c r="J140" s="1323"/>
      <c r="K140" s="1324"/>
      <c r="L140" s="1324" t="s">
        <v>643</v>
      </c>
      <c r="M140" s="1324"/>
      <c r="N140" s="1324"/>
      <c r="O140" s="1324"/>
      <c r="P140" s="1324"/>
    </row>
    <row r="141" spans="1:16" s="442" customFormat="1" ht="45" hidden="1" outlineLevel="1" x14ac:dyDescent="0.2">
      <c r="A141" s="439"/>
      <c r="B141" s="817"/>
      <c r="C141" s="818" t="s">
        <v>618</v>
      </c>
      <c r="D141" s="818"/>
      <c r="E141" s="819" t="s">
        <v>611</v>
      </c>
      <c r="F141" s="820"/>
      <c r="G141" s="1325"/>
      <c r="H141" s="1325"/>
      <c r="I141" s="1325"/>
      <c r="J141" s="1325"/>
      <c r="K141" s="1325"/>
      <c r="L141" s="1325" t="s">
        <v>643</v>
      </c>
      <c r="M141" s="1325"/>
      <c r="N141" s="1325"/>
      <c r="O141" s="1325"/>
      <c r="P141" s="1325"/>
    </row>
    <row r="142" spans="1:16" ht="30" hidden="1" outlineLevel="1" x14ac:dyDescent="0.2">
      <c r="A142" s="21"/>
      <c r="B142" s="814"/>
      <c r="C142" s="814">
        <v>113</v>
      </c>
      <c r="D142" s="814"/>
      <c r="E142" s="815" t="s">
        <v>619</v>
      </c>
      <c r="F142" s="816"/>
      <c r="G142" s="1323"/>
      <c r="H142" s="1323"/>
      <c r="I142" s="1324"/>
      <c r="J142" s="1323"/>
      <c r="K142" s="1324"/>
      <c r="L142" s="1324" t="s">
        <v>643</v>
      </c>
      <c r="M142" s="1324"/>
      <c r="N142" s="1324"/>
      <c r="O142" s="1324"/>
      <c r="P142" s="1324"/>
    </row>
    <row r="143" spans="1:16" ht="60" hidden="1" outlineLevel="1" x14ac:dyDescent="0.2">
      <c r="A143" s="21"/>
      <c r="B143" s="814"/>
      <c r="C143" s="814">
        <v>114</v>
      </c>
      <c r="D143" s="814"/>
      <c r="E143" s="815" t="s">
        <v>620</v>
      </c>
      <c r="F143" s="816"/>
      <c r="G143" s="1323"/>
      <c r="H143" s="1323"/>
      <c r="I143" s="1324"/>
      <c r="J143" s="1323"/>
      <c r="K143" s="1324"/>
      <c r="L143" s="1324" t="s">
        <v>643</v>
      </c>
      <c r="M143" s="1324"/>
      <c r="N143" s="1324"/>
      <c r="O143" s="1324"/>
      <c r="P143" s="1324"/>
    </row>
    <row r="144" spans="1:16" hidden="1" outlineLevel="1" x14ac:dyDescent="0.2">
      <c r="A144" s="21"/>
      <c r="B144" s="814"/>
      <c r="C144" s="814">
        <v>115</v>
      </c>
      <c r="D144" s="814"/>
      <c r="E144" s="815" t="s">
        <v>235</v>
      </c>
      <c r="F144" s="816"/>
      <c r="G144" s="1323"/>
      <c r="H144" s="1323"/>
      <c r="I144" s="1324"/>
      <c r="J144" s="1323"/>
      <c r="K144" s="1324"/>
      <c r="L144" s="1324" t="s">
        <v>643</v>
      </c>
      <c r="M144" s="1324"/>
      <c r="N144" s="1324"/>
      <c r="O144" s="1324"/>
      <c r="P144" s="1324"/>
    </row>
    <row r="145" spans="1:16" ht="29.25" hidden="1" customHeight="1" outlineLevel="1" x14ac:dyDescent="0.2">
      <c r="A145" s="21"/>
      <c r="B145" s="805"/>
      <c r="C145" s="814">
        <v>116</v>
      </c>
      <c r="D145" s="814"/>
      <c r="E145" s="821" t="s">
        <v>621</v>
      </c>
      <c r="F145" s="822"/>
      <c r="G145" s="1326"/>
      <c r="H145" s="1326"/>
      <c r="I145" s="1326"/>
      <c r="J145" s="1326"/>
      <c r="K145" s="1326"/>
      <c r="L145" s="1326" t="s">
        <v>643</v>
      </c>
      <c r="M145" s="1326"/>
      <c r="N145" s="1326"/>
      <c r="O145" s="1326"/>
      <c r="P145" s="1326"/>
    </row>
    <row r="146" spans="1:16" s="28" customFormat="1" ht="15.75" hidden="1" outlineLevel="1" x14ac:dyDescent="0.25">
      <c r="A146" s="11"/>
      <c r="B146" s="811"/>
      <c r="C146" s="811">
        <v>200</v>
      </c>
      <c r="D146" s="811"/>
      <c r="E146" s="812" t="s">
        <v>622</v>
      </c>
      <c r="F146" s="813"/>
      <c r="G146" s="1321"/>
      <c r="H146" s="1321"/>
      <c r="I146" s="1322"/>
      <c r="J146" s="1321"/>
      <c r="K146" s="1322"/>
      <c r="L146" s="1322" t="s">
        <v>643</v>
      </c>
      <c r="M146" s="1322"/>
      <c r="N146" s="1322"/>
      <c r="O146" s="1322"/>
      <c r="P146" s="1322"/>
    </row>
    <row r="147" spans="1:16" hidden="1" outlineLevel="1" x14ac:dyDescent="0.2">
      <c r="A147" s="21"/>
      <c r="B147" s="814"/>
      <c r="C147" s="814">
        <v>201</v>
      </c>
      <c r="D147" s="814"/>
      <c r="E147" s="815" t="s">
        <v>623</v>
      </c>
      <c r="F147" s="816"/>
      <c r="G147" s="1323"/>
      <c r="H147" s="1323"/>
      <c r="I147" s="1324"/>
      <c r="J147" s="1323"/>
      <c r="K147" s="1324"/>
      <c r="L147" s="1324" t="s">
        <v>643</v>
      </c>
      <c r="M147" s="1324"/>
      <c r="N147" s="1324"/>
      <c r="O147" s="1324"/>
      <c r="P147" s="1324"/>
    </row>
    <row r="148" spans="1:16" ht="30" hidden="1" outlineLevel="1" x14ac:dyDescent="0.2">
      <c r="A148" s="21"/>
      <c r="B148" s="814"/>
      <c r="C148" s="814">
        <v>202</v>
      </c>
      <c r="D148" s="814"/>
      <c r="E148" s="815" t="s">
        <v>624</v>
      </c>
      <c r="F148" s="816"/>
      <c r="G148" s="1323"/>
      <c r="H148" s="1323"/>
      <c r="I148" s="1324"/>
      <c r="J148" s="1323"/>
      <c r="K148" s="1324"/>
      <c r="L148" s="1324" t="s">
        <v>643</v>
      </c>
      <c r="M148" s="1324"/>
      <c r="N148" s="1324"/>
      <c r="O148" s="1324"/>
      <c r="P148" s="1324"/>
    </row>
    <row r="149" spans="1:16" hidden="1" outlineLevel="1" x14ac:dyDescent="0.2">
      <c r="A149" s="21"/>
      <c r="B149" s="814"/>
      <c r="C149" s="814">
        <v>203</v>
      </c>
      <c r="D149" s="814"/>
      <c r="E149" s="815" t="s">
        <v>625</v>
      </c>
      <c r="F149" s="816"/>
      <c r="G149" s="1323"/>
      <c r="H149" s="1323"/>
      <c r="I149" s="1324"/>
      <c r="J149" s="1323"/>
      <c r="K149" s="1324"/>
      <c r="L149" s="1324" t="s">
        <v>643</v>
      </c>
      <c r="M149" s="1324"/>
      <c r="N149" s="1324"/>
      <c r="O149" s="1324"/>
      <c r="P149" s="1324"/>
    </row>
    <row r="150" spans="1:16" s="442" customFormat="1" ht="45" hidden="1" outlineLevel="1" x14ac:dyDescent="0.2">
      <c r="A150" s="439"/>
      <c r="B150" s="817"/>
      <c r="C150" s="818" t="s">
        <v>626</v>
      </c>
      <c r="D150" s="818"/>
      <c r="E150" s="819" t="s">
        <v>611</v>
      </c>
      <c r="F150" s="820"/>
      <c r="G150" s="1325"/>
      <c r="H150" s="1325"/>
      <c r="I150" s="1325"/>
      <c r="J150" s="1325"/>
      <c r="K150" s="1325"/>
      <c r="L150" s="1325" t="s">
        <v>643</v>
      </c>
      <c r="M150" s="1325"/>
      <c r="N150" s="1325"/>
      <c r="O150" s="1325"/>
      <c r="P150" s="1325"/>
    </row>
    <row r="151" spans="1:16" ht="30" hidden="1" outlineLevel="1" x14ac:dyDescent="0.2">
      <c r="A151" s="21"/>
      <c r="B151" s="814"/>
      <c r="C151" s="814">
        <v>204</v>
      </c>
      <c r="D151" s="814"/>
      <c r="E151" s="815" t="s">
        <v>627</v>
      </c>
      <c r="F151" s="816"/>
      <c r="G151" s="1323"/>
      <c r="H151" s="1323"/>
      <c r="I151" s="1324"/>
      <c r="J151" s="1323"/>
      <c r="K151" s="1324"/>
      <c r="L151" s="1324" t="s">
        <v>643</v>
      </c>
      <c r="M151" s="1324"/>
      <c r="N151" s="1324"/>
      <c r="O151" s="1324"/>
      <c r="P151" s="1324"/>
    </row>
    <row r="152" spans="1:16" ht="30" hidden="1" outlineLevel="1" x14ac:dyDescent="0.2">
      <c r="A152" s="21"/>
      <c r="B152" s="814"/>
      <c r="C152" s="814">
        <v>205</v>
      </c>
      <c r="D152" s="814"/>
      <c r="E152" s="815" t="s">
        <v>628</v>
      </c>
      <c r="F152" s="816"/>
      <c r="G152" s="1323"/>
      <c r="H152" s="1323"/>
      <c r="I152" s="1324"/>
      <c r="J152" s="1323"/>
      <c r="K152" s="1324"/>
      <c r="L152" s="1324" t="s">
        <v>643</v>
      </c>
      <c r="M152" s="1324"/>
      <c r="N152" s="1324"/>
      <c r="O152" s="1324"/>
      <c r="P152" s="1324"/>
    </row>
    <row r="153" spans="1:16" hidden="1" outlineLevel="1" x14ac:dyDescent="0.2">
      <c r="A153" s="21"/>
      <c r="B153" s="814"/>
      <c r="C153" s="814">
        <v>206</v>
      </c>
      <c r="D153" s="814"/>
      <c r="E153" s="815" t="s">
        <v>629</v>
      </c>
      <c r="F153" s="816"/>
      <c r="G153" s="1323"/>
      <c r="H153" s="1323"/>
      <c r="I153" s="1324"/>
      <c r="J153" s="1323"/>
      <c r="K153" s="1324"/>
      <c r="L153" s="1324" t="s">
        <v>643</v>
      </c>
      <c r="M153" s="1324"/>
      <c r="N153" s="1324"/>
      <c r="O153" s="1324"/>
      <c r="P153" s="1324"/>
    </row>
    <row r="154" spans="1:16" hidden="1" outlineLevel="1" x14ac:dyDescent="0.2">
      <c r="A154" s="21"/>
      <c r="B154" s="814"/>
      <c r="C154" s="814">
        <v>207</v>
      </c>
      <c r="D154" s="814"/>
      <c r="E154" s="815" t="s">
        <v>231</v>
      </c>
      <c r="F154" s="816"/>
      <c r="G154" s="1323"/>
      <c r="H154" s="1323"/>
      <c r="I154" s="1324"/>
      <c r="J154" s="1323"/>
      <c r="K154" s="1324"/>
      <c r="L154" s="1324" t="s">
        <v>643</v>
      </c>
      <c r="M154" s="1324"/>
      <c r="N154" s="1324"/>
      <c r="O154" s="1324"/>
      <c r="P154" s="1324"/>
    </row>
    <row r="155" spans="1:16" ht="60" hidden="1" outlineLevel="1" x14ac:dyDescent="0.2">
      <c r="A155" s="21"/>
      <c r="B155" s="814"/>
      <c r="C155" s="814">
        <v>208</v>
      </c>
      <c r="D155" s="814"/>
      <c r="E155" s="815" t="s">
        <v>630</v>
      </c>
      <c r="F155" s="816"/>
      <c r="G155" s="1323"/>
      <c r="H155" s="1323"/>
      <c r="I155" s="1324"/>
      <c r="J155" s="1323"/>
      <c r="K155" s="1324"/>
      <c r="L155" s="1324"/>
      <c r="M155" s="1324"/>
      <c r="N155" s="1324"/>
      <c r="O155" s="1324"/>
      <c r="P155" s="1324"/>
    </row>
    <row r="156" spans="1:16" hidden="1" outlineLevel="1" x14ac:dyDescent="0.2">
      <c r="A156" s="21"/>
      <c r="B156" s="814"/>
      <c r="C156" s="814">
        <v>209</v>
      </c>
      <c r="D156" s="814"/>
      <c r="E156" s="815" t="s">
        <v>631</v>
      </c>
      <c r="F156" s="816"/>
      <c r="G156" s="1323"/>
      <c r="H156" s="1323"/>
      <c r="I156" s="1324"/>
      <c r="J156" s="1323"/>
      <c r="K156" s="1324"/>
      <c r="L156" s="1324" t="s">
        <v>643</v>
      </c>
      <c r="M156" s="1324"/>
      <c r="N156" s="1324"/>
      <c r="O156" s="1324"/>
      <c r="P156" s="1324"/>
    </row>
    <row r="157" spans="1:16" ht="29.25" hidden="1" customHeight="1" outlineLevel="1" x14ac:dyDescent="0.2">
      <c r="A157" s="21"/>
      <c r="B157" s="805"/>
      <c r="C157" s="811">
        <v>210</v>
      </c>
      <c r="D157" s="811"/>
      <c r="E157" s="821" t="s">
        <v>632</v>
      </c>
      <c r="F157" s="822"/>
      <c r="G157" s="1326"/>
      <c r="H157" s="1326"/>
      <c r="I157" s="1326"/>
      <c r="J157" s="1326"/>
      <c r="K157" s="1326"/>
      <c r="L157" s="1326" t="s">
        <v>643</v>
      </c>
      <c r="M157" s="1326"/>
      <c r="N157" s="1326"/>
      <c r="O157" s="1326"/>
      <c r="P157" s="1326"/>
    </row>
    <row r="158" spans="1:16" hidden="1" outlineLevel="1" x14ac:dyDescent="0.2">
      <c r="A158" s="21"/>
      <c r="B158" s="814"/>
      <c r="C158" s="814">
        <v>300</v>
      </c>
      <c r="D158" s="814"/>
      <c r="E158" s="815" t="s">
        <v>633</v>
      </c>
      <c r="F158" s="816"/>
      <c r="G158" s="1323"/>
      <c r="H158" s="1323"/>
      <c r="I158" s="1324"/>
      <c r="J158" s="1323"/>
      <c r="K158" s="1324"/>
      <c r="L158" s="1324"/>
      <c r="M158" s="1324"/>
      <c r="N158" s="1324"/>
      <c r="O158" s="1324"/>
      <c r="P158" s="1324"/>
    </row>
    <row r="159" spans="1:16" ht="30" hidden="1" outlineLevel="1" x14ac:dyDescent="0.2">
      <c r="A159" s="21"/>
      <c r="B159" s="814"/>
      <c r="C159" s="814">
        <v>301</v>
      </c>
      <c r="D159" s="814"/>
      <c r="E159" s="815" t="s">
        <v>634</v>
      </c>
      <c r="F159" s="816"/>
      <c r="G159" s="1323"/>
      <c r="H159" s="1323"/>
      <c r="I159" s="1324"/>
      <c r="J159" s="1323"/>
      <c r="K159" s="1324"/>
      <c r="L159" s="1324"/>
      <c r="M159" s="1324"/>
      <c r="N159" s="1324"/>
      <c r="O159" s="1324"/>
      <c r="P159" s="1324"/>
    </row>
    <row r="160" spans="1:16" hidden="1" outlineLevel="1" x14ac:dyDescent="0.2">
      <c r="A160" s="21"/>
      <c r="B160" s="814"/>
      <c r="C160" s="814">
        <v>302</v>
      </c>
      <c r="D160" s="814"/>
      <c r="E160" s="815" t="s">
        <v>248</v>
      </c>
      <c r="F160" s="816"/>
      <c r="G160" s="1323"/>
      <c r="H160" s="1323"/>
      <c r="I160" s="1324"/>
      <c r="J160" s="1323"/>
      <c r="K160" s="1324"/>
      <c r="L160" s="1324"/>
      <c r="M160" s="1324"/>
      <c r="N160" s="1324"/>
      <c r="O160" s="1324"/>
      <c r="P160" s="1324"/>
    </row>
    <row r="161" spans="1:16" ht="30" hidden="1" outlineLevel="1" x14ac:dyDescent="0.2">
      <c r="A161" s="21"/>
      <c r="B161" s="814"/>
      <c r="C161" s="814">
        <v>303</v>
      </c>
      <c r="D161" s="814"/>
      <c r="E161" s="815" t="s">
        <v>249</v>
      </c>
      <c r="F161" s="816"/>
      <c r="G161" s="1323"/>
      <c r="H161" s="1323"/>
      <c r="I161" s="1324"/>
      <c r="J161" s="1323"/>
      <c r="K161" s="1324"/>
      <c r="L161" s="1324"/>
      <c r="M161" s="1324"/>
      <c r="N161" s="1324"/>
      <c r="O161" s="1324"/>
      <c r="P161" s="1324"/>
    </row>
    <row r="162" spans="1:16" ht="30" hidden="1" outlineLevel="1" x14ac:dyDescent="0.2">
      <c r="A162" s="21"/>
      <c r="B162" s="814"/>
      <c r="C162" s="814">
        <v>304</v>
      </c>
      <c r="D162" s="814"/>
      <c r="E162" s="815" t="s">
        <v>635</v>
      </c>
      <c r="F162" s="816"/>
      <c r="G162" s="1323"/>
      <c r="H162" s="1323"/>
      <c r="I162" s="1324"/>
      <c r="J162" s="1323"/>
      <c r="K162" s="1324"/>
      <c r="L162" s="1324"/>
      <c r="M162" s="1324"/>
      <c r="N162" s="1324"/>
      <c r="O162" s="1324"/>
      <c r="P162" s="1324"/>
    </row>
    <row r="163" spans="1:16" ht="45" hidden="1" outlineLevel="1" x14ac:dyDescent="0.2">
      <c r="A163" s="21"/>
      <c r="B163" s="814"/>
      <c r="C163" s="814">
        <v>305</v>
      </c>
      <c r="D163" s="814"/>
      <c r="E163" s="815" t="s">
        <v>636</v>
      </c>
      <c r="F163" s="816"/>
      <c r="G163" s="1323"/>
      <c r="H163" s="1323"/>
      <c r="I163" s="1324"/>
      <c r="J163" s="1323"/>
      <c r="K163" s="1324"/>
      <c r="L163" s="1324"/>
      <c r="M163" s="1324"/>
      <c r="N163" s="1324"/>
      <c r="O163" s="1324"/>
      <c r="P163" s="1324"/>
    </row>
    <row r="164" spans="1:16" s="28" customFormat="1" ht="15.75" hidden="1" outlineLevel="1" x14ac:dyDescent="0.25">
      <c r="A164" s="11"/>
      <c r="B164" s="811"/>
      <c r="C164" s="811">
        <v>400</v>
      </c>
      <c r="D164" s="811"/>
      <c r="E164" s="812" t="s">
        <v>637</v>
      </c>
      <c r="F164" s="813"/>
      <c r="G164" s="1321"/>
      <c r="H164" s="1321"/>
      <c r="I164" s="1322"/>
      <c r="J164" s="1321"/>
      <c r="K164" s="1322"/>
      <c r="L164" s="1322" t="s">
        <v>643</v>
      </c>
      <c r="M164" s="1322"/>
      <c r="N164" s="1322"/>
      <c r="O164" s="1322"/>
      <c r="P164" s="1322"/>
    </row>
    <row r="165" spans="1:16" ht="75" hidden="1" outlineLevel="1" x14ac:dyDescent="0.2">
      <c r="A165" s="21"/>
      <c r="B165" s="814"/>
      <c r="C165" s="814">
        <v>501</v>
      </c>
      <c r="D165" s="814"/>
      <c r="E165" s="815" t="s">
        <v>638</v>
      </c>
      <c r="F165" s="816"/>
      <c r="G165" s="1323"/>
      <c r="H165" s="1323"/>
      <c r="I165" s="1324"/>
      <c r="J165" s="1323"/>
      <c r="K165" s="1324"/>
      <c r="L165" s="1324" t="s">
        <v>643</v>
      </c>
      <c r="M165" s="1324"/>
      <c r="N165" s="1324"/>
      <c r="O165" s="1324"/>
      <c r="P165" s="1324"/>
    </row>
    <row r="166" spans="1:16" ht="60" hidden="1" outlineLevel="1" x14ac:dyDescent="0.2">
      <c r="A166" s="21"/>
      <c r="B166" s="814"/>
      <c r="C166" s="814">
        <v>502</v>
      </c>
      <c r="D166" s="814"/>
      <c r="E166" s="815" t="s">
        <v>639</v>
      </c>
      <c r="F166" s="816"/>
      <c r="G166" s="1323"/>
      <c r="H166" s="1323"/>
      <c r="I166" s="1324"/>
      <c r="J166" s="1323"/>
      <c r="K166" s="1324"/>
      <c r="L166" s="1324" t="s">
        <v>643</v>
      </c>
      <c r="M166" s="1324"/>
      <c r="N166" s="1324"/>
      <c r="O166" s="1324"/>
      <c r="P166" s="1324"/>
    </row>
    <row r="167" spans="1:16" ht="45" hidden="1" outlineLevel="1" x14ac:dyDescent="0.2">
      <c r="A167" s="21"/>
      <c r="B167" s="814"/>
      <c r="C167" s="814">
        <v>503</v>
      </c>
      <c r="D167" s="814"/>
      <c r="E167" s="815" t="s">
        <v>640</v>
      </c>
      <c r="F167" s="816"/>
      <c r="G167" s="1323"/>
      <c r="H167" s="1323"/>
      <c r="I167" s="1324"/>
      <c r="J167" s="1323"/>
      <c r="K167" s="1324"/>
      <c r="L167" s="1324" t="s">
        <v>643</v>
      </c>
      <c r="M167" s="1324"/>
      <c r="N167" s="1324"/>
      <c r="O167" s="1324"/>
      <c r="P167" s="1324"/>
    </row>
    <row r="168" spans="1:16" ht="54" customHeight="1" collapsed="1" x14ac:dyDescent="0.2">
      <c r="A168" s="21"/>
      <c r="B168" s="438"/>
      <c r="C168" s="438"/>
      <c r="D168" s="438"/>
      <c r="E168" s="291"/>
      <c r="F168" s="373"/>
      <c r="G168" s="1132"/>
      <c r="H168" s="1132">
        <f>IFERROR(IF($A172="нет",0,VLOOKUP($A172,"Ф_123_"&amp;"2016",3,0)),0)</f>
        <v>0</v>
      </c>
      <c r="I168" s="1262"/>
      <c r="J168" s="1132"/>
      <c r="K168" s="1262"/>
      <c r="L168" s="1262"/>
      <c r="M168" s="1262"/>
      <c r="N168" s="1262"/>
      <c r="O168" s="1262"/>
      <c r="P168" s="1262"/>
    </row>
    <row r="169" spans="1:16" ht="15.75" customHeight="1" x14ac:dyDescent="0.2">
      <c r="A169" s="21"/>
      <c r="C169" s="438"/>
      <c r="D169" s="438"/>
      <c r="E169" s="291"/>
      <c r="F169" s="373"/>
      <c r="G169" s="1132"/>
      <c r="H169" s="1132"/>
      <c r="I169" s="1262"/>
      <c r="J169" s="1132"/>
      <c r="K169" s="1262"/>
      <c r="L169" s="1262"/>
      <c r="M169" s="1262"/>
      <c r="N169" s="1262"/>
      <c r="O169" s="1262"/>
      <c r="P169" s="1262"/>
    </row>
    <row r="170" spans="1:16" ht="32.25" thickBot="1" x14ac:dyDescent="0.3">
      <c r="A170" s="21" t="s">
        <v>3064</v>
      </c>
      <c r="B170" s="21" t="s">
        <v>3064</v>
      </c>
      <c r="C170" s="21" t="s">
        <v>3064</v>
      </c>
      <c r="D170" s="21"/>
      <c r="E170" s="316" t="s">
        <v>1131</v>
      </c>
      <c r="F170" s="21" t="s">
        <v>348</v>
      </c>
      <c r="G170" s="318"/>
      <c r="H170" s="318"/>
      <c r="I170" s="318"/>
      <c r="J170" s="318"/>
      <c r="K170" s="318"/>
      <c r="L170" s="318"/>
      <c r="M170" s="318"/>
      <c r="N170" s="318"/>
      <c r="O170" s="318"/>
      <c r="P170" s="318"/>
    </row>
    <row r="171" spans="1:16" ht="32.25" thickTop="1" x14ac:dyDescent="0.2">
      <c r="A171" s="1180" t="s">
        <v>3062</v>
      </c>
      <c r="B171" s="1297" t="s">
        <v>3063</v>
      </c>
      <c r="C171" s="1307" t="s">
        <v>3308</v>
      </c>
      <c r="D171" s="1307"/>
      <c r="E171" s="306" t="str">
        <f>E7</f>
        <v>тыс. руб.</v>
      </c>
      <c r="F171" s="301">
        <f t="shared" ref="F171" si="17">F7</f>
        <v>0</v>
      </c>
      <c r="G171" s="1303" t="str">
        <f>TEXT(G7,0)</f>
        <v>2016</v>
      </c>
      <c r="H171" s="1304" t="str">
        <f t="shared" ref="H171:P171" si="18">TEXT(H7,0)</f>
        <v>2017</v>
      </c>
      <c r="I171" s="1304" t="str">
        <f t="shared" si="18"/>
        <v>2018</v>
      </c>
      <c r="J171" s="1298" t="str">
        <f t="shared" si="18"/>
        <v>2019</v>
      </c>
      <c r="K171" s="1298" t="str">
        <f t="shared" si="18"/>
        <v>2020</v>
      </c>
      <c r="L171" s="1298" t="str">
        <f t="shared" si="18"/>
        <v>2021</v>
      </c>
      <c r="M171" s="1305" t="str">
        <f t="shared" si="18"/>
        <v>2022</v>
      </c>
      <c r="N171" s="1305" t="str">
        <f t="shared" si="18"/>
        <v>2023</v>
      </c>
      <c r="O171" s="1305" t="str">
        <f t="shared" si="18"/>
        <v>2024</v>
      </c>
      <c r="P171" s="1306" t="str">
        <f t="shared" si="18"/>
        <v>2025</v>
      </c>
    </row>
    <row r="172" spans="1:16" s="292" customFormat="1" ht="32.25" customHeight="1" x14ac:dyDescent="0.25">
      <c r="A172" s="1299" t="s">
        <v>2627</v>
      </c>
      <c r="B172" s="1299" t="s">
        <v>2627</v>
      </c>
      <c r="C172" s="1299"/>
      <c r="D172" s="1299"/>
      <c r="E172" s="307" t="s">
        <v>644</v>
      </c>
      <c r="F172" s="374"/>
      <c r="G172" s="1343">
        <f>IFERROR(IF($A172="нет",0,VLOOKUP($A172,Ф_123_2016[],3,0)),0)</f>
        <v>71645291</v>
      </c>
      <c r="H172" s="1342">
        <f>IFERROR(IF($A172="нет",0,VLOOKUP($A172,Ф_123_2017[],3,0)),0)</f>
        <v>78930785</v>
      </c>
      <c r="I172" s="1342">
        <f>IFERROR(IF($A172="нет",0,VLOOKUP($A172,Ф_123_2018[],3,0)),0)</f>
        <v>79008228</v>
      </c>
      <c r="J172" s="1342">
        <f>IFERROR(IF($B172="нет",0,VLOOKUP($B172,Ф_123_2019[],3,0)),0)</f>
        <v>78209997</v>
      </c>
      <c r="K172" s="1342">
        <f>IFERROR(IF($B172="нет",0,VLOOKUP($B172,Ф_123_2020[],3,0)),0)</f>
        <v>75168165</v>
      </c>
      <c r="L172" s="1342">
        <f>IFERROR(IF($B172="нет",0,VLOOKUP($B172,Ф_123_2021[],3,0)),0)</f>
        <v>76372718</v>
      </c>
      <c r="M172" s="1342">
        <v>82745961</v>
      </c>
      <c r="N172" s="1342">
        <v>96462363</v>
      </c>
      <c r="O172" s="1342">
        <v>100778404</v>
      </c>
      <c r="P172" s="1344">
        <v>102522199</v>
      </c>
    </row>
    <row r="173" spans="1:16" x14ac:dyDescent="0.2">
      <c r="A173" s="1300" t="s">
        <v>2628</v>
      </c>
      <c r="B173" s="1300" t="s">
        <v>2628</v>
      </c>
      <c r="C173" s="1300"/>
      <c r="D173" s="1300"/>
      <c r="E173" s="1181" t="s">
        <v>645</v>
      </c>
      <c r="F173" s="1182"/>
      <c r="G173" s="1346">
        <f>IFERROR(IF($A173="нет",0,VLOOKUP($A173,Ф_123_2016[],3,0)),0)</f>
        <v>42726808</v>
      </c>
      <c r="H173" s="1345">
        <f>IFERROR(IF($A173="нет",0,VLOOKUP($A173,Ф_123_2017[],3,0)),0)</f>
        <v>57403326</v>
      </c>
      <c r="I173" s="1345">
        <f>IFERROR(IF($A173="нет",0,VLOOKUP($A173,Ф_123_2018[],3,0)),0)</f>
        <v>58419021</v>
      </c>
      <c r="J173" s="1347">
        <f>IFERROR(IF($B173="нет",0,VLOOKUP($B173,Ф_123_2019[],3,0)),0)</f>
        <v>65414843</v>
      </c>
      <c r="K173" s="1345">
        <f>IFERROR(IF($B173="нет",0,VLOOKUP($B173,Ф_123_2020[],3,0)),0)</f>
        <v>66788831</v>
      </c>
      <c r="L173" s="1345">
        <f>IFERROR(IF($B173="нет",0,VLOOKUP($B173,Ф_123_2021[],3,0)),0)</f>
        <v>65318079</v>
      </c>
      <c r="M173" s="1543"/>
      <c r="N173" s="1543"/>
      <c r="O173" s="1543"/>
      <c r="P173" s="1544"/>
    </row>
    <row r="174" spans="1:16" x14ac:dyDescent="0.2">
      <c r="A174" s="1301" t="s">
        <v>646</v>
      </c>
      <c r="B174" s="1301" t="s">
        <v>646</v>
      </c>
      <c r="C174" s="1301"/>
      <c r="D174" s="1301"/>
      <c r="E174" s="1183" t="s">
        <v>647</v>
      </c>
      <c r="F174" s="1184"/>
      <c r="G174" s="1350">
        <f>IFERROR(IF($A174="нет",0,VLOOKUP($A174,Ф_123_2016[],3,0)),0)</f>
        <v>38011741</v>
      </c>
      <c r="H174" s="1349">
        <f>IFERROR(IF($A174="нет",0,VLOOKUP($A174,Ф_123_2017[],3,0)),0)</f>
        <v>48011741</v>
      </c>
      <c r="I174" s="1349">
        <f>IFERROR(IF($A174="нет",0,VLOOKUP($A174,Ф_123_2018[],3,0)),0)</f>
        <v>48011741</v>
      </c>
      <c r="J174" s="1349">
        <f>IFERROR(IF($B174="нет",0,VLOOKUP($B174,Ф_123_2019[],3,0)),0)</f>
        <v>48011741</v>
      </c>
      <c r="K174" s="1349">
        <f>IFERROR(IF($B174="нет",0,VLOOKUP($B174,Ф_123_2020[],3,0)),0)</f>
        <v>48011741</v>
      </c>
      <c r="L174" s="1349">
        <f>IFERROR(IF($B174="нет",0,VLOOKUP($B174,Ф_123_2021[],3,0)),0)</f>
        <v>48011741</v>
      </c>
      <c r="M174" s="1545"/>
      <c r="N174" s="1545"/>
      <c r="O174" s="1545"/>
      <c r="P174" s="1546"/>
    </row>
    <row r="175" spans="1:16" x14ac:dyDescent="0.2">
      <c r="A175" s="1301" t="s">
        <v>648</v>
      </c>
      <c r="B175" s="1301" t="s">
        <v>648</v>
      </c>
      <c r="C175" s="1301"/>
      <c r="D175" s="1301"/>
      <c r="E175" s="1183" t="s">
        <v>649</v>
      </c>
      <c r="F175" s="1184"/>
      <c r="G175" s="1350">
        <f>IFERROR(IF($A175="нет",0,VLOOKUP($A175,Ф_123_2016[],3,0)),0)</f>
        <v>38011741</v>
      </c>
      <c r="H175" s="1349">
        <f>IFERROR(IF($A175="нет",0,VLOOKUP($A175,Ф_123_2017[],3,0)),0)</f>
        <v>48011741</v>
      </c>
      <c r="I175" s="1349">
        <f>IFERROR(IF($A175="нет",0,VLOOKUP($A175,Ф_123_2018[],3,0)),0)</f>
        <v>48011741</v>
      </c>
      <c r="J175" s="1349">
        <f>IFERROR(IF($B175="нет",0,VLOOKUP($B175,Ф_123_2019[],3,0)),0)</f>
        <v>48011741</v>
      </c>
      <c r="K175" s="1349">
        <f>IFERROR(IF($B175="нет",0,VLOOKUP($B175,Ф_123_2020[],3,0)),0)</f>
        <v>48011741</v>
      </c>
      <c r="L175" s="1349">
        <f>IFERROR(IF($B175="нет",0,VLOOKUP($B175,Ф_123_2021[],3,0)),0)</f>
        <v>48011741</v>
      </c>
      <c r="M175" s="1545"/>
      <c r="N175" s="1545"/>
      <c r="O175" s="1545"/>
      <c r="P175" s="1546"/>
    </row>
    <row r="176" spans="1:16" x14ac:dyDescent="0.2">
      <c r="A176" s="1301" t="s">
        <v>650</v>
      </c>
      <c r="B176" s="1301" t="s">
        <v>650</v>
      </c>
      <c r="C176" s="1301"/>
      <c r="D176" s="1301"/>
      <c r="E176" s="1183" t="s">
        <v>651</v>
      </c>
      <c r="F176" s="1184"/>
      <c r="G176" s="1350">
        <f>IFERROR(IF($A176="нет",0,VLOOKUP($A176,Ф_123_2016[],3,0)),0)</f>
        <v>0</v>
      </c>
      <c r="H176" s="1349">
        <f>IFERROR(IF($A176="нет",0,VLOOKUP($A176,Ф_123_2017[],3,0)),0)</f>
        <v>0</v>
      </c>
      <c r="I176" s="1349">
        <f>IFERROR(IF($A176="нет",0,VLOOKUP($A176,Ф_123_2018[],3,0)),0)</f>
        <v>0</v>
      </c>
      <c r="J176" s="1349">
        <f>IFERROR(IF($B176="нет",0,VLOOKUP($B176,Ф_123_2019[],3,0)),0)</f>
        <v>0</v>
      </c>
      <c r="K176" s="1349">
        <f>IFERROR(IF($B176="нет",0,VLOOKUP($B176,Ф_123_2020[],3,0)),0)</f>
        <v>0</v>
      </c>
      <c r="L176" s="1349">
        <f>IFERROR(IF($B176="нет",0,VLOOKUP($B176,Ф_123_2021[],3,0)),0)</f>
        <v>0</v>
      </c>
      <c r="M176" s="1545"/>
      <c r="N176" s="1545"/>
      <c r="O176" s="1545"/>
      <c r="P176" s="1546"/>
    </row>
    <row r="177" spans="1:16" x14ac:dyDescent="0.2">
      <c r="A177" s="1301" t="s">
        <v>652</v>
      </c>
      <c r="B177" s="1301" t="s">
        <v>652</v>
      </c>
      <c r="C177" s="1301"/>
      <c r="D177" s="1301"/>
      <c r="E177" s="1183" t="s">
        <v>653</v>
      </c>
      <c r="F177" s="1184"/>
      <c r="G177" s="1350">
        <f>IFERROR(IF($A177="нет",0,VLOOKUP($A177,Ф_123_2016[],3,0)),0)</f>
        <v>0</v>
      </c>
      <c r="H177" s="1349">
        <f>IFERROR(IF($A177="нет",0,VLOOKUP($A177,Ф_123_2017[],3,0)),0)</f>
        <v>0</v>
      </c>
      <c r="I177" s="1349">
        <f>IFERROR(IF($A177="нет",0,VLOOKUP($A177,Ф_123_2018[],3,0)),0)</f>
        <v>0</v>
      </c>
      <c r="J177" s="1349">
        <f>IFERROR(IF($B177="нет",0,VLOOKUP($B177,Ф_123_2019[],3,0)),0)</f>
        <v>0</v>
      </c>
      <c r="K177" s="1349">
        <f>IFERROR(IF($B177="нет",0,VLOOKUP($B177,Ф_123_2020[],3,0)),0)</f>
        <v>0</v>
      </c>
      <c r="L177" s="1349">
        <f>IFERROR(IF($B177="нет",0,VLOOKUP($B177,Ф_123_2021[],3,0)),0)</f>
        <v>0</v>
      </c>
      <c r="M177" s="1545"/>
      <c r="N177" s="1545"/>
      <c r="O177" s="1545"/>
      <c r="P177" s="1546"/>
    </row>
    <row r="178" spans="1:16" x14ac:dyDescent="0.2">
      <c r="A178" s="1301" t="s">
        <v>654</v>
      </c>
      <c r="B178" s="1301" t="s">
        <v>654</v>
      </c>
      <c r="C178" s="1301"/>
      <c r="D178" s="1301"/>
      <c r="E178" s="1183" t="s">
        <v>655</v>
      </c>
      <c r="F178" s="1184"/>
      <c r="G178" s="1350">
        <f>IFERROR(IF($A178="нет",0,VLOOKUP($A178,Ф_123_2016[],3,0)),0)</f>
        <v>0</v>
      </c>
      <c r="H178" s="1349">
        <f>IFERROR(IF($A178="нет",0,VLOOKUP($A178,Ф_123_2017[],3,0)),0)</f>
        <v>0</v>
      </c>
      <c r="I178" s="1349">
        <f>IFERROR(IF($A178="нет",0,VLOOKUP($A178,Ф_123_2018[],3,0)),0)</f>
        <v>0</v>
      </c>
      <c r="J178" s="1349">
        <f>IFERROR(IF($B178="нет",0,VLOOKUP($B178,Ф_123_2019[],3,0)),0)</f>
        <v>0</v>
      </c>
      <c r="K178" s="1349">
        <f>IFERROR(IF($B178="нет",0,VLOOKUP($B178,Ф_123_2020[],3,0)),0)</f>
        <v>0</v>
      </c>
      <c r="L178" s="1349">
        <f>IFERROR(IF($B178="нет",0,VLOOKUP($B178,Ф_123_2021[],3,0)),0)</f>
        <v>0</v>
      </c>
      <c r="M178" s="1545"/>
      <c r="N178" s="1545"/>
      <c r="O178" s="1545"/>
      <c r="P178" s="1546"/>
    </row>
    <row r="179" spans="1:16" ht="30" x14ac:dyDescent="0.2">
      <c r="A179" s="1301" t="s">
        <v>656</v>
      </c>
      <c r="B179" s="1301" t="s">
        <v>656</v>
      </c>
      <c r="C179" s="1301"/>
      <c r="D179" s="1301"/>
      <c r="E179" s="1183" t="s">
        <v>657</v>
      </c>
      <c r="F179" s="1184"/>
      <c r="G179" s="1350">
        <f>IFERROR(IF($A179="нет",0,VLOOKUP($A179,Ф_123_2016[],3,0)),0)</f>
        <v>0</v>
      </c>
      <c r="H179" s="1349">
        <f>IFERROR(IF($A179="нет",0,VLOOKUP($A179,Ф_123_2017[],3,0)),0)</f>
        <v>0</v>
      </c>
      <c r="I179" s="1349">
        <f>IFERROR(IF($A179="нет",0,VLOOKUP($A179,Ф_123_2018[],3,0)),0)</f>
        <v>0</v>
      </c>
      <c r="J179" s="1349">
        <f>IFERROR(IF($B179="нет",0,VLOOKUP($B179,Ф_123_2019[],3,0)),0)</f>
        <v>0</v>
      </c>
      <c r="K179" s="1349">
        <f>IFERROR(IF($B179="нет",0,VLOOKUP($B179,Ф_123_2020[],3,0)),0)</f>
        <v>0</v>
      </c>
      <c r="L179" s="1349">
        <f>IFERROR(IF($B179="нет",0,VLOOKUP($B179,Ф_123_2021[],3,0)),0)</f>
        <v>0</v>
      </c>
      <c r="M179" s="1545"/>
      <c r="N179" s="1545"/>
      <c r="O179" s="1545"/>
      <c r="P179" s="1546"/>
    </row>
    <row r="180" spans="1:16" x14ac:dyDescent="0.2">
      <c r="A180" s="1301" t="s">
        <v>658</v>
      </c>
      <c r="B180" s="1301" t="s">
        <v>658</v>
      </c>
      <c r="C180" s="1301"/>
      <c r="D180" s="1301"/>
      <c r="E180" s="1183" t="s">
        <v>659</v>
      </c>
      <c r="F180" s="1184"/>
      <c r="G180" s="1350">
        <f>IFERROR(IF($A180="нет",0,VLOOKUP($A180,Ф_123_2016[],3,0)),0)</f>
        <v>0</v>
      </c>
      <c r="H180" s="1349">
        <f>IFERROR(IF($A180="нет",0,VLOOKUP($A180,Ф_123_2017[],3,0)),0)</f>
        <v>0</v>
      </c>
      <c r="I180" s="1349">
        <f>IFERROR(IF($A180="нет",0,VLOOKUP($A180,Ф_123_2018[],3,0)),0)</f>
        <v>0</v>
      </c>
      <c r="J180" s="1349">
        <f>IFERROR(IF($B180="нет",0,VLOOKUP($B180,Ф_123_2019[],3,0)),0)</f>
        <v>0</v>
      </c>
      <c r="K180" s="1349">
        <f>IFERROR(IF($B180="нет",0,VLOOKUP($B180,Ф_123_2020[],3,0)),0)</f>
        <v>0</v>
      </c>
      <c r="L180" s="1349">
        <f>IFERROR(IF($B180="нет",0,VLOOKUP($B180,Ф_123_2021[],3,0)),0)</f>
        <v>0</v>
      </c>
      <c r="M180" s="1545"/>
      <c r="N180" s="1545"/>
      <c r="O180" s="1545"/>
      <c r="P180" s="1546"/>
    </row>
    <row r="181" spans="1:16" x14ac:dyDescent="0.2">
      <c r="A181" s="1301" t="s">
        <v>660</v>
      </c>
      <c r="B181" s="1301" t="s">
        <v>660</v>
      </c>
      <c r="C181" s="1301"/>
      <c r="D181" s="1301"/>
      <c r="E181" s="1183" t="s">
        <v>661</v>
      </c>
      <c r="F181" s="1184"/>
      <c r="G181" s="1350">
        <f>IFERROR(IF($A181="нет",0,VLOOKUP($A181,Ф_123_2016[],3,0)),0)</f>
        <v>0</v>
      </c>
      <c r="H181" s="1349">
        <f>IFERROR(IF($A181="нет",0,VLOOKUP($A181,Ф_123_2017[],3,0)),0)</f>
        <v>0</v>
      </c>
      <c r="I181" s="1349">
        <f>IFERROR(IF($A181="нет",0,VLOOKUP($A181,Ф_123_2018[],3,0)),0)</f>
        <v>0</v>
      </c>
      <c r="J181" s="1349">
        <f>IFERROR(IF($B181="нет",0,VLOOKUP($B181,Ф_123_2019[],3,0)),0)</f>
        <v>0</v>
      </c>
      <c r="K181" s="1349">
        <f>IFERROR(IF($B181="нет",0,VLOOKUP($B181,Ф_123_2020[],3,0)),0)</f>
        <v>0</v>
      </c>
      <c r="L181" s="1349">
        <f>IFERROR(IF($B181="нет",0,VLOOKUP($B181,Ф_123_2021[],3,0)),0)</f>
        <v>0</v>
      </c>
      <c r="M181" s="1545"/>
      <c r="N181" s="1545"/>
      <c r="O181" s="1545"/>
      <c r="P181" s="1546"/>
    </row>
    <row r="182" spans="1:16" ht="30" x14ac:dyDescent="0.2">
      <c r="A182" s="1301" t="s">
        <v>662</v>
      </c>
      <c r="B182" s="1301" t="s">
        <v>662</v>
      </c>
      <c r="C182" s="1301"/>
      <c r="D182" s="1301"/>
      <c r="E182" s="1183" t="s">
        <v>663</v>
      </c>
      <c r="F182" s="1184"/>
      <c r="G182" s="1350">
        <f>IFERROR(IF($A182="нет",0,VLOOKUP($A182,Ф_123_2016[],3,0)),0)</f>
        <v>0</v>
      </c>
      <c r="H182" s="1349">
        <f>IFERROR(IF($A182="нет",0,VLOOKUP($A182,Ф_123_2017[],3,0)),0)</f>
        <v>0</v>
      </c>
      <c r="I182" s="1349">
        <f>IFERROR(IF($A182="нет",0,VLOOKUP($A182,Ф_123_2018[],3,0)),0)</f>
        <v>0</v>
      </c>
      <c r="J182" s="1349">
        <f>IFERROR(IF($B182="нет",0,VLOOKUP($B182,Ф_123_2019[],3,0)),0)</f>
        <v>0</v>
      </c>
      <c r="K182" s="1349">
        <f>IFERROR(IF($B182="нет",0,VLOOKUP($B182,Ф_123_2020[],3,0)),0)</f>
        <v>0</v>
      </c>
      <c r="L182" s="1349">
        <f>IFERROR(IF($B182="нет",0,VLOOKUP($B182,Ф_123_2021[],3,0)),0)</f>
        <v>0</v>
      </c>
      <c r="M182" s="1545"/>
      <c r="N182" s="1545"/>
      <c r="O182" s="1545"/>
      <c r="P182" s="1546"/>
    </row>
    <row r="183" spans="1:16" ht="30" x14ac:dyDescent="0.2">
      <c r="A183" s="1301" t="s">
        <v>664</v>
      </c>
      <c r="B183" s="1301" t="s">
        <v>664</v>
      </c>
      <c r="C183" s="1301"/>
      <c r="D183" s="1301"/>
      <c r="E183" s="1183" t="s">
        <v>665</v>
      </c>
      <c r="F183" s="1184"/>
      <c r="G183" s="1350">
        <f>IFERROR(IF($A183="нет",0,VLOOKUP($A183,Ф_123_2016[],3,0)),0)</f>
        <v>0</v>
      </c>
      <c r="H183" s="1349">
        <f>IFERROR(IF($A183="нет",0,VLOOKUP($A183,Ф_123_2017[],3,0)),0)</f>
        <v>32534</v>
      </c>
      <c r="I183" s="1349">
        <f>IFERROR(IF($A183="нет",0,VLOOKUP($A183,Ф_123_2018[],3,0)),0)</f>
        <v>72364</v>
      </c>
      <c r="J183" s="1349">
        <f>IFERROR(IF($B183="нет",0,VLOOKUP($B183,Ф_123_2019[],3,0)),0)</f>
        <v>207894</v>
      </c>
      <c r="K183" s="1349">
        <f>IFERROR(IF($B183="нет",0,VLOOKUP($B183,Ф_123_2020[],3,0)),0)</f>
        <v>520535</v>
      </c>
      <c r="L183" s="1349">
        <f>IFERROR(IF($B183="нет",0,VLOOKUP($B183,Ф_123_2021[],3,0)),0)</f>
        <v>738407</v>
      </c>
      <c r="M183" s="1545"/>
      <c r="N183" s="1545"/>
      <c r="O183" s="1545"/>
      <c r="P183" s="1546"/>
    </row>
    <row r="184" spans="1:16" ht="30" x14ac:dyDescent="0.2">
      <c r="A184" s="1301" t="s">
        <v>666</v>
      </c>
      <c r="B184" s="1301" t="s">
        <v>666</v>
      </c>
      <c r="C184" s="1301"/>
      <c r="D184" s="1301"/>
      <c r="E184" s="1183" t="s">
        <v>667</v>
      </c>
      <c r="F184" s="1184"/>
      <c r="G184" s="1350">
        <f>IFERROR(IF($A184="нет",0,VLOOKUP($A184,Ф_123_2016[],3,0)),0)</f>
        <v>0</v>
      </c>
      <c r="H184" s="1349">
        <f>IFERROR(IF($A184="нет",0,VLOOKUP($A184,Ф_123_2017[],3,0)),0)</f>
        <v>0</v>
      </c>
      <c r="I184" s="1349">
        <f>IFERROR(IF($A184="нет",0,VLOOKUP($A184,Ф_123_2018[],3,0)),0)</f>
        <v>0</v>
      </c>
      <c r="J184" s="1349">
        <f>IFERROR(IF($B184="нет",0,VLOOKUP($B184,Ф_123_2019[],3,0)),0)</f>
        <v>0</v>
      </c>
      <c r="K184" s="1349">
        <f>IFERROR(IF($B184="нет",0,VLOOKUP($B184,Ф_123_2020[],3,0)),0)</f>
        <v>0</v>
      </c>
      <c r="L184" s="1349">
        <f>IFERROR(IF($B184="нет",0,VLOOKUP($B184,Ф_123_2021[],3,0)),0)</f>
        <v>0</v>
      </c>
      <c r="M184" s="1545"/>
      <c r="N184" s="1545"/>
      <c r="O184" s="1545"/>
      <c r="P184" s="1546"/>
    </row>
    <row r="185" spans="1:16" ht="30" x14ac:dyDescent="0.2">
      <c r="A185" s="1301" t="s">
        <v>668</v>
      </c>
      <c r="B185" s="1301" t="s">
        <v>668</v>
      </c>
      <c r="C185" s="1301"/>
      <c r="D185" s="1301"/>
      <c r="E185" s="1183" t="s">
        <v>669</v>
      </c>
      <c r="F185" s="1184"/>
      <c r="G185" s="1350">
        <f>IFERROR(IF($A185="нет",0,VLOOKUP($A185,Ф_123_2016[],3,0)),0)</f>
        <v>3909372</v>
      </c>
      <c r="H185" s="1349">
        <f>IFERROR(IF($A185="нет",0,VLOOKUP($A185,Ф_123_2017[],3,0)),0)</f>
        <v>7935190</v>
      </c>
      <c r="I185" s="1349">
        <f>IFERROR(IF($A185="нет",0,VLOOKUP($A185,Ф_123_2018[],3,0)),0)</f>
        <v>8154267</v>
      </c>
      <c r="J185" s="1349">
        <f>IFERROR(IF($B185="нет",0,VLOOKUP($B185,Ф_123_2019[],3,0)),0)</f>
        <v>11192568</v>
      </c>
      <c r="K185" s="1349">
        <f>IFERROR(IF($B185="нет",0,VLOOKUP($B185,Ф_123_2020[],3,0)),0)</f>
        <v>2515723</v>
      </c>
      <c r="L185" s="1349">
        <f>IFERROR(IF($B185="нет",0,VLOOKUP($B185,Ф_123_2021[],3,0)),0)</f>
        <v>3668381</v>
      </c>
      <c r="M185" s="1545"/>
      <c r="N185" s="1545"/>
      <c r="O185" s="1545"/>
      <c r="P185" s="1546"/>
    </row>
    <row r="186" spans="1:16" ht="30" x14ac:dyDescent="0.2">
      <c r="A186" s="1301" t="s">
        <v>670</v>
      </c>
      <c r="B186" s="1301" t="s">
        <v>670</v>
      </c>
      <c r="C186" s="1301"/>
      <c r="D186" s="1301"/>
      <c r="E186" s="1183" t="s">
        <v>671</v>
      </c>
      <c r="F186" s="1184"/>
      <c r="G186" s="1350">
        <f>IFERROR(IF($A186="нет",0,VLOOKUP($A186,Ф_123_2016[],3,0)),0)</f>
        <v>805695</v>
      </c>
      <c r="H186" s="1349">
        <f>IFERROR(IF($A186="нет",0,VLOOKUP($A186,Ф_123_2017[],3,0)),0)</f>
        <v>1423861</v>
      </c>
      <c r="I186" s="1349">
        <f>IFERROR(IF($A186="нет",0,VLOOKUP($A186,Ф_123_2018[],3,0)),0)</f>
        <v>2180649</v>
      </c>
      <c r="J186" s="1349">
        <f>IFERROR(IF($B186="нет",0,VLOOKUP($B186,Ф_123_2019[],3,0)),0)</f>
        <v>6002640</v>
      </c>
      <c r="K186" s="1349">
        <f>IFERROR(IF($B186="нет",0,VLOOKUP($B186,Ф_123_2020[],3,0)),0)</f>
        <v>15740832</v>
      </c>
      <c r="L186" s="1349">
        <f>IFERROR(IF($B186="нет",0,VLOOKUP($B186,Ф_123_2021[],3,0)),0)</f>
        <v>12899550</v>
      </c>
      <c r="M186" s="1545"/>
      <c r="N186" s="1545"/>
      <c r="O186" s="1545"/>
      <c r="P186" s="1546"/>
    </row>
    <row r="187" spans="1:16" x14ac:dyDescent="0.2">
      <c r="A187" s="1301" t="s">
        <v>2647</v>
      </c>
      <c r="B187" s="1301" t="s">
        <v>2647</v>
      </c>
      <c r="C187" s="1301"/>
      <c r="D187" s="1301"/>
      <c r="E187" s="1183" t="s">
        <v>672</v>
      </c>
      <c r="F187" s="1184"/>
      <c r="G187" s="1350">
        <f>IFERROR(IF($A187="нет",0,VLOOKUP($A187,Ф_123_2016[],3,0)),0)</f>
        <v>1360378</v>
      </c>
      <c r="H187" s="1349">
        <f>IFERROR(IF($A187="нет",0,VLOOKUP($A187,Ф_123_2017[],3,0)),0)</f>
        <v>903976</v>
      </c>
      <c r="I187" s="1349">
        <f>IFERROR(IF($A187="нет",0,VLOOKUP($A187,Ф_123_2018[],3,0)),0)</f>
        <v>1345120</v>
      </c>
      <c r="J187" s="1349">
        <f>IFERROR(IF($B187="нет",0,VLOOKUP($B187,Ф_123_2019[],3,0)),0)</f>
        <v>3558246</v>
      </c>
      <c r="K187" s="1349">
        <f>IFERROR(IF($B187="нет",0,VLOOKUP($B187,Ф_123_2020[],3,0)),0)</f>
        <v>5887874</v>
      </c>
      <c r="L187" s="1349">
        <f>IFERROR(IF($B187="нет",0,VLOOKUP($B187,Ф_123_2021[],3,0)),0)</f>
        <v>5689100</v>
      </c>
      <c r="M187" s="1545"/>
      <c r="N187" s="1545"/>
      <c r="O187" s="1545"/>
      <c r="P187" s="1546"/>
    </row>
    <row r="188" spans="1:16" x14ac:dyDescent="0.2">
      <c r="A188" s="1301" t="s">
        <v>673</v>
      </c>
      <c r="B188" s="1301" t="s">
        <v>673</v>
      </c>
      <c r="C188" s="1301"/>
      <c r="D188" s="1301"/>
      <c r="E188" s="1183" t="s">
        <v>602</v>
      </c>
      <c r="F188" s="1184"/>
      <c r="G188" s="1350">
        <f>IFERROR(IF($A188="нет",0,VLOOKUP($A188,Ф_123_2016[],3,0)),0)</f>
        <v>156300</v>
      </c>
      <c r="H188" s="1349">
        <f>IFERROR(IF($A188="нет",0,VLOOKUP($A188,Ф_123_2017[],3,0)),0)</f>
        <v>314878</v>
      </c>
      <c r="I188" s="1349">
        <f>IFERROR(IF($A188="нет",0,VLOOKUP($A188,Ф_123_2018[],3,0)),0)</f>
        <v>742641</v>
      </c>
      <c r="J188" s="1349">
        <f>IFERROR(IF($B188="нет",0,VLOOKUP($B188,Ф_123_2019[],3,0)),0)</f>
        <v>1783192</v>
      </c>
      <c r="K188" s="1349">
        <f>IFERROR(IF($B188="нет",0,VLOOKUP($B188,Ф_123_2020[],3,0)),0)</f>
        <v>3037328</v>
      </c>
      <c r="L188" s="1349">
        <f>IFERROR(IF($B188="нет",0,VLOOKUP($B188,Ф_123_2021[],3,0)),0)</f>
        <v>4409785</v>
      </c>
      <c r="M188" s="1545"/>
      <c r="N188" s="1545"/>
      <c r="O188" s="1545"/>
      <c r="P188" s="1546"/>
    </row>
    <row r="189" spans="1:16" ht="45" x14ac:dyDescent="0.2">
      <c r="A189" s="1301" t="s">
        <v>674</v>
      </c>
      <c r="B189" s="1301" t="s">
        <v>701</v>
      </c>
      <c r="C189" s="1301"/>
      <c r="D189" s="1301"/>
      <c r="E189" s="1183" t="s">
        <v>675</v>
      </c>
      <c r="F189" s="1184"/>
      <c r="G189" s="1350">
        <f>IFERROR(IF($A189="нет",0,VLOOKUP($A189,Ф_123_2016[],3,0)),0)</f>
        <v>0</v>
      </c>
      <c r="H189" s="1349">
        <f>IFERROR(IF($A189="нет",0,VLOOKUP($A189,Ф_123_2017[],3,0)),0)</f>
        <v>0</v>
      </c>
      <c r="I189" s="1349">
        <f>IFERROR(IF($A189="нет",0,VLOOKUP($A189,Ф_123_2018[],3,0)),0)</f>
        <v>0</v>
      </c>
      <c r="J189" s="1349">
        <f>IFERROR(IF($B189="нет",0,VLOOKUP($B189,Ф_123_2019[],3,0)),0)</f>
        <v>6180</v>
      </c>
      <c r="K189" s="1349">
        <f>IFERROR(IF($B189="нет",0,VLOOKUP($B189,Ф_123_2020[],3,0)),0)</f>
        <v>6180</v>
      </c>
      <c r="L189" s="1349">
        <f>IFERROR(IF($B189="нет",0,VLOOKUP($B189,Ф_123_2021[],3,0)),0)</f>
        <v>6180</v>
      </c>
      <c r="M189" s="1545"/>
      <c r="N189" s="1545"/>
      <c r="O189" s="1545"/>
      <c r="P189" s="1546"/>
    </row>
    <row r="190" spans="1:16" ht="21" customHeight="1" x14ac:dyDescent="0.2">
      <c r="A190" s="1301" t="s">
        <v>1463</v>
      </c>
      <c r="B190" s="1301" t="s">
        <v>1421</v>
      </c>
      <c r="C190" s="1301"/>
      <c r="D190" s="1301"/>
      <c r="E190" s="1413" t="s">
        <v>1420</v>
      </c>
      <c r="F190" s="1184"/>
      <c r="G190" s="1350">
        <f>IFERROR(IF($A190="нет",0,VLOOKUP($A190,Ф_123_2016[],3,0)),0)</f>
        <v>0</v>
      </c>
      <c r="H190" s="1349">
        <f>IFERROR(IF($A190="нет",0,VLOOKUP($A190,Ф_123_2017[],3,0)),0)</f>
        <v>0</v>
      </c>
      <c r="I190" s="1349">
        <f>IFERROR(IF($A190="нет",0,VLOOKUP($A190,Ф_123_2018[],3,0)),0)</f>
        <v>0</v>
      </c>
      <c r="J190" s="1349">
        <f>IFERROR(IF($B190="нет",0,VLOOKUP($B190,Ф_123_2019[],3,0)),0)</f>
        <v>6180</v>
      </c>
      <c r="K190" s="1349">
        <f>IFERROR(IF($B190="нет",0,VLOOKUP($B190,Ф_123_2020[],3,0)),0)</f>
        <v>6180</v>
      </c>
      <c r="L190" s="1349">
        <f>IFERROR(IF($B190="нет",0,VLOOKUP($B190,Ф_123_2021[],3,0)),0)</f>
        <v>6180</v>
      </c>
      <c r="M190" s="1545"/>
      <c r="N190" s="1545"/>
      <c r="O190" s="1545"/>
      <c r="P190" s="1546"/>
    </row>
    <row r="191" spans="1:16" ht="30" x14ac:dyDescent="0.2">
      <c r="A191" s="1301" t="s">
        <v>676</v>
      </c>
      <c r="B191" s="1301" t="s">
        <v>1419</v>
      </c>
      <c r="C191" s="1301"/>
      <c r="D191" s="1301"/>
      <c r="E191" s="1183" t="s">
        <v>677</v>
      </c>
      <c r="F191" s="1184"/>
      <c r="G191" s="1350">
        <f>IFERROR(IF($A191="нет",0,VLOOKUP($A191,Ф_123_2016[],3,0)),0)</f>
        <v>0</v>
      </c>
      <c r="H191" s="1349">
        <f>IFERROR(IF($A191="нет",0,VLOOKUP($A191,Ф_123_2017[],3,0)),0)</f>
        <v>0</v>
      </c>
      <c r="I191" s="1349">
        <f>IFERROR(IF($A191="нет",0,VLOOKUP($A191,Ф_123_2018[],3,0)),0)</f>
        <v>0</v>
      </c>
      <c r="J191" s="1349">
        <f>IFERROR(IF($B191="нет",0,VLOOKUP($B191,Ф_123_2019[],3,0)),0)</f>
        <v>0</v>
      </c>
      <c r="K191" s="1349">
        <f>IFERROR(IF($B191="нет",0,VLOOKUP($B191,Ф_123_2020[],3,0)),0)</f>
        <v>0</v>
      </c>
      <c r="L191" s="1349">
        <f>IFERROR(IF($B191="нет",0,VLOOKUP($B191,Ф_123_2021[],3,0)),0)</f>
        <v>0</v>
      </c>
      <c r="M191" s="1545"/>
      <c r="N191" s="1545"/>
      <c r="O191" s="1545"/>
      <c r="P191" s="1546"/>
    </row>
    <row r="192" spans="1:16" ht="30" x14ac:dyDescent="0.2">
      <c r="A192" s="1301" t="s">
        <v>678</v>
      </c>
      <c r="B192" s="1301" t="s">
        <v>1422</v>
      </c>
      <c r="C192" s="1301"/>
      <c r="D192" s="1301"/>
      <c r="E192" s="1183" t="s">
        <v>679</v>
      </c>
      <c r="F192" s="1184"/>
      <c r="G192" s="1350">
        <f>IFERROR(IF($A192="нет",0,VLOOKUP($A192,Ф_123_2016[],3,0)),0)</f>
        <v>0</v>
      </c>
      <c r="H192" s="1349">
        <f>IFERROR(IF($A192="нет",0,VLOOKUP($A192,Ф_123_2017[],3,0)),0)</f>
        <v>0</v>
      </c>
      <c r="I192" s="1349">
        <f>IFERROR(IF($A192="нет",0,VLOOKUP($A192,Ф_123_2018[],3,0)),0)</f>
        <v>0</v>
      </c>
      <c r="J192" s="1349">
        <f>IFERROR(IF($B192="нет",0,VLOOKUP($B192,Ф_123_2019[],3,0)),0)</f>
        <v>0</v>
      </c>
      <c r="K192" s="1349">
        <f>IFERROR(IF($B192="нет",0,VLOOKUP($B192,Ф_123_2020[],3,0)),0)</f>
        <v>0</v>
      </c>
      <c r="L192" s="1349">
        <f>IFERROR(IF($B192="нет",0,VLOOKUP($B192,Ф_123_2021[],3,0)),0)</f>
        <v>0</v>
      </c>
      <c r="M192" s="1545"/>
      <c r="N192" s="1545"/>
      <c r="O192" s="1545"/>
      <c r="P192" s="1546"/>
    </row>
    <row r="193" spans="1:16" ht="45" x14ac:dyDescent="0.2">
      <c r="A193" s="1301" t="s">
        <v>680</v>
      </c>
      <c r="B193" s="1301" t="s">
        <v>1423</v>
      </c>
      <c r="C193" s="1301"/>
      <c r="D193" s="1301"/>
      <c r="E193" s="1183" t="s">
        <v>681</v>
      </c>
      <c r="F193" s="1184"/>
      <c r="G193" s="1350">
        <f>IFERROR(IF($A193="нет",0,VLOOKUP($A193,Ф_123_2016[],3,0)),0)</f>
        <v>0</v>
      </c>
      <c r="H193" s="1349">
        <f>IFERROR(IF($A193="нет",0,VLOOKUP($A193,Ф_123_2017[],3,0)),0)</f>
        <v>0</v>
      </c>
      <c r="I193" s="1349">
        <f>IFERROR(IF($A193="нет",0,VLOOKUP($A193,Ф_123_2018[],3,0)),0)</f>
        <v>0</v>
      </c>
      <c r="J193" s="1349">
        <f>IFERROR(IF($B193="нет",0,VLOOKUP($B193,Ф_123_2019[],3,0)),0)</f>
        <v>0</v>
      </c>
      <c r="K193" s="1349">
        <f>IFERROR(IF($B193="нет",0,VLOOKUP($B193,Ф_123_2020[],3,0)),0)</f>
        <v>0</v>
      </c>
      <c r="L193" s="1349">
        <f>IFERROR(IF($B193="нет",0,VLOOKUP($B193,Ф_123_2021[],3,0)),0)</f>
        <v>0</v>
      </c>
      <c r="M193" s="1545"/>
      <c r="N193" s="1545"/>
      <c r="O193" s="1545"/>
      <c r="P193" s="1546"/>
    </row>
    <row r="194" spans="1:16" x14ac:dyDescent="0.2">
      <c r="A194" s="1301" t="s">
        <v>682</v>
      </c>
      <c r="B194" s="1301" t="s">
        <v>674</v>
      </c>
      <c r="C194" s="1301"/>
      <c r="D194" s="1301"/>
      <c r="E194" s="1183" t="s">
        <v>223</v>
      </c>
      <c r="F194" s="1184"/>
      <c r="G194" s="1350">
        <f>IFERROR(IF($A194="нет",0,VLOOKUP($A194,Ф_123_2016[],3,0)),0)</f>
        <v>655430</v>
      </c>
      <c r="H194" s="1349">
        <f>IFERROR(IF($A194="нет",0,VLOOKUP($A194,Ф_123_2017[],3,0)),0)</f>
        <v>289249</v>
      </c>
      <c r="I194" s="1349">
        <f>IFERROR(IF($A194="нет",0,VLOOKUP($A194,Ф_123_2018[],3,0)),0)</f>
        <v>0</v>
      </c>
      <c r="J194" s="1349">
        <f>IFERROR(IF($B194="нет",0,VLOOKUP($B194,Ф_123_2019[],3,0)),0)</f>
        <v>0</v>
      </c>
      <c r="K194" s="1349">
        <f>IFERROR(IF($B194="нет",0,VLOOKUP($B194,Ф_123_2020[],3,0)),0)</f>
        <v>0</v>
      </c>
      <c r="L194" s="1349">
        <f>IFERROR(IF($B194="нет",0,VLOOKUP($B194,Ф_123_2021[],3,0)),0)</f>
        <v>0</v>
      </c>
      <c r="M194" s="1545"/>
      <c r="N194" s="1545"/>
      <c r="O194" s="1545"/>
      <c r="P194" s="1546"/>
    </row>
    <row r="195" spans="1:16" ht="90" x14ac:dyDescent="0.2">
      <c r="A195" s="1301" t="s">
        <v>683</v>
      </c>
      <c r="B195" s="1301" t="s">
        <v>682</v>
      </c>
      <c r="C195" s="1301"/>
      <c r="D195" s="1301"/>
      <c r="E195" s="1183" t="s">
        <v>684</v>
      </c>
      <c r="F195" s="1184"/>
      <c r="G195" s="1350">
        <f>IFERROR(IF($A195="нет",0,VLOOKUP($A195,Ф_123_2016[],3,0)),0)</f>
        <v>285141</v>
      </c>
      <c r="H195" s="1349">
        <f>IFERROR(IF($A195="нет",0,VLOOKUP($A195,Ф_123_2017[],3,0)),0)</f>
        <v>299849</v>
      </c>
      <c r="I195" s="1349">
        <f>IFERROR(IF($A195="нет",0,VLOOKUP($A195,Ф_123_2018[],3,0)),0)</f>
        <v>224198</v>
      </c>
      <c r="J195" s="1349">
        <f>IFERROR(IF($B195="нет",0,VLOOKUP($B195,Ф_123_2019[],3,0)),0)</f>
        <v>224198</v>
      </c>
      <c r="K195" s="1349">
        <f>IFERROR(IF($B195="нет",0,VLOOKUP($B195,Ф_123_2020[],3,0)),0)</f>
        <v>224198</v>
      </c>
      <c r="L195" s="1349">
        <f>IFERROR(IF($B195="нет",0,VLOOKUP($B195,Ф_123_2021[],3,0)),0)</f>
        <v>224198</v>
      </c>
      <c r="M195" s="1545"/>
      <c r="N195" s="1545"/>
      <c r="O195" s="1545"/>
      <c r="P195" s="1546"/>
    </row>
    <row r="196" spans="1:16" ht="48" customHeight="1" x14ac:dyDescent="0.2">
      <c r="A196" s="1301" t="s">
        <v>1463</v>
      </c>
      <c r="B196" s="1301" t="s">
        <v>683</v>
      </c>
      <c r="C196" s="1301"/>
      <c r="D196" s="1301"/>
      <c r="E196" s="1413" t="s">
        <v>1424</v>
      </c>
      <c r="F196" s="1184"/>
      <c r="G196" s="1350">
        <f>IFERROR(IF($A196="нет",0,VLOOKUP($A196,Ф_123_2016[],3,0)),0)</f>
        <v>0</v>
      </c>
      <c r="H196" s="1349">
        <f>IFERROR(IF($A196="нет",0,VLOOKUP($A196,Ф_123_2017[],3,0)),0)</f>
        <v>0</v>
      </c>
      <c r="I196" s="1349">
        <f>IFERROR(IF($A196="нет",0,VLOOKUP($A196,Ф_123_2018[],3,0)),0)</f>
        <v>0</v>
      </c>
      <c r="J196" s="1349">
        <f>IFERROR(IF($B196="нет",0,VLOOKUP($B196,Ф_123_2019[],3,0)),0)</f>
        <v>0</v>
      </c>
      <c r="K196" s="1349">
        <f>IFERROR(IF($B196="нет",0,VLOOKUP($B196,Ф_123_2020[],3,0)),0)</f>
        <v>0</v>
      </c>
      <c r="L196" s="1349">
        <f>IFERROR(IF($B196="нет",0,VLOOKUP($B196,Ф_123_2021[],3,0)),0)</f>
        <v>0</v>
      </c>
      <c r="M196" s="1545"/>
      <c r="N196" s="1545"/>
      <c r="O196" s="1545"/>
      <c r="P196" s="1546"/>
    </row>
    <row r="197" spans="1:16" ht="90" x14ac:dyDescent="0.2">
      <c r="A197" s="1301" t="s">
        <v>685</v>
      </c>
      <c r="B197" s="1301" t="s">
        <v>685</v>
      </c>
      <c r="C197" s="1301"/>
      <c r="D197" s="1301"/>
      <c r="E197" s="1183" t="s">
        <v>686</v>
      </c>
      <c r="F197" s="1184"/>
      <c r="G197" s="1350">
        <f>IFERROR(IF($A197="нет",0,VLOOKUP($A197,Ф_123_2016[],3,0)),0)</f>
        <v>0</v>
      </c>
      <c r="H197" s="1349">
        <f>IFERROR(IF($A197="нет",0,VLOOKUP($A197,Ф_123_2017[],3,0)),0)</f>
        <v>0</v>
      </c>
      <c r="I197" s="1349">
        <f>IFERROR(IF($A197="нет",0,VLOOKUP($A197,Ф_123_2018[],3,0)),0)</f>
        <v>0</v>
      </c>
      <c r="J197" s="1349">
        <f>IFERROR(IF($B197="нет",0,VLOOKUP($B197,Ф_123_2019[],3,0)),0)</f>
        <v>0</v>
      </c>
      <c r="K197" s="1349">
        <f>IFERROR(IF($B197="нет",0,VLOOKUP($B197,Ф_123_2020[],3,0)),0)</f>
        <v>0</v>
      </c>
      <c r="L197" s="1349">
        <f>IFERROR(IF($B197="нет",0,VLOOKUP($B197,Ф_123_2021[],3,0)),0)</f>
        <v>0</v>
      </c>
      <c r="M197" s="1545"/>
      <c r="N197" s="1545"/>
      <c r="O197" s="1545"/>
      <c r="P197" s="1546"/>
    </row>
    <row r="198" spans="1:16" ht="45" x14ac:dyDescent="0.2">
      <c r="A198" s="1301" t="s">
        <v>687</v>
      </c>
      <c r="B198" s="1301" t="s">
        <v>687</v>
      </c>
      <c r="C198" s="1301"/>
      <c r="D198" s="1301"/>
      <c r="E198" s="1183" t="s">
        <v>1062</v>
      </c>
      <c r="F198" s="1184"/>
      <c r="G198" s="1350">
        <f>IFERROR(IF($A198="нет",0,VLOOKUP($A198,Ф_123_2016[],3,0)),0)</f>
        <v>0</v>
      </c>
      <c r="H198" s="1349">
        <f>IFERROR(IF($A198="нет",0,VLOOKUP($A198,Ф_123_2017[],3,0)),0)</f>
        <v>0</v>
      </c>
      <c r="I198" s="1349">
        <f>IFERROR(IF($A198="нет",0,VLOOKUP($A198,Ф_123_2018[],3,0)),0)</f>
        <v>0</v>
      </c>
      <c r="J198" s="1349">
        <f>IFERROR(IF($B198="нет",0,VLOOKUP($B198,Ф_123_2019[],3,0)),0)</f>
        <v>0</v>
      </c>
      <c r="K198" s="1349">
        <f>IFERROR(IF($B198="нет",0,VLOOKUP($B198,Ф_123_2020[],3,0)),0)</f>
        <v>0</v>
      </c>
      <c r="L198" s="1349">
        <f>IFERROR(IF($B198="нет",0,VLOOKUP($B198,Ф_123_2021[],3,0)),0)</f>
        <v>0</v>
      </c>
      <c r="M198" s="1545"/>
      <c r="N198" s="1545"/>
      <c r="O198" s="1545"/>
      <c r="P198" s="1546"/>
    </row>
    <row r="199" spans="1:16" ht="45" x14ac:dyDescent="0.2">
      <c r="A199" s="1301" t="s">
        <v>688</v>
      </c>
      <c r="B199" s="1301" t="s">
        <v>688</v>
      </c>
      <c r="C199" s="1301"/>
      <c r="D199" s="1301"/>
      <c r="E199" s="1183" t="s">
        <v>689</v>
      </c>
      <c r="F199" s="1184"/>
      <c r="G199" s="1350">
        <f>IFERROR(IF($A199="нет",0,VLOOKUP($A199,Ф_123_2016[],3,0)),0)</f>
        <v>263507</v>
      </c>
      <c r="H199" s="1349">
        <f>IFERROR(IF($A199="нет",0,VLOOKUP($A199,Ф_123_2017[],3,0)),0)</f>
        <v>0</v>
      </c>
      <c r="I199" s="1349">
        <f>IFERROR(IF($A199="нет",0,VLOOKUP($A199,Ф_123_2018[],3,0)),0)</f>
        <v>0</v>
      </c>
      <c r="J199" s="1349">
        <f>IFERROR(IF($B199="нет",0,VLOOKUP($B199,Ф_123_2019[],3,0)),0)</f>
        <v>1167346</v>
      </c>
      <c r="K199" s="1349">
        <f>IFERROR(IF($B199="нет",0,VLOOKUP($B199,Ф_123_2020[],3,0)),0)</f>
        <v>1015794</v>
      </c>
      <c r="L199" s="1349">
        <f>IFERROR(IF($B199="нет",0,VLOOKUP($B199,Ф_123_2021[],3,0)),0)</f>
        <v>638452</v>
      </c>
      <c r="M199" s="1545"/>
      <c r="N199" s="1545"/>
      <c r="O199" s="1545"/>
      <c r="P199" s="1546"/>
    </row>
    <row r="200" spans="1:16" ht="30" x14ac:dyDescent="0.2">
      <c r="A200" s="1301" t="s">
        <v>690</v>
      </c>
      <c r="B200" s="1301" t="s">
        <v>690</v>
      </c>
      <c r="C200" s="1301"/>
      <c r="D200" s="1301"/>
      <c r="E200" s="1183" t="s">
        <v>691</v>
      </c>
      <c r="F200" s="1184"/>
      <c r="G200" s="1350">
        <f>IFERROR(IF($A200="нет",0,VLOOKUP($A200,Ф_123_2016[],3,0)),0)</f>
        <v>0</v>
      </c>
      <c r="H200" s="1349">
        <f>IFERROR(IF($A200="нет",0,VLOOKUP($A200,Ф_123_2017[],3,0)),0)</f>
        <v>0</v>
      </c>
      <c r="I200" s="1349">
        <f>IFERROR(IF($A200="нет",0,VLOOKUP($A200,Ф_123_2018[],3,0)),0)</f>
        <v>0</v>
      </c>
      <c r="J200" s="1349">
        <f>IFERROR(IF($B200="нет",0,VLOOKUP($B200,Ф_123_2019[],3,0)),0)</f>
        <v>0</v>
      </c>
      <c r="K200" s="1349">
        <f>IFERROR(IF($B200="нет",0,VLOOKUP($B200,Ф_123_2020[],3,0)),0)</f>
        <v>0</v>
      </c>
      <c r="L200" s="1349">
        <f>IFERROR(IF($B200="нет",0,VLOOKUP($B200,Ф_123_2021[],3,0)),0)</f>
        <v>0</v>
      </c>
      <c r="M200" s="1545"/>
      <c r="N200" s="1545"/>
      <c r="O200" s="1545"/>
      <c r="P200" s="1546"/>
    </row>
    <row r="201" spans="1:16" ht="30" x14ac:dyDescent="0.2">
      <c r="A201" s="1301" t="s">
        <v>692</v>
      </c>
      <c r="B201" s="1301" t="s">
        <v>692</v>
      </c>
      <c r="C201" s="1301"/>
      <c r="D201" s="1301"/>
      <c r="E201" s="1183" t="s">
        <v>1425</v>
      </c>
      <c r="F201" s="1184"/>
      <c r="G201" s="1350">
        <f>IFERROR(IF($A201="нет",0,VLOOKUP($A201,Ф_123_2016[],3,0)),0)</f>
        <v>0</v>
      </c>
      <c r="H201" s="1349">
        <f>IFERROR(IF($A201="нет",0,VLOOKUP($A201,Ф_123_2017[],3,0)),0)</f>
        <v>0</v>
      </c>
      <c r="I201" s="1349">
        <f>IFERROR(IF($A201="нет",0,VLOOKUP($A201,Ф_123_2018[],3,0)),0)</f>
        <v>378281</v>
      </c>
      <c r="J201" s="1349">
        <f>IFERROR(IF($B201="нет",0,VLOOKUP($B201,Ф_123_2019[],3,0)),0)</f>
        <v>377330</v>
      </c>
      <c r="K201" s="1349">
        <f>IFERROR(IF($B201="нет",0,VLOOKUP($B201,Ф_123_2020[],3,0)),0)</f>
        <v>397695</v>
      </c>
      <c r="L201" s="1349">
        <f>IFERROR(IF($B201="нет",0,VLOOKUP($B201,Ф_123_2021[],3,0)),0)</f>
        <v>410485</v>
      </c>
      <c r="M201" s="1545"/>
      <c r="N201" s="1545"/>
      <c r="O201" s="1545"/>
      <c r="P201" s="1546"/>
    </row>
    <row r="202" spans="1:16" ht="75" x14ac:dyDescent="0.2">
      <c r="A202" s="1301" t="s">
        <v>1463</v>
      </c>
      <c r="B202" s="1301" t="s">
        <v>693</v>
      </c>
      <c r="C202" s="1301"/>
      <c r="D202" s="1301"/>
      <c r="E202" s="1183" t="s">
        <v>1426</v>
      </c>
      <c r="F202" s="1184"/>
      <c r="G202" s="1350">
        <f>IFERROR(IF($A202="нет",0,VLOOKUP($A202,Ф_123_2016[],3,0)),0)</f>
        <v>0</v>
      </c>
      <c r="H202" s="1349">
        <f>IFERROR(IF($A202="нет",0,VLOOKUP($A202,Ф_123_2017[],3,0)),0)</f>
        <v>0</v>
      </c>
      <c r="I202" s="1349">
        <f>IFERROR(IF($A202="нет",0,VLOOKUP($A202,Ф_123_2018[],3,0)),0)</f>
        <v>0</v>
      </c>
      <c r="J202" s="1349">
        <f>IFERROR(IF($B202="нет",0,VLOOKUP($B202,Ф_123_2019[],3,0)),0)</f>
        <v>0</v>
      </c>
      <c r="K202" s="1349">
        <f>IFERROR(IF($B202="нет",0,VLOOKUP($B202,Ф_123_2020[],3,0)),0)</f>
        <v>0</v>
      </c>
      <c r="L202" s="1349">
        <f>IFERROR(IF($B202="нет",0,VLOOKUP($B202,Ф_123_2021[],3,0)),0)</f>
        <v>0</v>
      </c>
      <c r="M202" s="1545"/>
      <c r="N202" s="1545"/>
      <c r="O202" s="1545"/>
      <c r="P202" s="1546"/>
    </row>
    <row r="203" spans="1:16" ht="30" x14ac:dyDescent="0.2">
      <c r="A203" s="1301" t="s">
        <v>693</v>
      </c>
      <c r="B203" s="1301" t="s">
        <v>695</v>
      </c>
      <c r="C203" s="1301"/>
      <c r="D203" s="1301"/>
      <c r="E203" s="1183" t="s">
        <v>694</v>
      </c>
      <c r="F203" s="1184"/>
      <c r="G203" s="1350">
        <f>IFERROR(IF($A203="нет",0,VLOOKUP($A203,Ф_123_2016[],3,0)),0)</f>
        <v>0</v>
      </c>
      <c r="H203" s="1349">
        <f>IFERROR(IF($A203="нет",0,VLOOKUP($A203,Ф_123_2017[],3,0)),0)</f>
        <v>0</v>
      </c>
      <c r="I203" s="1349">
        <f>IFERROR(IF($A203="нет",0,VLOOKUP($A203,Ф_123_2018[],3,0)),0)</f>
        <v>0</v>
      </c>
      <c r="J203" s="1349">
        <f>IFERROR(IF($B203="нет",0,VLOOKUP($B203,Ф_123_2019[],3,0)),0)</f>
        <v>0</v>
      </c>
      <c r="K203" s="1349">
        <f>IFERROR(IF($B203="нет",0,VLOOKUP($B203,Ф_123_2020[],3,0)),0)</f>
        <v>0</v>
      </c>
      <c r="L203" s="1349">
        <f>IFERROR(IF($B203="нет",0,VLOOKUP($B203,Ф_123_2021[],3,0)),0)</f>
        <v>0</v>
      </c>
      <c r="M203" s="1545"/>
      <c r="N203" s="1545"/>
      <c r="O203" s="1545"/>
      <c r="P203" s="1546"/>
    </row>
    <row r="204" spans="1:16" x14ac:dyDescent="0.2">
      <c r="A204" s="1301" t="s">
        <v>695</v>
      </c>
      <c r="B204" s="1301" t="s">
        <v>1463</v>
      </c>
      <c r="C204" s="1301"/>
      <c r="D204" s="1301"/>
      <c r="E204" s="1183" t="s">
        <v>696</v>
      </c>
      <c r="F204" s="1184"/>
      <c r="G204" s="1350">
        <f>IFERROR(IF($A204="нет",0,VLOOKUP($A204,Ф_123_2016[],3,0)),0)</f>
        <v>0</v>
      </c>
      <c r="H204" s="1349">
        <f>IFERROR(IF($A204="нет",0,VLOOKUP($A204,Ф_123_2017[],3,0)),0)</f>
        <v>0</v>
      </c>
      <c r="I204" s="1349">
        <f>IFERROR(IF($A204="нет",0,VLOOKUP($A204,Ф_123_2018[],3,0)),0)</f>
        <v>0</v>
      </c>
      <c r="J204" s="1349">
        <f>IFERROR(IF($B204="нет",0,VLOOKUP($B204,Ф_123_2019[],3,0)),0)</f>
        <v>0</v>
      </c>
      <c r="K204" s="1349">
        <f>IFERROR(IF($B204="нет",0,VLOOKUP($B204,Ф_123_2020[],3,0)),0)</f>
        <v>0</v>
      </c>
      <c r="L204" s="1349">
        <f>IFERROR(IF($B204="нет",0,VLOOKUP($B204,Ф_123_2021[],3,0)),0)</f>
        <v>0</v>
      </c>
      <c r="M204" s="1545"/>
      <c r="N204" s="1545"/>
      <c r="O204" s="1545"/>
      <c r="P204" s="1546"/>
    </row>
    <row r="205" spans="1:16" ht="45" x14ac:dyDescent="0.2">
      <c r="A205" s="1301" t="s">
        <v>697</v>
      </c>
      <c r="B205" s="1301" t="s">
        <v>1463</v>
      </c>
      <c r="C205" s="1301"/>
      <c r="D205" s="1301"/>
      <c r="E205" s="1183" t="s">
        <v>698</v>
      </c>
      <c r="F205" s="1184"/>
      <c r="G205" s="1350">
        <f>IFERROR(IF($A205="нет",0,VLOOKUP($A205,Ф_123_2016[],3,0)),0)</f>
        <v>0</v>
      </c>
      <c r="H205" s="1349">
        <f>IFERROR(IF($A205="нет",0,VLOOKUP($A205,Ф_123_2017[],3,0)),0)</f>
        <v>0</v>
      </c>
      <c r="I205" s="1349">
        <f>IFERROR(IF($A205="нет",0,VLOOKUP($A205,Ф_123_2018[],3,0)),0)</f>
        <v>0</v>
      </c>
      <c r="J205" s="1349">
        <f>IFERROR(IF($B205="нет",0,VLOOKUP($B205,Ф_123_2019[],3,0)),0)</f>
        <v>0</v>
      </c>
      <c r="K205" s="1349">
        <f>IFERROR(IF($B205="нет",0,VLOOKUP($B205,Ф_123_2020[],3,0)),0)</f>
        <v>0</v>
      </c>
      <c r="L205" s="1349">
        <f>IFERROR(IF($B205="нет",0,VLOOKUP($B205,Ф_123_2021[],3,0)),0)</f>
        <v>0</v>
      </c>
      <c r="M205" s="1545"/>
      <c r="N205" s="1545"/>
      <c r="O205" s="1545"/>
      <c r="P205" s="1546"/>
    </row>
    <row r="206" spans="1:16" x14ac:dyDescent="0.2">
      <c r="A206" s="1301" t="s">
        <v>699</v>
      </c>
      <c r="B206" s="1301" t="s">
        <v>697</v>
      </c>
      <c r="C206" s="1301"/>
      <c r="D206" s="1301"/>
      <c r="E206" s="1183" t="s">
        <v>700</v>
      </c>
      <c r="F206" s="1184"/>
      <c r="G206" s="1350">
        <f>IFERROR(IF($A206="нет",0,VLOOKUP($A206,Ф_123_2016[],3,0)),0)</f>
        <v>0</v>
      </c>
      <c r="H206" s="1349">
        <f>IFERROR(IF($A206="нет",0,VLOOKUP($A206,Ф_123_2017[],3,0)),0)</f>
        <v>0</v>
      </c>
      <c r="I206" s="1349">
        <f>IFERROR(IF($A206="нет",0,VLOOKUP($A206,Ф_123_2018[],3,0)),0)</f>
        <v>0</v>
      </c>
      <c r="J206" s="1349">
        <f>IFERROR(IF($B206="нет",0,VLOOKUP($B206,Ф_123_2019[],3,0)),0)</f>
        <v>0</v>
      </c>
      <c r="K206" s="1349">
        <f>IFERROR(IF($B206="нет",0,VLOOKUP($B206,Ф_123_2020[],3,0)),0)</f>
        <v>0</v>
      </c>
      <c r="L206" s="1349">
        <f>IFERROR(IF($B206="нет",0,VLOOKUP($B206,Ф_123_2021[],3,0)),0)</f>
        <v>0</v>
      </c>
      <c r="M206" s="1545"/>
      <c r="N206" s="1545"/>
      <c r="O206" s="1545"/>
      <c r="P206" s="1546"/>
    </row>
    <row r="207" spans="1:16" x14ac:dyDescent="0.2">
      <c r="A207" s="1302" t="s">
        <v>701</v>
      </c>
      <c r="B207" s="1302" t="s">
        <v>699</v>
      </c>
      <c r="C207" s="1302"/>
      <c r="D207" s="1302"/>
      <c r="E207" s="1185" t="s">
        <v>702</v>
      </c>
      <c r="F207" s="1186"/>
      <c r="G207" s="1353">
        <f>IFERROR(IF($A207="нет",0,VLOOKUP($A207,Ф_123_2016[],3,0)),0)</f>
        <v>0</v>
      </c>
      <c r="H207" s="1352">
        <f>IFERROR(IF($A207="нет",0,VLOOKUP($A207,Ф_123_2017[],3,0)),0)</f>
        <v>0</v>
      </c>
      <c r="I207" s="1352">
        <f>IFERROR(IF($A207="нет",0,VLOOKUP($A207,Ф_123_2018[],3,0)),0)</f>
        <v>0</v>
      </c>
      <c r="J207" s="1352">
        <f>IFERROR(IF($B207="нет",0,VLOOKUP($B207,Ф_123_2019[],3,0)),0)</f>
        <v>0</v>
      </c>
      <c r="K207" s="1352">
        <f>IFERROR(IF($B207="нет",0,VLOOKUP($B207,Ф_123_2020[],3,0)),0)</f>
        <v>1206679</v>
      </c>
      <c r="L207" s="1352">
        <f>IFERROR(IF($B207="нет",0,VLOOKUP($B207,Ф_123_2021[],3,0)),0)</f>
        <v>0</v>
      </c>
      <c r="M207" s="1547"/>
      <c r="N207" s="1547"/>
      <c r="O207" s="1547"/>
      <c r="P207" s="1548"/>
    </row>
    <row r="208" spans="1:16" ht="29.25" customHeight="1" x14ac:dyDescent="0.2">
      <c r="A208" s="1229" t="s">
        <v>2689</v>
      </c>
      <c r="B208" s="1229" t="s">
        <v>2689</v>
      </c>
      <c r="C208" s="1229"/>
      <c r="D208" s="1229"/>
      <c r="E208" s="312" t="s">
        <v>703</v>
      </c>
      <c r="F208" s="380"/>
      <c r="G208" s="1355">
        <f>IFERROR(IF($A208="нет",0,VLOOKUP($A208,Ф_123_2016[],3,0)),0)</f>
        <v>41366430</v>
      </c>
      <c r="H208" s="1354">
        <f>IFERROR(IF($A208="нет",0,VLOOKUP($A208,Ф_123_2017[],3,0)),0)</f>
        <v>56499350</v>
      </c>
      <c r="I208" s="1354">
        <f>IFERROR(IF($A208="нет",0,VLOOKUP($A208,Ф_123_2018[],3,0)),0)</f>
        <v>57073901</v>
      </c>
      <c r="J208" s="1354">
        <f>IFERROR(IF($B208="нет",0,VLOOKUP($B208,Ф_123_2019[],3,0)),0)</f>
        <v>61856597</v>
      </c>
      <c r="K208" s="1354">
        <f>IFERROR(IF($B208="нет",0,VLOOKUP($B208,Ф_123_2020[],3,0)),0)</f>
        <v>60900957</v>
      </c>
      <c r="L208" s="1354">
        <f>IFERROR(IF($B208="нет",0,VLOOKUP($B208,Ф_123_2021[],3,0)),0)</f>
        <v>59628979</v>
      </c>
      <c r="M208" s="1354">
        <v>62779550</v>
      </c>
      <c r="N208" s="1354">
        <v>62850730</v>
      </c>
      <c r="O208" s="1354">
        <v>82575294</v>
      </c>
      <c r="P208" s="1356">
        <v>87699467</v>
      </c>
    </row>
    <row r="209" spans="1:16" x14ac:dyDescent="0.2">
      <c r="A209" s="1300" t="s">
        <v>2690</v>
      </c>
      <c r="B209" s="1300" t="s">
        <v>2690</v>
      </c>
      <c r="C209" s="1300"/>
      <c r="D209" s="1300"/>
      <c r="E209" s="1181" t="s">
        <v>704</v>
      </c>
      <c r="F209" s="1182"/>
      <c r="G209" s="1346">
        <f>IFERROR(IF($A209="нет",0,VLOOKUP($A209,Ф_123_2016[],3,0)),0)</f>
        <v>0</v>
      </c>
      <c r="H209" s="1345">
        <f>IFERROR(IF($A209="нет",0,VLOOKUP($A209,Ф_123_2017[],3,0)),0)</f>
        <v>0</v>
      </c>
      <c r="I209" s="1345">
        <f>IFERROR(IF($A209="нет",0,VLOOKUP($A209,Ф_123_2018[],3,0)),0)</f>
        <v>0</v>
      </c>
      <c r="J209" s="1345">
        <f>IFERROR(IF($B209="нет",0,VLOOKUP($B209,Ф_123_2019[],3,0)),0)</f>
        <v>0</v>
      </c>
      <c r="K209" s="1345">
        <f>IFERROR(IF($B209="нет",0,VLOOKUP($B209,Ф_123_2020[],3,0)),0)</f>
        <v>0</v>
      </c>
      <c r="L209" s="1345">
        <f>IFERROR(IF($B209="нет",0,VLOOKUP($B209,Ф_123_2021[],3,0)),0)</f>
        <v>0</v>
      </c>
      <c r="M209" s="1345"/>
      <c r="N209" s="1345"/>
      <c r="O209" s="1345"/>
      <c r="P209" s="1348"/>
    </row>
    <row r="210" spans="1:16" ht="45" x14ac:dyDescent="0.2">
      <c r="A210" s="1301" t="s">
        <v>705</v>
      </c>
      <c r="B210" s="1301" t="s">
        <v>705</v>
      </c>
      <c r="C210" s="1301"/>
      <c r="D210" s="1301"/>
      <c r="E210" s="1183" t="s">
        <v>706</v>
      </c>
      <c r="F210" s="1184"/>
      <c r="G210" s="1350">
        <f>IFERROR(IF($A210="нет",0,VLOOKUP($A210,Ф_123_2016[],3,0)),0)</f>
        <v>0</v>
      </c>
      <c r="H210" s="1349">
        <f>IFERROR(IF($A210="нет",0,VLOOKUP($A210,Ф_123_2017[],3,0)),0)</f>
        <v>0</v>
      </c>
      <c r="I210" s="1349">
        <f>IFERROR(IF($A210="нет",0,VLOOKUP($A210,Ф_123_2018[],3,0)),0)</f>
        <v>0</v>
      </c>
      <c r="J210" s="1349">
        <f>IFERROR(IF($B210="нет",0,VLOOKUP($B210,Ф_123_2019[],3,0)),0)</f>
        <v>0</v>
      </c>
      <c r="K210" s="1349">
        <f>IFERROR(IF($B210="нет",0,VLOOKUP($B210,Ф_123_2020[],3,0)),0)</f>
        <v>0</v>
      </c>
      <c r="L210" s="1349">
        <f>IFERROR(IF($B210="нет",0,VLOOKUP($B210,Ф_123_2021[],3,0)),0)</f>
        <v>0</v>
      </c>
      <c r="M210" s="1545"/>
      <c r="N210" s="1545"/>
      <c r="O210" s="1545"/>
      <c r="P210" s="1546"/>
    </row>
    <row r="211" spans="1:16" ht="30" x14ac:dyDescent="0.2">
      <c r="A211" s="1301" t="s">
        <v>707</v>
      </c>
      <c r="B211" s="1301" t="s">
        <v>707</v>
      </c>
      <c r="C211" s="1301"/>
      <c r="D211" s="1301"/>
      <c r="E211" s="1183" t="s">
        <v>708</v>
      </c>
      <c r="F211" s="1184"/>
      <c r="G211" s="1350">
        <f>IFERROR(IF($A211="нет",0,VLOOKUP($A211,Ф_123_2016[],3,0)),0)</f>
        <v>0</v>
      </c>
      <c r="H211" s="1349">
        <f>IFERROR(IF($A211="нет",0,VLOOKUP($A211,Ф_123_2017[],3,0)),0)</f>
        <v>0</v>
      </c>
      <c r="I211" s="1349">
        <f>IFERROR(IF($A211="нет",0,VLOOKUP($A211,Ф_123_2018[],3,0)),0)</f>
        <v>0</v>
      </c>
      <c r="J211" s="1349">
        <f>IFERROR(IF($B211="нет",0,VLOOKUP($B211,Ф_123_2019[],3,0)),0)</f>
        <v>0</v>
      </c>
      <c r="K211" s="1349">
        <f>IFERROR(IF($B211="нет",0,VLOOKUP($B211,Ф_123_2020[],3,0)),0)</f>
        <v>0</v>
      </c>
      <c r="L211" s="1349">
        <f>IFERROR(IF($B211="нет",0,VLOOKUP($B211,Ф_123_2021[],3,0)),0)</f>
        <v>0</v>
      </c>
      <c r="M211" s="1545"/>
      <c r="N211" s="1545"/>
      <c r="O211" s="1545"/>
      <c r="P211" s="1546"/>
    </row>
    <row r="212" spans="1:16" x14ac:dyDescent="0.2">
      <c r="A212" s="1301" t="s">
        <v>709</v>
      </c>
      <c r="B212" s="1301" t="s">
        <v>709</v>
      </c>
      <c r="C212" s="1301"/>
      <c r="D212" s="1301"/>
      <c r="E212" s="1183" t="s">
        <v>32</v>
      </c>
      <c r="F212" s="1184"/>
      <c r="G212" s="1350">
        <f>IFERROR(IF($A212="нет",0,VLOOKUP($A212,Ф_123_2016[],3,0)),0)</f>
        <v>0</v>
      </c>
      <c r="H212" s="1349">
        <f>IFERROR(IF($A212="нет",0,VLOOKUP($A212,Ф_123_2017[],3,0)),0)</f>
        <v>0</v>
      </c>
      <c r="I212" s="1349">
        <f>IFERROR(IF($A212="нет",0,VLOOKUP($A212,Ф_123_2018[],3,0)),0)</f>
        <v>0</v>
      </c>
      <c r="J212" s="1349">
        <f>IFERROR(IF($B212="нет",0,VLOOKUP($B212,Ф_123_2019[],3,0)),0)</f>
        <v>0</v>
      </c>
      <c r="K212" s="1349">
        <f>IFERROR(IF($B212="нет",0,VLOOKUP($B212,Ф_123_2020[],3,0)),0)</f>
        <v>0</v>
      </c>
      <c r="L212" s="1349">
        <f>IFERROR(IF($B212="нет",0,VLOOKUP($B212,Ф_123_2021[],3,0)),0)</f>
        <v>0</v>
      </c>
      <c r="M212" s="1545"/>
      <c r="N212" s="1545"/>
      <c r="O212" s="1545"/>
      <c r="P212" s="1546"/>
    </row>
    <row r="213" spans="1:16" x14ac:dyDescent="0.2">
      <c r="A213" s="1301" t="s">
        <v>710</v>
      </c>
      <c r="B213" s="1301" t="s">
        <v>710</v>
      </c>
      <c r="C213" s="1301"/>
      <c r="D213" s="1301"/>
      <c r="E213" s="1183" t="s">
        <v>232</v>
      </c>
      <c r="F213" s="1184"/>
      <c r="G213" s="1350">
        <f>IFERROR(IF($A213="нет",0,VLOOKUP($A213,Ф_123_2016[],3,0)),0)</f>
        <v>0</v>
      </c>
      <c r="H213" s="1349">
        <f>IFERROR(IF($A213="нет",0,VLOOKUP($A213,Ф_123_2017[],3,0)),0)</f>
        <v>0</v>
      </c>
      <c r="I213" s="1349">
        <f>IFERROR(IF($A213="нет",0,VLOOKUP($A213,Ф_123_2018[],3,0)),0)</f>
        <v>0</v>
      </c>
      <c r="J213" s="1349">
        <f>IFERROR(IF($B213="нет",0,VLOOKUP($B213,Ф_123_2019[],3,0)),0)</f>
        <v>0</v>
      </c>
      <c r="K213" s="1349">
        <f>IFERROR(IF($B213="нет",0,VLOOKUP($B213,Ф_123_2020[],3,0)),0)</f>
        <v>0</v>
      </c>
      <c r="L213" s="1349">
        <f>IFERROR(IF($B213="нет",0,VLOOKUP($B213,Ф_123_2021[],3,0)),0)</f>
        <v>0</v>
      </c>
      <c r="M213" s="1545"/>
      <c r="N213" s="1545"/>
      <c r="O213" s="1545"/>
      <c r="P213" s="1546"/>
    </row>
    <row r="214" spans="1:16" ht="45" x14ac:dyDescent="0.2">
      <c r="A214" s="1301" t="s">
        <v>711</v>
      </c>
      <c r="B214" s="1301" t="s">
        <v>711</v>
      </c>
      <c r="C214" s="1301"/>
      <c r="D214" s="1301"/>
      <c r="E214" s="1183" t="s">
        <v>1063</v>
      </c>
      <c r="F214" s="1184"/>
      <c r="G214" s="1350">
        <f>IFERROR(IF($A214="нет",0,VLOOKUP($A214,Ф_123_2016[],3,0)),0)</f>
        <v>0</v>
      </c>
      <c r="H214" s="1349">
        <f>IFERROR(IF($A214="нет",0,VLOOKUP($A214,Ф_123_2017[],3,0)),0)</f>
        <v>0</v>
      </c>
      <c r="I214" s="1349">
        <f>IFERROR(IF($A214="нет",0,VLOOKUP($A214,Ф_123_2018[],3,0)),0)</f>
        <v>0</v>
      </c>
      <c r="J214" s="1349">
        <f>IFERROR(IF($B214="нет",0,VLOOKUP($B214,Ф_123_2019[],3,0)),0)</f>
        <v>0</v>
      </c>
      <c r="K214" s="1349">
        <f>IFERROR(IF($B214="нет",0,VLOOKUP($B214,Ф_123_2020[],3,0)),0)</f>
        <v>0</v>
      </c>
      <c r="L214" s="1349">
        <f>IFERROR(IF($B214="нет",0,VLOOKUP($B214,Ф_123_2021[],3,0)),0)</f>
        <v>0</v>
      </c>
      <c r="M214" s="1545"/>
      <c r="N214" s="1545"/>
      <c r="O214" s="1545"/>
      <c r="P214" s="1546"/>
    </row>
    <row r="215" spans="1:16" x14ac:dyDescent="0.2">
      <c r="A215" s="1301" t="s">
        <v>2694</v>
      </c>
      <c r="B215" s="1301" t="s">
        <v>2694</v>
      </c>
      <c r="C215" s="1301"/>
      <c r="D215" s="1301"/>
      <c r="E215" s="1183" t="s">
        <v>712</v>
      </c>
      <c r="F215" s="1184"/>
      <c r="G215" s="1350">
        <f>IFERROR(IF($A215="нет",0,VLOOKUP($A215,Ф_123_2016[],3,0)),0)</f>
        <v>655430</v>
      </c>
      <c r="H215" s="1349">
        <f>IFERROR(IF($A215="нет",0,VLOOKUP($A215,Ф_123_2017[],3,0)),0)</f>
        <v>289249</v>
      </c>
      <c r="I215" s="1349">
        <f>IFERROR(IF($A215="нет",0,VLOOKUP($A215,Ф_123_2018[],3,0)),0)</f>
        <v>0</v>
      </c>
      <c r="J215" s="1349">
        <f>IFERROR(IF($B215="нет",0,VLOOKUP($B215,Ф_123_2019[],3,0)),0)</f>
        <v>0</v>
      </c>
      <c r="K215" s="1349">
        <f>IFERROR(IF($B215="нет",0,VLOOKUP($B215,Ф_123_2020[],3,0)),0)</f>
        <v>0</v>
      </c>
      <c r="L215" s="1349">
        <f>IFERROR(IF($B215="нет",0,VLOOKUP($B215,Ф_123_2021[],3,0)),0)</f>
        <v>0</v>
      </c>
      <c r="M215" s="1545"/>
      <c r="N215" s="1545"/>
      <c r="O215" s="1545"/>
      <c r="P215" s="1546"/>
    </row>
    <row r="216" spans="1:16" x14ac:dyDescent="0.2">
      <c r="A216" s="1301" t="s">
        <v>610</v>
      </c>
      <c r="B216" s="1301" t="s">
        <v>610</v>
      </c>
      <c r="C216" s="1301"/>
      <c r="D216" s="1301"/>
      <c r="E216" s="1183" t="s">
        <v>713</v>
      </c>
      <c r="F216" s="1184"/>
      <c r="G216" s="1350">
        <f>IFERROR(IF($A216="нет",0,VLOOKUP($A216,Ф_123_2016[],3,0)),0)</f>
        <v>0</v>
      </c>
      <c r="H216" s="1349">
        <f>IFERROR(IF($A216="нет",0,VLOOKUP($A216,Ф_123_2017[],3,0)),0)</f>
        <v>0</v>
      </c>
      <c r="I216" s="1349">
        <f>IFERROR(IF($A216="нет",0,VLOOKUP($A216,Ф_123_2018[],3,0)),0)</f>
        <v>0</v>
      </c>
      <c r="J216" s="1349">
        <f>IFERROR(IF($B216="нет",0,VLOOKUP($B216,Ф_123_2019[],3,0)),0)</f>
        <v>0</v>
      </c>
      <c r="K216" s="1349">
        <f>IFERROR(IF($B216="нет",0,VLOOKUP($B216,Ф_123_2020[],3,0)),0)</f>
        <v>0</v>
      </c>
      <c r="L216" s="1349">
        <f>IFERROR(IF($B216="нет",0,VLOOKUP($B216,Ф_123_2021[],3,0)),0)</f>
        <v>0</v>
      </c>
      <c r="M216" s="1545"/>
      <c r="N216" s="1545"/>
      <c r="O216" s="1545"/>
      <c r="P216" s="1546"/>
    </row>
    <row r="217" spans="1:16" ht="75" x14ac:dyDescent="0.2">
      <c r="A217" s="1301" t="s">
        <v>1463</v>
      </c>
      <c r="B217" s="1301" t="s">
        <v>641</v>
      </c>
      <c r="C217" s="1301"/>
      <c r="D217" s="1301"/>
      <c r="E217" s="1183" t="s">
        <v>1427</v>
      </c>
      <c r="F217" s="1184"/>
      <c r="G217" s="1350">
        <f>IFERROR(IF($A217="нет",0,VLOOKUP($A217,Ф_123_2016[],3,0)),0)</f>
        <v>0</v>
      </c>
      <c r="H217" s="1349">
        <f>IFERROR(IF($A217="нет",0,VLOOKUP($A217,Ф_123_2017[],3,0)),0)</f>
        <v>0</v>
      </c>
      <c r="I217" s="1349">
        <f>IFERROR(IF($A217="нет",0,VLOOKUP($A217,Ф_123_2018[],3,0)),0)</f>
        <v>0</v>
      </c>
      <c r="J217" s="1349">
        <f>IFERROR(IF($B217="нет",0,VLOOKUP($B217,Ф_123_2019[],3,0)),0)</f>
        <v>0</v>
      </c>
      <c r="K217" s="1349">
        <f>IFERROR(IF($B217="нет",0,VLOOKUP($B217,Ф_123_2020[],3,0)),0)</f>
        <v>0</v>
      </c>
      <c r="L217" s="1349">
        <f>IFERROR(IF($B217="нет",0,VLOOKUP($B217,Ф_123_2021[],3,0)),0)</f>
        <v>0</v>
      </c>
      <c r="M217" s="1545"/>
      <c r="N217" s="1545"/>
      <c r="O217" s="1545"/>
      <c r="P217" s="1546"/>
    </row>
    <row r="218" spans="1:16" ht="30" x14ac:dyDescent="0.2">
      <c r="A218" s="1301" t="s">
        <v>641</v>
      </c>
      <c r="B218" s="1301" t="s">
        <v>642</v>
      </c>
      <c r="C218" s="1301"/>
      <c r="D218" s="1301"/>
      <c r="E218" s="1183" t="s">
        <v>714</v>
      </c>
      <c r="F218" s="1184"/>
      <c r="G218" s="1350">
        <f>IFERROR(IF($A218="нет",0,VLOOKUP($A218,Ф_123_2016[],3,0)),0)</f>
        <v>0</v>
      </c>
      <c r="H218" s="1349">
        <f>IFERROR(IF($A218="нет",0,VLOOKUP($A218,Ф_123_2017[],3,0)),0)</f>
        <v>0</v>
      </c>
      <c r="I218" s="1349">
        <f>IFERROR(IF($A218="нет",0,VLOOKUP($A218,Ф_123_2018[],3,0)),0)</f>
        <v>0</v>
      </c>
      <c r="J218" s="1349">
        <f>IFERROR(IF($B218="нет",0,VLOOKUP($B218,Ф_123_2019[],3,0)),0)</f>
        <v>0</v>
      </c>
      <c r="K218" s="1349">
        <f>IFERROR(IF($B218="нет",0,VLOOKUP($B218,Ф_123_2020[],3,0)),0)</f>
        <v>0</v>
      </c>
      <c r="L218" s="1349">
        <f>IFERROR(IF($B218="нет",0,VLOOKUP($B218,Ф_123_2021[],3,0)),0)</f>
        <v>0</v>
      </c>
      <c r="M218" s="1545"/>
      <c r="N218" s="1545"/>
      <c r="O218" s="1545"/>
      <c r="P218" s="1546"/>
    </row>
    <row r="219" spans="1:16" ht="45" x14ac:dyDescent="0.2">
      <c r="A219" s="1301" t="s">
        <v>642</v>
      </c>
      <c r="B219" s="1301" t="s">
        <v>716</v>
      </c>
      <c r="C219" s="1301"/>
      <c r="D219" s="1301"/>
      <c r="E219" s="1183" t="s">
        <v>715</v>
      </c>
      <c r="F219" s="1184"/>
      <c r="G219" s="1350">
        <f>IFERROR(IF($A219="нет",0,VLOOKUP($A219,Ф_123_2016[],3,0)),0)</f>
        <v>0</v>
      </c>
      <c r="H219" s="1349">
        <f>IFERROR(IF($A219="нет",0,VLOOKUP($A219,Ф_123_2017[],3,0)),0)</f>
        <v>0</v>
      </c>
      <c r="I219" s="1349">
        <f>IFERROR(IF($A219="нет",0,VLOOKUP($A219,Ф_123_2018[],3,0)),0)</f>
        <v>0</v>
      </c>
      <c r="J219" s="1349">
        <f>IFERROR(IF($B219="нет",0,VLOOKUP($B219,Ф_123_2019[],3,0)),0)</f>
        <v>0</v>
      </c>
      <c r="K219" s="1349">
        <f>IFERROR(IF($B219="нет",0,VLOOKUP($B219,Ф_123_2020[],3,0)),0)</f>
        <v>0</v>
      </c>
      <c r="L219" s="1349">
        <f>IFERROR(IF($B219="нет",0,VLOOKUP($B219,Ф_123_2021[],3,0)),0)</f>
        <v>0</v>
      </c>
      <c r="M219" s="1545"/>
      <c r="N219" s="1545"/>
      <c r="O219" s="1545"/>
      <c r="P219" s="1546"/>
    </row>
    <row r="220" spans="1:16" x14ac:dyDescent="0.2">
      <c r="A220" s="1301" t="s">
        <v>716</v>
      </c>
      <c r="B220" s="1301" t="s">
        <v>717</v>
      </c>
      <c r="C220" s="1301"/>
      <c r="D220" s="1301"/>
      <c r="E220" s="1183" t="s">
        <v>235</v>
      </c>
      <c r="F220" s="1184"/>
      <c r="G220" s="1350">
        <f>IFERROR(IF($A220="нет",0,VLOOKUP($A220,Ф_123_2016[],3,0)),0)</f>
        <v>0</v>
      </c>
      <c r="H220" s="1349">
        <f>IFERROR(IF($A220="нет",0,VLOOKUP($A220,Ф_123_2017[],3,0)),0)</f>
        <v>0</v>
      </c>
      <c r="I220" s="1349">
        <f>IFERROR(IF($A220="нет",0,VLOOKUP($A220,Ф_123_2018[],3,0)),0)</f>
        <v>0</v>
      </c>
      <c r="J220" s="1349">
        <f>IFERROR(IF($B220="нет",0,VLOOKUP($B220,Ф_123_2019[],3,0)),0)</f>
        <v>0</v>
      </c>
      <c r="K220" s="1349">
        <f>IFERROR(IF($B220="нет",0,VLOOKUP($B220,Ф_123_2020[],3,0)),0)</f>
        <v>0</v>
      </c>
      <c r="L220" s="1349">
        <f>IFERROR(IF($B220="нет",0,VLOOKUP($B220,Ф_123_2021[],3,0)),0)</f>
        <v>0</v>
      </c>
      <c r="M220" s="1545"/>
      <c r="N220" s="1545"/>
      <c r="O220" s="1545"/>
      <c r="P220" s="1546"/>
    </row>
    <row r="221" spans="1:16" ht="90" x14ac:dyDescent="0.2">
      <c r="A221" s="1301" t="s">
        <v>717</v>
      </c>
      <c r="B221" s="1301" t="s">
        <v>719</v>
      </c>
      <c r="C221" s="1301"/>
      <c r="D221" s="1301"/>
      <c r="E221" s="1183" t="s">
        <v>718</v>
      </c>
      <c r="F221" s="1184"/>
      <c r="G221" s="1350">
        <f>IFERROR(IF($A221="нет",0,VLOOKUP($A221,Ф_123_2016[],3,0)),0)</f>
        <v>0</v>
      </c>
      <c r="H221" s="1349">
        <f>IFERROR(IF($A221="нет",0,VLOOKUP($A221,Ф_123_2017[],3,0)),0)</f>
        <v>0</v>
      </c>
      <c r="I221" s="1349">
        <f>IFERROR(IF($A221="нет",0,VLOOKUP($A221,Ф_123_2018[],3,0)),0)</f>
        <v>0</v>
      </c>
      <c r="J221" s="1349">
        <f>IFERROR(IF($B221="нет",0,VLOOKUP($B221,Ф_123_2019[],3,0)),0)</f>
        <v>0</v>
      </c>
      <c r="K221" s="1349">
        <f>IFERROR(IF($B221="нет",0,VLOOKUP($B221,Ф_123_2020[],3,0)),0)</f>
        <v>0</v>
      </c>
      <c r="L221" s="1349">
        <f>IFERROR(IF($B221="нет",0,VLOOKUP($B221,Ф_123_2021[],3,0)),0)</f>
        <v>0</v>
      </c>
      <c r="M221" s="1545"/>
      <c r="N221" s="1545"/>
      <c r="O221" s="1545"/>
      <c r="P221" s="1546"/>
    </row>
    <row r="222" spans="1:16" ht="90" x14ac:dyDescent="0.2">
      <c r="A222" s="1301" t="s">
        <v>719</v>
      </c>
      <c r="B222" s="1301" t="s">
        <v>1463</v>
      </c>
      <c r="C222" s="1301"/>
      <c r="D222" s="1301"/>
      <c r="E222" s="1183" t="s">
        <v>720</v>
      </c>
      <c r="F222" s="1184"/>
      <c r="G222" s="1350">
        <f>IFERROR(IF($A222="нет",0,VLOOKUP($A222,Ф_123_2016[],3,0)),0)</f>
        <v>0</v>
      </c>
      <c r="H222" s="1349">
        <f>IFERROR(IF($A222="нет",0,VLOOKUP($A222,Ф_123_2017[],3,0)),0)</f>
        <v>0</v>
      </c>
      <c r="I222" s="1349">
        <f>IFERROR(IF($A222="нет",0,VLOOKUP($A222,Ф_123_2018[],3,0)),0)</f>
        <v>0</v>
      </c>
      <c r="J222" s="1349">
        <f>IFERROR(IF($B222="нет",0,VLOOKUP($B222,Ф_123_2019[],3,0)),0)</f>
        <v>0</v>
      </c>
      <c r="K222" s="1349">
        <f>IFERROR(IF($B222="нет",0,VLOOKUP($B222,Ф_123_2020[],3,0)),0)</f>
        <v>0</v>
      </c>
      <c r="L222" s="1349">
        <f>IFERROR(IF($B222="нет",0,VLOOKUP($B222,Ф_123_2021[],3,0)),0)</f>
        <v>0</v>
      </c>
      <c r="M222" s="1545"/>
      <c r="N222" s="1545"/>
      <c r="O222" s="1545"/>
      <c r="P222" s="1546"/>
    </row>
    <row r="223" spans="1:16" ht="30" x14ac:dyDescent="0.2">
      <c r="A223" s="1302" t="s">
        <v>721</v>
      </c>
      <c r="B223" s="1302" t="s">
        <v>1463</v>
      </c>
      <c r="C223" s="1302"/>
      <c r="D223" s="1302"/>
      <c r="E223" s="1185" t="s">
        <v>722</v>
      </c>
      <c r="F223" s="1186"/>
      <c r="G223" s="1353">
        <f>IFERROR(IF($A223="нет",0,VLOOKUP($A223,Ф_123_2016[],3,0)),0)</f>
        <v>655430</v>
      </c>
      <c r="H223" s="1352">
        <f>IFERROR(IF($A223="нет",0,VLOOKUP($A223,Ф_123_2017[],3,0)),0)</f>
        <v>289249</v>
      </c>
      <c r="I223" s="1352">
        <f>IFERROR(IF($A223="нет",0,VLOOKUP($A223,Ф_123_2018[],3,0)),0)</f>
        <v>0</v>
      </c>
      <c r="J223" s="1352">
        <f>IFERROR(IF($B223="нет",0,VLOOKUP($B223,Ф_123_2019[],3,0)),0)</f>
        <v>0</v>
      </c>
      <c r="K223" s="1352">
        <f>IFERROR(IF($B223="нет",0,VLOOKUP($B223,Ф_123_2020[],3,0)),0)</f>
        <v>0</v>
      </c>
      <c r="L223" s="1352">
        <f>IFERROR(IF($B223="нет",0,VLOOKUP($B223,Ф_123_2021[],3,0)),0)</f>
        <v>0</v>
      </c>
      <c r="M223" s="1547"/>
      <c r="N223" s="1547"/>
      <c r="O223" s="1547"/>
      <c r="P223" s="1548"/>
    </row>
    <row r="224" spans="1:16" ht="29.25" customHeight="1" x14ac:dyDescent="0.2">
      <c r="A224" s="1422" t="s">
        <v>2726</v>
      </c>
      <c r="B224" s="1422" t="s">
        <v>2726</v>
      </c>
      <c r="C224" s="1422"/>
      <c r="D224" s="1422"/>
      <c r="E224" s="311" t="s">
        <v>723</v>
      </c>
      <c r="F224" s="380"/>
      <c r="G224" s="1355">
        <f>IFERROR(IF($A224="нет",0,VLOOKUP($A224,Ф_123_2016[],3,0)),0)</f>
        <v>0</v>
      </c>
      <c r="H224" s="1354">
        <f>IFERROR(IF($A224="нет",0,VLOOKUP($A224,Ф_123_2017[],3,0)),0)</f>
        <v>0</v>
      </c>
      <c r="I224" s="1354">
        <f>IFERROR(IF($A224="нет",0,VLOOKUP($A224,Ф_123_2018[],3,0)),0)</f>
        <v>0</v>
      </c>
      <c r="J224" s="1354">
        <f>IFERROR(IF($B224="нет",0,VLOOKUP($B224,Ф_123_2019[],3,0)),0)</f>
        <v>0</v>
      </c>
      <c r="K224" s="1354">
        <f>IFERROR(IF($B224="нет",0,VLOOKUP($B224,Ф_123_2020[],3,0)),0)</f>
        <v>0</v>
      </c>
      <c r="L224" s="1354">
        <f>IFERROR(IF($B224="нет",0,VLOOKUP($B224,Ф_123_2021[],3,0)),0)</f>
        <v>0</v>
      </c>
      <c r="M224" s="1354">
        <v>0</v>
      </c>
      <c r="N224" s="1354">
        <v>0</v>
      </c>
      <c r="O224" s="1354">
        <v>0</v>
      </c>
      <c r="P224" s="1356">
        <v>0</v>
      </c>
    </row>
    <row r="225" spans="1:16" ht="29.25" customHeight="1" x14ac:dyDescent="0.2">
      <c r="A225" s="1300" t="s">
        <v>2727</v>
      </c>
      <c r="B225" s="1300" t="s">
        <v>2727</v>
      </c>
      <c r="C225" s="1300"/>
      <c r="D225" s="1300"/>
      <c r="E225" s="1421" t="s">
        <v>621</v>
      </c>
      <c r="F225" s="1414"/>
      <c r="G225" s="1416">
        <f>IFERROR(IF($A225="нет",0,VLOOKUP($A225,Ф_123_2016[],3,0)),0)</f>
        <v>41366430</v>
      </c>
      <c r="H225" s="1415">
        <f>IFERROR(IF($A225="нет",0,VLOOKUP($A225,Ф_123_2017[],3,0)),0)</f>
        <v>56499350</v>
      </c>
      <c r="I225" s="1415">
        <f>IFERROR(IF($A225="нет",0,VLOOKUP($A225,Ф_123_2018[],3,0)),0)</f>
        <v>57073901</v>
      </c>
      <c r="J225" s="1415">
        <f>IFERROR(IF($B225="нет",0,VLOOKUP($B225,Ф_123_2019[],3,0)),0)</f>
        <v>61856597</v>
      </c>
      <c r="K225" s="1415">
        <f>IFERROR(IF($B225="нет",0,VLOOKUP($B225,Ф_123_2020[],3,0)),0)</f>
        <v>60900957</v>
      </c>
      <c r="L225" s="1415">
        <f>IFERROR(IF($B225="нет",0,VLOOKUP($B225,Ф_123_2021[],3,0)),0)</f>
        <v>59628979</v>
      </c>
      <c r="M225" s="1549"/>
      <c r="N225" s="1549"/>
      <c r="O225" s="1549"/>
      <c r="P225" s="1550"/>
    </row>
    <row r="226" spans="1:16" x14ac:dyDescent="0.2">
      <c r="A226" s="1301" t="s">
        <v>2728</v>
      </c>
      <c r="B226" s="1301" t="s">
        <v>2728</v>
      </c>
      <c r="C226" s="1301"/>
      <c r="D226" s="1301"/>
      <c r="E226" s="1183" t="s">
        <v>724</v>
      </c>
      <c r="F226" s="1184"/>
      <c r="G226" s="1350">
        <f>IFERROR(IF($A226="нет",0,VLOOKUP($A226,Ф_123_2016[],3,0)),0)</f>
        <v>30398045</v>
      </c>
      <c r="H226" s="1349">
        <f>IFERROR(IF($A226="нет",0,VLOOKUP($A226,Ф_123_2017[],3,0)),0)</f>
        <v>22456435</v>
      </c>
      <c r="I226" s="1349">
        <f>IFERROR(IF($A226="нет",0,VLOOKUP($A226,Ф_123_2018[],3,0)),0)</f>
        <v>21953077</v>
      </c>
      <c r="J226" s="1349">
        <f>IFERROR(IF($B226="нет",0,VLOOKUP($B226,Ф_123_2019[],3,0)),0)</f>
        <v>16353400</v>
      </c>
      <c r="K226" s="1349">
        <f>IFERROR(IF($B226="нет",0,VLOOKUP($B226,Ф_123_2020[],3,0)),0)</f>
        <v>14267208</v>
      </c>
      <c r="L226" s="1349">
        <f>IFERROR(IF($B226="нет",0,VLOOKUP($B226,Ф_123_2021[],3,0)),0)</f>
        <v>16743739</v>
      </c>
      <c r="M226" s="1545"/>
      <c r="N226" s="1545"/>
      <c r="O226" s="1545"/>
      <c r="P226" s="1546"/>
    </row>
    <row r="227" spans="1:16" ht="58.5" customHeight="1" x14ac:dyDescent="0.2">
      <c r="A227" s="1301" t="s">
        <v>725</v>
      </c>
      <c r="B227" s="1301" t="s">
        <v>725</v>
      </c>
      <c r="C227" s="1301"/>
      <c r="D227" s="1301"/>
      <c r="E227" s="1417" t="s">
        <v>706</v>
      </c>
      <c r="F227" s="1184"/>
      <c r="G227" s="1350">
        <f>IFERROR(IF($A227="нет",0,VLOOKUP($A227,Ф_123_2016[],3,0)),0)</f>
        <v>0</v>
      </c>
      <c r="H227" s="1349">
        <f>IFERROR(IF($A227="нет",0,VLOOKUP($A227,Ф_123_2017[],3,0)),0)</f>
        <v>0</v>
      </c>
      <c r="I227" s="1349">
        <f>IFERROR(IF($A227="нет",0,VLOOKUP($A227,Ф_123_2018[],3,0)),0)</f>
        <v>0</v>
      </c>
      <c r="J227" s="1349">
        <f>IFERROR(IF($B227="нет",0,VLOOKUP($B227,Ф_123_2019[],3,0)),0)</f>
        <v>0</v>
      </c>
      <c r="K227" s="1349">
        <f>IFERROR(IF($B227="нет",0,VLOOKUP($B227,Ф_123_2020[],3,0)),0)</f>
        <v>0</v>
      </c>
      <c r="L227" s="1349">
        <f>IFERROR(IF($B227="нет",0,VLOOKUP($B227,Ф_123_2021[],3,0)),0)</f>
        <v>0</v>
      </c>
      <c r="M227" s="1545"/>
      <c r="N227" s="1545"/>
      <c r="O227" s="1545"/>
      <c r="P227" s="1546"/>
    </row>
    <row r="228" spans="1:16" ht="63" customHeight="1" x14ac:dyDescent="0.2">
      <c r="A228" s="1301" t="s">
        <v>791</v>
      </c>
      <c r="B228" s="1301" t="s">
        <v>791</v>
      </c>
      <c r="C228" s="1301"/>
      <c r="D228" s="1301"/>
      <c r="E228" s="1417" t="s">
        <v>793</v>
      </c>
      <c r="F228" s="1184"/>
      <c r="G228" s="1350">
        <f>IFERROR(IF($A228="нет",0,VLOOKUP($A228,Ф_123_2016[],3,0)),0)</f>
        <v>0</v>
      </c>
      <c r="H228" s="1349">
        <f>IFERROR(IF($A228="нет",0,VLOOKUP($A228,Ф_123_2017[],3,0)),0)</f>
        <v>0</v>
      </c>
      <c r="I228" s="1349">
        <f>IFERROR(IF($A228="нет",0,VLOOKUP($A228,Ф_123_2018[],3,0)),0)</f>
        <v>0</v>
      </c>
      <c r="J228" s="1349">
        <f>IFERROR(IF($B228="нет",0,VLOOKUP($B228,Ф_123_2019[],3,0)),0)</f>
        <v>0</v>
      </c>
      <c r="K228" s="1349">
        <f>IFERROR(IF($B228="нет",0,VLOOKUP($B228,Ф_123_2020[],3,0)),0)</f>
        <v>0</v>
      </c>
      <c r="L228" s="1349">
        <f>IFERROR(IF($B228="нет",0,VLOOKUP($B228,Ф_123_2021[],3,0)),0)</f>
        <v>0</v>
      </c>
      <c r="M228" s="1545"/>
      <c r="N228" s="1545"/>
      <c r="O228" s="1545"/>
      <c r="P228" s="1546"/>
    </row>
    <row r="229" spans="1:16" ht="60" customHeight="1" x14ac:dyDescent="0.2">
      <c r="A229" s="1301" t="s">
        <v>792</v>
      </c>
      <c r="B229" s="1301" t="s">
        <v>792</v>
      </c>
      <c r="C229" s="1301"/>
      <c r="D229" s="1301"/>
      <c r="E229" s="1417" t="s">
        <v>794</v>
      </c>
      <c r="F229" s="1184"/>
      <c r="G229" s="1350">
        <f>IFERROR(IF($A229="нет",0,VLOOKUP($A229,Ф_123_2016[],3,0)),0)</f>
        <v>0</v>
      </c>
      <c r="H229" s="1349">
        <f>IFERROR(IF($A229="нет",0,VLOOKUP($A229,Ф_123_2017[],3,0)),0)</f>
        <v>0</v>
      </c>
      <c r="I229" s="1349">
        <f>IFERROR(IF($A229="нет",0,VLOOKUP($A229,Ф_123_2018[],3,0)),0)</f>
        <v>0</v>
      </c>
      <c r="J229" s="1349">
        <f>IFERROR(IF($B229="нет",0,VLOOKUP($B229,Ф_123_2019[],3,0)),0)</f>
        <v>0</v>
      </c>
      <c r="K229" s="1349">
        <f>IFERROR(IF($B229="нет",0,VLOOKUP($B229,Ф_123_2020[],3,0)),0)</f>
        <v>0</v>
      </c>
      <c r="L229" s="1349">
        <f>IFERROR(IF($B229="нет",0,VLOOKUP($B229,Ф_123_2021[],3,0)),0)</f>
        <v>0</v>
      </c>
      <c r="M229" s="1545"/>
      <c r="N229" s="1545"/>
      <c r="O229" s="1545"/>
      <c r="P229" s="1546"/>
    </row>
    <row r="230" spans="1:16" ht="45" x14ac:dyDescent="0.2">
      <c r="A230" s="1301" t="s">
        <v>726</v>
      </c>
      <c r="B230" s="1301" t="s">
        <v>726</v>
      </c>
      <c r="C230" s="1301"/>
      <c r="D230" s="1301"/>
      <c r="E230" s="1417" t="s">
        <v>727</v>
      </c>
      <c r="F230" s="1184"/>
      <c r="G230" s="1350">
        <f>IFERROR(IF($A230="нет",0,VLOOKUP($A230,Ф_123_2016[],3,0)),0)</f>
        <v>3655</v>
      </c>
      <c r="H230" s="1349">
        <f>IFERROR(IF($A230="нет",0,VLOOKUP($A230,Ф_123_2017[],3,0)),0)</f>
        <v>3655</v>
      </c>
      <c r="I230" s="1349">
        <f>IFERROR(IF($A230="нет",0,VLOOKUP($A230,Ф_123_2018[],3,0)),0)</f>
        <v>3655</v>
      </c>
      <c r="J230" s="1349">
        <f>IFERROR(IF($B230="нет",0,VLOOKUP($B230,Ф_123_2019[],3,0)),0)</f>
        <v>3655</v>
      </c>
      <c r="K230" s="1349">
        <f>IFERROR(IF($B230="нет",0,VLOOKUP($B230,Ф_123_2020[],3,0)),0)</f>
        <v>3655</v>
      </c>
      <c r="L230" s="1349">
        <f>IFERROR(IF($B230="нет",0,VLOOKUP($B230,Ф_123_2021[],3,0)),0)</f>
        <v>3655</v>
      </c>
      <c r="M230" s="1545"/>
      <c r="N230" s="1545"/>
      <c r="O230" s="1545"/>
      <c r="P230" s="1546"/>
    </row>
    <row r="231" spans="1:16" ht="30" x14ac:dyDescent="0.2">
      <c r="A231" s="1301" t="s">
        <v>728</v>
      </c>
      <c r="B231" s="1301" t="s">
        <v>728</v>
      </c>
      <c r="C231" s="1301"/>
      <c r="D231" s="1301"/>
      <c r="E231" s="1417" t="s">
        <v>729</v>
      </c>
      <c r="F231" s="1184"/>
      <c r="G231" s="1350">
        <f>IFERROR(IF($A231="нет",0,VLOOKUP($A231,Ф_123_2016[],3,0)),0)</f>
        <v>0</v>
      </c>
      <c r="H231" s="1349">
        <f>IFERROR(IF($A231="нет",0,VLOOKUP($A231,Ф_123_2017[],3,0)),0)</f>
        <v>0</v>
      </c>
      <c r="I231" s="1349">
        <f>IFERROR(IF($A231="нет",0,VLOOKUP($A231,Ф_123_2018[],3,0)),0)</f>
        <v>0</v>
      </c>
      <c r="J231" s="1349">
        <f>IFERROR(IF($B231="нет",0,VLOOKUP($B231,Ф_123_2019[],3,0)),0)</f>
        <v>0</v>
      </c>
      <c r="K231" s="1349">
        <f>IFERROR(IF($B231="нет",0,VLOOKUP($B231,Ф_123_2020[],3,0)),0)</f>
        <v>0</v>
      </c>
      <c r="L231" s="1349">
        <f>IFERROR(IF($B231="нет",0,VLOOKUP($B231,Ф_123_2021[],3,0)),0)</f>
        <v>0</v>
      </c>
      <c r="M231" s="1545"/>
      <c r="N231" s="1545"/>
      <c r="O231" s="1545"/>
      <c r="P231" s="1546"/>
    </row>
    <row r="232" spans="1:16" ht="30" x14ac:dyDescent="0.2">
      <c r="A232" s="1301" t="s">
        <v>730</v>
      </c>
      <c r="B232" s="1301" t="s">
        <v>730</v>
      </c>
      <c r="C232" s="1301"/>
      <c r="D232" s="1301"/>
      <c r="E232" s="1417" t="s">
        <v>1428</v>
      </c>
      <c r="F232" s="1184"/>
      <c r="G232" s="1350">
        <f>IFERROR(IF($A232="нет",0,VLOOKUP($A232,Ф_123_2016[],3,0)),0)</f>
        <v>0</v>
      </c>
      <c r="H232" s="1349">
        <f>IFERROR(IF($A232="нет",0,VLOOKUP($A232,Ф_123_2017[],3,0)),0)</f>
        <v>0</v>
      </c>
      <c r="I232" s="1349">
        <f>IFERROR(IF($A232="нет",0,VLOOKUP($A232,Ф_123_2018[],3,0)),0)</f>
        <v>0</v>
      </c>
      <c r="J232" s="1349">
        <f>IFERROR(IF($B232="нет",0,VLOOKUP($B232,Ф_123_2019[],3,0)),0)</f>
        <v>0</v>
      </c>
      <c r="K232" s="1349">
        <f>IFERROR(IF($B232="нет",0,VLOOKUP($B232,Ф_123_2020[],3,0)),0)</f>
        <v>0</v>
      </c>
      <c r="L232" s="1349">
        <f>IFERROR(IF($B232="нет",0,VLOOKUP($B232,Ф_123_2021[],3,0)),0)</f>
        <v>0</v>
      </c>
      <c r="M232" s="1545"/>
      <c r="N232" s="1545"/>
      <c r="O232" s="1545"/>
      <c r="P232" s="1546"/>
    </row>
    <row r="233" spans="1:16" ht="30" x14ac:dyDescent="0.2">
      <c r="A233" s="1301" t="s">
        <v>731</v>
      </c>
      <c r="B233" s="1301" t="s">
        <v>731</v>
      </c>
      <c r="C233" s="1301"/>
      <c r="D233" s="1301"/>
      <c r="E233" s="1417" t="s">
        <v>732</v>
      </c>
      <c r="F233" s="1184"/>
      <c r="G233" s="1350">
        <f>IFERROR(IF($A233="нет",0,VLOOKUP($A233,Ф_123_2016[],3,0)),0)</f>
        <v>8230301</v>
      </c>
      <c r="H233" s="1349">
        <f>IFERROR(IF($A233="нет",0,VLOOKUP($A233,Ф_123_2017[],3,0)),0)</f>
        <v>6912510</v>
      </c>
      <c r="I233" s="1349">
        <f>IFERROR(IF($A233="нет",0,VLOOKUP($A233,Ф_123_2018[],3,0)),0)</f>
        <v>5904976</v>
      </c>
      <c r="J233" s="1349">
        <f>IFERROR(IF($B233="нет",0,VLOOKUP($B233,Ф_123_2019[],3,0)),0)</f>
        <v>1156624</v>
      </c>
      <c r="K233" s="1349">
        <f>IFERROR(IF($B233="нет",0,VLOOKUP($B233,Ф_123_2020[],3,0)),0)</f>
        <v>0</v>
      </c>
      <c r="L233" s="1349">
        <f>IFERROR(IF($B233="нет",0,VLOOKUP($B233,Ф_123_2021[],3,0)),0)</f>
        <v>4344622</v>
      </c>
      <c r="M233" s="1545"/>
      <c r="N233" s="1545"/>
      <c r="O233" s="1545"/>
      <c r="P233" s="1546"/>
    </row>
    <row r="234" spans="1:16" ht="30" x14ac:dyDescent="0.2">
      <c r="A234" s="1301" t="s">
        <v>733</v>
      </c>
      <c r="B234" s="1301" t="s">
        <v>733</v>
      </c>
      <c r="C234" s="1301"/>
      <c r="D234" s="1301"/>
      <c r="E234" s="1417" t="s">
        <v>734</v>
      </c>
      <c r="F234" s="1184"/>
      <c r="G234" s="1350">
        <f>IFERROR(IF($A234="нет",0,VLOOKUP($A234,Ф_123_2016[],3,0)),0)</f>
        <v>0</v>
      </c>
      <c r="H234" s="1349">
        <f>IFERROR(IF($A234="нет",0,VLOOKUP($A234,Ф_123_2017[],3,0)),0)</f>
        <v>0</v>
      </c>
      <c r="I234" s="1349">
        <f>IFERROR(IF($A234="нет",0,VLOOKUP($A234,Ф_123_2018[],3,0)),0)</f>
        <v>0</v>
      </c>
      <c r="J234" s="1349">
        <f>IFERROR(IF($B234="нет",0,VLOOKUP($B234,Ф_123_2019[],3,0)),0)</f>
        <v>0</v>
      </c>
      <c r="K234" s="1349">
        <f>IFERROR(IF($B234="нет",0,VLOOKUP($B234,Ф_123_2020[],3,0)),0)</f>
        <v>0</v>
      </c>
      <c r="L234" s="1349">
        <f>IFERROR(IF($B234="нет",0,VLOOKUP($B234,Ф_123_2021[],3,0)),0)</f>
        <v>0</v>
      </c>
      <c r="M234" s="1545"/>
      <c r="N234" s="1545"/>
      <c r="O234" s="1545"/>
      <c r="P234" s="1546"/>
    </row>
    <row r="235" spans="1:16" ht="30" x14ac:dyDescent="0.2">
      <c r="A235" s="1301" t="s">
        <v>735</v>
      </c>
      <c r="B235" s="1301" t="s">
        <v>735</v>
      </c>
      <c r="C235" s="1301"/>
      <c r="D235" s="1301"/>
      <c r="E235" s="1417" t="s">
        <v>736</v>
      </c>
      <c r="F235" s="1184"/>
      <c r="G235" s="1350">
        <f>IFERROR(IF($A235="нет",0,VLOOKUP($A235,Ф_123_2016[],3,0)),0)</f>
        <v>22159676</v>
      </c>
      <c r="H235" s="1349">
        <f>IFERROR(IF($A235="нет",0,VLOOKUP($A235,Ф_123_2017[],3,0)),0)</f>
        <v>15535884</v>
      </c>
      <c r="I235" s="1349">
        <f>IFERROR(IF($A235="нет",0,VLOOKUP($A235,Ф_123_2018[],3,0)),0)</f>
        <v>16040283</v>
      </c>
      <c r="J235" s="1349">
        <f>IFERROR(IF($B235="нет",0,VLOOKUP($B235,Ф_123_2019[],3,0)),0)</f>
        <v>15188958</v>
      </c>
      <c r="K235" s="1349">
        <f>IFERROR(IF($B235="нет",0,VLOOKUP($B235,Ф_123_2020[],3,0)),0)</f>
        <v>14259828</v>
      </c>
      <c r="L235" s="1349">
        <f>IFERROR(IF($B235="нет",0,VLOOKUP($B235,Ф_123_2021[],3,0)),0)</f>
        <v>12391737</v>
      </c>
      <c r="M235" s="1545"/>
      <c r="N235" s="1545"/>
      <c r="O235" s="1545"/>
      <c r="P235" s="1546"/>
    </row>
    <row r="236" spans="1:16" ht="45" x14ac:dyDescent="0.2">
      <c r="A236" s="1301" t="s">
        <v>737</v>
      </c>
      <c r="B236" s="1301" t="s">
        <v>737</v>
      </c>
      <c r="C236" s="1301"/>
      <c r="D236" s="1301"/>
      <c r="E236" s="1417" t="s">
        <v>1067</v>
      </c>
      <c r="F236" s="1184"/>
      <c r="G236" s="1350">
        <f>IFERROR(IF($A236="нет",0,VLOOKUP($A236,Ф_123_2016[],3,0)),0)</f>
        <v>0</v>
      </c>
      <c r="H236" s="1349">
        <f>IFERROR(IF($A236="нет",0,VLOOKUP($A236,Ф_123_2017[],3,0)),0)</f>
        <v>0</v>
      </c>
      <c r="I236" s="1349">
        <f>IFERROR(IF($A236="нет",0,VLOOKUP($A236,Ф_123_2018[],3,0)),0)</f>
        <v>0</v>
      </c>
      <c r="J236" s="1349">
        <f>IFERROR(IF($B236="нет",0,VLOOKUP($B236,Ф_123_2019[],3,0)),0)</f>
        <v>0</v>
      </c>
      <c r="K236" s="1349">
        <f>IFERROR(IF($B236="нет",0,VLOOKUP($B236,Ф_123_2020[],3,0)),0)</f>
        <v>0</v>
      </c>
      <c r="L236" s="1349">
        <f>IFERROR(IF($B236="нет",0,VLOOKUP($B236,Ф_123_2021[],3,0)),0)</f>
        <v>0</v>
      </c>
      <c r="M236" s="1545"/>
      <c r="N236" s="1545"/>
      <c r="O236" s="1545"/>
      <c r="P236" s="1546"/>
    </row>
    <row r="237" spans="1:16" ht="30" x14ac:dyDescent="0.2">
      <c r="A237" s="1301" t="s">
        <v>738</v>
      </c>
      <c r="B237" s="1301" t="s">
        <v>738</v>
      </c>
      <c r="C237" s="1301"/>
      <c r="D237" s="1301"/>
      <c r="E237" s="1417" t="s">
        <v>1065</v>
      </c>
      <c r="F237" s="1184"/>
      <c r="G237" s="1350">
        <f>IFERROR(IF($A237="нет",0,VLOOKUP($A237,Ф_123_2016[],3,0)),0)</f>
        <v>10052176</v>
      </c>
      <c r="H237" s="1349">
        <f>IFERROR(IF($A237="нет",0,VLOOKUP($A237,Ф_123_2017[],3,0)),0)</f>
        <v>3428384</v>
      </c>
      <c r="I237" s="1349">
        <f>IFERROR(IF($A237="нет",0,VLOOKUP($A237,Ф_123_2018[],3,0)),0)</f>
        <v>3932783</v>
      </c>
      <c r="J237" s="1349">
        <f>IFERROR(IF($B237="нет",0,VLOOKUP($B237,Ф_123_2019[],3,0)),0)</f>
        <v>3081458</v>
      </c>
      <c r="K237" s="1349">
        <f>IFERROR(IF($B237="нет",0,VLOOKUP($B237,Ф_123_2020[],3,0)),0)</f>
        <v>2515553</v>
      </c>
      <c r="L237" s="1349">
        <f>IFERROR(IF($B237="нет",0,VLOOKUP($B237,Ф_123_2021[],3,0)),0)</f>
        <v>1131762</v>
      </c>
      <c r="M237" s="1545"/>
      <c r="N237" s="1545"/>
      <c r="O237" s="1545"/>
      <c r="P237" s="1546"/>
    </row>
    <row r="238" spans="1:16" ht="81" customHeight="1" x14ac:dyDescent="0.2">
      <c r="A238" s="1301" t="s">
        <v>1064</v>
      </c>
      <c r="B238" s="1301" t="s">
        <v>1463</v>
      </c>
      <c r="C238" s="1301"/>
      <c r="D238" s="1301"/>
      <c r="E238" s="1417" t="s">
        <v>1066</v>
      </c>
      <c r="F238" s="1184"/>
      <c r="G238" s="1350">
        <f>IFERROR(IF($A238="нет",0,VLOOKUP($A238,Ф_123_2016[],3,0)),0)</f>
        <v>0</v>
      </c>
      <c r="H238" s="1349">
        <f>IFERROR(IF($A238="нет",0,VLOOKUP($A238,Ф_123_2017[],3,0)),0)</f>
        <v>0</v>
      </c>
      <c r="I238" s="1349">
        <f>IFERROR(IF($A238="нет",0,VLOOKUP($A238,Ф_123_2018[],3,0)),0)</f>
        <v>0</v>
      </c>
      <c r="J238" s="1349">
        <f>IFERROR(IF($B238="нет",0,VLOOKUP($B238,Ф_123_2019[],3,0)),0)</f>
        <v>0</v>
      </c>
      <c r="K238" s="1349">
        <f>IFERROR(IF($B238="нет",0,VLOOKUP($B238,Ф_123_2020[],3,0)),0)</f>
        <v>0</v>
      </c>
      <c r="L238" s="1349">
        <f>IFERROR(IF($B238="нет",0,VLOOKUP($B238,Ф_123_2021[],3,0)),0)</f>
        <v>0</v>
      </c>
      <c r="M238" s="1545"/>
      <c r="N238" s="1545"/>
      <c r="O238" s="1545"/>
      <c r="P238" s="1546"/>
    </row>
    <row r="239" spans="1:16" x14ac:dyDescent="0.2">
      <c r="A239" s="1301" t="s">
        <v>739</v>
      </c>
      <c r="B239" s="1301" t="s">
        <v>739</v>
      </c>
      <c r="C239" s="1301"/>
      <c r="D239" s="1301"/>
      <c r="E239" s="1417" t="s">
        <v>623</v>
      </c>
      <c r="F239" s="1184"/>
      <c r="G239" s="1350">
        <f>IFERROR(IF($A239="нет",0,VLOOKUP($A239,Ф_123_2016[],3,0)),0)</f>
        <v>4413</v>
      </c>
      <c r="H239" s="1349">
        <f>IFERROR(IF($A239="нет",0,VLOOKUP($A239,Ф_123_2017[],3,0)),0)</f>
        <v>4386</v>
      </c>
      <c r="I239" s="1349">
        <f>IFERROR(IF($A239="нет",0,VLOOKUP($A239,Ф_123_2018[],3,0)),0)</f>
        <v>4163</v>
      </c>
      <c r="J239" s="1349">
        <f>IFERROR(IF($B239="нет",0,VLOOKUP($B239,Ф_123_2019[],3,0)),0)</f>
        <v>4163</v>
      </c>
      <c r="K239" s="1349">
        <f>IFERROR(IF($B239="нет",0,VLOOKUP($B239,Ф_123_2020[],3,0)),0)</f>
        <v>3725</v>
      </c>
      <c r="L239" s="1349">
        <f>IFERROR(IF($B239="нет",0,VLOOKUP($B239,Ф_123_2021[],3,0)),0)</f>
        <v>3725</v>
      </c>
      <c r="M239" s="1545"/>
      <c r="N239" s="1545"/>
      <c r="O239" s="1545"/>
      <c r="P239" s="1546"/>
    </row>
    <row r="240" spans="1:16" ht="45.75" customHeight="1" x14ac:dyDescent="0.2">
      <c r="A240" s="1301" t="s">
        <v>1463</v>
      </c>
      <c r="B240" s="1301" t="s">
        <v>740</v>
      </c>
      <c r="C240" s="1301"/>
      <c r="D240" s="1301"/>
      <c r="E240" s="1417" t="s">
        <v>1429</v>
      </c>
      <c r="F240" s="1184"/>
      <c r="G240" s="1350">
        <f>IFERROR(IF($A240="нет",0,VLOOKUP($A240,Ф_123_2016[],3,0)),0)</f>
        <v>0</v>
      </c>
      <c r="H240" s="1349">
        <f>IFERROR(IF($A240="нет",0,VLOOKUP($A240,Ф_123_2017[],3,0)),0)</f>
        <v>0</v>
      </c>
      <c r="I240" s="1349">
        <f>IFERROR(IF($A240="нет",0,VLOOKUP($A240,Ф_123_2018[],3,0)),0)</f>
        <v>0</v>
      </c>
      <c r="J240" s="1349">
        <f>IFERROR(IF($B240="нет",0,VLOOKUP($B240,Ф_123_2019[],3,0)),0)</f>
        <v>0</v>
      </c>
      <c r="K240" s="1349">
        <f>IFERROR(IF($B240="нет",0,VLOOKUP($B240,Ф_123_2020[],3,0)),0)</f>
        <v>0</v>
      </c>
      <c r="L240" s="1349">
        <f>IFERROR(IF($B240="нет",0,VLOOKUP($B240,Ф_123_2021[],3,0)),0)</f>
        <v>0</v>
      </c>
      <c r="M240" s="1545"/>
      <c r="N240" s="1545"/>
      <c r="O240" s="1545"/>
      <c r="P240" s="1546"/>
    </row>
    <row r="241" spans="1:16" x14ac:dyDescent="0.2">
      <c r="A241" s="1301" t="s">
        <v>740</v>
      </c>
      <c r="B241" s="1301" t="s">
        <v>1463</v>
      </c>
      <c r="C241" s="1301"/>
      <c r="D241" s="1301"/>
      <c r="E241" s="1417" t="s">
        <v>741</v>
      </c>
      <c r="F241" s="1184"/>
      <c r="G241" s="1350">
        <f>IFERROR(IF($A241="нет",0,VLOOKUP($A241,Ф_123_2016[],3,0)),0)</f>
        <v>0</v>
      </c>
      <c r="H241" s="1349">
        <f>IFERROR(IF($A241="нет",0,VLOOKUP($A241,Ф_123_2017[],3,0)),0)</f>
        <v>0</v>
      </c>
      <c r="I241" s="1349">
        <f>IFERROR(IF($A241="нет",0,VLOOKUP($A241,Ф_123_2018[],3,0)),0)</f>
        <v>0</v>
      </c>
      <c r="J241" s="1349">
        <f>IFERROR(IF($B241="нет",0,VLOOKUP($B241,Ф_123_2019[],3,0)),0)</f>
        <v>0</v>
      </c>
      <c r="K241" s="1349">
        <f>IFERROR(IF($B241="нет",0,VLOOKUP($B241,Ф_123_2020[],3,0)),0)</f>
        <v>0</v>
      </c>
      <c r="L241" s="1349">
        <f>IFERROR(IF($B241="нет",0,VLOOKUP($B241,Ф_123_2021[],3,0)),0)</f>
        <v>0</v>
      </c>
      <c r="M241" s="1545"/>
      <c r="N241" s="1545"/>
      <c r="O241" s="1545"/>
      <c r="P241" s="1546"/>
    </row>
    <row r="242" spans="1:16" ht="29.25" customHeight="1" x14ac:dyDescent="0.2">
      <c r="A242" s="1301" t="s">
        <v>2747</v>
      </c>
      <c r="B242" s="1301" t="s">
        <v>2747</v>
      </c>
      <c r="C242" s="1301"/>
      <c r="D242" s="1301"/>
      <c r="E242" s="1417" t="s">
        <v>742</v>
      </c>
      <c r="F242" s="1184"/>
      <c r="G242" s="1350">
        <f>IFERROR(IF($A242="нет",0,VLOOKUP($A242,Ф_123_2016[],3,0)),0)</f>
        <v>119184</v>
      </c>
      <c r="H242" s="1349">
        <f>IFERROR(IF($A242="нет",0,VLOOKUP($A242,Ф_123_2017[],3,0)),0)</f>
        <v>25000</v>
      </c>
      <c r="I242" s="1349">
        <f>IFERROR(IF($A242="нет",0,VLOOKUP($A242,Ф_123_2018[],3,0)),0)</f>
        <v>18750</v>
      </c>
      <c r="J242" s="1349">
        <f>IFERROR(IF($B242="нет",0,VLOOKUP($B242,Ф_123_2019[],3,0)),0)</f>
        <v>0</v>
      </c>
      <c r="K242" s="1349">
        <f>IFERROR(IF($B242="нет",0,VLOOKUP($B242,Ф_123_2020[],3,0)),0)</f>
        <v>0</v>
      </c>
      <c r="L242" s="1349">
        <f>IFERROR(IF($B242="нет",0,VLOOKUP($B242,Ф_123_2021[],3,0)),0)</f>
        <v>0</v>
      </c>
      <c r="M242" s="1545"/>
      <c r="N242" s="1545"/>
      <c r="O242" s="1545"/>
      <c r="P242" s="1546"/>
    </row>
    <row r="243" spans="1:16" ht="30" x14ac:dyDescent="0.2">
      <c r="A243" s="1301" t="s">
        <v>743</v>
      </c>
      <c r="B243" s="1301" t="s">
        <v>743</v>
      </c>
      <c r="C243" s="1301"/>
      <c r="D243" s="1301"/>
      <c r="E243" s="1417" t="s">
        <v>1430</v>
      </c>
      <c r="F243" s="1184"/>
      <c r="G243" s="1350">
        <f>IFERROR(IF($A243="нет",0,VLOOKUP($A243,Ф_123_2016[],3,0)),0)</f>
        <v>0</v>
      </c>
      <c r="H243" s="1349">
        <f>IFERROR(IF($A243="нет",0,VLOOKUP($A243,Ф_123_2017[],3,0)),0)</f>
        <v>0</v>
      </c>
      <c r="I243" s="1349">
        <f>IFERROR(IF($A243="нет",0,VLOOKUP($A243,Ф_123_2018[],3,0)),0)</f>
        <v>0</v>
      </c>
      <c r="J243" s="1349">
        <f>IFERROR(IF($B243="нет",0,VLOOKUP($B243,Ф_123_2019[],3,0)),0)</f>
        <v>0</v>
      </c>
      <c r="K243" s="1349">
        <f>IFERROR(IF($B243="нет",0,VLOOKUP($B243,Ф_123_2020[],3,0)),0)</f>
        <v>0</v>
      </c>
      <c r="L243" s="1349">
        <f>IFERROR(IF($B243="нет",0,VLOOKUP($B243,Ф_123_2021[],3,0)),0)</f>
        <v>0</v>
      </c>
      <c r="M243" s="1545"/>
      <c r="N243" s="1545"/>
      <c r="O243" s="1545"/>
      <c r="P243" s="1546"/>
    </row>
    <row r="244" spans="1:16" ht="75" x14ac:dyDescent="0.2">
      <c r="A244" s="1301" t="s">
        <v>1463</v>
      </c>
      <c r="B244" s="1301" t="s">
        <v>744</v>
      </c>
      <c r="C244" s="1301"/>
      <c r="D244" s="1301"/>
      <c r="E244" s="1417" t="s">
        <v>1427</v>
      </c>
      <c r="F244" s="1184"/>
      <c r="G244" s="1350">
        <f>IFERROR(IF($A244="нет",0,VLOOKUP($A244,Ф_123_2016[],3,0)),0)</f>
        <v>0</v>
      </c>
      <c r="H244" s="1349">
        <f>IFERROR(IF($A244="нет",0,VLOOKUP($A244,Ф_123_2017[],3,0)),0)</f>
        <v>0</v>
      </c>
      <c r="I244" s="1349">
        <f>IFERROR(IF($A244="нет",0,VLOOKUP($A244,Ф_123_2018[],3,0)),0)</f>
        <v>0</v>
      </c>
      <c r="J244" s="1349">
        <f>IFERROR(IF($B244="нет",0,VLOOKUP($B244,Ф_123_2019[],3,0)),0)</f>
        <v>0</v>
      </c>
      <c r="K244" s="1349">
        <f>IFERROR(IF($B244="нет",0,VLOOKUP($B244,Ф_123_2020[],3,0)),0)</f>
        <v>0</v>
      </c>
      <c r="L244" s="1349">
        <f>IFERROR(IF($B244="нет",0,VLOOKUP($B244,Ф_123_2021[],3,0)),0)</f>
        <v>0</v>
      </c>
      <c r="M244" s="1545"/>
      <c r="N244" s="1545"/>
      <c r="O244" s="1545"/>
      <c r="P244" s="1546"/>
    </row>
    <row r="245" spans="1:16" ht="30" x14ac:dyDescent="0.2">
      <c r="A245" s="1301" t="s">
        <v>744</v>
      </c>
      <c r="B245" s="1301" t="s">
        <v>745</v>
      </c>
      <c r="C245" s="1301"/>
      <c r="D245" s="1301"/>
      <c r="E245" s="1417" t="s">
        <v>1431</v>
      </c>
      <c r="F245" s="1184"/>
      <c r="G245" s="1350">
        <f>IFERROR(IF($A245="нет",0,VLOOKUP($A245,Ф_123_2016[],3,0)),0)</f>
        <v>0</v>
      </c>
      <c r="H245" s="1349">
        <f>IFERROR(IF($A245="нет",0,VLOOKUP($A245,Ф_123_2017[],3,0)),0)</f>
        <v>0</v>
      </c>
      <c r="I245" s="1349">
        <f>IFERROR(IF($A245="нет",0,VLOOKUP($A245,Ф_123_2018[],3,0)),0)</f>
        <v>0</v>
      </c>
      <c r="J245" s="1349">
        <f>IFERROR(IF($B245="нет",0,VLOOKUP($B245,Ф_123_2019[],3,0)),0)</f>
        <v>0</v>
      </c>
      <c r="K245" s="1349">
        <f>IFERROR(IF($B245="нет",0,VLOOKUP($B245,Ф_123_2020[],3,0)),0)</f>
        <v>0</v>
      </c>
      <c r="L245" s="1349">
        <f>IFERROR(IF($B245="нет",0,VLOOKUP($B245,Ф_123_2021[],3,0)),0)</f>
        <v>0</v>
      </c>
      <c r="M245" s="1545"/>
      <c r="N245" s="1545"/>
      <c r="O245" s="1545"/>
      <c r="P245" s="1546"/>
    </row>
    <row r="246" spans="1:16" ht="45" x14ac:dyDescent="0.2">
      <c r="A246" s="1301" t="s">
        <v>745</v>
      </c>
      <c r="B246" s="1301" t="s">
        <v>746</v>
      </c>
      <c r="C246" s="1301"/>
      <c r="D246" s="1301"/>
      <c r="E246" s="1417" t="s">
        <v>1432</v>
      </c>
      <c r="F246" s="1184"/>
      <c r="G246" s="1350">
        <f>IFERROR(IF($A246="нет",0,VLOOKUP($A246,Ф_123_2016[],3,0)),0)</f>
        <v>45000</v>
      </c>
      <c r="H246" s="1349">
        <f>IFERROR(IF($A246="нет",0,VLOOKUP($A246,Ф_123_2017[],3,0)),0)</f>
        <v>20000</v>
      </c>
      <c r="I246" s="1349">
        <f>IFERROR(IF($A246="нет",0,VLOOKUP($A246,Ф_123_2018[],3,0)),0)</f>
        <v>18750</v>
      </c>
      <c r="J246" s="1349">
        <f>IFERROR(IF($B246="нет",0,VLOOKUP($B246,Ф_123_2019[],3,0)),0)</f>
        <v>0</v>
      </c>
      <c r="K246" s="1349">
        <f>IFERROR(IF($B246="нет",0,VLOOKUP($B246,Ф_123_2020[],3,0)),0)</f>
        <v>0</v>
      </c>
      <c r="L246" s="1349">
        <f>IFERROR(IF($B246="нет",0,VLOOKUP($B246,Ф_123_2021[],3,0)),0)</f>
        <v>0</v>
      </c>
      <c r="M246" s="1545"/>
      <c r="N246" s="1545"/>
      <c r="O246" s="1545"/>
      <c r="P246" s="1546"/>
    </row>
    <row r="247" spans="1:16" ht="107.25" customHeight="1" x14ac:dyDescent="0.2">
      <c r="A247" s="1301" t="s">
        <v>746</v>
      </c>
      <c r="B247" s="1301" t="s">
        <v>750</v>
      </c>
      <c r="C247" s="1301"/>
      <c r="D247" s="1301"/>
      <c r="E247" s="1417" t="s">
        <v>747</v>
      </c>
      <c r="F247" s="1184"/>
      <c r="G247" s="1350">
        <f>IFERROR(IF($A247="нет",0,VLOOKUP($A247,Ф_123_2016[],3,0)),0)</f>
        <v>0</v>
      </c>
      <c r="H247" s="1349">
        <f>IFERROR(IF($A247="нет",0,VLOOKUP($A247,Ф_123_2017[],3,0)),0)</f>
        <v>0</v>
      </c>
      <c r="I247" s="1349">
        <f>IFERROR(IF($A247="нет",0,VLOOKUP($A247,Ф_123_2018[],3,0)),0)</f>
        <v>0</v>
      </c>
      <c r="J247" s="1349">
        <f>IFERROR(IF($B247="нет",0,VLOOKUP($B247,Ф_123_2019[],3,0)),0)</f>
        <v>0</v>
      </c>
      <c r="K247" s="1349">
        <f>IFERROR(IF($B247="нет",0,VLOOKUP($B247,Ф_123_2020[],3,0)),0)</f>
        <v>0</v>
      </c>
      <c r="L247" s="1349">
        <f>IFERROR(IF($B247="нет",0,VLOOKUP($B247,Ф_123_2021[],3,0)),0)</f>
        <v>0</v>
      </c>
      <c r="M247" s="1545"/>
      <c r="N247" s="1545"/>
      <c r="O247" s="1545"/>
      <c r="P247" s="1546"/>
    </row>
    <row r="248" spans="1:16" ht="36" customHeight="1" x14ac:dyDescent="0.2">
      <c r="A248" s="1301" t="s">
        <v>1463</v>
      </c>
      <c r="B248" s="1301" t="s">
        <v>748</v>
      </c>
      <c r="C248" s="1301"/>
      <c r="D248" s="1301"/>
      <c r="E248" s="1417" t="s">
        <v>1433</v>
      </c>
      <c r="F248" s="1184"/>
      <c r="G248" s="1350">
        <f>IFERROR(IF($A248="нет",0,VLOOKUP($A248,Ф_123_2016[],3,0)),0)</f>
        <v>0</v>
      </c>
      <c r="H248" s="1349">
        <f>IFERROR(IF($A248="нет",0,VLOOKUP($A248,Ф_123_2017[],3,0)),0)</f>
        <v>0</v>
      </c>
      <c r="I248" s="1349">
        <f>IFERROR(IF($A248="нет",0,VLOOKUP($A248,Ф_123_2018[],3,0)),0)</f>
        <v>0</v>
      </c>
      <c r="J248" s="1349">
        <f>IFERROR(IF($B248="нет",0,VLOOKUP($B248,Ф_123_2019[],3,0)),0)</f>
        <v>0</v>
      </c>
      <c r="K248" s="1349">
        <f>IFERROR(IF($B248="нет",0,VLOOKUP($B248,Ф_123_2020[],3,0)),0)</f>
        <v>0</v>
      </c>
      <c r="L248" s="1349">
        <f>IFERROR(IF($B248="нет",0,VLOOKUP($B248,Ф_123_2021[],3,0)),0)</f>
        <v>0</v>
      </c>
      <c r="M248" s="1545"/>
      <c r="N248" s="1545"/>
      <c r="O248" s="1545"/>
      <c r="P248" s="1546"/>
    </row>
    <row r="249" spans="1:16" ht="90" x14ac:dyDescent="0.2">
      <c r="A249" s="1301" t="s">
        <v>748</v>
      </c>
      <c r="B249" s="1301" t="s">
        <v>1463</v>
      </c>
      <c r="C249" s="1301"/>
      <c r="D249" s="1301"/>
      <c r="E249" s="1417" t="s">
        <v>749</v>
      </c>
      <c r="F249" s="1184"/>
      <c r="G249" s="1350">
        <f>IFERROR(IF($A249="нет",0,VLOOKUP($A249,Ф_123_2016[],3,0)),0)</f>
        <v>0</v>
      </c>
      <c r="H249" s="1349">
        <f>IFERROR(IF($A249="нет",0,VLOOKUP($A249,Ф_123_2017[],3,0)),0)</f>
        <v>0</v>
      </c>
      <c r="I249" s="1349">
        <f>IFERROR(IF($A249="нет",0,VLOOKUP($A249,Ф_123_2018[],3,0)),0)</f>
        <v>0</v>
      </c>
      <c r="J249" s="1349">
        <f>IFERROR(IF($B249="нет",0,VLOOKUP($B249,Ф_123_2019[],3,0)),0)</f>
        <v>0</v>
      </c>
      <c r="K249" s="1349">
        <f>IFERROR(IF($B249="нет",0,VLOOKUP($B249,Ф_123_2020[],3,0)),0)</f>
        <v>0</v>
      </c>
      <c r="L249" s="1349">
        <f>IFERROR(IF($B249="нет",0,VLOOKUP($B249,Ф_123_2021[],3,0)),0)</f>
        <v>0</v>
      </c>
      <c r="M249" s="1545"/>
      <c r="N249" s="1545"/>
      <c r="O249" s="1545"/>
      <c r="P249" s="1546"/>
    </row>
    <row r="250" spans="1:16" x14ac:dyDescent="0.2">
      <c r="A250" s="1301" t="s">
        <v>750</v>
      </c>
      <c r="B250" s="1301" t="s">
        <v>751</v>
      </c>
      <c r="C250" s="1301"/>
      <c r="D250" s="1301"/>
      <c r="E250" s="1417" t="s">
        <v>637</v>
      </c>
      <c r="F250" s="1184"/>
      <c r="G250" s="1350">
        <f>IFERROR(IF($A250="нет",0,VLOOKUP($A250,Ф_123_2016[],3,0)),0)</f>
        <v>71719475</v>
      </c>
      <c r="H250" s="1349">
        <f>IFERROR(IF($A250="нет",0,VLOOKUP($A250,Ф_123_2017[],3,0)),0)</f>
        <v>78935785</v>
      </c>
      <c r="I250" s="1349">
        <f>IFERROR(IF($A250="нет",0,VLOOKUP($A250,Ф_123_2018[],3,0)),0)</f>
        <v>79008228</v>
      </c>
      <c r="J250" s="1349">
        <f>IFERROR(IF($B250="нет",0,VLOOKUP($B250,Ф_123_2019[],3,0)),0)</f>
        <v>78209997</v>
      </c>
      <c r="K250" s="1349">
        <f>IFERROR(IF($B250="нет",0,VLOOKUP($B250,Ф_123_2020[],3,0)),0)</f>
        <v>75168165</v>
      </c>
      <c r="L250" s="1349">
        <f>IFERROR(IF($B250="нет",0,VLOOKUP($B250,Ф_123_2021[],3,0)),0)</f>
        <v>0</v>
      </c>
      <c r="M250" s="1545"/>
      <c r="N250" s="1545"/>
      <c r="O250" s="1545"/>
      <c r="P250" s="1546"/>
    </row>
    <row r="251" spans="1:16" ht="35.25" customHeight="1" x14ac:dyDescent="0.2">
      <c r="A251" s="1301" t="s">
        <v>751</v>
      </c>
      <c r="B251" s="1301" t="s">
        <v>1463</v>
      </c>
      <c r="C251" s="1301"/>
      <c r="D251" s="1301"/>
      <c r="E251" s="1418" t="s">
        <v>752</v>
      </c>
      <c r="F251" s="1184"/>
      <c r="G251" s="1350">
        <f>IFERROR(IF($A251="нет",0,VLOOKUP($A251,Ф_123_2016[],3,0)),0)</f>
        <v>74184</v>
      </c>
      <c r="H251" s="1349">
        <f>IFERROR(IF($A251="нет",0,VLOOKUP($A251,Ф_123_2017[],3,0)),0)</f>
        <v>5000</v>
      </c>
      <c r="I251" s="1349">
        <f>IFERROR(IF($A251="нет",0,VLOOKUP($A251,Ф_123_2018[],3,0)),0)</f>
        <v>0</v>
      </c>
      <c r="J251" s="1349">
        <f>IFERROR(IF($B251="нет",0,VLOOKUP($B251,Ф_123_2019[],3,0)),0)</f>
        <v>0</v>
      </c>
      <c r="K251" s="1349">
        <f>IFERROR(IF($B251="нет",0,VLOOKUP($B251,Ф_123_2020[],3,0)),0)</f>
        <v>0</v>
      </c>
      <c r="L251" s="1349">
        <f>IFERROR(IF($B251="нет",0,VLOOKUP($B251,Ф_123_2021[],3,0)),0)</f>
        <v>0</v>
      </c>
      <c r="M251" s="1545"/>
      <c r="N251" s="1545"/>
      <c r="O251" s="1545"/>
      <c r="P251" s="1546"/>
    </row>
    <row r="252" spans="1:16" ht="30" x14ac:dyDescent="0.2">
      <c r="A252" s="1301" t="s">
        <v>2779</v>
      </c>
      <c r="B252" s="1301" t="s">
        <v>2779</v>
      </c>
      <c r="C252" s="1301"/>
      <c r="D252" s="1301"/>
      <c r="E252" s="1417" t="s">
        <v>1434</v>
      </c>
      <c r="F252" s="1184"/>
      <c r="G252" s="1350">
        <f>IFERROR(IF($A252="нет",0,VLOOKUP($A252,Ф_123_2016[],3,0)),0)</f>
        <v>0</v>
      </c>
      <c r="H252" s="1349">
        <f>IFERROR(IF($A252="нет",0,VLOOKUP($A252,Ф_123_2017[],3,0)),0)</f>
        <v>0</v>
      </c>
      <c r="I252" s="1349">
        <f>IFERROR(IF($A252="нет",0,VLOOKUP($A252,Ф_123_2018[],3,0)),0)</f>
        <v>0</v>
      </c>
      <c r="J252" s="1349">
        <f>IFERROR(IF($B252="нет",0,VLOOKUP($B252,Ф_123_2019[],3,0)),0)</f>
        <v>0</v>
      </c>
      <c r="K252" s="1349">
        <f>IFERROR(IF($B252="нет",0,VLOOKUP($B252,Ф_123_2020[],3,0)),0)</f>
        <v>0</v>
      </c>
      <c r="L252" s="1349">
        <f>IFERROR(IF($B252="нет",0,VLOOKUP($B252,Ф_123_2021[],3,0)),0)</f>
        <v>0</v>
      </c>
      <c r="M252" s="1545"/>
      <c r="N252" s="1545"/>
      <c r="O252" s="1545"/>
      <c r="P252" s="1546"/>
    </row>
    <row r="253" spans="1:16" ht="30" x14ac:dyDescent="0.2">
      <c r="A253" s="1301" t="s">
        <v>753</v>
      </c>
      <c r="B253" s="1301" t="s">
        <v>753</v>
      </c>
      <c r="C253" s="1301"/>
      <c r="D253" s="1301"/>
      <c r="E253" s="1417" t="s">
        <v>635</v>
      </c>
      <c r="F253" s="1184"/>
      <c r="G253" s="1350">
        <f>IFERROR(IF($A253="нет",0,VLOOKUP($A253,Ф_123_2016[],3,0)),0)</f>
        <v>0</v>
      </c>
      <c r="H253" s="1349">
        <f>IFERROR(IF($A253="нет",0,VLOOKUP($A253,Ф_123_2017[],3,0)),0)</f>
        <v>0</v>
      </c>
      <c r="I253" s="1349">
        <f>IFERROR(IF($A253="нет",0,VLOOKUP($A253,Ф_123_2018[],3,0)),0)</f>
        <v>0</v>
      </c>
      <c r="J253" s="1349">
        <f>IFERROR(IF($B253="нет",0,VLOOKUP($B253,Ф_123_2019[],3,0)),0)</f>
        <v>0</v>
      </c>
      <c r="K253" s="1349">
        <f>IFERROR(IF($B253="нет",0,VLOOKUP($B253,Ф_123_2020[],3,0)),0)</f>
        <v>0</v>
      </c>
      <c r="L253" s="1349">
        <f>IFERROR(IF($B253="нет",0,VLOOKUP($B253,Ф_123_2021[],3,0)),0)</f>
        <v>0</v>
      </c>
      <c r="M253" s="1545"/>
      <c r="N253" s="1545"/>
      <c r="O253" s="1545"/>
      <c r="P253" s="1546"/>
    </row>
    <row r="254" spans="1:16" ht="75" x14ac:dyDescent="0.2">
      <c r="A254" s="1301" t="s">
        <v>754</v>
      </c>
      <c r="B254" s="1301" t="s">
        <v>1463</v>
      </c>
      <c r="C254" s="1301"/>
      <c r="D254" s="1301"/>
      <c r="E254" s="1417" t="s">
        <v>638</v>
      </c>
      <c r="F254" s="1184"/>
      <c r="G254" s="1350">
        <f>IFERROR(IF($A254="нет",0,VLOOKUP($A254,Ф_123_2016[],3,0)),0)</f>
        <v>0</v>
      </c>
      <c r="H254" s="1349">
        <f>IFERROR(IF($A254="нет",0,VLOOKUP($A254,Ф_123_2017[],3,0)),0)</f>
        <v>0</v>
      </c>
      <c r="I254" s="1349">
        <f>IFERROR(IF($A254="нет",0,VLOOKUP($A254,Ф_123_2018[],3,0)),0)</f>
        <v>0</v>
      </c>
      <c r="J254" s="1349">
        <f>IFERROR(IF($B254="нет",0,VLOOKUP($B254,Ф_123_2019[],3,0)),0)</f>
        <v>0</v>
      </c>
      <c r="K254" s="1349">
        <f>IFERROR(IF($B254="нет",0,VLOOKUP($B254,Ф_123_2020[],3,0)),0)</f>
        <v>0</v>
      </c>
      <c r="L254" s="1349">
        <f>IFERROR(IF($B254="нет",0,VLOOKUP($B254,Ф_123_2021[],3,0)),0)</f>
        <v>0</v>
      </c>
      <c r="M254" s="1545"/>
      <c r="N254" s="1545"/>
      <c r="O254" s="1545"/>
      <c r="P254" s="1546"/>
    </row>
    <row r="255" spans="1:16" ht="105" x14ac:dyDescent="0.2">
      <c r="A255" s="1301" t="s">
        <v>1463</v>
      </c>
      <c r="B255" s="1301" t="s">
        <v>755</v>
      </c>
      <c r="C255" s="1301"/>
      <c r="D255" s="1301"/>
      <c r="E255" s="1417" t="s">
        <v>1436</v>
      </c>
      <c r="F255" s="1184"/>
      <c r="G255" s="1350">
        <f>IFERROR(IF($A255="нет",0,VLOOKUP($A255,Ф_123_2016[],3,0)),0)</f>
        <v>0</v>
      </c>
      <c r="H255" s="1349">
        <f>IFERROR(IF($A255="нет",0,VLOOKUP($A255,Ф_123_2017[],3,0)),0)</f>
        <v>0</v>
      </c>
      <c r="I255" s="1349">
        <f>IFERROR(IF($A255="нет",0,VLOOKUP($A255,Ф_123_2018[],3,0)),0)</f>
        <v>0</v>
      </c>
      <c r="J255" s="1349">
        <f>IFERROR(IF($B255="нет",0,VLOOKUP($B255,Ф_123_2019[],3,0)),0)</f>
        <v>0</v>
      </c>
      <c r="K255" s="1349">
        <f>IFERROR(IF($B255="нет",0,VLOOKUP($B255,Ф_123_2020[],3,0)),0)</f>
        <v>0</v>
      </c>
      <c r="L255" s="1349">
        <f>IFERROR(IF($B255="нет",0,VLOOKUP($B255,Ф_123_2021[],3,0)),0)</f>
        <v>0</v>
      </c>
      <c r="M255" s="1545"/>
      <c r="N255" s="1545"/>
      <c r="O255" s="1545"/>
      <c r="P255" s="1546"/>
    </row>
    <row r="256" spans="1:16" ht="30" x14ac:dyDescent="0.2">
      <c r="A256" s="1301" t="s">
        <v>755</v>
      </c>
      <c r="B256" s="1301" t="s">
        <v>1463</v>
      </c>
      <c r="C256" s="1301"/>
      <c r="D256" s="1301"/>
      <c r="E256" s="1417" t="s">
        <v>756</v>
      </c>
      <c r="F256" s="1184"/>
      <c r="G256" s="1350">
        <f>IFERROR(IF($A256="нет",0,VLOOKUP($A256,Ф_123_2016[],3,0)),0)</f>
        <v>0</v>
      </c>
      <c r="H256" s="1349">
        <f>IFERROR(IF($A256="нет",0,VLOOKUP($A256,Ф_123_2017[],3,0)),0)</f>
        <v>0</v>
      </c>
      <c r="I256" s="1349">
        <f>IFERROR(IF($A256="нет",0,VLOOKUP($A256,Ф_123_2018[],3,0)),0)</f>
        <v>0</v>
      </c>
      <c r="J256" s="1349">
        <f>IFERROR(IF($B256="нет",0,VLOOKUP($B256,Ф_123_2019[],3,0)),0)</f>
        <v>0</v>
      </c>
      <c r="K256" s="1349">
        <f>IFERROR(IF($B256="нет",0,VLOOKUP($B256,Ф_123_2020[],3,0)),0)</f>
        <v>0</v>
      </c>
      <c r="L256" s="1349">
        <f>IFERROR(IF($B256="нет",0,VLOOKUP($B256,Ф_123_2021[],3,0)),0)</f>
        <v>0</v>
      </c>
      <c r="M256" s="1545"/>
      <c r="N256" s="1545"/>
      <c r="O256" s="1545"/>
      <c r="P256" s="1546"/>
    </row>
    <row r="257" spans="1:16" ht="60" x14ac:dyDescent="0.2">
      <c r="A257" s="1420" t="s">
        <v>757</v>
      </c>
      <c r="B257" s="1420" t="s">
        <v>754</v>
      </c>
      <c r="C257" s="1420"/>
      <c r="D257" s="1420"/>
      <c r="E257" s="1419" t="s">
        <v>1435</v>
      </c>
      <c r="F257" s="1186"/>
      <c r="G257" s="1353">
        <f>IFERROR(IF($A257="нет",0,VLOOKUP($A257,Ф_123_2016[],3,0)),0)</f>
        <v>0</v>
      </c>
      <c r="H257" s="1352">
        <f>IFERROR(IF($A257="нет",0,VLOOKUP($A257,Ф_123_2017[],3,0)),0)</f>
        <v>0</v>
      </c>
      <c r="I257" s="1352">
        <f>IFERROR(IF($A257="нет",0,VLOOKUP($A257,Ф_123_2018[],3,0)),0)</f>
        <v>0</v>
      </c>
      <c r="J257" s="1352">
        <f>IFERROR(IF($B257="нет",0,VLOOKUP($B257,Ф_123_2019[],3,0)),0)</f>
        <v>0</v>
      </c>
      <c r="K257" s="1352">
        <f>IFERROR(IF($B257="нет",0,VLOOKUP($B257,Ф_123_2020[],3,0)),0)</f>
        <v>0</v>
      </c>
      <c r="L257" s="1352">
        <f>IFERROR(IF($B257="нет",0,VLOOKUP($B257,Ф_123_2021[],3,0)),0)</f>
        <v>0</v>
      </c>
      <c r="M257" s="1547"/>
      <c r="N257" s="1547"/>
      <c r="O257" s="1547"/>
      <c r="P257" s="1548"/>
    </row>
    <row r="258" spans="1:16" ht="29.25" customHeight="1" thickBot="1" x14ac:dyDescent="0.25">
      <c r="A258" s="1215" t="s">
        <v>2790</v>
      </c>
      <c r="B258" s="1215" t="s">
        <v>2790</v>
      </c>
      <c r="C258" s="1215"/>
      <c r="D258" s="1215"/>
      <c r="E258" s="770" t="s">
        <v>632</v>
      </c>
      <c r="F258" s="380"/>
      <c r="G258" s="1357">
        <f>IFERROR(IF($A258="нет",0,VLOOKUP($A258,Ф_123_2016[],3,0)),0)</f>
        <v>30278861</v>
      </c>
      <c r="H258" s="1358">
        <f>IFERROR(IF($A258="нет",0,VLOOKUP($A258,Ф_123_2017[],3,0)),0)</f>
        <v>22431435</v>
      </c>
      <c r="I258" s="1358">
        <f>IFERROR(IF($A258="нет",0,VLOOKUP($A258,Ф_123_2018[],3,0)),0)</f>
        <v>21934327</v>
      </c>
      <c r="J258" s="1358">
        <f>IFERROR(IF($B258="нет",0,VLOOKUP($B258,Ф_123_2019[],3,0)),0)</f>
        <v>16353400</v>
      </c>
      <c r="K258" s="1358">
        <f>IFERROR(IF($B258="нет",0,VLOOKUP($B258,Ф_123_2020[],3,0)),0)</f>
        <v>14267208</v>
      </c>
      <c r="L258" s="1358">
        <f>IFERROR(IF($B258="нет",0,VLOOKUP($B258,Ф_123_2021[],3,0)),0)</f>
        <v>16743739</v>
      </c>
      <c r="M258" s="1358">
        <v>19966411</v>
      </c>
      <c r="N258" s="1358">
        <v>33611633</v>
      </c>
      <c r="O258" s="1358">
        <v>18203110</v>
      </c>
      <c r="P258" s="1359">
        <v>14822732</v>
      </c>
    </row>
    <row r="259" spans="1:16" ht="15" customHeight="1" thickTop="1" x14ac:dyDescent="0.2">
      <c r="A259" s="21"/>
      <c r="B259" s="21"/>
      <c r="C259" s="438"/>
      <c r="D259" s="438"/>
      <c r="E259" s="477"/>
      <c r="F259" s="390"/>
      <c r="G259" s="390"/>
      <c r="H259" s="390"/>
      <c r="I259" s="390"/>
      <c r="J259" s="390"/>
      <c r="K259" s="390"/>
      <c r="L259" s="390"/>
      <c r="M259" s="390"/>
      <c r="N259" s="390"/>
      <c r="O259" s="390"/>
      <c r="P259" s="390"/>
    </row>
    <row r="260" spans="1:16" ht="15" customHeight="1" x14ac:dyDescent="0.2">
      <c r="A260" s="21"/>
      <c r="B260" s="21"/>
      <c r="C260" s="438"/>
      <c r="D260" s="438"/>
      <c r="E260" s="477"/>
      <c r="F260" s="390"/>
      <c r="G260" s="390"/>
      <c r="H260" s="390"/>
      <c r="I260" s="390"/>
      <c r="J260" s="390"/>
      <c r="K260" s="390"/>
      <c r="L260" s="390"/>
      <c r="M260" s="390"/>
      <c r="N260" s="390"/>
      <c r="O260" s="390"/>
      <c r="P260" s="390"/>
    </row>
    <row r="261" spans="1:16" ht="15" customHeight="1" thickBot="1" x14ac:dyDescent="0.3">
      <c r="A261" s="21"/>
      <c r="B261" s="21"/>
      <c r="C261" s="21" t="s">
        <v>3065</v>
      </c>
      <c r="D261" s="21"/>
      <c r="E261" s="316" t="s">
        <v>3232</v>
      </c>
      <c r="F261" s="21" t="s">
        <v>348</v>
      </c>
      <c r="G261" s="318"/>
      <c r="H261" s="318"/>
      <c r="I261" s="318"/>
      <c r="J261" s="318"/>
      <c r="K261" s="318"/>
      <c r="L261" s="318"/>
      <c r="M261" s="318"/>
      <c r="N261" s="318"/>
      <c r="O261" s="318"/>
      <c r="P261" s="318"/>
    </row>
    <row r="262" spans="1:16" ht="34.5" customHeight="1" thickTop="1" x14ac:dyDescent="0.2">
      <c r="A262" s="1360"/>
      <c r="B262" s="1297" t="s">
        <v>3287</v>
      </c>
      <c r="C262" s="1307" t="s">
        <v>3286</v>
      </c>
      <c r="D262" s="1307"/>
      <c r="E262" s="306" t="str">
        <f>E7</f>
        <v>тыс. руб.</v>
      </c>
      <c r="F262" s="301">
        <f t="shared" ref="F262" si="19">F103</f>
        <v>0</v>
      </c>
      <c r="G262" s="1376" t="str">
        <f>TEXT(G$7,0)</f>
        <v>2016</v>
      </c>
      <c r="H262" s="1305" t="str">
        <f t="shared" ref="H262:P262" si="20">TEXT(H$7,0)</f>
        <v>2017</v>
      </c>
      <c r="I262" s="1305" t="str">
        <f t="shared" si="20"/>
        <v>2018</v>
      </c>
      <c r="J262" s="1305" t="str">
        <f t="shared" si="20"/>
        <v>2019</v>
      </c>
      <c r="K262" s="1305" t="str">
        <f t="shared" si="20"/>
        <v>2020</v>
      </c>
      <c r="L262" s="1305" t="str">
        <f t="shared" si="20"/>
        <v>2021</v>
      </c>
      <c r="M262" s="1305" t="str">
        <f t="shared" si="20"/>
        <v>2022</v>
      </c>
      <c r="N262" s="1305" t="str">
        <f t="shared" si="20"/>
        <v>2023</v>
      </c>
      <c r="O262" s="1305" t="str">
        <f t="shared" si="20"/>
        <v>2024</v>
      </c>
      <c r="P262" s="1306" t="str">
        <f t="shared" si="20"/>
        <v>2025</v>
      </c>
    </row>
    <row r="263" spans="1:16" s="1367" customFormat="1" ht="15" customHeight="1" x14ac:dyDescent="0.2">
      <c r="A263" s="1361"/>
      <c r="B263" s="1361"/>
      <c r="C263" s="1361"/>
      <c r="D263" s="1361"/>
      <c r="E263" s="1362" t="s">
        <v>3067</v>
      </c>
      <c r="F263" s="1363"/>
      <c r="G263" s="1365"/>
      <c r="H263" s="1364"/>
      <c r="I263" s="1364"/>
      <c r="J263" s="1364"/>
      <c r="K263" s="1364"/>
      <c r="L263" s="1364"/>
      <c r="M263" s="1364"/>
      <c r="N263" s="1364"/>
      <c r="O263" s="1364"/>
      <c r="P263" s="1366"/>
    </row>
    <row r="264" spans="1:16" ht="15" customHeight="1" x14ac:dyDescent="0.2">
      <c r="A264" s="21"/>
      <c r="B264" s="1215" t="s">
        <v>1571</v>
      </c>
      <c r="C264" s="1215" t="s">
        <v>1571</v>
      </c>
      <c r="D264" s="1215"/>
      <c r="E264" s="479" t="s">
        <v>3068</v>
      </c>
      <c r="F264" s="390"/>
      <c r="G264" s="745">
        <f>IF(ISBLANK($B264),"",VLOOKUP($B264,Ф_808_2016_2015[],MATCH(G$262,'Ф_808_2016-2015'!$1:$1,0),0))</f>
        <v>38011741</v>
      </c>
      <c r="H264" s="1414">
        <f>IF(ISBLANK($C264),"",VLOOKUP($C264,Ф_808_2023_2017[],MATCH(H$262,'Ф_808_2023-2017'!$1:$1,0),0))</f>
        <v>48011741</v>
      </c>
      <c r="I264" s="390">
        <f>IF(ISBLANK($C264),"",VLOOKUP($C264,Ф_808_2023_2017[],MATCH(I$262,'Ф_808_2023-2017'!$1:$1,0),0))</f>
        <v>48011741</v>
      </c>
      <c r="J264" s="390">
        <f>IF(ISBLANK($C264),"",VLOOKUP($C264,Ф_808_2023_2017[],MATCH(J$262,'Ф_808_2023-2017'!$1:$1,0),0))</f>
        <v>48011741</v>
      </c>
      <c r="K264" s="390">
        <f>IF(ISBLANK($C264),"",VLOOKUP($C264,Ф_808_2023_2017[],MATCH(K$262,'Ф_808_2023-2017'!$1:$1,0),0))</f>
        <v>48011741</v>
      </c>
      <c r="L264" s="390">
        <f>IF(ISBLANK($C264),"",VLOOKUP($C264,Ф_808_2023_2017[],MATCH(L$262,'Ф_808_2023-2017'!$1:$1,0),0))</f>
        <v>48011741</v>
      </c>
      <c r="M264" s="390">
        <f>IF(ISBLANK($C264),"",VLOOKUP($C264,Ф_808_2023_2017[],MATCH(M$262,'Ф_808_2023-2017'!$1:$1,0),0))</f>
        <v>48011741</v>
      </c>
      <c r="N264" s="390">
        <f>IF(ISBLANK($C264),"",VLOOKUP($C264,Ф_808_2023_2017[],MATCH(N$262,'Ф_808_2023-2017'!$1:$1,0),0))</f>
        <v>48011741</v>
      </c>
      <c r="O264" s="390">
        <f>IF(ISBLANK($C264),"",VLOOKUP($C264,Ф_808_2023_2017[],MATCH(O$262,'Ф_808_2023-2017'!$1:$1,0),0))</f>
        <v>48011741</v>
      </c>
      <c r="P264" s="1368"/>
    </row>
    <row r="265" spans="1:16" ht="15" customHeight="1" x14ac:dyDescent="0.2">
      <c r="A265" s="1301"/>
      <c r="B265" s="1301" t="s">
        <v>4</v>
      </c>
      <c r="C265" s="1301" t="s">
        <v>4</v>
      </c>
      <c r="D265" s="1301"/>
      <c r="E265" s="1183" t="s">
        <v>3069</v>
      </c>
      <c r="F265" s="1184"/>
      <c r="G265" s="1350">
        <f>IF(ISBLANK($B265),"",VLOOKUP($B265,Ф_808_2016_2015[],MATCH(G$262,'Ф_808_2016-2015'!$1:$1,0),0))</f>
        <v>38011741</v>
      </c>
      <c r="H265" s="1349">
        <f>IF(ISBLANK($C265),"",VLOOKUP($C265,Ф_808_2023_2017[],MATCH(H$262,'Ф_808_2023-2017'!$1:$1,0),0))</f>
        <v>48011741</v>
      </c>
      <c r="I265" s="1349">
        <f>IF(ISBLANK($C265),"",VLOOKUP($C265,Ф_808_2023_2017[],MATCH(I$262,'Ф_808_2023-2017'!$1:$1,0),0))</f>
        <v>48011741</v>
      </c>
      <c r="J265" s="1349">
        <f>IF(ISBLANK($C265),"",VLOOKUP($C265,Ф_808_2023_2017[],MATCH(J$262,'Ф_808_2023-2017'!$1:$1,0),0))</f>
        <v>48011741</v>
      </c>
      <c r="K265" s="1349">
        <f>IF(ISBLANK($C265),"",VLOOKUP($C265,Ф_808_2023_2017[],MATCH(K$262,'Ф_808_2023-2017'!$1:$1,0),0))</f>
        <v>48011741</v>
      </c>
      <c r="L265" s="1349">
        <f>IF(ISBLANK($C265),"",VLOOKUP($C265,Ф_808_2023_2017[],MATCH(L$262,'Ф_808_2023-2017'!$1:$1,0),0))</f>
        <v>48011741</v>
      </c>
      <c r="M265" s="1349">
        <f>IF(ISBLANK($C265),"",VLOOKUP($C265,Ф_808_2023_2017[],MATCH(M$262,'Ф_808_2023-2017'!$1:$1,0),0))</f>
        <v>48011741</v>
      </c>
      <c r="N265" s="1349">
        <f>IF(ISBLANK($C265),"",VLOOKUP($C265,Ф_808_2023_2017[],MATCH(N$262,'Ф_808_2023-2017'!$1:$1,0),0))</f>
        <v>48011741</v>
      </c>
      <c r="O265" s="1349">
        <f>IF(ISBLANK($C265),"",VLOOKUP($C265,Ф_808_2023_2017[],MATCH(O$262,'Ф_808_2023-2017'!$1:$1,0),0))</f>
        <v>48011741</v>
      </c>
      <c r="P265" s="1351"/>
    </row>
    <row r="266" spans="1:16" ht="15" customHeight="1" x14ac:dyDescent="0.2">
      <c r="A266" s="1301"/>
      <c r="B266" s="1301" t="s">
        <v>5</v>
      </c>
      <c r="C266" s="1301" t="s">
        <v>5</v>
      </c>
      <c r="D266" s="1301"/>
      <c r="E266" s="1183" t="s">
        <v>3070</v>
      </c>
      <c r="F266" s="1184"/>
      <c r="G266" s="1350">
        <f>IF(ISBLANK($B266),"",VLOOKUP($B266,Ф_808_2016_2015[],MATCH(G$262,'Ф_808_2016-2015'!$1:$1,0),0))</f>
        <v>0</v>
      </c>
      <c r="H266" s="1349">
        <f>IF(ISBLANK($C266),"",VLOOKUP($C266,Ф_808_2023_2017[],MATCH(H$262,'Ф_808_2023-2017'!$1:$1,0),0))</f>
        <v>0</v>
      </c>
      <c r="I266" s="1349">
        <f>IF(ISBLANK($C266),"",VLOOKUP($C266,Ф_808_2023_2017[],MATCH(I$262,'Ф_808_2023-2017'!$1:$1,0),0))</f>
        <v>0</v>
      </c>
      <c r="J266" s="1349">
        <f>IF(ISBLANK($C266),"",VLOOKUP($C266,Ф_808_2023_2017[],MATCH(J$262,'Ф_808_2023-2017'!$1:$1,0),0))</f>
        <v>0</v>
      </c>
      <c r="K266" s="1349">
        <f>IF(ISBLANK($C266),"",VLOOKUP($C266,Ф_808_2023_2017[],MATCH(K$262,'Ф_808_2023-2017'!$1:$1,0),0))</f>
        <v>0</v>
      </c>
      <c r="L266" s="1349">
        <f>IF(ISBLANK($C266),"",VLOOKUP($C266,Ф_808_2023_2017[],MATCH(L$262,'Ф_808_2023-2017'!$1:$1,0),0))</f>
        <v>0</v>
      </c>
      <c r="M266" s="1349">
        <f>IF(ISBLANK($C266),"",VLOOKUP($C266,Ф_808_2023_2017[],MATCH(M$262,'Ф_808_2023-2017'!$1:$1,0),0))</f>
        <v>0</v>
      </c>
      <c r="N266" s="1349">
        <f>IF(ISBLANK($C266),"",VLOOKUP($C266,Ф_808_2023_2017[],MATCH(N$262,'Ф_808_2023-2017'!$1:$1,0),0))</f>
        <v>0</v>
      </c>
      <c r="O266" s="1349">
        <f>IF(ISBLANK($C266),"",VLOOKUP($C266,Ф_808_2023_2017[],MATCH(O$262,'Ф_808_2023-2017'!$1:$1,0),0))</f>
        <v>0</v>
      </c>
      <c r="P266" s="1351"/>
    </row>
    <row r="267" spans="1:16" ht="15" customHeight="1" x14ac:dyDescent="0.2">
      <c r="A267" s="1301"/>
      <c r="B267" s="1301" t="s">
        <v>1572</v>
      </c>
      <c r="C267" s="1301" t="s">
        <v>1572</v>
      </c>
      <c r="D267" s="1301"/>
      <c r="E267" s="1183" t="s">
        <v>3071</v>
      </c>
      <c r="F267" s="1184"/>
      <c r="G267" s="1350">
        <f>IF(ISBLANK($B267),"",VLOOKUP($B267,Ф_808_2016_2015[],MATCH(G$262,'Ф_808_2016-2015'!$1:$1,0),0))</f>
        <v>4715067</v>
      </c>
      <c r="H267" s="1349">
        <f>IF(ISBLANK($C267),"",VLOOKUP($C267,Ф_808_2023_2017[],MATCH(H$262,'Ф_808_2023-2017'!$1:$1,0),0))</f>
        <v>8346702</v>
      </c>
      <c r="I267" s="1349">
        <f>IF(ISBLANK($C267),"",VLOOKUP($C267,Ф_808_2023_2017[],MATCH(I$262,'Ф_808_2023-2017'!$1:$1,0),0))</f>
        <v>8743061</v>
      </c>
      <c r="J267" s="1349">
        <f>IF(ISBLANK($C267),"",VLOOKUP($C267,Ф_808_2023_2017[],MATCH(J$262,'Ф_808_2023-2017'!$1:$1,0),0))</f>
        <v>17195208</v>
      </c>
      <c r="K267" s="1349">
        <f>IF(ISBLANK($C267),"",VLOOKUP($C267,Ф_808_2023_2017[],MATCH(K$262,'Ф_808_2023-2017'!$1:$1,0),0))</f>
        <v>17152868</v>
      </c>
      <c r="L267" s="1349">
        <f>IF(ISBLANK($C267),"",VLOOKUP($C267,Ф_808_2023_2017[],MATCH(L$262,'Ф_808_2023-2017'!$1:$1,0),0))</f>
        <v>16934996</v>
      </c>
      <c r="M267" s="1349">
        <f>IF(ISBLANK($C267),"",VLOOKUP($C267,Ф_808_2023_2017[],MATCH(M$262,'Ф_808_2023-2017'!$1:$1,0),0))</f>
        <v>21228177</v>
      </c>
      <c r="N267" s="1349">
        <f>IF(ISBLANK($C267),"",VLOOKUP($C267,Ф_808_2023_2017[],MATCH(N$262,'Ф_808_2023-2017'!$1:$1,0),0))</f>
        <v>23797022</v>
      </c>
      <c r="O267" s="1349">
        <f>IF(ISBLANK($C267),"",VLOOKUP($C267,Ф_808_2023_2017[],MATCH(O$262,'Ф_808_2023-2017'!$1:$1,0),0))</f>
        <v>44867500</v>
      </c>
      <c r="P267" s="1351"/>
    </row>
    <row r="268" spans="1:16" ht="15" customHeight="1" x14ac:dyDescent="0.2">
      <c r="A268" s="1301"/>
      <c r="B268" s="1301" t="s">
        <v>6</v>
      </c>
      <c r="C268" s="1301" t="s">
        <v>6</v>
      </c>
      <c r="D268" s="1301"/>
      <c r="E268" s="1183" t="s">
        <v>263</v>
      </c>
      <c r="F268" s="1184"/>
      <c r="G268" s="1350">
        <f>IF(ISBLANK($B268),"",VLOOKUP($B268,Ф_808_2016_2015[],MATCH(G$262,'Ф_808_2016-2015'!$1:$1,0),0))</f>
        <v>805695</v>
      </c>
      <c r="H268" s="1349">
        <f>IF(ISBLANK($C268),"",VLOOKUP($C268,Ф_808_2023_2017[],MATCH(H$262,'Ф_808_2023-2017'!$1:$1,0),0))</f>
        <v>411512</v>
      </c>
      <c r="I268" s="1349">
        <f>IF(ISBLANK($C268),"",VLOOKUP($C268,Ф_808_2023_2017[],MATCH(I$262,'Ф_808_2023-2017'!$1:$1,0),0))</f>
        <v>588794</v>
      </c>
      <c r="J268" s="1349">
        <f>IF(ISBLANK($C268),"",VLOOKUP($C268,Ф_808_2023_2017[],MATCH(J$262,'Ф_808_2023-2017'!$1:$1,0),0))</f>
        <v>6002640</v>
      </c>
      <c r="K268" s="1349">
        <f>IF(ISBLANK($C268),"",VLOOKUP($C268,Ф_808_2023_2017[],MATCH(K$262,'Ф_808_2023-2017'!$1:$1,0),0))</f>
        <v>16107897</v>
      </c>
      <c r="L268" s="1349">
        <f>IF(ISBLANK($C268),"",VLOOKUP($C268,Ф_808_2023_2017[],MATCH(L$262,'Ф_808_2023-2017'!$1:$1,0),0))</f>
        <v>13266615</v>
      </c>
      <c r="M268" s="1349">
        <f>IF(ISBLANK($C268),"",VLOOKUP($C268,Ф_808_2023_2017[],MATCH(M$262,'Ф_808_2023-2017'!$1:$1,0),0))</f>
        <v>17355948</v>
      </c>
      <c r="N268" s="1349">
        <f>IF(ISBLANK($C268),"",VLOOKUP($C268,Ф_808_2023_2017[],MATCH(N$262,'Ф_808_2023-2017'!$1:$1,0),0))</f>
        <v>18975773</v>
      </c>
      <c r="O268" s="1349">
        <f>IF(ISBLANK($C268),"",VLOOKUP($C268,Ф_808_2023_2017[],MATCH(O$262,'Ф_808_2023-2017'!$1:$1,0),0))</f>
        <v>44867500</v>
      </c>
      <c r="P268" s="1351"/>
    </row>
    <row r="269" spans="1:16" ht="15" customHeight="1" x14ac:dyDescent="0.2">
      <c r="A269" s="1301"/>
      <c r="B269" s="1301" t="s">
        <v>7</v>
      </c>
      <c r="C269" s="1301" t="s">
        <v>7</v>
      </c>
      <c r="D269" s="1301"/>
      <c r="E269" s="1183" t="s">
        <v>264</v>
      </c>
      <c r="F269" s="1184"/>
      <c r="G269" s="1350">
        <f>IF(ISBLANK($B269),"",VLOOKUP($B269,Ф_808_2016_2015[],MATCH(G$262,'Ф_808_2016-2015'!$1:$1,0),0))</f>
        <v>3909372</v>
      </c>
      <c r="H269" s="1349">
        <f>IF(ISBLANK($C269),"",VLOOKUP($C269,Ф_808_2023_2017[],MATCH(H$262,'Ф_808_2023-2017'!$1:$1,0),0))</f>
        <v>7935190</v>
      </c>
      <c r="I269" s="1349">
        <f>IF(ISBLANK($C269),"",VLOOKUP($C269,Ф_808_2023_2017[],MATCH(I$262,'Ф_808_2023-2017'!$1:$1,0),0))</f>
        <v>8154267</v>
      </c>
      <c r="J269" s="1349">
        <f>IF(ISBLANK($C269),"",VLOOKUP($C269,Ф_808_2023_2017[],MATCH(J$262,'Ф_808_2023-2017'!$1:$1,0),0))</f>
        <v>11192568</v>
      </c>
      <c r="K269" s="1349">
        <f>IF(ISBLANK($C269),"",VLOOKUP($C269,Ф_808_2023_2017[],MATCH(K$262,'Ф_808_2023-2017'!$1:$1,0),0))</f>
        <v>1044971</v>
      </c>
      <c r="L269" s="1349">
        <f>IF(ISBLANK($C269),"",VLOOKUP($C269,Ф_808_2023_2017[],MATCH(L$262,'Ф_808_2023-2017'!$1:$1,0),0))</f>
        <v>3668381</v>
      </c>
      <c r="M269" s="1349">
        <f>IF(ISBLANK($C269),"",VLOOKUP($C269,Ф_808_2023_2017[],MATCH(M$262,'Ф_808_2023-2017'!$1:$1,0),0))</f>
        <v>3872229</v>
      </c>
      <c r="N269" s="1349">
        <f>IF(ISBLANK($C269),"",VLOOKUP($C269,Ф_808_2023_2017[],MATCH(N$262,'Ф_808_2023-2017'!$1:$1,0),0))</f>
        <v>4821249</v>
      </c>
      <c r="O269" s="1349">
        <f>IF(ISBLANK($C269),"",VLOOKUP($C269,Ф_808_2023_2017[],MATCH(O$262,'Ф_808_2023-2017'!$1:$1,0),0))</f>
        <v>0</v>
      </c>
      <c r="P269" s="1351"/>
    </row>
    <row r="270" spans="1:16" ht="15" customHeight="1" x14ac:dyDescent="0.2">
      <c r="A270" s="1301"/>
      <c r="B270" s="1301" t="s">
        <v>1539</v>
      </c>
      <c r="C270" s="1301" t="s">
        <v>1539</v>
      </c>
      <c r="D270" s="1301"/>
      <c r="E270" s="1183" t="s">
        <v>33</v>
      </c>
      <c r="F270" s="1184"/>
      <c r="G270" s="1350">
        <f>IF(ISBLANK($B270),"",VLOOKUP($B270,Ф_808_2016_2015[],MATCH(G$262,'Ф_808_2016-2015'!$1:$1,0),0))</f>
        <v>0</v>
      </c>
      <c r="H270" s="1349">
        <f>IF(ISBLANK($C270),"",VLOOKUP($C270,Ф_808_2023_2017[],MATCH(H$262,'Ф_808_2023-2017'!$1:$1,0),0))</f>
        <v>64084</v>
      </c>
      <c r="I270" s="1349">
        <f>IF(ISBLANK($C270),"",VLOOKUP($C270,Ф_808_2023_2017[],MATCH(I$262,'Ф_808_2023-2017'!$1:$1,0),0))</f>
        <v>109078</v>
      </c>
      <c r="J270" s="1349">
        <f>IF(ISBLANK($C270),"",VLOOKUP($C270,Ф_808_2023_2017[],MATCH(J$262,'Ф_808_2023-2017'!$1:$1,0),0))</f>
        <v>207894</v>
      </c>
      <c r="K270" s="1349">
        <f>IF(ISBLANK($C270),"",VLOOKUP($C270,Ф_808_2023_2017[],MATCH(K$262,'Ф_808_2023-2017'!$1:$1,0),0))</f>
        <v>520535</v>
      </c>
      <c r="L270" s="1349">
        <f>IF(ISBLANK($C270),"",VLOOKUP($C270,Ф_808_2023_2017[],MATCH(L$262,'Ф_808_2023-2017'!$1:$1,0),0))</f>
        <v>738407</v>
      </c>
      <c r="M270" s="1349">
        <f>IF(ISBLANK($C270),"",VLOOKUP($C270,Ф_808_2023_2017[],MATCH(M$262,'Ф_808_2023-2017'!$1:$1,0),0))</f>
        <v>1053596</v>
      </c>
      <c r="N270" s="1349">
        <f>IF(ISBLANK($C270),"",VLOOKUP($C270,Ф_808_2023_2017[],MATCH(N$262,'Ф_808_2023-2017'!$1:$1,0),0))</f>
        <v>1131454</v>
      </c>
      <c r="O270" s="1349">
        <f>IF(ISBLANK($C270),"",VLOOKUP($C270,Ф_808_2023_2017[],MATCH(O$262,'Ф_808_2023-2017'!$1:$1,0),0))</f>
        <v>1451972</v>
      </c>
      <c r="P270" s="1351"/>
    </row>
    <row r="271" spans="1:16" ht="15" customHeight="1" x14ac:dyDescent="0.2">
      <c r="A271" s="1301"/>
      <c r="B271" s="1301" t="s">
        <v>1540</v>
      </c>
      <c r="C271" s="1301" t="s">
        <v>1540</v>
      </c>
      <c r="D271" s="1301"/>
      <c r="E271" s="1183" t="s">
        <v>3072</v>
      </c>
      <c r="F271" s="1184"/>
      <c r="G271" s="1350">
        <f>IF(ISBLANK($B271),"",VLOOKUP($B271,Ф_808_2016_2015[],MATCH(G$262,'Ф_808_2016-2015'!$1:$1,0),0))</f>
        <v>0</v>
      </c>
      <c r="H271" s="1349">
        <f>IF(ISBLANK($C271),"",VLOOKUP($C271,Ф_808_2023_2017[],MATCH(H$262,'Ф_808_2023-2017'!$1:$1,0),0))</f>
        <v>0</v>
      </c>
      <c r="I271" s="1349">
        <f>IF(ISBLANK($C271),"",VLOOKUP($C271,Ф_808_2023_2017[],MATCH(I$262,'Ф_808_2023-2017'!$1:$1,0),0))</f>
        <v>0</v>
      </c>
      <c r="J271" s="1349">
        <f>IF(ISBLANK($C271),"",VLOOKUP($C271,Ф_808_2023_2017[],MATCH(J$262,'Ф_808_2023-2017'!$1:$1,0),0))</f>
        <v>0</v>
      </c>
      <c r="K271" s="1349">
        <f>IF(ISBLANK($C271),"",VLOOKUP($C271,Ф_808_2023_2017[],MATCH(K$262,'Ф_808_2023-2017'!$1:$1,0),0))</f>
        <v>0</v>
      </c>
      <c r="L271" s="1349">
        <f>IF(ISBLANK($C271),"",VLOOKUP($C271,Ф_808_2023_2017[],MATCH(L$262,'Ф_808_2023-2017'!$1:$1,0),0))</f>
        <v>0</v>
      </c>
      <c r="M271" s="1349">
        <f>IF(ISBLANK($C271),"",VLOOKUP($C271,Ф_808_2023_2017[],MATCH(M$262,'Ф_808_2023-2017'!$1:$1,0),0))</f>
        <v>0</v>
      </c>
      <c r="N271" s="1349">
        <f>IF(ISBLANK($C271),"",VLOOKUP($C271,Ф_808_2023_2017[],MATCH(N$262,'Ф_808_2023-2017'!$1:$1,0),0))</f>
        <v>0</v>
      </c>
      <c r="O271" s="1349">
        <f>IF(ISBLANK($C271),"",VLOOKUP($C271,Ф_808_2023_2017[],MATCH(O$262,'Ф_808_2023-2017'!$1:$1,0),0))</f>
        <v>0</v>
      </c>
      <c r="P271" s="1351"/>
    </row>
    <row r="272" spans="1:16" ht="32.25" customHeight="1" x14ac:dyDescent="0.2">
      <c r="A272" s="1301"/>
      <c r="B272" s="1301" t="s">
        <v>1541</v>
      </c>
      <c r="C272" s="1301" t="s">
        <v>1541</v>
      </c>
      <c r="D272" s="1301"/>
      <c r="E272" s="1183" t="s">
        <v>3073</v>
      </c>
      <c r="F272" s="1184"/>
      <c r="G272" s="1350">
        <f>IF(ISBLANK($B272),"",VLOOKUP($B272,Ф_808_2016_2015[],MATCH(G$262,'Ф_808_2016-2015'!$1:$1,0),0))</f>
        <v>0</v>
      </c>
      <c r="H272" s="1349">
        <f>IF(ISBLANK($C272),"",VLOOKUP($C272,Ф_808_2023_2017[],MATCH(H$262,'Ф_808_2023-2017'!$1:$1,0),0))</f>
        <v>0</v>
      </c>
      <c r="I272" s="1349">
        <f>IF(ISBLANK($C272),"",VLOOKUP($C272,Ф_808_2023_2017[],MATCH(I$262,'Ф_808_2023-2017'!$1:$1,0),0))</f>
        <v>95207</v>
      </c>
      <c r="J272" s="1349">
        <f>IF(ISBLANK($C272),"",VLOOKUP($C272,Ф_808_2023_2017[],MATCH(J$262,'Ф_808_2023-2017'!$1:$1,0),0))</f>
        <v>0</v>
      </c>
      <c r="K272" s="1349">
        <f>IF(ISBLANK($C272),"",VLOOKUP($C272,Ф_808_2023_2017[],MATCH(K$262,'Ф_808_2023-2017'!$1:$1,0),0))</f>
        <v>0</v>
      </c>
      <c r="L272" s="1349">
        <f>IF(ISBLANK($C272),"",VLOOKUP($C272,Ф_808_2023_2017[],MATCH(L$262,'Ф_808_2023-2017'!$1:$1,0),0))</f>
        <v>0</v>
      </c>
      <c r="M272" s="1349">
        <f>IF(ISBLANK($C272),"",VLOOKUP($C272,Ф_808_2023_2017[],MATCH(M$262,'Ф_808_2023-2017'!$1:$1,0),0))</f>
        <v>0</v>
      </c>
      <c r="N272" s="1349">
        <f>IF(ISBLANK($C272),"",VLOOKUP($C272,Ф_808_2023_2017[],MATCH(N$262,'Ф_808_2023-2017'!$1:$1,0),0))</f>
        <v>0</v>
      </c>
      <c r="O272" s="1349">
        <f>IF(ISBLANK($C272),"",VLOOKUP($C272,Ф_808_2023_2017[],MATCH(O$262,'Ф_808_2023-2017'!$1:$1,0),0))</f>
        <v>0</v>
      </c>
      <c r="P272" s="1351"/>
    </row>
    <row r="273" spans="1:16" ht="36.75" customHeight="1" x14ac:dyDescent="0.2">
      <c r="A273" s="1299"/>
      <c r="B273" s="1299" t="s">
        <v>1542</v>
      </c>
      <c r="C273" s="1299" t="s">
        <v>1542</v>
      </c>
      <c r="D273" s="1299"/>
      <c r="E273" s="307" t="s">
        <v>3228</v>
      </c>
      <c r="F273" s="374"/>
      <c r="G273" s="1343">
        <f>IF(ISBLANK($B273),"",VLOOKUP($B273,Ф_808_2016_2015[],MATCH(G$262,'Ф_808_2016-2015'!$1:$1,0),0))</f>
        <v>42726808</v>
      </c>
      <c r="H273" s="1342">
        <f>IF(ISBLANK($C273),"",VLOOKUP($C273,Ф_808_2023_2017[],MATCH(H$262,'Ф_808_2023-2017'!$1:$1,0),0))</f>
        <v>56422527</v>
      </c>
      <c r="I273" s="1342">
        <f>IF(ISBLANK($C273),"",VLOOKUP($C273,Ф_808_2023_2017[],MATCH(I$262,'Ф_808_2023-2017'!$1:$1,0),0))</f>
        <v>56959087</v>
      </c>
      <c r="J273" s="1342">
        <f>IF(ISBLANK($C273),"",VLOOKUP($C273,Ф_808_2023_2017[],MATCH(J$262,'Ф_808_2023-2017'!$1:$1,0),0))</f>
        <v>65414843</v>
      </c>
      <c r="K273" s="1342">
        <f>IF(ISBLANK($C273),"",VLOOKUP($C273,Ф_808_2023_2017[],MATCH(K$262,'Ф_808_2023-2017'!$1:$1,0),0))</f>
        <v>65685144</v>
      </c>
      <c r="L273" s="1342">
        <f>IF(ISBLANK($C273),"",VLOOKUP($C273,Ф_808_2023_2017[],MATCH(L$262,'Ф_808_2023-2017'!$1:$1,0),0))</f>
        <v>65685144</v>
      </c>
      <c r="M273" s="1342">
        <f>IF(ISBLANK($C273),"",VLOOKUP($C273,Ф_808_2023_2017[],MATCH(M$262,'Ф_808_2023-2017'!$1:$1,0),0))</f>
        <v>70293514</v>
      </c>
      <c r="N273" s="1342">
        <f>IF(ISBLANK($C273),"",VLOOKUP($C273,Ф_808_2023_2017[],MATCH(N$262,'Ф_808_2023-2017'!$1:$1,0),0))</f>
        <v>72940217</v>
      </c>
      <c r="O273" s="1342">
        <f>IF(ISBLANK($C273),"",VLOOKUP($C273,Ф_808_2023_2017[],MATCH(O$262,'Ф_808_2023-2017'!$1:$1,0),0))</f>
        <v>94331213</v>
      </c>
      <c r="P273" s="1344"/>
    </row>
    <row r="274" spans="1:16" ht="36.75" customHeight="1" x14ac:dyDescent="0.2">
      <c r="A274" s="1299"/>
      <c r="B274" s="1299"/>
      <c r="C274" s="1299"/>
      <c r="D274" s="1299"/>
      <c r="E274" s="307" t="s">
        <v>3075</v>
      </c>
      <c r="F274" s="374"/>
      <c r="G274" s="1343" t="str">
        <f>IF(ISBLANK($B274),"",VLOOKUP($B274,Ф_808_2016_2015[],MATCH(G$262,'Ф_808_2016-2015'!$1:$1,0),0))</f>
        <v/>
      </c>
      <c r="H274" s="1342" t="str">
        <f>IF(ISBLANK($C274),"",VLOOKUP($C274,Ф_808_2023_2017[],MATCH(H$262,'Ф_808_2023-2017'!$1:$1,0),0))</f>
        <v/>
      </c>
      <c r="I274" s="1342" t="str">
        <f>IF(ISBLANK($C274),"",VLOOKUP($C274,Ф_808_2023_2017[],MATCH(I$262,'Ф_808_2023-2017'!$1:$1,0),0))</f>
        <v/>
      </c>
      <c r="J274" s="1342" t="str">
        <f>IF(ISBLANK($C274),"",VLOOKUP($C274,Ф_808_2023_2017[],MATCH(J$262,'Ф_808_2023-2017'!$1:$1,0),0))</f>
        <v/>
      </c>
      <c r="K274" s="1342" t="str">
        <f>IF(ISBLANK($C274),"",VLOOKUP($C274,Ф_808_2023_2017[],MATCH(K$262,'Ф_808_2023-2017'!$1:$1,0),0))</f>
        <v/>
      </c>
      <c r="L274" s="1342" t="str">
        <f>IF(ISBLANK($C274),"",VLOOKUP($C274,Ф_808_2023_2017[],MATCH(L$262,'Ф_808_2023-2017'!$1:$1,0),0))</f>
        <v/>
      </c>
      <c r="M274" s="1342" t="str">
        <f>IF(ISBLANK($C274),"",VLOOKUP($C274,Ф_808_2023_2017[],MATCH(M$262,'Ф_808_2023-2017'!$1:$1,0),0))</f>
        <v/>
      </c>
      <c r="N274" s="1342" t="str">
        <f>IF(ISBLANK($C274),"",VLOOKUP($C274,Ф_808_2023_2017[],MATCH(N$262,'Ф_808_2023-2017'!$1:$1,0),0))</f>
        <v/>
      </c>
      <c r="O274" s="1342" t="str">
        <f>IF(ISBLANK($C274),"",VLOOKUP($C274,Ф_808_2023_2017[],MATCH(O$262,'Ф_808_2023-2017'!$1:$1,0),0))</f>
        <v/>
      </c>
      <c r="P274" s="1344"/>
    </row>
    <row r="275" spans="1:16" ht="33" customHeight="1" x14ac:dyDescent="0.2">
      <c r="A275" s="1301"/>
      <c r="B275" s="1301" t="s">
        <v>1543</v>
      </c>
      <c r="C275" s="1301" t="s">
        <v>1543</v>
      </c>
      <c r="D275" s="1301"/>
      <c r="E275" s="1183" t="s">
        <v>3290</v>
      </c>
      <c r="F275" s="1184"/>
      <c r="G275" s="1350">
        <f>IF(ISBLANK($B275),"",VLOOKUP($B275,Ф_808_2016_2015[],MATCH(G$262,'Ф_808_2016-2015'!$1:$1,0),0))</f>
        <v>0</v>
      </c>
      <c r="H275" s="1349">
        <f>IF(ISBLANK($C275),"",VLOOKUP($C275,Ф_808_2023_2017[],MATCH(H$262,'Ф_808_2023-2017'!$1:$1,0),0))</f>
        <v>0</v>
      </c>
      <c r="I275" s="1349">
        <f>IF(ISBLANK($C275),"",VLOOKUP($C275,Ф_808_2023_2017[],MATCH(I$262,'Ф_808_2023-2017'!$1:$1,0),0))</f>
        <v>0</v>
      </c>
      <c r="J275" s="1349">
        <f>IF(ISBLANK($C275),"",VLOOKUP($C275,Ф_808_2023_2017[],MATCH(J$262,'Ф_808_2023-2017'!$1:$1,0),0))</f>
        <v>0</v>
      </c>
      <c r="K275" s="1349">
        <f>IF(ISBLANK($C275),"",VLOOKUP($C275,Ф_808_2023_2017[],MATCH(K$262,'Ф_808_2023-2017'!$1:$1,0),0))</f>
        <v>0</v>
      </c>
      <c r="L275" s="1349">
        <f>IF(ISBLANK($C275),"",VLOOKUP($C275,Ф_808_2023_2017[],MATCH(L$262,'Ф_808_2023-2017'!$1:$1,0),0))</f>
        <v>0</v>
      </c>
      <c r="M275" s="1349">
        <f>IF(ISBLANK($C275),"",VLOOKUP($C275,Ф_808_2023_2017[],MATCH(M$262,'Ф_808_2023-2017'!$1:$1,0),0))</f>
        <v>0</v>
      </c>
      <c r="N275" s="1349">
        <f>IF(ISBLANK($C275),"",VLOOKUP($C275,Ф_808_2023_2017[],MATCH(N$262,'Ф_808_2023-2017'!$1:$1,0),0))</f>
        <v>0</v>
      </c>
      <c r="O275" s="1349">
        <f>IF(ISBLANK($C275),"",VLOOKUP($C275,Ф_808_2023_2017[],MATCH(O$262,'Ф_808_2023-2017'!$1:$1,0),0))</f>
        <v>0</v>
      </c>
      <c r="P275" s="1351"/>
    </row>
    <row r="276" spans="1:16" ht="15" customHeight="1" x14ac:dyDescent="0.2">
      <c r="A276" s="1301"/>
      <c r="B276" s="1301" t="s">
        <v>1226</v>
      </c>
      <c r="C276" s="1301" t="s">
        <v>1226</v>
      </c>
      <c r="D276" s="1301"/>
      <c r="E276" s="1183" t="s">
        <v>3077</v>
      </c>
      <c r="F276" s="1184"/>
      <c r="G276" s="1350">
        <f>IF(ISBLANK($B276),"",VLOOKUP($B276,Ф_808_2016_2015[],MATCH(G$262,'Ф_808_2016-2015'!$1:$1,0),0))</f>
        <v>0</v>
      </c>
      <c r="H276" s="1349">
        <f>IF(ISBLANK($C276),"",VLOOKUP($C276,Ф_808_2023_2017[],MATCH(H$262,'Ф_808_2023-2017'!$1:$1,0),0))</f>
        <v>0</v>
      </c>
      <c r="I276" s="1349">
        <f>IF(ISBLANK($C276),"",VLOOKUP($C276,Ф_808_2023_2017[],MATCH(I$262,'Ф_808_2023-2017'!$1:$1,0),0))</f>
        <v>0</v>
      </c>
      <c r="J276" s="1349">
        <f>IF(ISBLANK($C276),"",VLOOKUP($C276,Ф_808_2023_2017[],MATCH(J$262,'Ф_808_2023-2017'!$1:$1,0),0))</f>
        <v>0</v>
      </c>
      <c r="K276" s="1349">
        <f>IF(ISBLANK($C276),"",VLOOKUP($C276,Ф_808_2023_2017[],MATCH(K$262,'Ф_808_2023-2017'!$1:$1,0),0))</f>
        <v>0</v>
      </c>
      <c r="L276" s="1349">
        <f>IF(ISBLANK($C276),"",VLOOKUP($C276,Ф_808_2023_2017[],MATCH(L$262,'Ф_808_2023-2017'!$1:$1,0),0))</f>
        <v>0</v>
      </c>
      <c r="M276" s="1349">
        <f>IF(ISBLANK($C276),"",VLOOKUP($C276,Ф_808_2023_2017[],MATCH(M$262,'Ф_808_2023-2017'!$1:$1,0),0))</f>
        <v>0</v>
      </c>
      <c r="N276" s="1349">
        <f>IF(ISBLANK($C276),"",VLOOKUP($C276,Ф_808_2023_2017[],MATCH(N$262,'Ф_808_2023-2017'!$1:$1,0),0))</f>
        <v>0</v>
      </c>
      <c r="O276" s="1349">
        <f>IF(ISBLANK($C276),"",VLOOKUP($C276,Ф_808_2023_2017[],MATCH(O$262,'Ф_808_2023-2017'!$1:$1,0),0))</f>
        <v>0</v>
      </c>
      <c r="P276" s="1351"/>
    </row>
    <row r="277" spans="1:16" ht="29.25" customHeight="1" x14ac:dyDescent="0.2">
      <c r="A277" s="1301"/>
      <c r="B277" s="1301" t="s">
        <v>1544</v>
      </c>
      <c r="C277" s="1301" t="s">
        <v>1544</v>
      </c>
      <c r="D277" s="1301"/>
      <c r="E277" s="1183" t="s">
        <v>3078</v>
      </c>
      <c r="F277" s="1184"/>
      <c r="G277" s="1350">
        <f>IF(ISBLANK($B277),"",VLOOKUP($B277,Ф_808_2016_2015[],MATCH(G$262,'Ф_808_2016-2015'!$1:$1,0),0))</f>
        <v>156300</v>
      </c>
      <c r="H277" s="1349">
        <f>IF(ISBLANK($C277),"",VLOOKUP($C277,Ф_808_2023_2017[],MATCH(H$262,'Ф_808_2023-2017'!$1:$1,0),0))</f>
        <v>315083</v>
      </c>
      <c r="I277" s="1349">
        <f>IF(ISBLANK($C277),"",VLOOKUP($C277,Ф_808_2023_2017[],MATCH(I$262,'Ф_808_2023-2017'!$1:$1,0),0))</f>
        <v>747255</v>
      </c>
      <c r="J277" s="1349">
        <f>IF(ISBLANK($C277),"",VLOOKUP($C277,Ф_808_2023_2017[],MATCH(J$262,'Ф_808_2023-2017'!$1:$1,0),0))</f>
        <v>1783192</v>
      </c>
      <c r="K277" s="1349">
        <f>IF(ISBLANK($C277),"",VLOOKUP($C277,Ф_808_2023_2017[],MATCH(K$262,'Ф_808_2023-2017'!$1:$1,0),0))</f>
        <v>3037328</v>
      </c>
      <c r="L277" s="1349">
        <f>IF(ISBLANK($C277),"",VLOOKUP($C277,Ф_808_2023_2017[],MATCH(L$262,'Ф_808_2023-2017'!$1:$1,0),0))</f>
        <v>4409785</v>
      </c>
      <c r="M277" s="1349">
        <f>IF(ISBLANK($C277),"",VLOOKUP($C277,Ф_808_2023_2017[],MATCH(M$262,'Ф_808_2023-2017'!$1:$1,0),0))</f>
        <v>6973458</v>
      </c>
      <c r="N277" s="1349">
        <f>IF(ISBLANK($C277),"",VLOOKUP($C277,Ф_808_2023_2017[],MATCH(N$262,'Ф_808_2023-2017'!$1:$1,0),0))</f>
        <v>8737457</v>
      </c>
      <c r="O277" s="1349">
        <f>IF(ISBLANK($C277),"",VLOOKUP($C277,Ф_808_2023_2017[],MATCH(O$262,'Ф_808_2023-2017'!$1:$1,0),0))</f>
        <v>10774027</v>
      </c>
      <c r="P277" s="1351"/>
    </row>
    <row r="278" spans="1:16" ht="15" customHeight="1" x14ac:dyDescent="0.2">
      <c r="A278" s="1301"/>
      <c r="B278" s="1301" t="s">
        <v>1545</v>
      </c>
      <c r="C278" s="1301" t="s">
        <v>1545</v>
      </c>
      <c r="D278" s="1301"/>
      <c r="E278" s="1183" t="s">
        <v>3079</v>
      </c>
      <c r="F278" s="1184"/>
      <c r="G278" s="1350">
        <f>IF(ISBLANK($B278),"",VLOOKUP($B278,Ф_808_2016_2015[],MATCH(G$262,'Ф_808_2016-2015'!$1:$1,0),0))</f>
        <v>0</v>
      </c>
      <c r="H278" s="1349">
        <f>IF(ISBLANK($C278),"",VLOOKUP($C278,Ф_808_2023_2017[],MATCH(H$262,'Ф_808_2023-2017'!$1:$1,0),0))</f>
        <v>85194</v>
      </c>
      <c r="I278" s="1349">
        <f>IF(ISBLANK($C278),"",VLOOKUP($C278,Ф_808_2023_2017[],MATCH(I$262,'Ф_808_2023-2017'!$1:$1,0),0))</f>
        <v>264330</v>
      </c>
      <c r="J278" s="1349">
        <f>IF(ISBLANK($C278),"",VLOOKUP($C278,Ф_808_2023_2017[],MATCH(J$262,'Ф_808_2023-2017'!$1:$1,0),0))</f>
        <v>708714</v>
      </c>
      <c r="K278" s="1349">
        <f>IF(ISBLANK($C278),"",VLOOKUP($C278,Ф_808_2023_2017[],MATCH(K$262,'Ф_808_2023-2017'!$1:$1,0),0))</f>
        <v>883074</v>
      </c>
      <c r="L278" s="1349">
        <f>IF(ISBLANK($C278),"",VLOOKUP($C278,Ф_808_2023_2017[],MATCH(L$262,'Ф_808_2023-2017'!$1:$1,0),0))</f>
        <v>921846</v>
      </c>
      <c r="M278" s="1349">
        <f>IF(ISBLANK($C278),"",VLOOKUP($C278,Ф_808_2023_2017[],MATCH(M$262,'Ф_808_2023-2017'!$1:$1,0),0))</f>
        <v>1997406</v>
      </c>
      <c r="N278" s="1349">
        <f>IF(ISBLANK($C278),"",VLOOKUP($C278,Ф_808_2023_2017[],MATCH(N$262,'Ф_808_2023-2017'!$1:$1,0),0))</f>
        <v>0</v>
      </c>
      <c r="O278" s="1349">
        <f>IF(ISBLANK($C278),"",VLOOKUP($C278,Ф_808_2023_2017[],MATCH(O$262,'Ф_808_2023-2017'!$1:$1,0),0))</f>
        <v>0</v>
      </c>
      <c r="P278" s="1351"/>
    </row>
    <row r="279" spans="1:16" ht="15" customHeight="1" x14ac:dyDescent="0.2">
      <c r="A279" s="1301"/>
      <c r="B279" s="1301" t="s">
        <v>1546</v>
      </c>
      <c r="C279" s="1301" t="s">
        <v>1546</v>
      </c>
      <c r="D279" s="1301"/>
      <c r="E279" s="1183" t="s">
        <v>3080</v>
      </c>
      <c r="F279" s="1184"/>
      <c r="G279" s="1350">
        <f>IF(ISBLANK($B279),"",VLOOKUP($B279,Ф_808_2016_2015[],MATCH(G$262,'Ф_808_2016-2015'!$1:$1,0),0))</f>
        <v>0</v>
      </c>
      <c r="H279" s="1349">
        <f>IF(ISBLANK($C279),"",VLOOKUP($C279,Ф_808_2023_2017[],MATCH(H$262,'Ф_808_2023-2017'!$1:$1,0),0))</f>
        <v>0</v>
      </c>
      <c r="I279" s="1349">
        <f>IF(ISBLANK($C279),"",VLOOKUP($C279,Ф_808_2023_2017[],MATCH(I$262,'Ф_808_2023-2017'!$1:$1,0),0))</f>
        <v>0</v>
      </c>
      <c r="J279" s="1349">
        <f>IF(ISBLANK($C279),"",VLOOKUP($C279,Ф_808_2023_2017[],MATCH(J$262,'Ф_808_2023-2017'!$1:$1,0),0))</f>
        <v>0</v>
      </c>
      <c r="K279" s="1349">
        <f>IF(ISBLANK($C279),"",VLOOKUP($C279,Ф_808_2023_2017[],MATCH(K$262,'Ф_808_2023-2017'!$1:$1,0),0))</f>
        <v>0</v>
      </c>
      <c r="L279" s="1349">
        <f>IF(ISBLANK($C279),"",VLOOKUP($C279,Ф_808_2023_2017[],MATCH(L$262,'Ф_808_2023-2017'!$1:$1,0),0))</f>
        <v>0</v>
      </c>
      <c r="M279" s="1349">
        <f>IF(ISBLANK($C279),"",VLOOKUP($C279,Ф_808_2023_2017[],MATCH(M$262,'Ф_808_2023-2017'!$1:$1,0),0))</f>
        <v>0</v>
      </c>
      <c r="N279" s="1349">
        <f>IF(ISBLANK($C279),"",VLOOKUP($C279,Ф_808_2023_2017[],MATCH(N$262,'Ф_808_2023-2017'!$1:$1,0),0))</f>
        <v>0</v>
      </c>
      <c r="O279" s="1349">
        <f>IF(ISBLANK($C279),"",VLOOKUP($C279,Ф_808_2023_2017[],MATCH(O$262,'Ф_808_2023-2017'!$1:$1,0),0))</f>
        <v>0</v>
      </c>
      <c r="P279" s="1351"/>
    </row>
    <row r="280" spans="1:16" ht="15" customHeight="1" x14ac:dyDescent="0.2">
      <c r="A280" s="1301"/>
      <c r="B280" s="1301" t="s">
        <v>1547</v>
      </c>
      <c r="C280" s="1301" t="s">
        <v>1547</v>
      </c>
      <c r="D280" s="1301"/>
      <c r="E280" s="1183" t="s">
        <v>3081</v>
      </c>
      <c r="F280" s="1184"/>
      <c r="G280" s="1350">
        <f>IF(ISBLANK($B280),"",VLOOKUP($B280,Ф_808_2016_2015[],MATCH(G$262,'Ф_808_2016-2015'!$1:$1,0),0))</f>
        <v>0</v>
      </c>
      <c r="H280" s="1349">
        <f>IF(ISBLANK($C280),"",VLOOKUP($C280,Ф_808_2023_2017[],MATCH(H$262,'Ф_808_2023-2017'!$1:$1,0),0))</f>
        <v>0</v>
      </c>
      <c r="I280" s="1349">
        <f>IF(ISBLANK($C280),"",VLOOKUP($C280,Ф_808_2023_2017[],MATCH(I$262,'Ф_808_2023-2017'!$1:$1,0),0))</f>
        <v>0</v>
      </c>
      <c r="J280" s="1349">
        <f>IF(ISBLANK($C280),"",VLOOKUP($C280,Ф_808_2023_2017[],MATCH(J$262,'Ф_808_2023-2017'!$1:$1,0),0))</f>
        <v>0</v>
      </c>
      <c r="K280" s="1349">
        <f>IF(ISBLANK($C280),"",VLOOKUP($C280,Ф_808_2023_2017[],MATCH(K$262,'Ф_808_2023-2017'!$1:$1,0),0))</f>
        <v>367065</v>
      </c>
      <c r="L280" s="1349">
        <f>IF(ISBLANK($C280),"",VLOOKUP($C280,Ф_808_2023_2017[],MATCH(L$262,'Ф_808_2023-2017'!$1:$1,0),0))</f>
        <v>367065</v>
      </c>
      <c r="M280" s="1349">
        <f>IF(ISBLANK($C280),"",VLOOKUP($C280,Ф_808_2023_2017[],MATCH(M$262,'Ф_808_2023-2017'!$1:$1,0),0))</f>
        <v>367065</v>
      </c>
      <c r="N280" s="1349">
        <f>IF(ISBLANK($C280),"",VLOOKUP($C280,Ф_808_2023_2017[],MATCH(N$262,'Ф_808_2023-2017'!$1:$1,0),0))</f>
        <v>367065</v>
      </c>
      <c r="O280" s="1349">
        <f>IF(ISBLANK($C280),"",VLOOKUP($C280,Ф_808_2023_2017[],MATCH(O$262,'Ф_808_2023-2017'!$1:$1,0),0))</f>
        <v>367065</v>
      </c>
      <c r="P280" s="1351"/>
    </row>
    <row r="281" spans="1:16" ht="15" customHeight="1" x14ac:dyDescent="0.2">
      <c r="A281" s="1301"/>
      <c r="B281" s="1301" t="s">
        <v>1548</v>
      </c>
      <c r="C281" s="1301" t="s">
        <v>1548</v>
      </c>
      <c r="D281" s="1301"/>
      <c r="E281" s="1183" t="s">
        <v>3082</v>
      </c>
      <c r="F281" s="1184"/>
      <c r="G281" s="1350">
        <f>IF(ISBLANK($B281),"",VLOOKUP($B281,Ф_808_2016_2015[],MATCH(G$262,'Ф_808_2016-2015'!$1:$1,0),0))</f>
        <v>0</v>
      </c>
      <c r="H281" s="1349">
        <f>IF(ISBLANK($C281),"",VLOOKUP($C281,Ф_808_2023_2017[],MATCH(H$262,'Ф_808_2023-2017'!$1:$1,0),0))</f>
        <v>0</v>
      </c>
      <c r="I281" s="1349">
        <f>IF(ISBLANK($C281),"",VLOOKUP($C281,Ф_808_2023_2017[],MATCH(I$262,'Ф_808_2023-2017'!$1:$1,0),0))</f>
        <v>0</v>
      </c>
      <c r="J281" s="1349">
        <f>IF(ISBLANK($C281),"",VLOOKUP($C281,Ф_808_2023_2017[],MATCH(J$262,'Ф_808_2023-2017'!$1:$1,0),0))</f>
        <v>0</v>
      </c>
      <c r="K281" s="1349">
        <f>IF(ISBLANK($C281),"",VLOOKUP($C281,Ф_808_2023_2017[],MATCH(K$262,'Ф_808_2023-2017'!$1:$1,0),0))</f>
        <v>0</v>
      </c>
      <c r="L281" s="1349">
        <f>IF(ISBLANK($C281),"",VLOOKUP($C281,Ф_808_2023_2017[],MATCH(L$262,'Ф_808_2023-2017'!$1:$1,0),0))</f>
        <v>0</v>
      </c>
      <c r="M281" s="1349">
        <f>IF(ISBLANK($C281),"",VLOOKUP($C281,Ф_808_2023_2017[],MATCH(M$262,'Ф_808_2023-2017'!$1:$1,0),0))</f>
        <v>0</v>
      </c>
      <c r="N281" s="1349">
        <f>IF(ISBLANK($C281),"",VLOOKUP($C281,Ф_808_2023_2017[],MATCH(N$262,'Ф_808_2023-2017'!$1:$1,0),0))</f>
        <v>0</v>
      </c>
      <c r="O281" s="1349">
        <f>IF(ISBLANK($C281),"",VLOOKUP($C281,Ф_808_2023_2017[],MATCH(O$262,'Ф_808_2023-2017'!$1:$1,0),0))</f>
        <v>0</v>
      </c>
      <c r="P281" s="1351"/>
    </row>
    <row r="282" spans="1:16" ht="36.75" customHeight="1" x14ac:dyDescent="0.2">
      <c r="A282" s="1301"/>
      <c r="B282" s="1301" t="s">
        <v>1549</v>
      </c>
      <c r="C282" s="1301" t="s">
        <v>1549</v>
      </c>
      <c r="D282" s="1301"/>
      <c r="E282" s="1183" t="s">
        <v>3083</v>
      </c>
      <c r="F282" s="1184"/>
      <c r="G282" s="1350">
        <f>IF(ISBLANK($B282),"",VLOOKUP($B282,Ф_808_2016_2015[],MATCH(G$262,'Ф_808_2016-2015'!$1:$1,0),0))</f>
        <v>0</v>
      </c>
      <c r="H282" s="1349">
        <f>IF(ISBLANK($C282),"",VLOOKUP($C282,Ф_808_2023_2017[],MATCH(H$262,'Ф_808_2023-2017'!$1:$1,0),0))</f>
        <v>0</v>
      </c>
      <c r="I282" s="1349">
        <f>IF(ISBLANK($C282),"",VLOOKUP($C282,Ф_808_2023_2017[],MATCH(I$262,'Ф_808_2023-2017'!$1:$1,0),0))</f>
        <v>0</v>
      </c>
      <c r="J282" s="1349">
        <f>IF(ISBLANK($C282),"",VLOOKUP($C282,Ф_808_2023_2017[],MATCH(J$262,'Ф_808_2023-2017'!$1:$1,0),0))</f>
        <v>0</v>
      </c>
      <c r="K282" s="1349">
        <f>IF(ISBLANK($C282),"",VLOOKUP($C282,Ф_808_2023_2017[],MATCH(K$262,'Ф_808_2023-2017'!$1:$1,0),0))</f>
        <v>0</v>
      </c>
      <c r="L282" s="1349">
        <f>IF(ISBLANK($C282),"",VLOOKUP($C282,Ф_808_2023_2017[],MATCH(L$262,'Ф_808_2023-2017'!$1:$1,0),0))</f>
        <v>0</v>
      </c>
      <c r="M282" s="1349">
        <f>IF(ISBLANK($C282),"",VLOOKUP($C282,Ф_808_2023_2017[],MATCH(M$262,'Ф_808_2023-2017'!$1:$1,0),0))</f>
        <v>0</v>
      </c>
      <c r="N282" s="1349">
        <f>IF(ISBLANK($C282),"",VLOOKUP($C282,Ф_808_2023_2017[],MATCH(N$262,'Ф_808_2023-2017'!$1:$1,0),0))</f>
        <v>0</v>
      </c>
      <c r="O282" s="1349">
        <f>IF(ISBLANK($C282),"",VLOOKUP($C282,Ф_808_2023_2017[],MATCH(O$262,'Ф_808_2023-2017'!$1:$1,0),0))</f>
        <v>0</v>
      </c>
      <c r="P282" s="1351"/>
    </row>
    <row r="283" spans="1:16" ht="15" customHeight="1" x14ac:dyDescent="0.2">
      <c r="A283" s="1301"/>
      <c r="B283" s="1301" t="s">
        <v>1490</v>
      </c>
      <c r="C283" s="1301" t="s">
        <v>1490</v>
      </c>
      <c r="D283" s="1301"/>
      <c r="E283" s="1183" t="s">
        <v>3084</v>
      </c>
      <c r="F283" s="1184"/>
      <c r="G283" s="1350">
        <f>IF(ISBLANK($B283),"",VLOOKUP($B283,Ф_808_2016_2015[],MATCH(G$262,'Ф_808_2016-2015'!$1:$1,0),0))</f>
        <v>0</v>
      </c>
      <c r="H283" s="1349">
        <f>IF(ISBLANK($C283),"",VLOOKUP($C283,Ф_808_2023_2017[],MATCH(H$262,'Ф_808_2023-2017'!$1:$1,0),0))</f>
        <v>0</v>
      </c>
      <c r="I283" s="1349">
        <f>IF(ISBLANK($C283),"",VLOOKUP($C283,Ф_808_2023_2017[],MATCH(I$262,'Ф_808_2023-2017'!$1:$1,0),0))</f>
        <v>0</v>
      </c>
      <c r="J283" s="1349">
        <f>IF(ISBLANK($C283),"",VLOOKUP($C283,Ф_808_2023_2017[],MATCH(J$262,'Ф_808_2023-2017'!$1:$1,0),0))</f>
        <v>0</v>
      </c>
      <c r="K283" s="1349">
        <f>IF(ISBLANK($C283),"",VLOOKUP($C283,Ф_808_2023_2017[],MATCH(K$262,'Ф_808_2023-2017'!$1:$1,0),0))</f>
        <v>0</v>
      </c>
      <c r="L283" s="1349">
        <f>IF(ISBLANK($C283),"",VLOOKUP($C283,Ф_808_2023_2017[],MATCH(L$262,'Ф_808_2023-2017'!$1:$1,0),0))</f>
        <v>0</v>
      </c>
      <c r="M283" s="1349">
        <f>IF(ISBLANK($C283),"",VLOOKUP($C283,Ф_808_2023_2017[],MATCH(M$262,'Ф_808_2023-2017'!$1:$1,0),0))</f>
        <v>0</v>
      </c>
      <c r="N283" s="1349">
        <f>IF(ISBLANK($C283),"",VLOOKUP($C283,Ф_808_2023_2017[],MATCH(N$262,'Ф_808_2023-2017'!$1:$1,0),0))</f>
        <v>0</v>
      </c>
      <c r="O283" s="1349">
        <f>IF(ISBLANK($C283),"",VLOOKUP($C283,Ф_808_2023_2017[],MATCH(O$262,'Ф_808_2023-2017'!$1:$1,0),0))</f>
        <v>0</v>
      </c>
      <c r="P283" s="1351"/>
    </row>
    <row r="284" spans="1:16" ht="15" customHeight="1" x14ac:dyDescent="0.2">
      <c r="A284" s="1301"/>
      <c r="B284" s="1301" t="s">
        <v>1491</v>
      </c>
      <c r="C284" s="1301" t="s">
        <v>1491</v>
      </c>
      <c r="D284" s="1301"/>
      <c r="E284" s="1183" t="s">
        <v>3085</v>
      </c>
      <c r="F284" s="1184"/>
      <c r="G284" s="1350">
        <f>IF(ISBLANK($B284),"",VLOOKUP($B284,Ф_808_2016_2015[],MATCH(G$262,'Ф_808_2016-2015'!$1:$1,0),0))</f>
        <v>0</v>
      </c>
      <c r="H284" s="1349">
        <f>IF(ISBLANK($C284),"",VLOOKUP($C284,Ф_808_2023_2017[],MATCH(H$262,'Ф_808_2023-2017'!$1:$1,0),0))</f>
        <v>0</v>
      </c>
      <c r="I284" s="1349">
        <f>IF(ISBLANK($C284),"",VLOOKUP($C284,Ф_808_2023_2017[],MATCH(I$262,'Ф_808_2023-2017'!$1:$1,0),0))</f>
        <v>378281</v>
      </c>
      <c r="J284" s="1349">
        <f>IF(ISBLANK($C284),"",VLOOKUP($C284,Ф_808_2023_2017[],MATCH(J$262,'Ф_808_2023-2017'!$1:$1,0),0))</f>
        <v>377330</v>
      </c>
      <c r="K284" s="1349">
        <f>IF(ISBLANK($C284),"",VLOOKUP($C284,Ф_808_2023_2017[],MATCH(K$262,'Ф_808_2023-2017'!$1:$1,0),0))</f>
        <v>397695</v>
      </c>
      <c r="L284" s="1349">
        <f>IF(ISBLANK($C284),"",VLOOKUP($C284,Ф_808_2023_2017[],MATCH(L$262,'Ф_808_2023-2017'!$1:$1,0),0))</f>
        <v>0</v>
      </c>
      <c r="M284" s="1349">
        <f>IF(ISBLANK($C284),"",VLOOKUP($C284,Ф_808_2023_2017[],MATCH(M$262,'Ф_808_2023-2017'!$1:$1,0),0))</f>
        <v>0</v>
      </c>
      <c r="N284" s="1349">
        <f>IF(ISBLANK($C284),"",VLOOKUP($C284,Ф_808_2023_2017[],MATCH(N$262,'Ф_808_2023-2017'!$1:$1,0),0))</f>
        <v>0</v>
      </c>
      <c r="O284" s="1349">
        <f>IF(ISBLANK($C284),"",VLOOKUP($C284,Ф_808_2023_2017[],MATCH(O$262,'Ф_808_2023-2017'!$1:$1,0),0))</f>
        <v>0</v>
      </c>
      <c r="P284" s="1351"/>
    </row>
    <row r="285" spans="1:16" ht="45.75" customHeight="1" x14ac:dyDescent="0.2">
      <c r="A285" s="1301"/>
      <c r="B285" s="1301" t="s">
        <v>1492</v>
      </c>
      <c r="C285" s="1301" t="s">
        <v>1492</v>
      </c>
      <c r="D285" s="1301"/>
      <c r="E285" s="1183" t="s">
        <v>3291</v>
      </c>
      <c r="F285" s="1184"/>
      <c r="G285" s="1350">
        <f>IF(ISBLANK($B285),"",VLOOKUP($B285,Ф_808_2016_2015[],MATCH(G$262,'Ф_808_2016-2015'!$1:$1,0),0))</f>
        <v>0</v>
      </c>
      <c r="H285" s="1349">
        <f>IF(ISBLANK($C285),"",VLOOKUP($C285,Ф_808_2023_2017[],MATCH(H$262,'Ф_808_2023-2017'!$1:$1,0),0))</f>
        <v>0</v>
      </c>
      <c r="I285" s="1349">
        <f>IF(ISBLANK($C285),"",VLOOKUP($C285,Ф_808_2023_2017[],MATCH(I$262,'Ф_808_2023-2017'!$1:$1,0),0))</f>
        <v>0</v>
      </c>
      <c r="J285" s="1349">
        <f>IF(ISBLANK($C285),"",VLOOKUP($C285,Ф_808_2023_2017[],MATCH(J$262,'Ф_808_2023-2017'!$1:$1,0),0))</f>
        <v>6180</v>
      </c>
      <c r="K285" s="1349">
        <f>IF(ISBLANK($C285),"",VLOOKUP($C285,Ф_808_2023_2017[],MATCH(K$262,'Ф_808_2023-2017'!$1:$1,0),0))</f>
        <v>6180</v>
      </c>
      <c r="L285" s="1349">
        <f>IF(ISBLANK($C285),"",VLOOKUP($C285,Ф_808_2023_2017[],MATCH(L$262,'Ф_808_2023-2017'!$1:$1,0),0))</f>
        <v>0</v>
      </c>
      <c r="M285" s="1349">
        <f>IF(ISBLANK($C285),"",VLOOKUP($C285,Ф_808_2023_2017[],MATCH(M$262,'Ф_808_2023-2017'!$1:$1,0),0))</f>
        <v>0</v>
      </c>
      <c r="N285" s="1349">
        <f>IF(ISBLANK($C285),"",VLOOKUP($C285,Ф_808_2023_2017[],MATCH(N$262,'Ф_808_2023-2017'!$1:$1,0),0))</f>
        <v>0</v>
      </c>
      <c r="O285" s="1349">
        <f>IF(ISBLANK($C285),"",VLOOKUP($C285,Ф_808_2023_2017[],MATCH(O$262,'Ф_808_2023-2017'!$1:$1,0),0))</f>
        <v>0</v>
      </c>
      <c r="P285" s="1351"/>
    </row>
    <row r="286" spans="1:16" ht="38.25" customHeight="1" x14ac:dyDescent="0.2">
      <c r="A286" s="1301"/>
      <c r="B286" s="1301" t="s">
        <v>1493</v>
      </c>
      <c r="C286" s="1301" t="s">
        <v>1493</v>
      </c>
      <c r="D286" s="1301"/>
      <c r="E286" s="1183" t="s">
        <v>3087</v>
      </c>
      <c r="F286" s="1184"/>
      <c r="G286" s="1350">
        <f>IF(ISBLANK($B286),"",VLOOKUP($B286,Ф_808_2016_2015[],MATCH(G$262,'Ф_808_2016-2015'!$1:$1,0),0))</f>
        <v>0</v>
      </c>
      <c r="H286" s="1349">
        <f>IF(ISBLANK($C286),"",VLOOKUP($C286,Ф_808_2023_2017[],MATCH(H$262,'Ф_808_2023-2017'!$1:$1,0),0))</f>
        <v>0</v>
      </c>
      <c r="I286" s="1349">
        <f>IF(ISBLANK($C286),"",VLOOKUP($C286,Ф_808_2023_2017[],MATCH(I$262,'Ф_808_2023-2017'!$1:$1,0),0))</f>
        <v>0</v>
      </c>
      <c r="J286" s="1349">
        <f>IF(ISBLANK($C286),"",VLOOKUP($C286,Ф_808_2023_2017[],MATCH(J$262,'Ф_808_2023-2017'!$1:$1,0),0))</f>
        <v>0</v>
      </c>
      <c r="K286" s="1349">
        <f>IF(ISBLANK($C286),"",VLOOKUP($C286,Ф_808_2023_2017[],MATCH(K$262,'Ф_808_2023-2017'!$1:$1,0),0))</f>
        <v>0</v>
      </c>
      <c r="L286" s="1349">
        <f>IF(ISBLANK($C286),"",VLOOKUP($C286,Ф_808_2023_2017[],MATCH(L$262,'Ф_808_2023-2017'!$1:$1,0),0))</f>
        <v>0</v>
      </c>
      <c r="M286" s="1349">
        <f>IF(ISBLANK($C286),"",VLOOKUP($C286,Ф_808_2023_2017[],MATCH(M$262,'Ф_808_2023-2017'!$1:$1,0),0))</f>
        <v>0</v>
      </c>
      <c r="N286" s="1349">
        <f>IF(ISBLANK($C286),"",VLOOKUP($C286,Ф_808_2023_2017[],MATCH(N$262,'Ф_808_2023-2017'!$1:$1,0),0))</f>
        <v>0</v>
      </c>
      <c r="O286" s="1349">
        <f>IF(ISBLANK($C286),"",VLOOKUP($C286,Ф_808_2023_2017[],MATCH(O$262,'Ф_808_2023-2017'!$1:$1,0),0))</f>
        <v>0</v>
      </c>
      <c r="P286" s="1351"/>
    </row>
    <row r="287" spans="1:16" ht="32.25" customHeight="1" x14ac:dyDescent="0.2">
      <c r="A287" s="1301"/>
      <c r="B287" s="1301" t="s">
        <v>1494</v>
      </c>
      <c r="C287" s="1301" t="s">
        <v>1494</v>
      </c>
      <c r="D287" s="1301"/>
      <c r="E287" s="1183" t="s">
        <v>3088</v>
      </c>
      <c r="F287" s="1184"/>
      <c r="G287" s="1350">
        <f>IF(ISBLANK($B287),"",VLOOKUP($B287,Ф_808_2016_2015[],MATCH(G$262,'Ф_808_2016-2015'!$1:$1,0),0))</f>
        <v>0</v>
      </c>
      <c r="H287" s="1349">
        <f>IF(ISBLANK($C287),"",VLOOKUP($C287,Ф_808_2023_2017[],MATCH(H$262,'Ф_808_2023-2017'!$1:$1,0),0))</f>
        <v>0</v>
      </c>
      <c r="I287" s="1349">
        <f>IF(ISBLANK($C287),"",VLOOKUP($C287,Ф_808_2023_2017[],MATCH(I$262,'Ф_808_2023-2017'!$1:$1,0),0))</f>
        <v>0</v>
      </c>
      <c r="J287" s="1349">
        <f>IF(ISBLANK($C287),"",VLOOKUP($C287,Ф_808_2023_2017[],MATCH(J$262,'Ф_808_2023-2017'!$1:$1,0),0))</f>
        <v>0</v>
      </c>
      <c r="K287" s="1349">
        <f>IF(ISBLANK($C287),"",VLOOKUP($C287,Ф_808_2023_2017[],MATCH(K$262,'Ф_808_2023-2017'!$1:$1,0),0))</f>
        <v>0</v>
      </c>
      <c r="L287" s="1349">
        <f>IF(ISBLANK($C287),"",VLOOKUP($C287,Ф_808_2023_2017[],MATCH(L$262,'Ф_808_2023-2017'!$1:$1,0),0))</f>
        <v>0</v>
      </c>
      <c r="M287" s="1349">
        <f>IF(ISBLANK($C287),"",VLOOKUP($C287,Ф_808_2023_2017[],MATCH(M$262,'Ф_808_2023-2017'!$1:$1,0),0))</f>
        <v>0</v>
      </c>
      <c r="N287" s="1349">
        <f>IF(ISBLANK($C287),"",VLOOKUP($C287,Ф_808_2023_2017[],MATCH(N$262,'Ф_808_2023-2017'!$1:$1,0),0))</f>
        <v>0</v>
      </c>
      <c r="O287" s="1349">
        <f>IF(ISBLANK($C287),"",VLOOKUP($C287,Ф_808_2023_2017[],MATCH(O$262,'Ф_808_2023-2017'!$1:$1,0),0))</f>
        <v>0</v>
      </c>
      <c r="P287" s="1351"/>
    </row>
    <row r="288" spans="1:16" ht="15" customHeight="1" x14ac:dyDescent="0.2">
      <c r="A288" s="1301"/>
      <c r="B288" s="1301" t="s">
        <v>1495</v>
      </c>
      <c r="C288" s="1301" t="s">
        <v>1495</v>
      </c>
      <c r="D288" s="1301"/>
      <c r="E288" s="1183" t="s">
        <v>3089</v>
      </c>
      <c r="F288" s="1184"/>
      <c r="G288" s="1350">
        <f>IF(ISBLANK($B288),"",VLOOKUP($B288,Ф_808_2016_2015[],MATCH(G$262,'Ф_808_2016-2015'!$1:$1,0),0))</f>
        <v>0</v>
      </c>
      <c r="H288" s="1349">
        <f>IF(ISBLANK($C288),"",VLOOKUP($C288,Ф_808_2023_2017[],MATCH(H$262,'Ф_808_2023-2017'!$1:$1,0),0))</f>
        <v>0</v>
      </c>
      <c r="I288" s="1349">
        <f>IF(ISBLANK($C288),"",VLOOKUP($C288,Ф_808_2023_2017[],MATCH(I$262,'Ф_808_2023-2017'!$1:$1,0),0))</f>
        <v>0</v>
      </c>
      <c r="J288" s="1349">
        <f>IF(ISBLANK($C288),"",VLOOKUP($C288,Ф_808_2023_2017[],MATCH(J$262,'Ф_808_2023-2017'!$1:$1,0),0))</f>
        <v>0</v>
      </c>
      <c r="K288" s="1349">
        <f>IF(ISBLANK($C288),"",VLOOKUP($C288,Ф_808_2023_2017[],MATCH(K$262,'Ф_808_2023-2017'!$1:$1,0),0))</f>
        <v>0</v>
      </c>
      <c r="L288" s="1349">
        <f>IF(ISBLANK($C288),"",VLOOKUP($C288,Ф_808_2023_2017[],MATCH(L$262,'Ф_808_2023-2017'!$1:$1,0),0))</f>
        <v>0</v>
      </c>
      <c r="M288" s="1349">
        <f>IF(ISBLANK($C288),"",VLOOKUP($C288,Ф_808_2023_2017[],MATCH(M$262,'Ф_808_2023-2017'!$1:$1,0),0))</f>
        <v>0</v>
      </c>
      <c r="N288" s="1349">
        <f>IF(ISBLANK($C288),"",VLOOKUP($C288,Ф_808_2023_2017[],MATCH(N$262,'Ф_808_2023-2017'!$1:$1,0),0))</f>
        <v>0</v>
      </c>
      <c r="O288" s="1349">
        <f>IF(ISBLANK($C288),"",VLOOKUP($C288,Ф_808_2023_2017[],MATCH(O$262,'Ф_808_2023-2017'!$1:$1,0),0))</f>
        <v>0</v>
      </c>
      <c r="P288" s="1351"/>
    </row>
    <row r="289" spans="1:16" ht="15" customHeight="1" x14ac:dyDescent="0.2">
      <c r="A289" s="1301"/>
      <c r="B289" s="1301" t="s">
        <v>1496</v>
      </c>
      <c r="C289" s="1301" t="s">
        <v>1496</v>
      </c>
      <c r="D289" s="1301"/>
      <c r="E289" s="1183" t="s">
        <v>3090</v>
      </c>
      <c r="F289" s="1184"/>
      <c r="G289" s="1350">
        <f>IF(ISBLANK($B289),"",VLOOKUP($B289,Ф_808_2016_2015[],MATCH(G$262,'Ф_808_2016-2015'!$1:$1,0),0))</f>
        <v>0</v>
      </c>
      <c r="H289" s="1349">
        <f>IF(ISBLANK($C289),"",VLOOKUP($C289,Ф_808_2023_2017[],MATCH(H$262,'Ф_808_2023-2017'!$1:$1,0),0))</f>
        <v>0</v>
      </c>
      <c r="I289" s="1349">
        <f>IF(ISBLANK($C289),"",VLOOKUP($C289,Ф_808_2023_2017[],MATCH(I$262,'Ф_808_2023-2017'!$1:$1,0),0))</f>
        <v>0</v>
      </c>
      <c r="J289" s="1349">
        <f>IF(ISBLANK($C289),"",VLOOKUP($C289,Ф_808_2023_2017[],MATCH(J$262,'Ф_808_2023-2017'!$1:$1,0),0))</f>
        <v>0</v>
      </c>
      <c r="K289" s="1349">
        <f>IF(ISBLANK($C289),"",VLOOKUP($C289,Ф_808_2023_2017[],MATCH(K$262,'Ф_808_2023-2017'!$1:$1,0),0))</f>
        <v>0</v>
      </c>
      <c r="L289" s="1349">
        <f>IF(ISBLANK($C289),"",VLOOKUP($C289,Ф_808_2023_2017[],MATCH(L$262,'Ф_808_2023-2017'!$1:$1,0),0))</f>
        <v>0</v>
      </c>
      <c r="M289" s="1349">
        <f>IF(ISBLANK($C289),"",VLOOKUP($C289,Ф_808_2023_2017[],MATCH(M$262,'Ф_808_2023-2017'!$1:$1,0),0))</f>
        <v>0</v>
      </c>
      <c r="N289" s="1349">
        <f>IF(ISBLANK($C289),"",VLOOKUP($C289,Ф_808_2023_2017[],MATCH(N$262,'Ф_808_2023-2017'!$1:$1,0),0))</f>
        <v>0</v>
      </c>
      <c r="O289" s="1349">
        <f>IF(ISBLANK($C289),"",VLOOKUP($C289,Ф_808_2023_2017[],MATCH(O$262,'Ф_808_2023-2017'!$1:$1,0),0))</f>
        <v>0</v>
      </c>
      <c r="P289" s="1351"/>
    </row>
    <row r="290" spans="1:16" ht="46.5" customHeight="1" x14ac:dyDescent="0.2">
      <c r="A290" s="1301"/>
      <c r="B290" s="1301" t="s">
        <v>1497</v>
      </c>
      <c r="C290" s="1301" t="s">
        <v>1497</v>
      </c>
      <c r="D290" s="1301"/>
      <c r="E290" s="1183" t="s">
        <v>3091</v>
      </c>
      <c r="F290" s="1184"/>
      <c r="G290" s="1350">
        <f>IF(ISBLANK($B290),"",VLOOKUP($B290,Ф_808_2016_2015[],MATCH(G$262,'Ф_808_2016-2015'!$1:$1,0),0))</f>
        <v>0</v>
      </c>
      <c r="H290" s="1349">
        <f>IF(ISBLANK($C290),"",VLOOKUP($C290,Ф_808_2023_2017[],MATCH(H$262,'Ф_808_2023-2017'!$1:$1,0),0))</f>
        <v>0</v>
      </c>
      <c r="I290" s="1349">
        <f>IF(ISBLANK($C290),"",VLOOKUP($C290,Ф_808_2023_2017[],MATCH(I$262,'Ф_808_2023-2017'!$1:$1,0),0))</f>
        <v>0</v>
      </c>
      <c r="J290" s="1349">
        <f>IF(ISBLANK($C290),"",VLOOKUP($C290,Ф_808_2023_2017[],MATCH(J$262,'Ф_808_2023-2017'!$1:$1,0),0))</f>
        <v>0</v>
      </c>
      <c r="K290" s="1349">
        <f>IF(ISBLANK($C290),"",VLOOKUP($C290,Ф_808_2023_2017[],MATCH(K$262,'Ф_808_2023-2017'!$1:$1,0),0))</f>
        <v>0</v>
      </c>
      <c r="L290" s="1349">
        <f>IF(ISBLANK($C290),"",VLOOKUP($C290,Ф_808_2023_2017[],MATCH(L$262,'Ф_808_2023-2017'!$1:$1,0),0))</f>
        <v>0</v>
      </c>
      <c r="M290" s="1349">
        <f>IF(ISBLANK($C290),"",VLOOKUP($C290,Ф_808_2023_2017[],MATCH(M$262,'Ф_808_2023-2017'!$1:$1,0),0))</f>
        <v>0</v>
      </c>
      <c r="N290" s="1349">
        <f>IF(ISBLANK($C290),"",VLOOKUP($C290,Ф_808_2023_2017[],MATCH(N$262,'Ф_808_2023-2017'!$1:$1,0),0))</f>
        <v>0</v>
      </c>
      <c r="O290" s="1349">
        <f>IF(ISBLANK($C290),"",VLOOKUP($C290,Ф_808_2023_2017[],MATCH(O$262,'Ф_808_2023-2017'!$1:$1,0),0))</f>
        <v>0</v>
      </c>
      <c r="P290" s="1351"/>
    </row>
    <row r="291" spans="1:16" s="1398" customFormat="1" ht="30" x14ac:dyDescent="0.25">
      <c r="A291" s="1392"/>
      <c r="B291" s="1392" t="s">
        <v>1498</v>
      </c>
      <c r="C291" s="1392" t="s">
        <v>1498</v>
      </c>
      <c r="D291" s="1392"/>
      <c r="E291" s="1394" t="s">
        <v>3092</v>
      </c>
      <c r="F291" s="1393"/>
      <c r="G291" s="1396">
        <f>IF(ISBLANK($B291),"",VLOOKUP($B291,Ф_808_2016_2015[],MATCH(G$262,'Ф_808_2016-2015'!$1:$1,0),0))</f>
        <v>0</v>
      </c>
      <c r="H291" s="1395">
        <f>IF(ISBLANK($C291),"",VLOOKUP($C291,Ф_808_2023_2017[],MATCH(H$262,'Ф_808_2023-2017'!$1:$1,0),0))</f>
        <v>0</v>
      </c>
      <c r="I291" s="1395">
        <f>IF(ISBLANK($C291),"",VLOOKUP($C291,Ф_808_2023_2017[],MATCH(I$262,'Ф_808_2023-2017'!$1:$1,0),0))</f>
        <v>0</v>
      </c>
      <c r="J291" s="1395">
        <f>IF(ISBLANK($C291),"",VLOOKUP($C291,Ф_808_2023_2017[],MATCH(J$262,'Ф_808_2023-2017'!$1:$1,0),0))</f>
        <v>0</v>
      </c>
      <c r="K291" s="1395">
        <f>IF(ISBLANK($C291),"",VLOOKUP($C291,Ф_808_2023_2017[],MATCH(K$262,'Ф_808_2023-2017'!$1:$1,0),0))</f>
        <v>0</v>
      </c>
      <c r="L291" s="1395">
        <f>IF(ISBLANK($C291),"",VLOOKUP($C291,Ф_808_2023_2017[],MATCH(L$262,'Ф_808_2023-2017'!$1:$1,0),0))</f>
        <v>0</v>
      </c>
      <c r="M291" s="1395">
        <f>IF(ISBLANK($C291),"",VLOOKUP($C291,Ф_808_2023_2017[],MATCH(M$262,'Ф_808_2023-2017'!$1:$1,0),0))</f>
        <v>0</v>
      </c>
      <c r="N291" s="1395">
        <f>IF(ISBLANK($C291),"",VLOOKUP($C291,Ф_808_2023_2017[],MATCH(N$262,'Ф_808_2023-2017'!$1:$1,0),0))</f>
        <v>0</v>
      </c>
      <c r="O291" s="1395">
        <f>IF(ISBLANK($C291),"",VLOOKUP($C291,Ф_808_2023_2017[],MATCH(O$262,'Ф_808_2023-2017'!$1:$1,0),0))</f>
        <v>0</v>
      </c>
      <c r="P291" s="1397"/>
    </row>
    <row r="292" spans="1:16" s="1398" customFormat="1" x14ac:dyDescent="0.25">
      <c r="A292" s="1392"/>
      <c r="B292" s="1392" t="s">
        <v>1499</v>
      </c>
      <c r="C292" s="1392" t="s">
        <v>1499</v>
      </c>
      <c r="D292" s="1392"/>
      <c r="E292" s="1394" t="s">
        <v>3093</v>
      </c>
      <c r="F292" s="1393"/>
      <c r="G292" s="1396">
        <f>IF(ISBLANK($B292),"",VLOOKUP($B292,Ф_808_2016_2015[],MATCH(G$262,'Ф_808_2016-2015'!$1:$1,0),0))</f>
        <v>0</v>
      </c>
      <c r="H292" s="1395">
        <f>IF(ISBLANK($C292),"",VLOOKUP($C292,Ф_808_2023_2017[],MATCH(H$262,'Ф_808_2023-2017'!$1:$1,0),0))</f>
        <v>0</v>
      </c>
      <c r="I292" s="1395">
        <f>IF(ISBLANK($C292),"",VLOOKUP($C292,Ф_808_2023_2017[],MATCH(I$262,'Ф_808_2023-2017'!$1:$1,0),0))</f>
        <v>0</v>
      </c>
      <c r="J292" s="1395">
        <f>IF(ISBLANK($C292),"",VLOOKUP($C292,Ф_808_2023_2017[],MATCH(J$262,'Ф_808_2023-2017'!$1:$1,0),0))</f>
        <v>0</v>
      </c>
      <c r="K292" s="1395">
        <f>IF(ISBLANK($C292),"",VLOOKUP($C292,Ф_808_2023_2017[],MATCH(K$262,'Ф_808_2023-2017'!$1:$1,0),0))</f>
        <v>0</v>
      </c>
      <c r="L292" s="1395">
        <f>IF(ISBLANK($C292),"",VLOOKUP($C292,Ф_808_2023_2017[],MATCH(L$262,'Ф_808_2023-2017'!$1:$1,0),0))</f>
        <v>0</v>
      </c>
      <c r="M292" s="1395">
        <f>IF(ISBLANK($C292),"",VLOOKUP($C292,Ф_808_2023_2017[],MATCH(M$262,'Ф_808_2023-2017'!$1:$1,0),0))</f>
        <v>0</v>
      </c>
      <c r="N292" s="1395">
        <f>IF(ISBLANK($C292),"",VLOOKUP($C292,Ф_808_2023_2017[],MATCH(N$262,'Ф_808_2023-2017'!$1:$1,0),0))</f>
        <v>0</v>
      </c>
      <c r="O292" s="1395">
        <f>IF(ISBLANK($C292),"",VLOOKUP($C292,Ф_808_2023_2017[],MATCH(O$262,'Ф_808_2023-2017'!$1:$1,0),0))</f>
        <v>0</v>
      </c>
      <c r="P292" s="1397"/>
    </row>
    <row r="293" spans="1:16" s="1398" customFormat="1" x14ac:dyDescent="0.25">
      <c r="A293" s="1392"/>
      <c r="B293" s="1392" t="s">
        <v>1487</v>
      </c>
      <c r="C293" s="1392" t="s">
        <v>1487</v>
      </c>
      <c r="D293" s="1392"/>
      <c r="E293" s="1394" t="s">
        <v>3094</v>
      </c>
      <c r="F293" s="1393"/>
      <c r="G293" s="1396">
        <f>IF(ISBLANK($B293),"",VLOOKUP($B293,Ф_808_2016_2015[],MATCH(G$262,'Ф_808_2016-2015'!$1:$1,0),0))</f>
        <v>0</v>
      </c>
      <c r="H293" s="1395">
        <f>IF(ISBLANK($C293),"",VLOOKUP($C293,Ф_808_2023_2017[],MATCH(H$262,'Ф_808_2023-2017'!$1:$1,0),0))</f>
        <v>0</v>
      </c>
      <c r="I293" s="1395">
        <f>IF(ISBLANK($C293),"",VLOOKUP($C293,Ф_808_2023_2017[],MATCH(I$262,'Ф_808_2023-2017'!$1:$1,0),0))</f>
        <v>0</v>
      </c>
      <c r="J293" s="1395">
        <f>IF(ISBLANK($C293),"",VLOOKUP($C293,Ф_808_2023_2017[],MATCH(J$262,'Ф_808_2023-2017'!$1:$1,0),0))</f>
        <v>0</v>
      </c>
      <c r="K293" s="1395">
        <f>IF(ISBLANK($C293),"",VLOOKUP($C293,Ф_808_2023_2017[],MATCH(K$262,'Ф_808_2023-2017'!$1:$1,0),0))</f>
        <v>0</v>
      </c>
      <c r="L293" s="1395">
        <f>IF(ISBLANK($C293),"",VLOOKUP($C293,Ф_808_2023_2017[],MATCH(L$262,'Ф_808_2023-2017'!$1:$1,0),0))</f>
        <v>0</v>
      </c>
      <c r="M293" s="1395">
        <f>IF(ISBLANK($C293),"",VLOOKUP($C293,Ф_808_2023_2017[],MATCH(M$262,'Ф_808_2023-2017'!$1:$1,0),0))</f>
        <v>0</v>
      </c>
      <c r="N293" s="1395">
        <f>IF(ISBLANK($C293),"",VLOOKUP($C293,Ф_808_2023_2017[],MATCH(N$262,'Ф_808_2023-2017'!$1:$1,0),0))</f>
        <v>0</v>
      </c>
      <c r="O293" s="1395">
        <f>IF(ISBLANK($C293),"",VLOOKUP($C293,Ф_808_2023_2017[],MATCH(O$262,'Ф_808_2023-2017'!$1:$1,0),0))</f>
        <v>0</v>
      </c>
      <c r="P293" s="1397"/>
    </row>
    <row r="294" spans="1:16" ht="35.25" customHeight="1" x14ac:dyDescent="0.2">
      <c r="A294" s="1301"/>
      <c r="B294" s="1301" t="s">
        <v>1488</v>
      </c>
      <c r="C294" s="1301" t="s">
        <v>1488</v>
      </c>
      <c r="D294" s="1301"/>
      <c r="E294" s="1183" t="s">
        <v>3288</v>
      </c>
      <c r="F294" s="1184"/>
      <c r="G294" s="1350">
        <f>IF(ISBLANK($B294),"",VLOOKUP($B294,Ф_808_2016_2015[],MATCH(G$262,'Ф_808_2016-2015'!$1:$1,0),0))</f>
        <v>285141</v>
      </c>
      <c r="H294" s="1349">
        <f>IF(ISBLANK($C294),"",VLOOKUP($C294,Ф_808_2023_2017[],MATCH(H$262,'Ф_808_2023-2017'!$1:$1,0),0))</f>
        <v>299849</v>
      </c>
      <c r="I294" s="1349">
        <f>IF(ISBLANK($C294),"",VLOOKUP($C294,Ф_808_2023_2017[],MATCH(I$262,'Ф_808_2023-2017'!$1:$1,0),0))</f>
        <v>224198</v>
      </c>
      <c r="J294" s="1349">
        <f>IF(ISBLANK($C294),"",VLOOKUP($C294,Ф_808_2023_2017[],MATCH(J$262,'Ф_808_2023-2017'!$1:$1,0),0))</f>
        <v>224198</v>
      </c>
      <c r="K294" s="1349">
        <f>IF(ISBLANK($C294),"",VLOOKUP($C294,Ф_808_2023_2017[],MATCH(K$262,'Ф_808_2023-2017'!$1:$1,0),0))</f>
        <v>224198</v>
      </c>
      <c r="L294" s="1349">
        <f>IF(ISBLANK($C294),"",VLOOKUP($C294,Ф_808_2023_2017[],MATCH(L$262,'Ф_808_2023-2017'!$1:$1,0),0))</f>
        <v>224198</v>
      </c>
      <c r="M294" s="1349">
        <f>IF(ISBLANK($C294),"",VLOOKUP($C294,Ф_808_2023_2017[],MATCH(M$262,'Ф_808_2023-2017'!$1:$1,0),0))</f>
        <v>224198</v>
      </c>
      <c r="N294" s="1349">
        <f>IF(ISBLANK($C294),"",VLOOKUP($C294,Ф_808_2023_2017[],MATCH(N$262,'Ф_808_2023-2017'!$1:$1,0),0))</f>
        <v>224198</v>
      </c>
      <c r="O294" s="1349">
        <f>IF(ISBLANK($C294),"",VLOOKUP($C294,Ф_808_2023_2017[],MATCH(O$262,'Ф_808_2023-2017'!$1:$1,0),0))</f>
        <v>224198</v>
      </c>
      <c r="P294" s="1351"/>
    </row>
    <row r="295" spans="1:16" ht="15" customHeight="1" x14ac:dyDescent="0.2">
      <c r="A295" s="1301"/>
      <c r="B295" s="1301" t="s">
        <v>3239</v>
      </c>
      <c r="C295" s="1399"/>
      <c r="D295" s="1399"/>
      <c r="E295" s="1183" t="s">
        <v>3240</v>
      </c>
      <c r="F295" s="1184"/>
      <c r="G295" s="1350">
        <f>IF(ISBLANK($B295),"",VLOOKUP($B295,Ф_808_2016_2015[],MATCH(G$262,'Ф_808_2016-2015'!$1:$1,0),0))</f>
        <v>0</v>
      </c>
      <c r="H295" s="1349"/>
      <c r="I295" s="1349"/>
      <c r="J295" s="1349"/>
      <c r="K295" s="1349"/>
      <c r="L295" s="1349"/>
      <c r="M295" s="1349"/>
      <c r="N295" s="1349"/>
      <c r="O295" s="1349"/>
      <c r="P295" s="1351"/>
    </row>
    <row r="296" spans="1:16" ht="15" customHeight="1" x14ac:dyDescent="0.2">
      <c r="A296" s="1301"/>
      <c r="B296" s="1301" t="s">
        <v>1526</v>
      </c>
      <c r="C296" s="1301" t="s">
        <v>1526</v>
      </c>
      <c r="D296" s="1301"/>
      <c r="E296" s="1183" t="s">
        <v>223</v>
      </c>
      <c r="F296" s="1184"/>
      <c r="G296" s="1350">
        <f>IF(ISBLANK($B296),"",VLOOKUP($B296,Ф_808_2016_2015[],MATCH(G$262,'Ф_808_2016-2015'!$1:$1,0),0))</f>
        <v>655430</v>
      </c>
      <c r="H296" s="1349">
        <f>IF(ISBLANK($C296),"",VLOOKUP($C296,Ф_808_2023_2017[],MATCH(H$262,'Ф_808_2023-2017'!$1:$1,0),0))</f>
        <v>183731</v>
      </c>
      <c r="I296" s="1349">
        <f>IF(ISBLANK($C296),"",VLOOKUP($C296,Ф_808_2023_2017[],MATCH(I$262,'Ф_808_2023-2017'!$1:$1,0),0))</f>
        <v>0</v>
      </c>
      <c r="J296" s="1349">
        <f>IF(ISBLANK($C296),"",VLOOKUP($C296,Ф_808_2023_2017[],MATCH(J$262,'Ф_808_2023-2017'!$1:$1,0),0))</f>
        <v>0</v>
      </c>
      <c r="K296" s="1349">
        <f>IF(ISBLANK($C296),"",VLOOKUP($C296,Ф_808_2023_2017[],MATCH(K$262,'Ф_808_2023-2017'!$1:$1,0),0))</f>
        <v>0</v>
      </c>
      <c r="L296" s="1349">
        <f>IF(ISBLANK($C296),"",VLOOKUP($C296,Ф_808_2023_2017[],MATCH(L$262,'Ф_808_2023-2017'!$1:$1,0),0))</f>
        <v>0</v>
      </c>
      <c r="M296" s="1349">
        <f>IF(ISBLANK($C296),"",VLOOKUP($C296,Ф_808_2023_2017[],MATCH(M$262,'Ф_808_2023-2017'!$1:$1,0),0))</f>
        <v>0</v>
      </c>
      <c r="N296" s="1349">
        <f>IF(ISBLANK($C296),"",VLOOKUP($C296,Ф_808_2023_2017[],MATCH(N$262,'Ф_808_2023-2017'!$1:$1,0),0))</f>
        <v>0</v>
      </c>
      <c r="O296" s="1349">
        <f>IF(ISBLANK($C296),"",VLOOKUP($C296,Ф_808_2023_2017[],MATCH(O$262,'Ф_808_2023-2017'!$1:$1,0),0))</f>
        <v>0</v>
      </c>
      <c r="P296" s="1351"/>
    </row>
    <row r="297" spans="1:16" ht="33.75" customHeight="1" x14ac:dyDescent="0.2">
      <c r="A297" s="1299"/>
      <c r="B297" s="1299" t="s">
        <v>1527</v>
      </c>
      <c r="C297" s="1299" t="s">
        <v>1527</v>
      </c>
      <c r="D297" s="1299"/>
      <c r="E297" s="307" t="s">
        <v>3229</v>
      </c>
      <c r="F297" s="374"/>
      <c r="G297" s="1343">
        <f>IF(ISBLANK($B297),"",VLOOKUP($B297,Ф_808_2016_2015[],MATCH(G$262,'Ф_808_2016-2015'!$1:$1,0),0))</f>
        <v>1096871</v>
      </c>
      <c r="H297" s="1342">
        <f>IF(ISBLANK($C297),"",VLOOKUP($C297,Ф_808_2023_2017[],MATCH(H$262,'Ф_808_2023-2017'!$1:$1,0),0))</f>
        <v>883857</v>
      </c>
      <c r="I297" s="1342">
        <f>IF(ISBLANK($C297),"",VLOOKUP($C297,Ф_808_2023_2017[],MATCH(I$262,'Ф_808_2023-2017'!$1:$1,0),0))</f>
        <v>1614064</v>
      </c>
      <c r="J297" s="1342">
        <f>IF(ISBLANK($C297),"",VLOOKUP($C297,Ф_808_2023_2017[],MATCH(J$262,'Ф_808_2023-2017'!$1:$1,0),0))</f>
        <v>3099614</v>
      </c>
      <c r="K297" s="1342">
        <f>IF(ISBLANK($C297),"",VLOOKUP($C297,Ф_808_2023_2017[],MATCH(K$262,'Ф_808_2023-2017'!$1:$1,0),0))</f>
        <v>4915540</v>
      </c>
      <c r="L297" s="1342">
        <f>IF(ISBLANK($C297),"",VLOOKUP($C297,Ф_808_2023_2017[],MATCH(L$262,'Ф_808_2023-2017'!$1:$1,0),0))</f>
        <v>6339559</v>
      </c>
      <c r="M297" s="1342">
        <f>IF(ISBLANK($C297),"",VLOOKUP($C297,Ф_808_2023_2017[],MATCH(M$262,'Ф_808_2023-2017'!$1:$1,0),0))</f>
        <v>9981379</v>
      </c>
      <c r="N297" s="1342">
        <f>IF(ISBLANK($C297),"",VLOOKUP($C297,Ф_808_2023_2017[],MATCH(N$262,'Ф_808_2023-2017'!$1:$1,0),0))</f>
        <v>9746337</v>
      </c>
      <c r="O297" s="1342">
        <f>IF(ISBLANK($C297),"",VLOOKUP($C297,Ф_808_2023_2017[],MATCH(O$262,'Ф_808_2023-2017'!$1:$1,0),0))</f>
        <v>11755919</v>
      </c>
      <c r="P297" s="1344"/>
    </row>
    <row r="298" spans="1:16" s="1375" customFormat="1" ht="23.25" customHeight="1" x14ac:dyDescent="0.2">
      <c r="A298" s="1369"/>
      <c r="B298" s="1369" t="s">
        <v>1528</v>
      </c>
      <c r="C298" s="1369" t="s">
        <v>1528</v>
      </c>
      <c r="D298" s="1369"/>
      <c r="E298" s="1370" t="s">
        <v>3220</v>
      </c>
      <c r="F298" s="1371"/>
      <c r="G298" s="1373">
        <f>IF(ISBLANK($B298),"",VLOOKUP($B298,Ф_808_2016_2015[],MATCH(G$262,'Ф_808_2016-2015'!$1:$1,0),0))</f>
        <v>41629937</v>
      </c>
      <c r="H298" s="1372">
        <f>IF(ISBLANK($C298),"",VLOOKUP($C298,Ф_808_2023_2017[],MATCH(H$262,'Ф_808_2023-2017'!$1:$1,0),0))</f>
        <v>55538670</v>
      </c>
      <c r="I298" s="1372">
        <f>IF(ISBLANK($C298),"",VLOOKUP($C298,Ф_808_2023_2017[],MATCH(I$262,'Ф_808_2023-2017'!$1:$1,0),0))</f>
        <v>55345023</v>
      </c>
      <c r="J298" s="1372">
        <f>IF(ISBLANK($C298),"",VLOOKUP($C298,Ф_808_2023_2017[],MATCH(J$262,'Ф_808_2023-2017'!$1:$1,0),0))</f>
        <v>62315229</v>
      </c>
      <c r="K298" s="1372">
        <f>IF(ISBLANK($C298),"",VLOOKUP($C298,Ф_808_2023_2017[],MATCH(K$262,'Ф_808_2023-2017'!$1:$1,0),0))</f>
        <v>60769604</v>
      </c>
      <c r="L298" s="1372">
        <f>IF(ISBLANK($C298),"",VLOOKUP($C298,Ф_808_2023_2017[],MATCH(L$262,'Ф_808_2023-2017'!$1:$1,0),0))</f>
        <v>59345585</v>
      </c>
      <c r="M298" s="1372">
        <f>IF(ISBLANK($C298),"",VLOOKUP($C298,Ф_808_2023_2017[],MATCH(M$262,'Ф_808_2023-2017'!$1:$1,0),0))</f>
        <v>60312135</v>
      </c>
      <c r="N298" s="1372">
        <f>IF(ISBLANK($C298),"",VLOOKUP($C298,Ф_808_2023_2017[],MATCH(N$262,'Ф_808_2023-2017'!$1:$1,0),0))</f>
        <v>63193880</v>
      </c>
      <c r="O298" s="1372">
        <f>IF(ISBLANK($C298),"",VLOOKUP($C298,Ф_808_2023_2017[],MATCH(O$262,'Ф_808_2023-2017'!$1:$1,0),0))</f>
        <v>82575294</v>
      </c>
      <c r="P298" s="1374"/>
    </row>
    <row r="299" spans="1:16" s="1367" customFormat="1" ht="15" customHeight="1" x14ac:dyDescent="0.2">
      <c r="A299" s="1361"/>
      <c r="B299" s="1361"/>
      <c r="C299" s="1361"/>
      <c r="D299" s="1361"/>
      <c r="E299" s="1362" t="s">
        <v>3098</v>
      </c>
      <c r="F299" s="1363"/>
      <c r="G299" s="1365" t="str">
        <f>IF(ISBLANK($B299),"",VLOOKUP($B299,Ф_808_2016_2015[],MATCH(G$262,'Ф_808_2016-2015'!$1:$1,0),0))</f>
        <v/>
      </c>
      <c r="H299" s="1364" t="str">
        <f>IF(ISBLANK($C299),"",VLOOKUP($C299,Ф_808_2023_2017[],MATCH(H$262,'Ф_808_2023-2017'!$1:$1,0),0))</f>
        <v/>
      </c>
      <c r="I299" s="1364" t="str">
        <f>IF(ISBLANK($C299),"",VLOOKUP($C299,Ф_808_2023_2017[],MATCH(I$262,'Ф_808_2023-2017'!$1:$1,0),0))</f>
        <v/>
      </c>
      <c r="J299" s="1364" t="str">
        <f>IF(ISBLANK($C299),"",VLOOKUP($C299,Ф_808_2023_2017[],MATCH(J$262,'Ф_808_2023-2017'!$1:$1,0),0))</f>
        <v/>
      </c>
      <c r="K299" s="1364" t="str">
        <f>IF(ISBLANK($C299),"",VLOOKUP($C299,Ф_808_2023_2017[],MATCH(K$262,'Ф_808_2023-2017'!$1:$1,0),0))</f>
        <v/>
      </c>
      <c r="L299" s="1364" t="str">
        <f>IF(ISBLANK($C299),"",VLOOKUP($C299,Ф_808_2023_2017[],MATCH(L$262,'Ф_808_2023-2017'!$1:$1,0),0))</f>
        <v/>
      </c>
      <c r="M299" s="1364" t="str">
        <f>IF(ISBLANK($C299),"",VLOOKUP($C299,Ф_808_2023_2017[],MATCH(M$262,'Ф_808_2023-2017'!$1:$1,0),0))</f>
        <v/>
      </c>
      <c r="N299" s="1364" t="str">
        <f>IF(ISBLANK($C299),"",VLOOKUP($C299,Ф_808_2023_2017[],MATCH(N$262,'Ф_808_2023-2017'!$1:$1,0),0))</f>
        <v/>
      </c>
      <c r="O299" s="1364" t="str">
        <f>IF(ISBLANK($C299),"",VLOOKUP($C299,Ф_808_2023_2017[],MATCH(O$262,'Ф_808_2023-2017'!$1:$1,0),0))</f>
        <v/>
      </c>
      <c r="P299" s="1366"/>
    </row>
    <row r="300" spans="1:16" ht="15" customHeight="1" x14ac:dyDescent="0.2">
      <c r="A300" s="1301"/>
      <c r="B300" s="1301" t="s">
        <v>1531</v>
      </c>
      <c r="C300" s="1301" t="s">
        <v>1531</v>
      </c>
      <c r="D300" s="1301"/>
      <c r="E300" s="1183" t="s">
        <v>3099</v>
      </c>
      <c r="F300" s="1184"/>
      <c r="G300" s="1350">
        <f>IF(ISBLANK($B300),"",VLOOKUP($B300,Ф_808_2016_2015[],MATCH(G$262,'Ф_808_2016-2015'!$1:$1,0),0))</f>
        <v>0</v>
      </c>
      <c r="H300" s="1349">
        <f>IF(ISBLANK($C300),"",VLOOKUP($C300,Ф_808_2023_2017[],MATCH(H$262,'Ф_808_2023-2017'!$1:$1,0),0))</f>
        <v>0</v>
      </c>
      <c r="I300" s="1349">
        <f>IF(ISBLANK($C300),"",VLOOKUP($C300,Ф_808_2023_2017[],MATCH(I$262,'Ф_808_2023-2017'!$1:$1,0),0))</f>
        <v>0</v>
      </c>
      <c r="J300" s="1349">
        <f>IF(ISBLANK($C300),"",VLOOKUP($C300,Ф_808_2023_2017[],MATCH(J$262,'Ф_808_2023-2017'!$1:$1,0),0))</f>
        <v>0</v>
      </c>
      <c r="K300" s="1349">
        <f>IF(ISBLANK($C300),"",VLOOKUP($C300,Ф_808_2023_2017[],MATCH(K$262,'Ф_808_2023-2017'!$1:$1,0),0))</f>
        <v>0</v>
      </c>
      <c r="L300" s="1349">
        <f>IF(ISBLANK($C300),"",VLOOKUP($C300,Ф_808_2023_2017[],MATCH(L$262,'Ф_808_2023-2017'!$1:$1,0),0))</f>
        <v>0</v>
      </c>
      <c r="M300" s="1349">
        <f>IF(ISBLANK($C300),"",VLOOKUP($C300,Ф_808_2023_2017[],MATCH(M$262,'Ф_808_2023-2017'!$1:$1,0),0))</f>
        <v>0</v>
      </c>
      <c r="N300" s="1349">
        <f>IF(ISBLANK($C300),"",VLOOKUP($C300,Ф_808_2023_2017[],MATCH(N$262,'Ф_808_2023-2017'!$1:$1,0),0))</f>
        <v>0</v>
      </c>
      <c r="O300" s="1349">
        <f>IF(ISBLANK($C300),"",VLOOKUP($C300,Ф_808_2023_2017[],MATCH(O$262,'Ф_808_2023-2017'!$1:$1,0),0))</f>
        <v>0</v>
      </c>
      <c r="P300" s="1351"/>
    </row>
    <row r="301" spans="1:16" ht="15" customHeight="1" x14ac:dyDescent="0.2">
      <c r="A301" s="1301"/>
      <c r="B301" s="1301" t="s">
        <v>1532</v>
      </c>
      <c r="C301" s="1301" t="s">
        <v>1532</v>
      </c>
      <c r="D301" s="1301"/>
      <c r="E301" s="1183" t="s">
        <v>3100</v>
      </c>
      <c r="F301" s="1184"/>
      <c r="G301" s="1350">
        <f>IF(ISBLANK($B301),"",VLOOKUP($B301,Ф_808_2016_2015[],MATCH(G$262,'Ф_808_2016-2015'!$1:$1,0),0))</f>
        <v>0</v>
      </c>
      <c r="H301" s="1349">
        <f>IF(ISBLANK($C301),"",VLOOKUP($C301,Ф_808_2023_2017[],MATCH(H$262,'Ф_808_2023-2017'!$1:$1,0),0))</f>
        <v>0</v>
      </c>
      <c r="I301" s="1349">
        <f>IF(ISBLANK($C301),"",VLOOKUP($C301,Ф_808_2023_2017[],MATCH(I$262,'Ф_808_2023-2017'!$1:$1,0),0))</f>
        <v>0</v>
      </c>
      <c r="J301" s="1349">
        <f>IF(ISBLANK($C301),"",VLOOKUP($C301,Ф_808_2023_2017[],MATCH(J$262,'Ф_808_2023-2017'!$1:$1,0),0))</f>
        <v>0</v>
      </c>
      <c r="K301" s="1349">
        <f>IF(ISBLANK($C301),"",VLOOKUP($C301,Ф_808_2023_2017[],MATCH(K$262,'Ф_808_2023-2017'!$1:$1,0),0))</f>
        <v>0</v>
      </c>
      <c r="L301" s="1349">
        <f>IF(ISBLANK($C301),"",VLOOKUP($C301,Ф_808_2023_2017[],MATCH(L$262,'Ф_808_2023-2017'!$1:$1,0),0))</f>
        <v>0</v>
      </c>
      <c r="M301" s="1349">
        <f>IF(ISBLANK($C301),"",VLOOKUP($C301,Ф_808_2023_2017[],MATCH(M$262,'Ф_808_2023-2017'!$1:$1,0),0))</f>
        <v>0</v>
      </c>
      <c r="N301" s="1349">
        <f>IF(ISBLANK($C301),"",VLOOKUP($C301,Ф_808_2023_2017[],MATCH(N$262,'Ф_808_2023-2017'!$1:$1,0),0))</f>
        <v>0</v>
      </c>
      <c r="O301" s="1349">
        <f>IF(ISBLANK($C301),"",VLOOKUP($C301,Ф_808_2023_2017[],MATCH(O$262,'Ф_808_2023-2017'!$1:$1,0),0))</f>
        <v>0</v>
      </c>
      <c r="P301" s="1351"/>
    </row>
    <row r="302" spans="1:16" ht="15" customHeight="1" x14ac:dyDescent="0.2">
      <c r="A302" s="1301"/>
      <c r="B302" s="1301" t="s">
        <v>1533</v>
      </c>
      <c r="C302" s="1301" t="s">
        <v>1533</v>
      </c>
      <c r="D302" s="1301"/>
      <c r="E302" s="1183" t="s">
        <v>3101</v>
      </c>
      <c r="F302" s="1184"/>
      <c r="G302" s="1350">
        <f>IF(ISBLANK($B302),"",VLOOKUP($B302,Ф_808_2016_2015[],MATCH(G$262,'Ф_808_2016-2015'!$1:$1,0),0))</f>
        <v>0</v>
      </c>
      <c r="H302" s="1349">
        <f>IF(ISBLANK($C302),"",VLOOKUP($C302,Ф_808_2023_2017[],MATCH(H$262,'Ф_808_2023-2017'!$1:$1,0),0))</f>
        <v>0</v>
      </c>
      <c r="I302" s="1349">
        <f>IF(ISBLANK($C302),"",VLOOKUP($C302,Ф_808_2023_2017[],MATCH(I$262,'Ф_808_2023-2017'!$1:$1,0),0))</f>
        <v>0</v>
      </c>
      <c r="J302" s="1349">
        <f>IF(ISBLANK($C302),"",VLOOKUP($C302,Ф_808_2023_2017[],MATCH(J$262,'Ф_808_2023-2017'!$1:$1,0),0))</f>
        <v>0</v>
      </c>
      <c r="K302" s="1349">
        <f>IF(ISBLANK($C302),"",VLOOKUP($C302,Ф_808_2023_2017[],MATCH(K$262,'Ф_808_2023-2017'!$1:$1,0),0))</f>
        <v>0</v>
      </c>
      <c r="L302" s="1349">
        <f>IF(ISBLANK($C302),"",VLOOKUP($C302,Ф_808_2023_2017[],MATCH(L$262,'Ф_808_2023-2017'!$1:$1,0),0))</f>
        <v>0</v>
      </c>
      <c r="M302" s="1349">
        <f>IF(ISBLANK($C302),"",VLOOKUP($C302,Ф_808_2023_2017[],MATCH(M$262,'Ф_808_2023-2017'!$1:$1,0),0))</f>
        <v>0</v>
      </c>
      <c r="N302" s="1349">
        <f>IF(ISBLANK($C302),"",VLOOKUP($C302,Ф_808_2023_2017[],MATCH(N$262,'Ф_808_2023-2017'!$1:$1,0),0))</f>
        <v>0</v>
      </c>
      <c r="O302" s="1349">
        <f>IF(ISBLANK($C302),"",VLOOKUP($C302,Ф_808_2023_2017[],MATCH(O$262,'Ф_808_2023-2017'!$1:$1,0),0))</f>
        <v>0</v>
      </c>
      <c r="P302" s="1351"/>
    </row>
    <row r="303" spans="1:16" ht="30" customHeight="1" x14ac:dyDescent="0.2">
      <c r="A303" s="1301"/>
      <c r="B303" s="1301" t="s">
        <v>1534</v>
      </c>
      <c r="C303" s="1301" t="s">
        <v>1534</v>
      </c>
      <c r="D303" s="1301"/>
      <c r="E303" s="1183" t="s">
        <v>3102</v>
      </c>
      <c r="F303" s="1184"/>
      <c r="G303" s="1350">
        <f>IF(ISBLANK($B303),"",VLOOKUP($B303,Ф_808_2016_2015[],MATCH(G$262,'Ф_808_2016-2015'!$1:$1,0),0))</f>
        <v>0</v>
      </c>
      <c r="H303" s="1349">
        <f>IF(ISBLANK($C303),"",VLOOKUP($C303,Ф_808_2023_2017[],MATCH(H$262,'Ф_808_2023-2017'!$1:$1,0),0))</f>
        <v>0</v>
      </c>
      <c r="I303" s="1349">
        <f>IF(ISBLANK($C303),"",VLOOKUP($C303,Ф_808_2023_2017[],MATCH(I$262,'Ф_808_2023-2017'!$1:$1,0),0))</f>
        <v>0</v>
      </c>
      <c r="J303" s="1349">
        <f>IF(ISBLANK($C303),"",VLOOKUP($C303,Ф_808_2023_2017[],MATCH(J$262,'Ф_808_2023-2017'!$1:$1,0),0))</f>
        <v>0</v>
      </c>
      <c r="K303" s="1349">
        <f>IF(ISBLANK($C303),"",VLOOKUP($C303,Ф_808_2023_2017[],MATCH(K$262,'Ф_808_2023-2017'!$1:$1,0),0))</f>
        <v>0</v>
      </c>
      <c r="L303" s="1349">
        <f>IF(ISBLANK($C303),"",VLOOKUP($C303,Ф_808_2023_2017[],MATCH(L$262,'Ф_808_2023-2017'!$1:$1,0),0))</f>
        <v>0</v>
      </c>
      <c r="M303" s="1349">
        <f>IF(ISBLANK($C303),"",VLOOKUP($C303,Ф_808_2023_2017[],MATCH(M$262,'Ф_808_2023-2017'!$1:$1,0),0))</f>
        <v>0</v>
      </c>
      <c r="N303" s="1349">
        <f>IF(ISBLANK($C303),"",VLOOKUP($C303,Ф_808_2023_2017[],MATCH(N$262,'Ф_808_2023-2017'!$1:$1,0),0))</f>
        <v>0</v>
      </c>
      <c r="O303" s="1349">
        <f>IF(ISBLANK($C303),"",VLOOKUP($C303,Ф_808_2023_2017[],MATCH(O$262,'Ф_808_2023-2017'!$1:$1,0),0))</f>
        <v>0</v>
      </c>
      <c r="P303" s="1351"/>
    </row>
    <row r="304" spans="1:16" ht="37.5" customHeight="1" x14ac:dyDescent="0.2">
      <c r="A304" s="1301"/>
      <c r="B304" s="1301" t="s">
        <v>1535</v>
      </c>
      <c r="C304" s="1301" t="s">
        <v>1535</v>
      </c>
      <c r="D304" s="1301"/>
      <c r="E304" s="1183" t="s">
        <v>3103</v>
      </c>
      <c r="F304" s="1184"/>
      <c r="G304" s="1350">
        <f>IF(ISBLANK($B304),"",VLOOKUP($B304,Ф_808_2016_2015[],MATCH(G$262,'Ф_808_2016-2015'!$1:$1,0),0))</f>
        <v>0</v>
      </c>
      <c r="H304" s="1349">
        <f>IF(ISBLANK($C304),"",VLOOKUP($C304,Ф_808_2023_2017[],MATCH(H$262,'Ф_808_2023-2017'!$1:$1,0),0))</f>
        <v>0</v>
      </c>
      <c r="I304" s="1349">
        <f>IF(ISBLANK($C304),"",VLOOKUP($C304,Ф_808_2023_2017[],MATCH(I$262,'Ф_808_2023-2017'!$1:$1,0),0))</f>
        <v>0</v>
      </c>
      <c r="J304" s="1349">
        <f>IF(ISBLANK($C304),"",VLOOKUP($C304,Ф_808_2023_2017[],MATCH(J$262,'Ф_808_2023-2017'!$1:$1,0),0))</f>
        <v>0</v>
      </c>
      <c r="K304" s="1349">
        <f>IF(ISBLANK($C304),"",VLOOKUP($C304,Ф_808_2023_2017[],MATCH(K$262,'Ф_808_2023-2017'!$1:$1,0),0))</f>
        <v>0</v>
      </c>
      <c r="L304" s="1349">
        <f>IF(ISBLANK($C304),"",VLOOKUP($C304,Ф_808_2023_2017[],MATCH(L$262,'Ф_808_2023-2017'!$1:$1,0),0))</f>
        <v>0</v>
      </c>
      <c r="M304" s="1349">
        <f>IF(ISBLANK($C304),"",VLOOKUP($C304,Ф_808_2023_2017[],MATCH(M$262,'Ф_808_2023-2017'!$1:$1,0),0))</f>
        <v>0</v>
      </c>
      <c r="N304" s="1349">
        <f>IF(ISBLANK($C304),"",VLOOKUP($C304,Ф_808_2023_2017[],MATCH(N$262,'Ф_808_2023-2017'!$1:$1,0),0))</f>
        <v>0</v>
      </c>
      <c r="O304" s="1349">
        <f>IF(ISBLANK($C304),"",VLOOKUP($C304,Ф_808_2023_2017[],MATCH(O$262,'Ф_808_2023-2017'!$1:$1,0),0))</f>
        <v>0</v>
      </c>
      <c r="P304" s="1351"/>
    </row>
    <row r="305" spans="1:16" ht="51" customHeight="1" x14ac:dyDescent="0.2">
      <c r="A305" s="1301"/>
      <c r="B305" s="1301" t="s">
        <v>1536</v>
      </c>
      <c r="C305" s="1301" t="s">
        <v>1536</v>
      </c>
      <c r="D305" s="1301"/>
      <c r="E305" s="1183" t="s">
        <v>3104</v>
      </c>
      <c r="F305" s="1184"/>
      <c r="G305" s="1350">
        <f>IF(ISBLANK($B305),"",VLOOKUP($B305,Ф_808_2016_2015[],MATCH(G$262,'Ф_808_2016-2015'!$1:$1,0),0))</f>
        <v>0</v>
      </c>
      <c r="H305" s="1349">
        <f>IF(ISBLANK($C305),"",VLOOKUP($C305,Ф_808_2023_2017[],MATCH(H$262,'Ф_808_2023-2017'!$1:$1,0),0))</f>
        <v>0</v>
      </c>
      <c r="I305" s="1349">
        <f>IF(ISBLANK($C305),"",VLOOKUP($C305,Ф_808_2023_2017[],MATCH(I$262,'Ф_808_2023-2017'!$1:$1,0),0))</f>
        <v>0</v>
      </c>
      <c r="J305" s="1349">
        <f>IF(ISBLANK($C305),"",VLOOKUP($C305,Ф_808_2023_2017[],MATCH(J$262,'Ф_808_2023-2017'!$1:$1,0),0))</f>
        <v>0</v>
      </c>
      <c r="K305" s="1349">
        <f>IF(ISBLANK($C305),"",VLOOKUP($C305,Ф_808_2023_2017[],MATCH(K$262,'Ф_808_2023-2017'!$1:$1,0),0))</f>
        <v>0</v>
      </c>
      <c r="L305" s="1349">
        <f>IF(ISBLANK($C305),"",VLOOKUP($C305,Ф_808_2023_2017[],MATCH(L$262,'Ф_808_2023-2017'!$1:$1,0),0))</f>
        <v>0</v>
      </c>
      <c r="M305" s="1349">
        <f>IF(ISBLANK($C305),"",VLOOKUP($C305,Ф_808_2023_2017[],MATCH(M$262,'Ф_808_2023-2017'!$1:$1,0),0))</f>
        <v>0</v>
      </c>
      <c r="N305" s="1349">
        <f>IF(ISBLANK($C305),"",VLOOKUP($C305,Ф_808_2023_2017[],MATCH(N$262,'Ф_808_2023-2017'!$1:$1,0),0))</f>
        <v>0</v>
      </c>
      <c r="O305" s="1349">
        <f>IF(ISBLANK($C305),"",VLOOKUP($C305,Ф_808_2023_2017[],MATCH(O$262,'Ф_808_2023-2017'!$1:$1,0),0))</f>
        <v>0</v>
      </c>
      <c r="P305" s="1351"/>
    </row>
    <row r="306" spans="1:16" ht="39" customHeight="1" x14ac:dyDescent="0.2">
      <c r="A306" s="1299"/>
      <c r="B306" s="1299" t="s">
        <v>1537</v>
      </c>
      <c r="C306" s="1299" t="s">
        <v>1537</v>
      </c>
      <c r="D306" s="1299"/>
      <c r="E306" s="307" t="s">
        <v>3221</v>
      </c>
      <c r="F306" s="374"/>
      <c r="G306" s="1343">
        <f>IF(ISBLANK($B306),"",VLOOKUP($B306,Ф_808_2016_2015[],MATCH(G$262,'Ф_808_2016-2015'!$1:$1,0),0))</f>
        <v>0</v>
      </c>
      <c r="H306" s="1342">
        <f>IF(ISBLANK($C306),"",VLOOKUP($C306,Ф_808_2023_2017[],MATCH(H$262,'Ф_808_2023-2017'!$1:$1,0),0))</f>
        <v>0</v>
      </c>
      <c r="I306" s="1342">
        <f>IF(ISBLANK($C306),"",VLOOKUP($C306,Ф_808_2023_2017[],MATCH(I$262,'Ф_808_2023-2017'!$1:$1,0),0))</f>
        <v>0</v>
      </c>
      <c r="J306" s="1342">
        <f>IF(ISBLANK($C306),"",VLOOKUP($C306,Ф_808_2023_2017[],MATCH(J$262,'Ф_808_2023-2017'!$1:$1,0),0))</f>
        <v>0</v>
      </c>
      <c r="K306" s="1342">
        <f>IF(ISBLANK($C306),"",VLOOKUP($C306,Ф_808_2023_2017[],MATCH(K$262,'Ф_808_2023-2017'!$1:$1,0),0))</f>
        <v>0</v>
      </c>
      <c r="L306" s="1342">
        <f>IF(ISBLANK($C306),"",VLOOKUP($C306,Ф_808_2023_2017[],MATCH(L$262,'Ф_808_2023-2017'!$1:$1,0),0))</f>
        <v>0</v>
      </c>
      <c r="M306" s="1342">
        <f>IF(ISBLANK($C306),"",VLOOKUP($C306,Ф_808_2023_2017[],MATCH(M$262,'Ф_808_2023-2017'!$1:$1,0),0))</f>
        <v>0</v>
      </c>
      <c r="N306" s="1342">
        <f>IF(ISBLANK($C306),"",VLOOKUP($C306,Ф_808_2023_2017[],MATCH(N$262,'Ф_808_2023-2017'!$1:$1,0),0))</f>
        <v>0</v>
      </c>
      <c r="O306" s="1342">
        <f>IF(ISBLANK($C306),"",VLOOKUP($C306,Ф_808_2023_2017[],MATCH(O$262,'Ф_808_2023-2017'!$1:$1,0),0))</f>
        <v>0</v>
      </c>
      <c r="P306" s="1344"/>
    </row>
    <row r="307" spans="1:16" ht="15" customHeight="1" x14ac:dyDescent="0.2">
      <c r="A307" s="1299"/>
      <c r="B307" s="1299"/>
      <c r="C307" s="1299"/>
      <c r="D307" s="1299"/>
      <c r="E307" s="307" t="s">
        <v>3106</v>
      </c>
      <c r="F307" s="374"/>
      <c r="G307" s="1343" t="str">
        <f>IF(ISBLANK($B307),"",VLOOKUP($B307,Ф_808_2016_2015[],MATCH(G$262,'Ф_808_2016-2015'!$1:$1,0),0))</f>
        <v/>
      </c>
      <c r="H307" s="1342" t="str">
        <f>IF(ISBLANK($C307),"",VLOOKUP($C307,Ф_808_2023_2017[],MATCH(H$262,'Ф_808_2023-2017'!$1:$1,0),0))</f>
        <v/>
      </c>
      <c r="I307" s="1342" t="str">
        <f>IF(ISBLANK($C307),"",VLOOKUP($C307,Ф_808_2023_2017[],MATCH(I$262,'Ф_808_2023-2017'!$1:$1,0),0))</f>
        <v/>
      </c>
      <c r="J307" s="1342" t="str">
        <f>IF(ISBLANK($C307),"",VLOOKUP($C307,Ф_808_2023_2017[],MATCH(J$262,'Ф_808_2023-2017'!$1:$1,0),0))</f>
        <v/>
      </c>
      <c r="K307" s="1342" t="str">
        <f>IF(ISBLANK($C307),"",VLOOKUP($C307,Ф_808_2023_2017[],MATCH(K$262,'Ф_808_2023-2017'!$1:$1,0),0))</f>
        <v/>
      </c>
      <c r="L307" s="1342" t="str">
        <f>IF(ISBLANK($C307),"",VLOOKUP($C307,Ф_808_2023_2017[],MATCH(L$262,'Ф_808_2023-2017'!$1:$1,0),0))</f>
        <v/>
      </c>
      <c r="M307" s="1342" t="str">
        <f>IF(ISBLANK($C307),"",VLOOKUP($C307,Ф_808_2023_2017[],MATCH(M$262,'Ф_808_2023-2017'!$1:$1,0),0))</f>
        <v/>
      </c>
      <c r="N307" s="1342" t="str">
        <f>IF(ISBLANK($C307),"",VLOOKUP($C307,Ф_808_2023_2017[],MATCH(N$262,'Ф_808_2023-2017'!$1:$1,0),0))</f>
        <v/>
      </c>
      <c r="O307" s="1342" t="str">
        <f>IF(ISBLANK($C307),"",VLOOKUP($C307,Ф_808_2023_2017[],MATCH(O$262,'Ф_808_2023-2017'!$1:$1,0),0))</f>
        <v/>
      </c>
      <c r="P307" s="1344"/>
    </row>
    <row r="308" spans="1:16" ht="24" customHeight="1" x14ac:dyDescent="0.2">
      <c r="A308" s="1301"/>
      <c r="B308" s="1301" t="s">
        <v>2594</v>
      </c>
      <c r="C308" s="1301" t="s">
        <v>2594</v>
      </c>
      <c r="D308" s="1301"/>
      <c r="E308" s="1183" t="s">
        <v>3107</v>
      </c>
      <c r="F308" s="1184"/>
      <c r="G308" s="1350">
        <f>IF(ISBLANK($B308),"",VLOOKUP($B308,Ф_808_2016_2015[],MATCH(G$262,'Ф_808_2016-2015'!$1:$1,0),0))</f>
        <v>0</v>
      </c>
      <c r="H308" s="1349">
        <f>IF(ISBLANK($C308),"",VLOOKUP($C308,Ф_808_2023_2017[],MATCH(H$262,'Ф_808_2023-2017'!$1:$1,0),0))</f>
        <v>0</v>
      </c>
      <c r="I308" s="1349">
        <f>IF(ISBLANK($C308),"",VLOOKUP($C308,Ф_808_2023_2017[],MATCH(I$262,'Ф_808_2023-2017'!$1:$1,0),0))</f>
        <v>0</v>
      </c>
      <c r="J308" s="1349">
        <f>IF(ISBLANK($C308),"",VLOOKUP($C308,Ф_808_2023_2017[],MATCH(J$262,'Ф_808_2023-2017'!$1:$1,0),0))</f>
        <v>0</v>
      </c>
      <c r="K308" s="1349">
        <f>IF(ISBLANK($C308),"",VLOOKUP($C308,Ф_808_2023_2017[],MATCH(K$262,'Ф_808_2023-2017'!$1:$1,0),0))</f>
        <v>0</v>
      </c>
      <c r="L308" s="1349">
        <f>IF(ISBLANK($C308),"",VLOOKUP($C308,Ф_808_2023_2017[],MATCH(L$262,'Ф_808_2023-2017'!$1:$1,0),0))</f>
        <v>0</v>
      </c>
      <c r="M308" s="1349">
        <f>IF(ISBLANK($C308),"",VLOOKUP($C308,Ф_808_2023_2017[],MATCH(M$262,'Ф_808_2023-2017'!$1:$1,0),0))</f>
        <v>0</v>
      </c>
      <c r="N308" s="1349">
        <f>IF(ISBLANK($C308),"",VLOOKUP($C308,Ф_808_2023_2017[],MATCH(N$262,'Ф_808_2023-2017'!$1:$1,0),0))</f>
        <v>0</v>
      </c>
      <c r="O308" s="1349">
        <f>IF(ISBLANK($C308),"",VLOOKUP($C308,Ф_808_2023_2017[],MATCH(O$262,'Ф_808_2023-2017'!$1:$1,0),0))</f>
        <v>0</v>
      </c>
      <c r="P308" s="1351"/>
    </row>
    <row r="309" spans="1:16" ht="78" customHeight="1" x14ac:dyDescent="0.2">
      <c r="A309" s="1301"/>
      <c r="B309" s="1301" t="s">
        <v>2595</v>
      </c>
      <c r="C309" s="1301" t="s">
        <v>2595</v>
      </c>
      <c r="D309" s="1301"/>
      <c r="E309" s="1183" t="s">
        <v>3289</v>
      </c>
      <c r="F309" s="1184"/>
      <c r="G309" s="1350">
        <f>IF(ISBLANK($B309),"",VLOOKUP($B309,Ф_808_2016_2015[],MATCH(G$262,'Ф_808_2016-2015'!$1:$1,0),0))</f>
        <v>0</v>
      </c>
      <c r="H309" s="1349">
        <f>IF(ISBLANK($C309),"",VLOOKUP($C309,Ф_808_2023_2017[],MATCH(H$262,'Ф_808_2023-2017'!$1:$1,0),0))</f>
        <v>0</v>
      </c>
      <c r="I309" s="1349">
        <f>IF(ISBLANK($C309),"",VLOOKUP($C309,Ф_808_2023_2017[],MATCH(I$262,'Ф_808_2023-2017'!$1:$1,0),0))</f>
        <v>0</v>
      </c>
      <c r="J309" s="1349">
        <f>IF(ISBLANK($C309),"",VLOOKUP($C309,Ф_808_2023_2017[],MATCH(J$262,'Ф_808_2023-2017'!$1:$1,0),0))</f>
        <v>0</v>
      </c>
      <c r="K309" s="1349">
        <f>IF(ISBLANK($C309),"",VLOOKUP($C309,Ф_808_2023_2017[],MATCH(K$262,'Ф_808_2023-2017'!$1:$1,0),0))</f>
        <v>0</v>
      </c>
      <c r="L309" s="1349">
        <f>IF(ISBLANK($C309),"",VLOOKUP($C309,Ф_808_2023_2017[],MATCH(L$262,'Ф_808_2023-2017'!$1:$1,0),0))</f>
        <v>0</v>
      </c>
      <c r="M309" s="1349">
        <f>IF(ISBLANK($C309),"",VLOOKUP($C309,Ф_808_2023_2017[],MATCH(M$262,'Ф_808_2023-2017'!$1:$1,0),0))</f>
        <v>0</v>
      </c>
      <c r="N309" s="1349">
        <f>IF(ISBLANK($C309),"",VLOOKUP($C309,Ф_808_2023_2017[],MATCH(N$262,'Ф_808_2023-2017'!$1:$1,0),0))</f>
        <v>0</v>
      </c>
      <c r="O309" s="1349">
        <f>IF(ISBLANK($C309),"",VLOOKUP($C309,Ф_808_2023_2017[],MATCH(O$262,'Ф_808_2023-2017'!$1:$1,0),0))</f>
        <v>0</v>
      </c>
      <c r="P309" s="1351"/>
    </row>
    <row r="310" spans="1:16" ht="30" customHeight="1" x14ac:dyDescent="0.2">
      <c r="A310" s="1301"/>
      <c r="B310" s="1301" t="s">
        <v>2596</v>
      </c>
      <c r="C310" s="1301" t="s">
        <v>2596</v>
      </c>
      <c r="D310" s="1301"/>
      <c r="E310" s="1183" t="s">
        <v>3109</v>
      </c>
      <c r="F310" s="1184"/>
      <c r="G310" s="1350">
        <f>IF(ISBLANK($B310),"",VLOOKUP($B310,Ф_808_2016_2015[],MATCH(G$262,'Ф_808_2016-2015'!$1:$1,0),0))</f>
        <v>0</v>
      </c>
      <c r="H310" s="1349">
        <f>IF(ISBLANK($C310),"",VLOOKUP($C310,Ф_808_2023_2017[],MATCH(H$262,'Ф_808_2023-2017'!$1:$1,0),0))</f>
        <v>0</v>
      </c>
      <c r="I310" s="1349">
        <f>IF(ISBLANK($C310),"",VLOOKUP($C310,Ф_808_2023_2017[],MATCH(I$262,'Ф_808_2023-2017'!$1:$1,0),0))</f>
        <v>0</v>
      </c>
      <c r="J310" s="1349">
        <f>IF(ISBLANK($C310),"",VLOOKUP($C310,Ф_808_2023_2017[],MATCH(J$262,'Ф_808_2023-2017'!$1:$1,0),0))</f>
        <v>0</v>
      </c>
      <c r="K310" s="1349">
        <f>IF(ISBLANK($C310),"",VLOOKUP($C310,Ф_808_2023_2017[],MATCH(K$262,'Ф_808_2023-2017'!$1:$1,0),0))</f>
        <v>0</v>
      </c>
      <c r="L310" s="1349">
        <f>IF(ISBLANK($C310),"",VLOOKUP($C310,Ф_808_2023_2017[],MATCH(L$262,'Ф_808_2023-2017'!$1:$1,0),0))</f>
        <v>0</v>
      </c>
      <c r="M310" s="1349">
        <f>IF(ISBLANK($C310),"",VLOOKUP($C310,Ф_808_2023_2017[],MATCH(M$262,'Ф_808_2023-2017'!$1:$1,0),0))</f>
        <v>0</v>
      </c>
      <c r="N310" s="1349">
        <f>IF(ISBLANK($C310),"",VLOOKUP($C310,Ф_808_2023_2017[],MATCH(N$262,'Ф_808_2023-2017'!$1:$1,0),0))</f>
        <v>0</v>
      </c>
      <c r="O310" s="1349">
        <f>IF(ISBLANK($C310),"",VLOOKUP($C310,Ф_808_2023_2017[],MATCH(O$262,'Ф_808_2023-2017'!$1:$1,0),0))</f>
        <v>0</v>
      </c>
      <c r="P310" s="1351"/>
    </row>
    <row r="311" spans="1:16" ht="15" customHeight="1" x14ac:dyDescent="0.2">
      <c r="A311" s="1301"/>
      <c r="B311" s="1301" t="s">
        <v>3110</v>
      </c>
      <c r="C311" s="1301" t="s">
        <v>3110</v>
      </c>
      <c r="D311" s="1301"/>
      <c r="E311" s="1183" t="s">
        <v>3111</v>
      </c>
      <c r="F311" s="1184"/>
      <c r="G311" s="1350">
        <f>IF(ISBLANK($B311),"",VLOOKUP($B311,Ф_808_2016_2015[],MATCH(G$262,'Ф_808_2016-2015'!$1:$1,0),0))</f>
        <v>0</v>
      </c>
      <c r="H311" s="1349">
        <f>IF(ISBLANK($C311),"",VLOOKUP($C311,Ф_808_2023_2017[],MATCH(H$262,'Ф_808_2023-2017'!$1:$1,0),0))</f>
        <v>0</v>
      </c>
      <c r="I311" s="1349">
        <f>IF(ISBLANK($C311),"",VLOOKUP($C311,Ф_808_2023_2017[],MATCH(I$262,'Ф_808_2023-2017'!$1:$1,0),0))</f>
        <v>0</v>
      </c>
      <c r="J311" s="1349">
        <f>IF(ISBLANK($C311),"",VLOOKUP($C311,Ф_808_2023_2017[],MATCH(J$262,'Ф_808_2023-2017'!$1:$1,0),0))</f>
        <v>0</v>
      </c>
      <c r="K311" s="1349">
        <f>IF(ISBLANK($C311),"",VLOOKUP($C311,Ф_808_2023_2017[],MATCH(K$262,'Ф_808_2023-2017'!$1:$1,0),0))</f>
        <v>0</v>
      </c>
      <c r="L311" s="1349">
        <f>IF(ISBLANK($C311),"",VLOOKUP($C311,Ф_808_2023_2017[],MATCH(L$262,'Ф_808_2023-2017'!$1:$1,0),0))</f>
        <v>0</v>
      </c>
      <c r="M311" s="1349">
        <f>IF(ISBLANK($C311),"",VLOOKUP($C311,Ф_808_2023_2017[],MATCH(M$262,'Ф_808_2023-2017'!$1:$1,0),0))</f>
        <v>0</v>
      </c>
      <c r="N311" s="1349">
        <f>IF(ISBLANK($C311),"",VLOOKUP($C311,Ф_808_2023_2017[],MATCH(N$262,'Ф_808_2023-2017'!$1:$1,0),0))</f>
        <v>0</v>
      </c>
      <c r="O311" s="1349">
        <f>IF(ISBLANK($C311),"",VLOOKUP($C311,Ф_808_2023_2017[],MATCH(O$262,'Ф_808_2023-2017'!$1:$1,0),0))</f>
        <v>0</v>
      </c>
      <c r="P311" s="1351"/>
    </row>
    <row r="312" spans="1:16" ht="36" customHeight="1" x14ac:dyDescent="0.2">
      <c r="A312" s="1301"/>
      <c r="B312" s="1301" t="s">
        <v>3112</v>
      </c>
      <c r="C312" s="1301" t="s">
        <v>3112</v>
      </c>
      <c r="D312" s="1301"/>
      <c r="E312" s="1183" t="s">
        <v>3292</v>
      </c>
      <c r="F312" s="1184"/>
      <c r="G312" s="1350">
        <f>IF(ISBLANK($B312),"",VLOOKUP($B312,Ф_808_2016_2015[],MATCH(G$262,'Ф_808_2016-2015'!$1:$1,0),0))</f>
        <v>655430</v>
      </c>
      <c r="H312" s="1349">
        <f>IF(ISBLANK($C312),"",VLOOKUP($C312,Ф_808_2023_2017[],MATCH(H$262,'Ф_808_2023-2017'!$1:$1,0),0))</f>
        <v>183731</v>
      </c>
      <c r="I312" s="1349">
        <f>IF(ISBLANK($C312),"",VLOOKUP($C312,Ф_808_2023_2017[],MATCH(I$262,'Ф_808_2023-2017'!$1:$1,0),0))</f>
        <v>0</v>
      </c>
      <c r="J312" s="1349">
        <f>IF(ISBLANK($C312),"",VLOOKUP($C312,Ф_808_2023_2017[],MATCH(J$262,'Ф_808_2023-2017'!$1:$1,0),0))</f>
        <v>0</v>
      </c>
      <c r="K312" s="1349">
        <f>IF(ISBLANK($C312),"",VLOOKUP($C312,Ф_808_2023_2017[],MATCH(K$262,'Ф_808_2023-2017'!$1:$1,0),0))</f>
        <v>0</v>
      </c>
      <c r="L312" s="1349">
        <f>IF(ISBLANK($C312),"",VLOOKUP($C312,Ф_808_2023_2017[],MATCH(L$262,'Ф_808_2023-2017'!$1:$1,0),0))</f>
        <v>0</v>
      </c>
      <c r="M312" s="1349">
        <f>IF(ISBLANK($C312),"",VLOOKUP($C312,Ф_808_2023_2017[],MATCH(M$262,'Ф_808_2023-2017'!$1:$1,0),0))</f>
        <v>0</v>
      </c>
      <c r="N312" s="1349">
        <f>IF(ISBLANK($C312),"",VLOOKUP($C312,Ф_808_2023_2017[],MATCH(N$262,'Ф_808_2023-2017'!$1:$1,0),0))</f>
        <v>0</v>
      </c>
      <c r="O312" s="1349">
        <f>IF(ISBLANK($C312),"",VLOOKUP($C312,Ф_808_2023_2017[],MATCH(O$262,'Ф_808_2023-2017'!$1:$1,0),0))</f>
        <v>0</v>
      </c>
      <c r="P312" s="1351"/>
    </row>
    <row r="313" spans="1:16" ht="36" customHeight="1" x14ac:dyDescent="0.2">
      <c r="A313" s="1301"/>
      <c r="B313" s="1301" t="s">
        <v>3246</v>
      </c>
      <c r="C313" s="1399"/>
      <c r="D313" s="1399"/>
      <c r="E313" s="1183" t="s">
        <v>3247</v>
      </c>
      <c r="F313" s="1184"/>
      <c r="G313" s="1350">
        <f>IF(ISBLANK($B313),"",VLOOKUP($B313,Ф_808_2016_2015[],MATCH(G$262,'Ф_808_2016-2015'!$1:$1,0),0))</f>
        <v>655430</v>
      </c>
      <c r="H313" s="1349" t="str">
        <f>IF(ISBLANK($C313),"",VLOOKUP($C313,Ф_808_2023_2017[],MATCH(H$262,'Ф_808_2023-2017'!$1:$1,0),0))</f>
        <v/>
      </c>
      <c r="I313" s="1349" t="str">
        <f>IF(ISBLANK($C313),"",VLOOKUP($C313,Ф_808_2023_2017[],MATCH(I$262,'Ф_808_2023-2017'!$1:$1,0),0))</f>
        <v/>
      </c>
      <c r="J313" s="1349" t="str">
        <f>IF(ISBLANK($C313),"",VLOOKUP($C313,Ф_808_2023_2017[],MATCH(J$262,'Ф_808_2023-2017'!$1:$1,0),0))</f>
        <v/>
      </c>
      <c r="K313" s="1349" t="str">
        <f>IF(ISBLANK($C313),"",VLOOKUP($C313,Ф_808_2023_2017[],MATCH(K$262,'Ф_808_2023-2017'!$1:$1,0),0))</f>
        <v/>
      </c>
      <c r="L313" s="1349" t="str">
        <f>IF(ISBLANK($C313),"",VLOOKUP($C313,Ф_808_2023_2017[],MATCH(L$262,'Ф_808_2023-2017'!$1:$1,0),0))</f>
        <v/>
      </c>
      <c r="M313" s="1349" t="str">
        <f>IF(ISBLANK($C313),"",VLOOKUP($C313,Ф_808_2023_2017[],MATCH(M$262,'Ф_808_2023-2017'!$1:$1,0),0))</f>
        <v/>
      </c>
      <c r="N313" s="1349" t="str">
        <f>IF(ISBLANK($C313),"",VLOOKUP($C313,Ф_808_2023_2017[],MATCH(N$262,'Ф_808_2023-2017'!$1:$1,0),0))</f>
        <v/>
      </c>
      <c r="O313" s="1349" t="str">
        <f>IF(ISBLANK($C313),"",VLOOKUP($C313,Ф_808_2023_2017[],MATCH(O$262,'Ф_808_2023-2017'!$1:$1,0),0))</f>
        <v/>
      </c>
      <c r="P313" s="1351"/>
    </row>
    <row r="314" spans="1:16" x14ac:dyDescent="0.2">
      <c r="A314" s="1301"/>
      <c r="B314" s="1301" t="s">
        <v>3248</v>
      </c>
      <c r="C314" s="1399"/>
      <c r="D314" s="1399"/>
      <c r="E314" s="1183" t="s">
        <v>2231</v>
      </c>
      <c r="F314" s="1184"/>
      <c r="G314" s="1350">
        <f>IF(ISBLANK($B314),"",VLOOKUP($B314,Ф_808_2016_2015[],MATCH(G$262,'Ф_808_2016-2015'!$1:$1,0),0))</f>
        <v>104200</v>
      </c>
      <c r="H314" s="1349" t="str">
        <f>IF(ISBLANK($C314),"",VLOOKUP($C314,Ф_808_2023_2017[],MATCH(H$262,'Ф_808_2023-2017'!$1:$1,0),0))</f>
        <v/>
      </c>
      <c r="I314" s="1349" t="str">
        <f>IF(ISBLANK($C314),"",VLOOKUP($C314,Ф_808_2023_2017[],MATCH(I$262,'Ф_808_2023-2017'!$1:$1,0),0))</f>
        <v/>
      </c>
      <c r="J314" s="1349" t="str">
        <f>IF(ISBLANK($C314),"",VLOOKUP($C314,Ф_808_2023_2017[],MATCH(J$262,'Ф_808_2023-2017'!$1:$1,0),0))</f>
        <v/>
      </c>
      <c r="K314" s="1349" t="str">
        <f>IF(ISBLANK($C314),"",VLOOKUP($C314,Ф_808_2023_2017[],MATCH(K$262,'Ф_808_2023-2017'!$1:$1,0),0))</f>
        <v/>
      </c>
      <c r="L314" s="1349" t="str">
        <f>IF(ISBLANK($C314),"",VLOOKUP($C314,Ф_808_2023_2017[],MATCH(L$262,'Ф_808_2023-2017'!$1:$1,0),0))</f>
        <v/>
      </c>
      <c r="M314" s="1349" t="str">
        <f>IF(ISBLANK($C314),"",VLOOKUP($C314,Ф_808_2023_2017[],MATCH(M$262,'Ф_808_2023-2017'!$1:$1,0),0))</f>
        <v/>
      </c>
      <c r="N314" s="1349" t="str">
        <f>IF(ISBLANK($C314),"",VLOOKUP($C314,Ф_808_2023_2017[],MATCH(N$262,'Ф_808_2023-2017'!$1:$1,0),0))</f>
        <v/>
      </c>
      <c r="O314" s="1349" t="str">
        <f>IF(ISBLANK($C314),"",VLOOKUP($C314,Ф_808_2023_2017[],MATCH(O$262,'Ф_808_2023-2017'!$1:$1,0),0))</f>
        <v/>
      </c>
      <c r="P314" s="1351"/>
    </row>
    <row r="315" spans="1:16" ht="36" customHeight="1" x14ac:dyDescent="0.2">
      <c r="A315" s="1301"/>
      <c r="B315" s="1301" t="s">
        <v>3249</v>
      </c>
      <c r="C315" s="1399"/>
      <c r="D315" s="1399"/>
      <c r="E315" s="1183" t="s">
        <v>3250</v>
      </c>
      <c r="F315" s="1184"/>
      <c r="G315" s="1350">
        <f>IF(ISBLANK($B315),"",VLOOKUP($B315,Ф_808_2016_2015[],MATCH(G$262,'Ф_808_2016-2015'!$1:$1,0),0))</f>
        <v>0</v>
      </c>
      <c r="H315" s="1349" t="str">
        <f>IF(ISBLANK($C315),"",VLOOKUP($C315,Ф_808_2023_2017[],MATCH(H$262,'Ф_808_2023-2017'!$1:$1,0),0))</f>
        <v/>
      </c>
      <c r="I315" s="1349" t="str">
        <f>IF(ISBLANK($C315),"",VLOOKUP($C315,Ф_808_2023_2017[],MATCH(I$262,'Ф_808_2023-2017'!$1:$1,0),0))</f>
        <v/>
      </c>
      <c r="J315" s="1349" t="str">
        <f>IF(ISBLANK($C315),"",VLOOKUP($C315,Ф_808_2023_2017[],MATCH(J$262,'Ф_808_2023-2017'!$1:$1,0),0))</f>
        <v/>
      </c>
      <c r="K315" s="1349" t="str">
        <f>IF(ISBLANK($C315),"",VLOOKUP($C315,Ф_808_2023_2017[],MATCH(K$262,'Ф_808_2023-2017'!$1:$1,0),0))</f>
        <v/>
      </c>
      <c r="L315" s="1349" t="str">
        <f>IF(ISBLANK($C315),"",VLOOKUP($C315,Ф_808_2023_2017[],MATCH(L$262,'Ф_808_2023-2017'!$1:$1,0),0))</f>
        <v/>
      </c>
      <c r="M315" s="1349" t="str">
        <f>IF(ISBLANK($C315),"",VLOOKUP($C315,Ф_808_2023_2017[],MATCH(M$262,'Ф_808_2023-2017'!$1:$1,0),0))</f>
        <v/>
      </c>
      <c r="N315" s="1349" t="str">
        <f>IF(ISBLANK($C315),"",VLOOKUP($C315,Ф_808_2023_2017[],MATCH(N$262,'Ф_808_2023-2017'!$1:$1,0),0))</f>
        <v/>
      </c>
      <c r="O315" s="1349" t="str">
        <f>IF(ISBLANK($C315),"",VLOOKUP($C315,Ф_808_2023_2017[],MATCH(O$262,'Ф_808_2023-2017'!$1:$1,0),0))</f>
        <v/>
      </c>
      <c r="P315" s="1351"/>
    </row>
    <row r="316" spans="1:16" ht="36" customHeight="1" x14ac:dyDescent="0.2">
      <c r="A316" s="1301"/>
      <c r="B316" s="1301" t="s">
        <v>3251</v>
      </c>
      <c r="C316" s="1399"/>
      <c r="D316" s="1399"/>
      <c r="E316" s="1183" t="s">
        <v>3252</v>
      </c>
      <c r="F316" s="1184"/>
      <c r="G316" s="1350">
        <f>IF(ISBLANK($B316),"",VLOOKUP($B316,Ф_808_2016_2015[],MATCH(G$262,'Ф_808_2016-2015'!$1:$1,0),0))</f>
        <v>361136</v>
      </c>
      <c r="H316" s="1349" t="str">
        <f>IF(ISBLANK($C316),"",VLOOKUP($C316,Ф_808_2023_2017[],MATCH(H$262,'Ф_808_2023-2017'!$1:$1,0),0))</f>
        <v/>
      </c>
      <c r="I316" s="1349" t="str">
        <f>IF(ISBLANK($C316),"",VLOOKUP($C316,Ф_808_2023_2017[],MATCH(I$262,'Ф_808_2023-2017'!$1:$1,0),0))</f>
        <v/>
      </c>
      <c r="J316" s="1349" t="str">
        <f>IF(ISBLANK($C316),"",VLOOKUP($C316,Ф_808_2023_2017[],MATCH(J$262,'Ф_808_2023-2017'!$1:$1,0),0))</f>
        <v/>
      </c>
      <c r="K316" s="1349" t="str">
        <f>IF(ISBLANK($C316),"",VLOOKUP($C316,Ф_808_2023_2017[],MATCH(K$262,'Ф_808_2023-2017'!$1:$1,0),0))</f>
        <v/>
      </c>
      <c r="L316" s="1349" t="str">
        <f>IF(ISBLANK($C316),"",VLOOKUP($C316,Ф_808_2023_2017[],MATCH(L$262,'Ф_808_2023-2017'!$1:$1,0),0))</f>
        <v/>
      </c>
      <c r="M316" s="1349" t="str">
        <f>IF(ISBLANK($C316),"",VLOOKUP($C316,Ф_808_2023_2017[],MATCH(M$262,'Ф_808_2023-2017'!$1:$1,0),0))</f>
        <v/>
      </c>
      <c r="N316" s="1349" t="str">
        <f>IF(ISBLANK($C316),"",VLOOKUP($C316,Ф_808_2023_2017[],MATCH(N$262,'Ф_808_2023-2017'!$1:$1,0),0))</f>
        <v/>
      </c>
      <c r="O316" s="1349" t="str">
        <f>IF(ISBLANK($C316),"",VLOOKUP($C316,Ф_808_2023_2017[],MATCH(O$262,'Ф_808_2023-2017'!$1:$1,0),0))</f>
        <v/>
      </c>
      <c r="P316" s="1351"/>
    </row>
    <row r="317" spans="1:16" ht="36" customHeight="1" x14ac:dyDescent="0.2">
      <c r="A317" s="1301"/>
      <c r="B317" s="1301" t="s">
        <v>3253</v>
      </c>
      <c r="C317" s="1399"/>
      <c r="D317" s="1399"/>
      <c r="E317" s="1183" t="s">
        <v>3254</v>
      </c>
      <c r="F317" s="1184"/>
      <c r="G317" s="1350">
        <f>IF(ISBLANK($B317),"",VLOOKUP($B317,Ф_808_2016_2015[],MATCH(G$262,'Ф_808_2016-2015'!$1:$1,0),0))</f>
        <v>190094</v>
      </c>
      <c r="H317" s="1349" t="str">
        <f>IF(ISBLANK($C317),"",VLOOKUP($C317,Ф_808_2023_2017[],MATCH(H$262,'Ф_808_2023-2017'!$1:$1,0),0))</f>
        <v/>
      </c>
      <c r="I317" s="1349" t="str">
        <f>IF(ISBLANK($C317),"",VLOOKUP($C317,Ф_808_2023_2017[],MATCH(I$262,'Ф_808_2023-2017'!$1:$1,0),0))</f>
        <v/>
      </c>
      <c r="J317" s="1349" t="str">
        <f>IF(ISBLANK($C317),"",VLOOKUP($C317,Ф_808_2023_2017[],MATCH(J$262,'Ф_808_2023-2017'!$1:$1,0),0))</f>
        <v/>
      </c>
      <c r="K317" s="1349" t="str">
        <f>IF(ISBLANK($C317),"",VLOOKUP($C317,Ф_808_2023_2017[],MATCH(K$262,'Ф_808_2023-2017'!$1:$1,0),0))</f>
        <v/>
      </c>
      <c r="L317" s="1349" t="str">
        <f>IF(ISBLANK($C317),"",VLOOKUP($C317,Ф_808_2023_2017[],MATCH(L$262,'Ф_808_2023-2017'!$1:$1,0),0))</f>
        <v/>
      </c>
      <c r="M317" s="1349" t="str">
        <f>IF(ISBLANK($C317),"",VLOOKUP($C317,Ф_808_2023_2017[],MATCH(M$262,'Ф_808_2023-2017'!$1:$1,0),0))</f>
        <v/>
      </c>
      <c r="N317" s="1349" t="str">
        <f>IF(ISBLANK($C317),"",VLOOKUP($C317,Ф_808_2023_2017[],MATCH(N$262,'Ф_808_2023-2017'!$1:$1,0),0))</f>
        <v/>
      </c>
      <c r="O317" s="1349" t="str">
        <f>IF(ISBLANK($C317),"",VLOOKUP($C317,Ф_808_2023_2017[],MATCH(O$262,'Ф_808_2023-2017'!$1:$1,0),0))</f>
        <v/>
      </c>
      <c r="P317" s="1351"/>
    </row>
    <row r="318" spans="1:16" ht="59.25" customHeight="1" x14ac:dyDescent="0.2">
      <c r="A318" s="1301"/>
      <c r="B318" s="1301" t="s">
        <v>3255</v>
      </c>
      <c r="C318" s="1399"/>
      <c r="D318" s="1399"/>
      <c r="E318" s="1183" t="s">
        <v>3293</v>
      </c>
      <c r="F318" s="1184"/>
      <c r="G318" s="1350">
        <f>IF(ISBLANK($B318),"",VLOOKUP($B318,Ф_808_2016_2015[],MATCH(G$262,'Ф_808_2016-2015'!$1:$1,0),0))</f>
        <v>0</v>
      </c>
      <c r="H318" s="1349" t="str">
        <f>IF(ISBLANK($C318),"",VLOOKUP($C318,Ф_808_2023_2017[],MATCH(H$262,'Ф_808_2023-2017'!$1:$1,0),0))</f>
        <v/>
      </c>
      <c r="I318" s="1349" t="str">
        <f>IF(ISBLANK($C318),"",VLOOKUP($C318,Ф_808_2023_2017[],MATCH(I$262,'Ф_808_2023-2017'!$1:$1,0),0))</f>
        <v/>
      </c>
      <c r="J318" s="1349" t="str">
        <f>IF(ISBLANK($C318),"",VLOOKUP($C318,Ф_808_2023_2017[],MATCH(J$262,'Ф_808_2023-2017'!$1:$1,0),0))</f>
        <v/>
      </c>
      <c r="K318" s="1349" t="str">
        <f>IF(ISBLANK($C318),"",VLOOKUP($C318,Ф_808_2023_2017[],MATCH(K$262,'Ф_808_2023-2017'!$1:$1,0),0))</f>
        <v/>
      </c>
      <c r="L318" s="1349" t="str">
        <f>IF(ISBLANK($C318),"",VLOOKUP($C318,Ф_808_2023_2017[],MATCH(L$262,'Ф_808_2023-2017'!$1:$1,0),0))</f>
        <v/>
      </c>
      <c r="M318" s="1349" t="str">
        <f>IF(ISBLANK($C318),"",VLOOKUP($C318,Ф_808_2023_2017[],MATCH(M$262,'Ф_808_2023-2017'!$1:$1,0),0))</f>
        <v/>
      </c>
      <c r="N318" s="1349" t="str">
        <f>IF(ISBLANK($C318),"",VLOOKUP($C318,Ф_808_2023_2017[],MATCH(N$262,'Ф_808_2023-2017'!$1:$1,0),0))</f>
        <v/>
      </c>
      <c r="O318" s="1349" t="str">
        <f>IF(ISBLANK($C318),"",VLOOKUP($C318,Ф_808_2023_2017[],MATCH(O$262,'Ф_808_2023-2017'!$1:$1,0),0))</f>
        <v/>
      </c>
      <c r="P318" s="1351"/>
    </row>
    <row r="319" spans="1:16" ht="15" customHeight="1" x14ac:dyDescent="0.2">
      <c r="A319" s="1301"/>
      <c r="B319" s="1301" t="s">
        <v>3114</v>
      </c>
      <c r="C319" s="1301" t="s">
        <v>3114</v>
      </c>
      <c r="D319" s="1301"/>
      <c r="E319" s="1183" t="s">
        <v>235</v>
      </c>
      <c r="F319" s="1184"/>
      <c r="G319" s="1350">
        <f>IF(ISBLANK($B319),"",VLOOKUP($B319,Ф_808_2016_2015[],MATCH(G$262,'Ф_808_2016-2015'!$1:$1,0),0))</f>
        <v>0</v>
      </c>
      <c r="H319" s="1349">
        <f>IF(ISBLANK($C319),"",VLOOKUP($C319,Ф_808_2023_2017[],MATCH(H$262,'Ф_808_2023-2017'!$1:$1,0),0))</f>
        <v>0</v>
      </c>
      <c r="I319" s="1349">
        <f>IF(ISBLANK($C319),"",VLOOKUP($C319,Ф_808_2023_2017[],MATCH(I$262,'Ф_808_2023-2017'!$1:$1,0),0))</f>
        <v>0</v>
      </c>
      <c r="J319" s="1349">
        <f>IF(ISBLANK($C319),"",VLOOKUP($C319,Ф_808_2023_2017[],MATCH(J$262,'Ф_808_2023-2017'!$1:$1,0),0))</f>
        <v>0</v>
      </c>
      <c r="K319" s="1349">
        <f>IF(ISBLANK($C319),"",VLOOKUP($C319,Ф_808_2023_2017[],MATCH(K$262,'Ф_808_2023-2017'!$1:$1,0),0))</f>
        <v>0</v>
      </c>
      <c r="L319" s="1349">
        <f>IF(ISBLANK($C319),"",VLOOKUP($C319,Ф_808_2023_2017[],MATCH(L$262,'Ф_808_2023-2017'!$1:$1,0),0))</f>
        <v>0</v>
      </c>
      <c r="M319" s="1349">
        <f>IF(ISBLANK($C319),"",VLOOKUP($C319,Ф_808_2023_2017[],MATCH(M$262,'Ф_808_2023-2017'!$1:$1,0),0))</f>
        <v>0</v>
      </c>
      <c r="N319" s="1349">
        <f>IF(ISBLANK($C319),"",VLOOKUP($C319,Ф_808_2023_2017[],MATCH(N$262,'Ф_808_2023-2017'!$1:$1,0),0))</f>
        <v>0</v>
      </c>
      <c r="O319" s="1349">
        <f>IF(ISBLANK($C319),"",VLOOKUP($C319,Ф_808_2023_2017[],MATCH(O$262,'Ф_808_2023-2017'!$1:$1,0),0))</f>
        <v>0</v>
      </c>
      <c r="P319" s="1351"/>
    </row>
    <row r="320" spans="1:16" ht="42" customHeight="1" x14ac:dyDescent="0.2">
      <c r="A320" s="1301"/>
      <c r="B320" s="1301" t="s">
        <v>3115</v>
      </c>
      <c r="C320" s="1301" t="s">
        <v>3115</v>
      </c>
      <c r="D320" s="1301"/>
      <c r="E320" s="1183" t="s">
        <v>3222</v>
      </c>
      <c r="F320" s="1184"/>
      <c r="G320" s="1350">
        <f>IF(ISBLANK($B320),"",VLOOKUP($B320,Ф_808_2016_2015[],MATCH(G$262,'Ф_808_2016-2015'!$1:$1,0),0))</f>
        <v>655430</v>
      </c>
      <c r="H320" s="1349">
        <f>IF(ISBLANK($C320),"",VLOOKUP($C320,Ф_808_2023_2017[],MATCH(H$262,'Ф_808_2023-2017'!$1:$1,0),0))</f>
        <v>183731</v>
      </c>
      <c r="I320" s="1349">
        <f>IF(ISBLANK($C320),"",VLOOKUP($C320,Ф_808_2023_2017[],MATCH(I$262,'Ф_808_2023-2017'!$1:$1,0),0))</f>
        <v>0</v>
      </c>
      <c r="J320" s="1349">
        <f>IF(ISBLANK($C320),"",VLOOKUP($C320,Ф_808_2023_2017[],MATCH(J$262,'Ф_808_2023-2017'!$1:$1,0),0))</f>
        <v>0</v>
      </c>
      <c r="K320" s="1349">
        <f>IF(ISBLANK($C320),"",VLOOKUP($C320,Ф_808_2023_2017[],MATCH(K$262,'Ф_808_2023-2017'!$1:$1,0),0))</f>
        <v>0</v>
      </c>
      <c r="L320" s="1349">
        <f>IF(ISBLANK($C320),"",VLOOKUP($C320,Ф_808_2023_2017[],MATCH(L$262,'Ф_808_2023-2017'!$1:$1,0),0))</f>
        <v>0</v>
      </c>
      <c r="M320" s="1349">
        <f>IF(ISBLANK($C320),"",VLOOKUP($C320,Ф_808_2023_2017[],MATCH(M$262,'Ф_808_2023-2017'!$1:$1,0),0))</f>
        <v>0</v>
      </c>
      <c r="N320" s="1349">
        <f>IF(ISBLANK($C320),"",VLOOKUP($C320,Ф_808_2023_2017[],MATCH(N$262,'Ф_808_2023-2017'!$1:$1,0),0))</f>
        <v>0</v>
      </c>
      <c r="O320" s="1349">
        <f>IF(ISBLANK($C320),"",VLOOKUP($C320,Ф_808_2023_2017[],MATCH(O$262,'Ф_808_2023-2017'!$1:$1,0),0))</f>
        <v>0</v>
      </c>
      <c r="P320" s="1351"/>
    </row>
    <row r="321" spans="1:16" ht="15" customHeight="1" x14ac:dyDescent="0.2">
      <c r="A321" s="1299"/>
      <c r="B321" s="1299" t="s">
        <v>3117</v>
      </c>
      <c r="C321" s="1299" t="s">
        <v>3117</v>
      </c>
      <c r="D321" s="1299"/>
      <c r="E321" s="307" t="s">
        <v>3223</v>
      </c>
      <c r="F321" s="374"/>
      <c r="G321" s="1343">
        <f>IF(ISBLANK($B321),"",VLOOKUP($B321,Ф_808_2016_2015[],MATCH(G$262,'Ф_808_2016-2015'!$1:$1,0),0))</f>
        <v>0</v>
      </c>
      <c r="H321" s="1342">
        <f>IF(ISBLANK($C321),"",VLOOKUP($C321,Ф_808_2023_2017[],MATCH(H$262,'Ф_808_2023-2017'!$1:$1,0),0))</f>
        <v>0</v>
      </c>
      <c r="I321" s="1342">
        <f>IF(ISBLANK($C321),"",VLOOKUP($C321,Ф_808_2023_2017[],MATCH(I$262,'Ф_808_2023-2017'!$1:$1,0),0))</f>
        <v>0</v>
      </c>
      <c r="J321" s="1342">
        <f>IF(ISBLANK($C321),"",VLOOKUP($C321,Ф_808_2023_2017[],MATCH(J$262,'Ф_808_2023-2017'!$1:$1,0),0))</f>
        <v>0</v>
      </c>
      <c r="K321" s="1342">
        <f>IF(ISBLANK($C321),"",VLOOKUP($C321,Ф_808_2023_2017[],MATCH(K$262,'Ф_808_2023-2017'!$1:$1,0),0))</f>
        <v>0</v>
      </c>
      <c r="L321" s="1342">
        <f>IF(ISBLANK($C321),"",VLOOKUP($C321,Ф_808_2023_2017[],MATCH(L$262,'Ф_808_2023-2017'!$1:$1,0),0))</f>
        <v>0</v>
      </c>
      <c r="M321" s="1342">
        <f>IF(ISBLANK($C321),"",VLOOKUP($C321,Ф_808_2023_2017[],MATCH(M$262,'Ф_808_2023-2017'!$1:$1,0),0))</f>
        <v>0</v>
      </c>
      <c r="N321" s="1342">
        <f>IF(ISBLANK($C321),"",VLOOKUP($C321,Ф_808_2023_2017[],MATCH(N$262,'Ф_808_2023-2017'!$1:$1,0),0))</f>
        <v>0</v>
      </c>
      <c r="O321" s="1342">
        <f>IF(ISBLANK($C321),"",VLOOKUP($C321,Ф_808_2023_2017[],MATCH(O$262,'Ф_808_2023-2017'!$1:$1,0),0))</f>
        <v>0</v>
      </c>
      <c r="P321" s="1344"/>
    </row>
    <row r="322" spans="1:16" s="1375" customFormat="1" ht="15" customHeight="1" x14ac:dyDescent="0.2">
      <c r="A322" s="1369"/>
      <c r="B322" s="1369" t="s">
        <v>3119</v>
      </c>
      <c r="C322" s="1369" t="s">
        <v>3119</v>
      </c>
      <c r="D322" s="1369"/>
      <c r="E322" s="1370" t="s">
        <v>3224</v>
      </c>
      <c r="F322" s="1371"/>
      <c r="G322" s="1373">
        <f>IF(ISBLANK($B322),"",VLOOKUP($B322,Ф_808_2016_2015[],MATCH(G$262,'Ф_808_2016-2015'!$1:$1,0),0))</f>
        <v>41629937</v>
      </c>
      <c r="H322" s="1372">
        <f>IF(ISBLANK($C322),"",VLOOKUP($C322,Ф_808_2023_2017[],MATCH(H$262,'Ф_808_2023-2017'!$1:$1,0),0))</f>
        <v>55538670</v>
      </c>
      <c r="I322" s="1372">
        <f>IF(ISBLANK($C322),"",VLOOKUP($C322,Ф_808_2023_2017[],MATCH(I$262,'Ф_808_2023-2017'!$1:$1,0),0))</f>
        <v>55345023</v>
      </c>
      <c r="J322" s="1372">
        <f>IF(ISBLANK($C322),"",VLOOKUP($C322,Ф_808_2023_2017[],MATCH(J$262,'Ф_808_2023-2017'!$1:$1,0),0))</f>
        <v>62315229</v>
      </c>
      <c r="K322" s="1372">
        <f>IF(ISBLANK($C322),"",VLOOKUP($C322,Ф_808_2023_2017[],MATCH(K$262,'Ф_808_2023-2017'!$1:$1,0),0))</f>
        <v>60769604</v>
      </c>
      <c r="L322" s="1372">
        <f>IF(ISBLANK($C322),"",VLOOKUP($C322,Ф_808_2023_2017[],MATCH(L$262,'Ф_808_2023-2017'!$1:$1,0),0))</f>
        <v>59345585</v>
      </c>
      <c r="M322" s="1372">
        <f>IF(ISBLANK($C322),"",VLOOKUP($C322,Ф_808_2023_2017[],MATCH(M$262,'Ф_808_2023-2017'!$1:$1,0),0))</f>
        <v>60312135</v>
      </c>
      <c r="N322" s="1372">
        <f>IF(ISBLANK($C322),"",VLOOKUP($C322,Ф_808_2023_2017[],MATCH(N$262,'Ф_808_2023-2017'!$1:$1,0),0))</f>
        <v>63193880</v>
      </c>
      <c r="O322" s="1372">
        <f>IF(ISBLANK($C322),"",VLOOKUP($C322,Ф_808_2023_2017[],MATCH(O$262,'Ф_808_2023-2017'!$1:$1,0),0))</f>
        <v>82575294</v>
      </c>
      <c r="P322" s="1374"/>
    </row>
    <row r="323" spans="1:16" ht="15" customHeight="1" x14ac:dyDescent="0.2">
      <c r="A323" s="1299"/>
      <c r="B323" s="1299"/>
      <c r="C323" s="1299"/>
      <c r="D323" s="1299"/>
      <c r="E323" s="307" t="s">
        <v>3121</v>
      </c>
      <c r="F323" s="374"/>
      <c r="G323" s="1343" t="str">
        <f>IF(ISBLANK($B323),"",VLOOKUP($B323,Ф_808_2016_2015[],MATCH(G$262,'Ф_808_2016-2015'!$1:$1,0),0))</f>
        <v/>
      </c>
      <c r="H323" s="1342" t="str">
        <f>IF(ISBLANK($C323),"",VLOOKUP($C323,Ф_808_2023_2017[],MATCH(H$262,'Ф_808_2023-2017'!$1:$1,0),0))</f>
        <v/>
      </c>
      <c r="I323" s="1342" t="str">
        <f>IF(ISBLANK($C323),"",VLOOKUP($C323,Ф_808_2023_2017[],MATCH(I$262,'Ф_808_2023-2017'!$1:$1,0),0))</f>
        <v/>
      </c>
      <c r="J323" s="1342" t="str">
        <f>IF(ISBLANK($C323),"",VLOOKUP($C323,Ф_808_2023_2017[],MATCH(J$262,'Ф_808_2023-2017'!$1:$1,0),0))</f>
        <v/>
      </c>
      <c r="K323" s="1342" t="str">
        <f>IF(ISBLANK($C323),"",VLOOKUP($C323,Ф_808_2023_2017[],MATCH(K$262,'Ф_808_2023-2017'!$1:$1,0),0))</f>
        <v/>
      </c>
      <c r="L323" s="1342" t="str">
        <f>IF(ISBLANK($C323),"",VLOOKUP($C323,Ф_808_2023_2017[],MATCH(L$262,'Ф_808_2023-2017'!$1:$1,0),0))</f>
        <v/>
      </c>
      <c r="M323" s="1342" t="str">
        <f>IF(ISBLANK($C323),"",VLOOKUP($C323,Ф_808_2023_2017[],MATCH(M$262,'Ф_808_2023-2017'!$1:$1,0),0))</f>
        <v/>
      </c>
      <c r="N323" s="1342" t="str">
        <f>IF(ISBLANK($C323),"",VLOOKUP($C323,Ф_808_2023_2017[],MATCH(N$262,'Ф_808_2023-2017'!$1:$1,0),0))</f>
        <v/>
      </c>
      <c r="O323" s="1342" t="str">
        <f>IF(ISBLANK($C323),"",VLOOKUP($C323,Ф_808_2023_2017[],MATCH(O$262,'Ф_808_2023-2017'!$1:$1,0),0))</f>
        <v/>
      </c>
      <c r="P323" s="1344"/>
    </row>
    <row r="324" spans="1:16" ht="15" customHeight="1" x14ac:dyDescent="0.2">
      <c r="A324" s="1301"/>
      <c r="B324" s="1301" t="s">
        <v>3122</v>
      </c>
      <c r="C324" s="1301" t="s">
        <v>3122</v>
      </c>
      <c r="D324" s="1301"/>
      <c r="E324" s="1183" t="s">
        <v>3123</v>
      </c>
      <c r="F324" s="1184"/>
      <c r="G324" s="1350">
        <f>IF(ISBLANK($B324),"",VLOOKUP($B324,Ф_808_2016_2015[],MATCH(G$262,'Ф_808_2016-2015'!$1:$1,0),0))</f>
        <v>18797897</v>
      </c>
      <c r="H324" s="1349">
        <f>IF(ISBLANK($C324),"",VLOOKUP($C324,Ф_808_2023_2017[],MATCH(H$262,'Ф_808_2023-2017'!$1:$1,0),0))</f>
        <v>19234106</v>
      </c>
      <c r="I324" s="1349">
        <f>IF(ISBLANK($C324),"",VLOOKUP($C324,Ф_808_2023_2017[],MATCH(I$262,'Ф_808_2023-2017'!$1:$1,0),0))</f>
        <v>20835352</v>
      </c>
      <c r="J324" s="1349">
        <f>IF(ISBLANK($C324),"",VLOOKUP($C324,Ф_808_2023_2017[],MATCH(J$262,'Ф_808_2023-2017'!$1:$1,0),0))</f>
        <v>12837465</v>
      </c>
      <c r="K324" s="1349">
        <f>IF(ISBLANK($C324),"",VLOOKUP($C324,Ф_808_2023_2017[],MATCH(K$262,'Ф_808_2023-2017'!$1:$1,0),0))</f>
        <v>11751655</v>
      </c>
      <c r="L324" s="1349">
        <f>IF(ISBLANK($C324),"",VLOOKUP($C324,Ф_808_2023_2017[],MATCH(L$262,'Ф_808_2023-2017'!$1:$1,0),0))</f>
        <v>15745009</v>
      </c>
      <c r="M324" s="1349">
        <f>IF(ISBLANK($C324),"",VLOOKUP($C324,Ф_808_2023_2017[],MATCH(M$262,'Ф_808_2023-2017'!$1:$1,0),0))</f>
        <v>14200777</v>
      </c>
      <c r="N324" s="1349">
        <f>IF(ISBLANK($C324),"",VLOOKUP($C324,Ф_808_2023_2017[],MATCH(N$262,'Ф_808_2023-2017'!$1:$1,0),0))</f>
        <v>32863078</v>
      </c>
      <c r="O324" s="1349">
        <f>IF(ISBLANK($C324),"",VLOOKUP($C324,Ф_808_2023_2017[],MATCH(O$262,'Ф_808_2023-2017'!$1:$1,0),0))</f>
        <v>18795461</v>
      </c>
      <c r="P324" s="1351"/>
    </row>
    <row r="325" spans="1:16" ht="35.25" customHeight="1" x14ac:dyDescent="0.2">
      <c r="A325" s="1301"/>
      <c r="B325" s="1301" t="s">
        <v>3124</v>
      </c>
      <c r="C325" s="1301" t="s">
        <v>3124</v>
      </c>
      <c r="D325" s="1301"/>
      <c r="E325" s="1183" t="s">
        <v>3125</v>
      </c>
      <c r="F325" s="1184"/>
      <c r="G325" s="1350">
        <f>IF(ISBLANK($B325),"",VLOOKUP($B325,Ф_808_2016_2015[],MATCH(G$262,'Ф_808_2016-2015'!$1:$1,0),0))</f>
        <v>10052176</v>
      </c>
      <c r="H325" s="1349">
        <f>IF(ISBLANK($C325),"",VLOOKUP($C325,Ф_808_2023_2017[],MATCH(H$262,'Ф_808_2023-2017'!$1:$1,0),0))</f>
        <v>3428384</v>
      </c>
      <c r="I325" s="1349">
        <f>IF(ISBLANK($C325),"",VLOOKUP($C325,Ф_808_2023_2017[],MATCH(I$262,'Ф_808_2023-2017'!$1:$1,0),0))</f>
        <v>3932783</v>
      </c>
      <c r="J325" s="1349">
        <f>IF(ISBLANK($C325),"",VLOOKUP($C325,Ф_808_2023_2017[],MATCH(J$262,'Ф_808_2023-2017'!$1:$1,0),0))</f>
        <v>3081458</v>
      </c>
      <c r="K325" s="1349">
        <f>IF(ISBLANK($C325),"",VLOOKUP($C325,Ф_808_2023_2017[],MATCH(K$262,'Ф_808_2023-2017'!$1:$1,0),0))</f>
        <v>2515553</v>
      </c>
      <c r="L325" s="1349">
        <f>IF(ISBLANK($C325),"",VLOOKUP($C325,Ф_808_2023_2017[],MATCH(L$262,'Ф_808_2023-2017'!$1:$1,0),0))</f>
        <v>1131762</v>
      </c>
      <c r="M325" s="1349">
        <f>IF(ISBLANK($C325),"",VLOOKUP($C325,Ф_808_2023_2017[],MATCH(M$262,'Ф_808_2023-2017'!$1:$1,0),0))</f>
        <v>0</v>
      </c>
      <c r="N325" s="1349">
        <f>IF(ISBLANK($C325),"",VLOOKUP($C325,Ф_808_2023_2017[],MATCH(N$262,'Ф_808_2023-2017'!$1:$1,0),0))</f>
        <v>0</v>
      </c>
      <c r="O325" s="1349">
        <f>IF(ISBLANK($C325),"",VLOOKUP($C325,Ф_808_2023_2017[],MATCH(O$262,'Ф_808_2023-2017'!$1:$1,0),0))</f>
        <v>0</v>
      </c>
      <c r="P325" s="1351"/>
    </row>
    <row r="326" spans="1:16" ht="32.25" customHeight="1" x14ac:dyDescent="0.2">
      <c r="A326" s="1301"/>
      <c r="B326" s="1301" t="s">
        <v>3126</v>
      </c>
      <c r="C326" s="1301" t="s">
        <v>3126</v>
      </c>
      <c r="D326" s="1301"/>
      <c r="E326" s="1183" t="s">
        <v>3127</v>
      </c>
      <c r="F326" s="1184"/>
      <c r="G326" s="1350">
        <f>IF(ISBLANK($B326),"",VLOOKUP($B326,Ф_808_2016_2015[],MATCH(G$262,'Ф_808_2016-2015'!$1:$1,0),0))</f>
        <v>0</v>
      </c>
      <c r="H326" s="1349">
        <f>IF(ISBLANK($C326),"",VLOOKUP($C326,Ф_808_2023_2017[],MATCH(H$262,'Ф_808_2023-2017'!$1:$1,0),0))</f>
        <v>0</v>
      </c>
      <c r="I326" s="1349">
        <f>IF(ISBLANK($C326),"",VLOOKUP($C326,Ф_808_2023_2017[],MATCH(I$262,'Ф_808_2023-2017'!$1:$1,0),0))</f>
        <v>113536</v>
      </c>
      <c r="J326" s="1349">
        <f>IF(ISBLANK($C326),"",VLOOKUP($C326,Ф_808_2023_2017[],MATCH(J$262,'Ф_808_2023-2017'!$1:$1,0),0))</f>
        <v>0</v>
      </c>
      <c r="K326" s="1349">
        <f>IF(ISBLANK($C326),"",VLOOKUP($C326,Ф_808_2023_2017[],MATCH(K$262,'Ф_808_2023-2017'!$1:$1,0),0))</f>
        <v>0</v>
      </c>
      <c r="L326" s="1349">
        <f>IF(ISBLANK($C326),"",VLOOKUP($C326,Ф_808_2023_2017[],MATCH(L$262,'Ф_808_2023-2017'!$1:$1,0),0))</f>
        <v>0</v>
      </c>
      <c r="M326" s="1349">
        <f>IF(ISBLANK($C326),"",VLOOKUP($C326,Ф_808_2023_2017[],MATCH(M$262,'Ф_808_2023-2017'!$1:$1,0),0))</f>
        <v>0</v>
      </c>
      <c r="N326" s="1349">
        <f>IF(ISBLANK($C326),"",VLOOKUP($C326,Ф_808_2023_2017[],MATCH(N$262,'Ф_808_2023-2017'!$1:$1,0),0))</f>
        <v>0</v>
      </c>
      <c r="O326" s="1349">
        <f>IF(ISBLANK($C326),"",VLOOKUP($C326,Ф_808_2023_2017[],MATCH(O$262,'Ф_808_2023-2017'!$1:$1,0),0))</f>
        <v>0</v>
      </c>
      <c r="P326" s="1351"/>
    </row>
    <row r="327" spans="1:16" ht="41.25" customHeight="1" x14ac:dyDescent="0.2">
      <c r="A327" s="1301"/>
      <c r="B327" s="1301" t="s">
        <v>3128</v>
      </c>
      <c r="C327" s="1301" t="s">
        <v>3128</v>
      </c>
      <c r="D327" s="1301"/>
      <c r="E327" s="1183" t="s">
        <v>3129</v>
      </c>
      <c r="F327" s="1184"/>
      <c r="G327" s="1350">
        <f>IF(ISBLANK($B327),"",VLOOKUP($B327,Ф_808_2016_2015[],MATCH(G$262,'Ф_808_2016-2015'!$1:$1,0),0))</f>
        <v>0</v>
      </c>
      <c r="H327" s="1349">
        <f>IF(ISBLANK($C327),"",VLOOKUP($C327,Ф_808_2023_2017[],MATCH(H$262,'Ф_808_2023-2017'!$1:$1,0),0))</f>
        <v>0</v>
      </c>
      <c r="I327" s="1349">
        <f>IF(ISBLANK($C327),"",VLOOKUP($C327,Ф_808_2023_2017[],MATCH(I$262,'Ф_808_2023-2017'!$1:$1,0),0))</f>
        <v>0</v>
      </c>
      <c r="J327" s="1349">
        <f>IF(ISBLANK($C327),"",VLOOKUP($C327,Ф_808_2023_2017[],MATCH(J$262,'Ф_808_2023-2017'!$1:$1,0),0))</f>
        <v>0</v>
      </c>
      <c r="K327" s="1349">
        <f>IF(ISBLANK($C327),"",VLOOKUP($C327,Ф_808_2023_2017[],MATCH(K$262,'Ф_808_2023-2017'!$1:$1,0),0))</f>
        <v>0</v>
      </c>
      <c r="L327" s="1349">
        <f>IF(ISBLANK($C327),"",VLOOKUP($C327,Ф_808_2023_2017[],MATCH(L$262,'Ф_808_2023-2017'!$1:$1,0),0))</f>
        <v>0</v>
      </c>
      <c r="M327" s="1349">
        <f>IF(ISBLANK($C327),"",VLOOKUP($C327,Ф_808_2023_2017[],MATCH(M$262,'Ф_808_2023-2017'!$1:$1,0),0))</f>
        <v>0</v>
      </c>
      <c r="N327" s="1349">
        <f>IF(ISBLANK($C327),"",VLOOKUP($C327,Ф_808_2023_2017[],MATCH(N$262,'Ф_808_2023-2017'!$1:$1,0),0))</f>
        <v>0</v>
      </c>
      <c r="O327" s="1349">
        <f>IF(ISBLANK($C327),"",VLOOKUP($C327,Ф_808_2023_2017[],MATCH(O$262,'Ф_808_2023-2017'!$1:$1,0),0))</f>
        <v>0</v>
      </c>
      <c r="P327" s="1351"/>
    </row>
    <row r="328" spans="1:16" ht="15" customHeight="1" x14ac:dyDescent="0.2">
      <c r="A328" s="1301"/>
      <c r="B328" s="1301" t="s">
        <v>3130</v>
      </c>
      <c r="C328" s="1301" t="s">
        <v>3130</v>
      </c>
      <c r="D328" s="1301"/>
      <c r="E328" s="1183" t="s">
        <v>3131</v>
      </c>
      <c r="F328" s="1184"/>
      <c r="G328" s="1350">
        <f>IF(ISBLANK($B328),"",VLOOKUP($B328,Ф_808_2016_2015[],MATCH(G$262,'Ф_808_2016-2015'!$1:$1,0),0))</f>
        <v>0</v>
      </c>
      <c r="H328" s="1349">
        <f>IF(ISBLANK($C328),"",VLOOKUP($C328,Ф_808_2023_2017[],MATCH(H$262,'Ф_808_2023-2017'!$1:$1,0),0))</f>
        <v>0</v>
      </c>
      <c r="I328" s="1349">
        <f>IF(ISBLANK($C328),"",VLOOKUP($C328,Ф_808_2023_2017[],MATCH(I$262,'Ф_808_2023-2017'!$1:$1,0),0))</f>
        <v>0</v>
      </c>
      <c r="J328" s="1349">
        <f>IF(ISBLANK($C328),"",VLOOKUP($C328,Ф_808_2023_2017[],MATCH(J$262,'Ф_808_2023-2017'!$1:$1,0),0))</f>
        <v>0</v>
      </c>
      <c r="K328" s="1349">
        <f>IF(ISBLANK($C328),"",VLOOKUP($C328,Ф_808_2023_2017[],MATCH(K$262,'Ф_808_2023-2017'!$1:$1,0),0))</f>
        <v>0</v>
      </c>
      <c r="L328" s="1349">
        <f>IF(ISBLANK($C328),"",VLOOKUP($C328,Ф_808_2023_2017[],MATCH(L$262,'Ф_808_2023-2017'!$1:$1,0),0))</f>
        <v>0</v>
      </c>
      <c r="M328" s="1349">
        <f>IF(ISBLANK($C328),"",VLOOKUP($C328,Ф_808_2023_2017[],MATCH(M$262,'Ф_808_2023-2017'!$1:$1,0),0))</f>
        <v>0</v>
      </c>
      <c r="N328" s="1349">
        <f>IF(ISBLANK($C328),"",VLOOKUP($C328,Ф_808_2023_2017[],MATCH(N$262,'Ф_808_2023-2017'!$1:$1,0),0))</f>
        <v>0</v>
      </c>
      <c r="O328" s="1349">
        <f>IF(ISBLANK($C328),"",VLOOKUP($C328,Ф_808_2023_2017[],MATCH(O$262,'Ф_808_2023-2017'!$1:$1,0),0))</f>
        <v>0</v>
      </c>
      <c r="P328" s="1351"/>
    </row>
    <row r="329" spans="1:16" ht="32.25" customHeight="1" x14ac:dyDescent="0.2">
      <c r="A329" s="1299"/>
      <c r="B329" s="1299" t="s">
        <v>3132</v>
      </c>
      <c r="C329" s="1299" t="s">
        <v>3132</v>
      </c>
      <c r="D329" s="1299"/>
      <c r="E329" s="307" t="s">
        <v>3230</v>
      </c>
      <c r="F329" s="374"/>
      <c r="G329" s="1343">
        <f>IF(ISBLANK($B329),"",VLOOKUP($B329,Ф_808_2016_2015[],MATCH(G$262,'Ф_808_2016-2015'!$1:$1,0),0))</f>
        <v>28850073</v>
      </c>
      <c r="H329" s="1342">
        <f>IF(ISBLANK($C329),"",VLOOKUP($C329,Ф_808_2023_2017[],MATCH(H$262,'Ф_808_2023-2017'!$1:$1,0),0))</f>
        <v>22662490</v>
      </c>
      <c r="I329" s="1342">
        <f>IF(ISBLANK($C329),"",VLOOKUP($C329,Ф_808_2023_2017[],MATCH(I$262,'Ф_808_2023-2017'!$1:$1,0),0))</f>
        <v>24881671</v>
      </c>
      <c r="J329" s="1342">
        <f>IF(ISBLANK($C329),"",VLOOKUP($C329,Ф_808_2023_2017[],MATCH(J$262,'Ф_808_2023-2017'!$1:$1,0),0))</f>
        <v>15918923</v>
      </c>
      <c r="K329" s="1342">
        <f>IF(ISBLANK($C329),"",VLOOKUP($C329,Ф_808_2023_2017[],MATCH(K$262,'Ф_808_2023-2017'!$1:$1,0),0))</f>
        <v>14267208</v>
      </c>
      <c r="L329" s="1342">
        <f>IF(ISBLANK($C329),"",VLOOKUP($C329,Ф_808_2023_2017[],MATCH(L$262,'Ф_808_2023-2017'!$1:$1,0),0))</f>
        <v>16876771</v>
      </c>
      <c r="M329" s="1342">
        <f>IF(ISBLANK($C329),"",VLOOKUP($C329,Ф_808_2023_2017[],MATCH(M$262,'Ф_808_2023-2017'!$1:$1,0),0))</f>
        <v>14200777</v>
      </c>
      <c r="N329" s="1342">
        <f>IF(ISBLANK($C329),"",VLOOKUP($C329,Ф_808_2023_2017[],MATCH(N$262,'Ф_808_2023-2017'!$1:$1,0),0))</f>
        <v>32863078</v>
      </c>
      <c r="O329" s="1342">
        <f>IF(ISBLANK($C329),"",VLOOKUP($C329,Ф_808_2023_2017[],MATCH(O$262,'Ф_808_2023-2017'!$1:$1,0),0))</f>
        <v>18795461</v>
      </c>
      <c r="P329" s="1344"/>
    </row>
    <row r="330" spans="1:16" ht="15" customHeight="1" x14ac:dyDescent="0.2">
      <c r="A330" s="1299"/>
      <c r="B330" s="1299"/>
      <c r="C330" s="1299"/>
      <c r="D330" s="1299"/>
      <c r="E330" s="307" t="s">
        <v>3134</v>
      </c>
      <c r="F330" s="374"/>
      <c r="G330" s="1343" t="str">
        <f>IF(ISBLANK($B330),"",VLOOKUP($B330,Ф_808_2016_2015[],MATCH(G$262,'Ф_808_2016-2015'!$1:$1,0),0))</f>
        <v/>
      </c>
      <c r="H330" s="1342" t="str">
        <f>IF(ISBLANK($C330),"",VLOOKUP($C330,Ф_808_2023_2017[],MATCH(H$262,'Ф_808_2023-2017'!$1:$1,0),0))</f>
        <v/>
      </c>
      <c r="I330" s="1342" t="str">
        <f>IF(ISBLANK($C330),"",VLOOKUP($C330,Ф_808_2023_2017[],MATCH(I$262,'Ф_808_2023-2017'!$1:$1,0),0))</f>
        <v/>
      </c>
      <c r="J330" s="1342" t="str">
        <f>IF(ISBLANK($C330),"",VLOOKUP($C330,Ф_808_2023_2017[],MATCH(J$262,'Ф_808_2023-2017'!$1:$1,0),0))</f>
        <v/>
      </c>
      <c r="K330" s="1342" t="str">
        <f>IF(ISBLANK($C330),"",VLOOKUP($C330,Ф_808_2023_2017[],MATCH(K$262,'Ф_808_2023-2017'!$1:$1,0),0))</f>
        <v/>
      </c>
      <c r="L330" s="1342" t="str">
        <f>IF(ISBLANK($C330),"",VLOOKUP($C330,Ф_808_2023_2017[],MATCH(L$262,'Ф_808_2023-2017'!$1:$1,0),0))</f>
        <v/>
      </c>
      <c r="M330" s="1342" t="str">
        <f>IF(ISBLANK($C330),"",VLOOKUP($C330,Ф_808_2023_2017[],MATCH(M$262,'Ф_808_2023-2017'!$1:$1,0),0))</f>
        <v/>
      </c>
      <c r="N330" s="1342" t="str">
        <f>IF(ISBLANK($C330),"",VLOOKUP($C330,Ф_808_2023_2017[],MATCH(N$262,'Ф_808_2023-2017'!$1:$1,0),0))</f>
        <v/>
      </c>
      <c r="O330" s="1342" t="str">
        <f>IF(ISBLANK($C330),"",VLOOKUP($C330,Ф_808_2023_2017[],MATCH(O$262,'Ф_808_2023-2017'!$1:$1,0),0))</f>
        <v/>
      </c>
      <c r="P330" s="1344"/>
    </row>
    <row r="331" spans="1:16" ht="23.25" customHeight="1" x14ac:dyDescent="0.2">
      <c r="A331" s="1301"/>
      <c r="B331" s="1301" t="s">
        <v>3135</v>
      </c>
      <c r="C331" s="1301" t="s">
        <v>3135</v>
      </c>
      <c r="D331" s="1301"/>
      <c r="E331" s="1183" t="s">
        <v>3136</v>
      </c>
      <c r="F331" s="1184"/>
      <c r="G331" s="1350">
        <f>IF(ISBLANK($B331),"",VLOOKUP($B331,Ф_808_2016_2015[],MATCH(G$262,'Ф_808_2016-2015'!$1:$1,0),0))</f>
        <v>0</v>
      </c>
      <c r="H331" s="1349">
        <f>IF(ISBLANK($C331),"",VLOOKUP($C331,Ф_808_2023_2017[],MATCH(H$262,'Ф_808_2023-2017'!$1:$1,0),0))</f>
        <v>0</v>
      </c>
      <c r="I331" s="1349">
        <f>IF(ISBLANK($C331),"",VLOOKUP($C331,Ф_808_2023_2017[],MATCH(I$262,'Ф_808_2023-2017'!$1:$1,0),0))</f>
        <v>0</v>
      </c>
      <c r="J331" s="1349">
        <f>IF(ISBLANK($C331),"",VLOOKUP($C331,Ф_808_2023_2017[],MATCH(J$262,'Ф_808_2023-2017'!$1:$1,0),0))</f>
        <v>0</v>
      </c>
      <c r="K331" s="1349">
        <f>IF(ISBLANK($C331),"",VLOOKUP($C331,Ф_808_2023_2017[],MATCH(K$262,'Ф_808_2023-2017'!$1:$1,0),0))</f>
        <v>0</v>
      </c>
      <c r="L331" s="1349">
        <f>IF(ISBLANK($C331),"",VLOOKUP($C331,Ф_808_2023_2017[],MATCH(L$262,'Ф_808_2023-2017'!$1:$1,0),0))</f>
        <v>0</v>
      </c>
      <c r="M331" s="1349">
        <f>IF(ISBLANK($C331),"",VLOOKUP($C331,Ф_808_2023_2017[],MATCH(M$262,'Ф_808_2023-2017'!$1:$1,0),0))</f>
        <v>0</v>
      </c>
      <c r="N331" s="1349">
        <f>IF(ISBLANK($C331),"",VLOOKUP($C331,Ф_808_2023_2017[],MATCH(N$262,'Ф_808_2023-2017'!$1:$1,0),0))</f>
        <v>0</v>
      </c>
      <c r="O331" s="1349">
        <f>IF(ISBLANK($C331),"",VLOOKUP($C331,Ф_808_2023_2017[],MATCH(O$262,'Ф_808_2023-2017'!$1:$1,0),0))</f>
        <v>0</v>
      </c>
      <c r="P331" s="1351"/>
    </row>
    <row r="332" spans="1:16" ht="45.75" customHeight="1" x14ac:dyDescent="0.2">
      <c r="A332" s="1301"/>
      <c r="B332" s="1301" t="s">
        <v>3137</v>
      </c>
      <c r="C332" s="1301" t="s">
        <v>3137</v>
      </c>
      <c r="D332" s="1301"/>
      <c r="E332" s="1183" t="s">
        <v>3294</v>
      </c>
      <c r="F332" s="1184"/>
      <c r="G332" s="1350">
        <f>IF(ISBLANK($B332),"",VLOOKUP($B332,Ф_808_2016_2015[],MATCH(G$262,'Ф_808_2016-2015'!$1:$1,0),0))</f>
        <v>0</v>
      </c>
      <c r="H332" s="1349">
        <f>IF(ISBLANK($C332),"",VLOOKUP($C332,Ф_808_2023_2017[],MATCH(H$262,'Ф_808_2023-2017'!$1:$1,0),0))</f>
        <v>0</v>
      </c>
      <c r="I332" s="1349">
        <f>IF(ISBLANK($C332),"",VLOOKUP($C332,Ф_808_2023_2017[],MATCH(I$262,'Ф_808_2023-2017'!$1:$1,0),0))</f>
        <v>0</v>
      </c>
      <c r="J332" s="1349">
        <f>IF(ISBLANK($C332),"",VLOOKUP($C332,Ф_808_2023_2017[],MATCH(J$262,'Ф_808_2023-2017'!$1:$1,0),0))</f>
        <v>0</v>
      </c>
      <c r="K332" s="1349">
        <f>IF(ISBLANK($C332),"",VLOOKUP($C332,Ф_808_2023_2017[],MATCH(K$262,'Ф_808_2023-2017'!$1:$1,0),0))</f>
        <v>0</v>
      </c>
      <c r="L332" s="1349">
        <f>IF(ISBLANK($C332),"",VLOOKUP($C332,Ф_808_2023_2017[],MATCH(L$262,'Ф_808_2023-2017'!$1:$1,0),0))</f>
        <v>0</v>
      </c>
      <c r="M332" s="1349">
        <f>IF(ISBLANK($C332),"",VLOOKUP($C332,Ф_808_2023_2017[],MATCH(M$262,'Ф_808_2023-2017'!$1:$1,0),0))</f>
        <v>0</v>
      </c>
      <c r="N332" s="1349">
        <f>IF(ISBLANK($C332),"",VLOOKUP($C332,Ф_808_2023_2017[],MATCH(N$262,'Ф_808_2023-2017'!$1:$1,0),0))</f>
        <v>0</v>
      </c>
      <c r="O332" s="1349">
        <f>IF(ISBLANK($C332),"",VLOOKUP($C332,Ф_808_2023_2017[],MATCH(O$262,'Ф_808_2023-2017'!$1:$1,0),0))</f>
        <v>0</v>
      </c>
      <c r="P332" s="1351"/>
    </row>
    <row r="333" spans="1:16" ht="51" customHeight="1" x14ac:dyDescent="0.2">
      <c r="A333" s="1301"/>
      <c r="B333" s="1301" t="s">
        <v>3139</v>
      </c>
      <c r="C333" s="1301" t="s">
        <v>3139</v>
      </c>
      <c r="D333" s="1301"/>
      <c r="E333" s="1183" t="s">
        <v>3140</v>
      </c>
      <c r="F333" s="1184"/>
      <c r="G333" s="1350">
        <f>IF(ISBLANK($B333),"",VLOOKUP($B333,Ф_808_2016_2015[],MATCH(G$262,'Ф_808_2016-2015'!$1:$1,0),0))</f>
        <v>0</v>
      </c>
      <c r="H333" s="1349">
        <f>IF(ISBLANK($C333),"",VLOOKUP($C333,Ф_808_2023_2017[],MATCH(H$262,'Ф_808_2023-2017'!$1:$1,0),0))</f>
        <v>0</v>
      </c>
      <c r="I333" s="1349">
        <f>IF(ISBLANK($C333),"",VLOOKUP($C333,Ф_808_2023_2017[],MATCH(I$262,'Ф_808_2023-2017'!$1:$1,0),0))</f>
        <v>0</v>
      </c>
      <c r="J333" s="1349">
        <f>IF(ISBLANK($C333),"",VLOOKUP($C333,Ф_808_2023_2017[],MATCH(J$262,'Ф_808_2023-2017'!$1:$1,0),0))</f>
        <v>0</v>
      </c>
      <c r="K333" s="1349">
        <f>IF(ISBLANK($C333),"",VLOOKUP($C333,Ф_808_2023_2017[],MATCH(K$262,'Ф_808_2023-2017'!$1:$1,0),0))</f>
        <v>0</v>
      </c>
      <c r="L333" s="1349">
        <f>IF(ISBLANK($C333),"",VLOOKUP($C333,Ф_808_2023_2017[],MATCH(L$262,'Ф_808_2023-2017'!$1:$1,0),0))</f>
        <v>0</v>
      </c>
      <c r="M333" s="1349">
        <f>IF(ISBLANK($C333),"",VLOOKUP($C333,Ф_808_2023_2017[],MATCH(M$262,'Ф_808_2023-2017'!$1:$1,0),0))</f>
        <v>0</v>
      </c>
      <c r="N333" s="1349">
        <f>IF(ISBLANK($C333),"",VLOOKUP($C333,Ф_808_2023_2017[],MATCH(N$262,'Ф_808_2023-2017'!$1:$1,0),0))</f>
        <v>0</v>
      </c>
      <c r="O333" s="1349">
        <f>IF(ISBLANK($C333),"",VLOOKUP($C333,Ф_808_2023_2017[],MATCH(O$262,'Ф_808_2023-2017'!$1:$1,0),0))</f>
        <v>0</v>
      </c>
      <c r="P333" s="1351"/>
    </row>
    <row r="334" spans="1:16" ht="33" customHeight="1" x14ac:dyDescent="0.2">
      <c r="A334" s="1301"/>
      <c r="B334" s="1399"/>
      <c r="C334" s="1301" t="s">
        <v>3141</v>
      </c>
      <c r="D334" s="1301"/>
      <c r="E334" s="1183" t="s">
        <v>3225</v>
      </c>
      <c r="F334" s="1184"/>
      <c r="G334" s="1350" t="str">
        <f>IF(ISBLANK($B334),"",VLOOKUP($B334,Ф_808_2016_2015[],MATCH(G$262,'Ф_808_2016-2015'!$1:$1,0),0))</f>
        <v/>
      </c>
      <c r="H334" s="1349">
        <f>IF(ISBLANK($C334),"",VLOOKUP($C334,Ф_808_2023_2017[],MATCH(H$262,'Ф_808_2023-2017'!$1:$1,0),0))</f>
        <v>0</v>
      </c>
      <c r="I334" s="1349">
        <f>IF(ISBLANK($C334),"",VLOOKUP($C334,Ф_808_2023_2017[],MATCH(I$262,'Ф_808_2023-2017'!$1:$1,0),0))</f>
        <v>0</v>
      </c>
      <c r="J334" s="1349">
        <f>IF(ISBLANK($C334),"",VLOOKUP($C334,Ф_808_2023_2017[],MATCH(J$262,'Ф_808_2023-2017'!$1:$1,0),0))</f>
        <v>0</v>
      </c>
      <c r="K334" s="1349">
        <f>IF(ISBLANK($C334),"",VLOOKUP($C334,Ф_808_2023_2017[],MATCH(K$262,'Ф_808_2023-2017'!$1:$1,0),0))</f>
        <v>0</v>
      </c>
      <c r="L334" s="1349">
        <f>IF(ISBLANK($C334),"",VLOOKUP($C334,Ф_808_2023_2017[],MATCH(L$262,'Ф_808_2023-2017'!$1:$1,0),0))</f>
        <v>0</v>
      </c>
      <c r="M334" s="1349">
        <f>IF(ISBLANK($C334),"",VLOOKUP($C334,Ф_808_2023_2017[],MATCH(M$262,'Ф_808_2023-2017'!$1:$1,0),0))</f>
        <v>0</v>
      </c>
      <c r="N334" s="1349">
        <f>IF(ISBLANK($C334),"",VLOOKUP($C334,Ф_808_2023_2017[],MATCH(N$262,'Ф_808_2023-2017'!$1:$1,0),0))</f>
        <v>0</v>
      </c>
      <c r="O334" s="1349">
        <f>IF(ISBLANK($C334),"",VLOOKUP($C334,Ф_808_2023_2017[],MATCH(O$262,'Ф_808_2023-2017'!$1:$1,0),0))</f>
        <v>0</v>
      </c>
      <c r="P334" s="1351"/>
    </row>
    <row r="335" spans="1:16" ht="15" customHeight="1" x14ac:dyDescent="0.2">
      <c r="A335" s="1301"/>
      <c r="B335" s="1301" t="s">
        <v>3143</v>
      </c>
      <c r="C335" s="1301" t="s">
        <v>3143</v>
      </c>
      <c r="D335" s="1301"/>
      <c r="E335" s="1183" t="s">
        <v>3144</v>
      </c>
      <c r="F335" s="1184"/>
      <c r="G335" s="1350">
        <f>IF(ISBLANK($B335),"",VLOOKUP($B335,Ф_808_2016_2015[],MATCH(G$262,'Ф_808_2016-2015'!$1:$1,0),0))</f>
        <v>45000</v>
      </c>
      <c r="H335" s="1349">
        <f>IF(ISBLANK($C335),"",VLOOKUP($C335,Ф_808_2023_2017[],MATCH(H$262,'Ф_808_2023-2017'!$1:$1,0),0))</f>
        <v>0</v>
      </c>
      <c r="I335" s="1349">
        <f>IF(ISBLANK($C335),"",VLOOKUP($C335,Ф_808_2023_2017[],MATCH(I$262,'Ф_808_2023-2017'!$1:$1,0),0))</f>
        <v>0</v>
      </c>
      <c r="J335" s="1349">
        <f>IF(ISBLANK($C335),"",VLOOKUP($C335,Ф_808_2023_2017[],MATCH(J$262,'Ф_808_2023-2017'!$1:$1,0),0))</f>
        <v>0</v>
      </c>
      <c r="K335" s="1349">
        <f>IF(ISBLANK($C335),"",VLOOKUP($C335,Ф_808_2023_2017[],MATCH(K$262,'Ф_808_2023-2017'!$1:$1,0),0))</f>
        <v>0</v>
      </c>
      <c r="L335" s="1349">
        <f>IF(ISBLANK($C335),"",VLOOKUP($C335,Ф_808_2023_2017[],MATCH(L$262,'Ф_808_2023-2017'!$1:$1,0),0))</f>
        <v>0</v>
      </c>
      <c r="M335" s="1349">
        <f>IF(ISBLANK($C335),"",VLOOKUP($C335,Ф_808_2023_2017[],MATCH(M$262,'Ф_808_2023-2017'!$1:$1,0),0))</f>
        <v>0</v>
      </c>
      <c r="N335" s="1349">
        <f>IF(ISBLANK($C335),"",VLOOKUP($C335,Ф_808_2023_2017[],MATCH(N$262,'Ф_808_2023-2017'!$1:$1,0),0))</f>
        <v>0</v>
      </c>
      <c r="O335" s="1349">
        <f>IF(ISBLANK($C335),"",VLOOKUP($C335,Ф_808_2023_2017[],MATCH(O$262,'Ф_808_2023-2017'!$1:$1,0),0))</f>
        <v>0</v>
      </c>
      <c r="P335" s="1351"/>
    </row>
    <row r="336" spans="1:16" ht="32.25" customHeight="1" x14ac:dyDescent="0.2">
      <c r="A336" s="1301"/>
      <c r="B336" s="1301" t="s">
        <v>3145</v>
      </c>
      <c r="C336" s="1301" t="s">
        <v>3145</v>
      </c>
      <c r="D336" s="1301"/>
      <c r="E336" s="1183" t="s">
        <v>3146</v>
      </c>
      <c r="F336" s="1184"/>
      <c r="G336" s="1350">
        <f>IF(ISBLANK($B336),"",VLOOKUP($B336,Ф_808_2016_2015[],MATCH(G$262,'Ф_808_2016-2015'!$1:$1,0),0))</f>
        <v>74184</v>
      </c>
      <c r="H336" s="1349">
        <f>IF(ISBLANK($C336),"",VLOOKUP($C336,Ф_808_2023_2017[],MATCH(H$262,'Ф_808_2023-2017'!$1:$1,0),0))</f>
        <v>0</v>
      </c>
      <c r="I336" s="1349">
        <f>IF(ISBLANK($C336),"",VLOOKUP($C336,Ф_808_2023_2017[],MATCH(I$262,'Ф_808_2023-2017'!$1:$1,0),0))</f>
        <v>0</v>
      </c>
      <c r="J336" s="1349">
        <f>IF(ISBLANK($C336),"",VLOOKUP($C336,Ф_808_2023_2017[],MATCH(J$262,'Ф_808_2023-2017'!$1:$1,0),0))</f>
        <v>0</v>
      </c>
      <c r="K336" s="1349">
        <f>IF(ISBLANK($C336),"",VLOOKUP($C336,Ф_808_2023_2017[],MATCH(K$262,'Ф_808_2023-2017'!$1:$1,0),0))</f>
        <v>0</v>
      </c>
      <c r="L336" s="1349">
        <f>IF(ISBLANK($C336),"",VLOOKUP($C336,Ф_808_2023_2017[],MATCH(L$262,'Ф_808_2023-2017'!$1:$1,0),0))</f>
        <v>0</v>
      </c>
      <c r="M336" s="1349">
        <f>IF(ISBLANK($C336),"",VLOOKUP($C336,Ф_808_2023_2017[],MATCH(M$262,'Ф_808_2023-2017'!$1:$1,0),0))</f>
        <v>0</v>
      </c>
      <c r="N336" s="1349">
        <f>IF(ISBLANK($C336),"",VLOOKUP($C336,Ф_808_2023_2017[],MATCH(N$262,'Ф_808_2023-2017'!$1:$1,0),0))</f>
        <v>0</v>
      </c>
      <c r="O336" s="1349">
        <f>IF(ISBLANK($C336),"",VLOOKUP($C336,Ф_808_2023_2017[],MATCH(O$262,'Ф_808_2023-2017'!$1:$1,0),0))</f>
        <v>0</v>
      </c>
      <c r="P336" s="1351"/>
    </row>
    <row r="337" spans="1:16" ht="32.25" customHeight="1" x14ac:dyDescent="0.2">
      <c r="A337" s="1301"/>
      <c r="B337" s="1301" t="s">
        <v>3147</v>
      </c>
      <c r="C337" s="1399"/>
      <c r="D337" s="1399"/>
      <c r="E337" s="1183" t="s">
        <v>3247</v>
      </c>
      <c r="F337" s="1184"/>
      <c r="G337" s="1350">
        <f>IF(ISBLANK($B337),"",VLOOKUP($B337,Ф_808_2016_2015[],MATCH(G$262,'Ф_808_2016-2015'!$1:$1,0),0))</f>
        <v>74184</v>
      </c>
      <c r="H337" s="1349" t="str">
        <f>IF(ISBLANK($C337),"",VLOOKUP($C337,Ф_808_2023_2017[],MATCH(H$262,'Ф_808_2023-2017'!$1:$1,0),0))</f>
        <v/>
      </c>
      <c r="I337" s="1349" t="str">
        <f>IF(ISBLANK($C337),"",VLOOKUP($C337,Ф_808_2023_2017[],MATCH(I$262,'Ф_808_2023-2017'!$1:$1,0),0))</f>
        <v/>
      </c>
      <c r="J337" s="1349" t="str">
        <f>IF(ISBLANK($C337),"",VLOOKUP($C337,Ф_808_2023_2017[],MATCH(J$262,'Ф_808_2023-2017'!$1:$1,0),0))</f>
        <v/>
      </c>
      <c r="K337" s="1349" t="str">
        <f>IF(ISBLANK($C337),"",VLOOKUP($C337,Ф_808_2023_2017[],MATCH(K$262,'Ф_808_2023-2017'!$1:$1,0),0))</f>
        <v/>
      </c>
      <c r="L337" s="1349" t="str">
        <f>IF(ISBLANK($C337),"",VLOOKUP($C337,Ф_808_2023_2017[],MATCH(L$262,'Ф_808_2023-2017'!$1:$1,0),0))</f>
        <v/>
      </c>
      <c r="M337" s="1349" t="str">
        <f>IF(ISBLANK($C337),"",VLOOKUP($C337,Ф_808_2023_2017[],MATCH(M$262,'Ф_808_2023-2017'!$1:$1,0),0))</f>
        <v/>
      </c>
      <c r="N337" s="1349" t="str">
        <f>IF(ISBLANK($C337),"",VLOOKUP($C337,Ф_808_2023_2017[],MATCH(N$262,'Ф_808_2023-2017'!$1:$1,0),0))</f>
        <v/>
      </c>
      <c r="O337" s="1349" t="str">
        <f>IF(ISBLANK($C337),"",VLOOKUP($C337,Ф_808_2023_2017[],MATCH(O$262,'Ф_808_2023-2017'!$1:$1,0),0))</f>
        <v/>
      </c>
      <c r="P337" s="1351"/>
    </row>
    <row r="338" spans="1:16" ht="32.25" customHeight="1" x14ac:dyDescent="0.2">
      <c r="A338" s="1301"/>
      <c r="B338" s="1301" t="s">
        <v>3264</v>
      </c>
      <c r="C338" s="1399"/>
      <c r="D338" s="1399"/>
      <c r="E338" s="1183" t="s">
        <v>3265</v>
      </c>
      <c r="F338" s="1184"/>
      <c r="G338" s="1350">
        <f>IF(ISBLANK($B338),"",VLOOKUP($B338,Ф_808_2016_2015[],MATCH(G$262,'Ф_808_2016-2015'!$1:$1,0),0))</f>
        <v>0</v>
      </c>
      <c r="H338" s="1349" t="str">
        <f>IF(ISBLANK($C338),"",VLOOKUP($C338,Ф_808_2023_2017[],MATCH(H$262,'Ф_808_2023-2017'!$1:$1,0),0))</f>
        <v/>
      </c>
      <c r="I338" s="1349" t="str">
        <f>IF(ISBLANK($C338),"",VLOOKUP($C338,Ф_808_2023_2017[],MATCH(I$262,'Ф_808_2023-2017'!$1:$1,0),0))</f>
        <v/>
      </c>
      <c r="J338" s="1349" t="str">
        <f>IF(ISBLANK($C338),"",VLOOKUP($C338,Ф_808_2023_2017[],MATCH(J$262,'Ф_808_2023-2017'!$1:$1,0),0))</f>
        <v/>
      </c>
      <c r="K338" s="1349" t="str">
        <f>IF(ISBLANK($C338),"",VLOOKUP($C338,Ф_808_2023_2017[],MATCH(K$262,'Ф_808_2023-2017'!$1:$1,0),0))</f>
        <v/>
      </c>
      <c r="L338" s="1349" t="str">
        <f>IF(ISBLANK($C338),"",VLOOKUP($C338,Ф_808_2023_2017[],MATCH(L$262,'Ф_808_2023-2017'!$1:$1,0),0))</f>
        <v/>
      </c>
      <c r="M338" s="1349" t="str">
        <f>IF(ISBLANK($C338),"",VLOOKUP($C338,Ф_808_2023_2017[],MATCH(M$262,'Ф_808_2023-2017'!$1:$1,0),0))</f>
        <v/>
      </c>
      <c r="N338" s="1349" t="str">
        <f>IF(ISBLANK($C338),"",VLOOKUP($C338,Ф_808_2023_2017[],MATCH(N$262,'Ф_808_2023-2017'!$1:$1,0),0))</f>
        <v/>
      </c>
      <c r="O338" s="1349" t="str">
        <f>IF(ISBLANK($C338),"",VLOOKUP($C338,Ф_808_2023_2017[],MATCH(O$262,'Ф_808_2023-2017'!$1:$1,0),0))</f>
        <v/>
      </c>
      <c r="P338" s="1351"/>
    </row>
    <row r="339" spans="1:16" ht="32.25" customHeight="1" x14ac:dyDescent="0.2">
      <c r="A339" s="1301"/>
      <c r="B339" s="1301" t="s">
        <v>3266</v>
      </c>
      <c r="C339" s="1301" t="s">
        <v>3147</v>
      </c>
      <c r="D339" s="1301"/>
      <c r="E339" s="1183" t="s">
        <v>3148</v>
      </c>
      <c r="F339" s="1184"/>
      <c r="G339" s="1350">
        <f>IF(ISBLANK($B339),"",VLOOKUP($B339,Ф_808_2016_2015[],MATCH(G$262,'Ф_808_2016-2015'!$1:$1,0),0))</f>
        <v>0</v>
      </c>
      <c r="H339" s="1349">
        <f>IF(ISBLANK($C339),"",VLOOKUP($C339,Ф_808_2023_2017[],MATCH(H$262,'Ф_808_2023-2017'!$1:$1,0),0))</f>
        <v>0</v>
      </c>
      <c r="I339" s="1349">
        <f>IF(ISBLANK($C339),"",VLOOKUP($C339,Ф_808_2023_2017[],MATCH(I$262,'Ф_808_2023-2017'!$1:$1,0),0))</f>
        <v>0</v>
      </c>
      <c r="J339" s="1349">
        <f>IF(ISBLANK($C339),"",VLOOKUP($C339,Ф_808_2023_2017[],MATCH(J$262,'Ф_808_2023-2017'!$1:$1,0),0))</f>
        <v>0</v>
      </c>
      <c r="K339" s="1349">
        <f>IF(ISBLANK($C339),"",VLOOKUP($C339,Ф_808_2023_2017[],MATCH(K$262,'Ф_808_2023-2017'!$1:$1,0),0))</f>
        <v>0</v>
      </c>
      <c r="L339" s="1349">
        <f>IF(ISBLANK($C339),"",VLOOKUP($C339,Ф_808_2023_2017[],MATCH(L$262,'Ф_808_2023-2017'!$1:$1,0),0))</f>
        <v>0</v>
      </c>
      <c r="M339" s="1349">
        <f>IF(ISBLANK($C339),"",VLOOKUP($C339,Ф_808_2023_2017[],MATCH(M$262,'Ф_808_2023-2017'!$1:$1,0),0))</f>
        <v>0</v>
      </c>
      <c r="N339" s="1349">
        <f>IF(ISBLANK($C339),"",VLOOKUP($C339,Ф_808_2023_2017[],MATCH(N$262,'Ф_808_2023-2017'!$1:$1,0),0))</f>
        <v>0</v>
      </c>
      <c r="O339" s="1349">
        <f>IF(ISBLANK($C339),"",VLOOKUP($C339,Ф_808_2023_2017[],MATCH(O$262,'Ф_808_2023-2017'!$1:$1,0),0))</f>
        <v>0</v>
      </c>
      <c r="P339" s="1351"/>
    </row>
    <row r="340" spans="1:16" ht="32.25" customHeight="1" x14ac:dyDescent="0.2">
      <c r="A340" s="1301"/>
      <c r="B340" s="1301" t="s">
        <v>3267</v>
      </c>
      <c r="C340" s="1399"/>
      <c r="D340" s="1399"/>
      <c r="E340" s="1183" t="s">
        <v>3295</v>
      </c>
      <c r="F340" s="1184"/>
      <c r="G340" s="1350">
        <f>IF(ISBLANK($B340),"",VLOOKUP($B340,Ф_808_2016_2015[],MATCH(G$262,'Ф_808_2016-2015'!$1:$1,0),0))</f>
        <v>74184</v>
      </c>
      <c r="H340" s="1349" t="str">
        <f>IF(ISBLANK($C340),"",VLOOKUP($C340,Ф_808_2023_2017[],MATCH(H$262,'Ф_808_2023-2017'!$1:$1,0),0))</f>
        <v/>
      </c>
      <c r="I340" s="1349" t="str">
        <f>IF(ISBLANK($C340),"",VLOOKUP($C340,Ф_808_2023_2017[],MATCH(I$262,'Ф_808_2023-2017'!$1:$1,0),0))</f>
        <v/>
      </c>
      <c r="J340" s="1349" t="str">
        <f>IF(ISBLANK($C340),"",VLOOKUP($C340,Ф_808_2023_2017[],MATCH(J$262,'Ф_808_2023-2017'!$1:$1,0),0))</f>
        <v/>
      </c>
      <c r="K340" s="1349" t="str">
        <f>IF(ISBLANK($C340),"",VLOOKUP($C340,Ф_808_2023_2017[],MATCH(K$262,'Ф_808_2023-2017'!$1:$1,0),0))</f>
        <v/>
      </c>
      <c r="L340" s="1349" t="str">
        <f>IF(ISBLANK($C340),"",VLOOKUP($C340,Ф_808_2023_2017[],MATCH(L$262,'Ф_808_2023-2017'!$1:$1,0),0))</f>
        <v/>
      </c>
      <c r="M340" s="1349" t="str">
        <f>IF(ISBLANK($C340),"",VLOOKUP($C340,Ф_808_2023_2017[],MATCH(M$262,'Ф_808_2023-2017'!$1:$1,0),0))</f>
        <v/>
      </c>
      <c r="N340" s="1349" t="str">
        <f>IF(ISBLANK($C340),"",VLOOKUP($C340,Ф_808_2023_2017[],MATCH(N$262,'Ф_808_2023-2017'!$1:$1,0),0))</f>
        <v/>
      </c>
      <c r="O340" s="1349" t="str">
        <f>IF(ISBLANK($C340),"",VLOOKUP($C340,Ф_808_2023_2017[],MATCH(O$262,'Ф_808_2023-2017'!$1:$1,0),0))</f>
        <v/>
      </c>
      <c r="P340" s="1351"/>
    </row>
    <row r="341" spans="1:16" ht="51" customHeight="1" x14ac:dyDescent="0.2">
      <c r="A341" s="1301"/>
      <c r="B341" s="1301" t="s">
        <v>3269</v>
      </c>
      <c r="C341" s="1301" t="s">
        <v>3149</v>
      </c>
      <c r="D341" s="1301"/>
      <c r="E341" s="1183" t="s">
        <v>3150</v>
      </c>
      <c r="F341" s="1184"/>
      <c r="G341" s="1350">
        <f>IF(ISBLANK($B341),"",VLOOKUP($B341,Ф_808_2016_2015[],MATCH(G$262,'Ф_808_2016-2015'!$1:$1,0),0))</f>
        <v>0</v>
      </c>
      <c r="H341" s="1349">
        <f>IF(ISBLANK($C341),"",VLOOKUP($C341,Ф_808_2023_2017[],MATCH(H$262,'Ф_808_2023-2017'!$1:$1,0),0))</f>
        <v>0</v>
      </c>
      <c r="I341" s="1349">
        <f>IF(ISBLANK($C341),"",VLOOKUP($C341,Ф_808_2023_2017[],MATCH(I$262,'Ф_808_2023-2017'!$1:$1,0),0))</f>
        <v>0</v>
      </c>
      <c r="J341" s="1349">
        <f>IF(ISBLANK($C341),"",VLOOKUP($C341,Ф_808_2023_2017[],MATCH(J$262,'Ф_808_2023-2017'!$1:$1,0),0))</f>
        <v>0</v>
      </c>
      <c r="K341" s="1349">
        <f>IF(ISBLANK($C341),"",VLOOKUP($C341,Ф_808_2023_2017[],MATCH(K$262,'Ф_808_2023-2017'!$1:$1,0),0))</f>
        <v>0</v>
      </c>
      <c r="L341" s="1349">
        <f>IF(ISBLANK($C341),"",VLOOKUP($C341,Ф_808_2023_2017[],MATCH(L$262,'Ф_808_2023-2017'!$1:$1,0),0))</f>
        <v>0</v>
      </c>
      <c r="M341" s="1349">
        <f>IF(ISBLANK($C341),"",VLOOKUP($C341,Ф_808_2023_2017[],MATCH(M$262,'Ф_808_2023-2017'!$1:$1,0),0))</f>
        <v>0</v>
      </c>
      <c r="N341" s="1349">
        <f>IF(ISBLANK($C341),"",VLOOKUP($C341,Ф_808_2023_2017[],MATCH(N$262,'Ф_808_2023-2017'!$1:$1,0),0))</f>
        <v>0</v>
      </c>
      <c r="O341" s="1349">
        <f>IF(ISBLANK($C341),"",VLOOKUP($C341,Ф_808_2023_2017[],MATCH(O$262,'Ф_808_2023-2017'!$1:$1,0),0))</f>
        <v>0</v>
      </c>
      <c r="P341" s="1351"/>
    </row>
    <row r="342" spans="1:16" ht="32.25" customHeight="1" x14ac:dyDescent="0.2">
      <c r="A342" s="1301"/>
      <c r="B342" s="1301" t="s">
        <v>3270</v>
      </c>
      <c r="C342" s="1301" t="s">
        <v>3151</v>
      </c>
      <c r="D342" s="1301"/>
      <c r="E342" s="1183" t="s">
        <v>3152</v>
      </c>
      <c r="F342" s="1184"/>
      <c r="G342" s="1350">
        <f>IF(ISBLANK($B342),"",VLOOKUP($B342,Ф_808_2016_2015[],MATCH(G$262,'Ф_808_2016-2015'!$1:$1,0),0))</f>
        <v>0</v>
      </c>
      <c r="H342" s="1349">
        <f>IF(ISBLANK($C342),"",VLOOKUP($C342,Ф_808_2023_2017[],MATCH(H$262,'Ф_808_2023-2017'!$1:$1,0),0))</f>
        <v>0</v>
      </c>
      <c r="I342" s="1349">
        <f>IF(ISBLANK($C342),"",VLOOKUP($C342,Ф_808_2023_2017[],MATCH(I$262,'Ф_808_2023-2017'!$1:$1,0),0))</f>
        <v>0</v>
      </c>
      <c r="J342" s="1349">
        <f>IF(ISBLANK($C342),"",VLOOKUP($C342,Ф_808_2023_2017[],MATCH(J$262,'Ф_808_2023-2017'!$1:$1,0),0))</f>
        <v>0</v>
      </c>
      <c r="K342" s="1349">
        <f>IF(ISBLANK($C342),"",VLOOKUP($C342,Ф_808_2023_2017[],MATCH(K$262,'Ф_808_2023-2017'!$1:$1,0),0))</f>
        <v>0</v>
      </c>
      <c r="L342" s="1349">
        <f>IF(ISBLANK($C342),"",VLOOKUP($C342,Ф_808_2023_2017[],MATCH(L$262,'Ф_808_2023-2017'!$1:$1,0),0))</f>
        <v>0</v>
      </c>
      <c r="M342" s="1349">
        <f>IF(ISBLANK($C342),"",VLOOKUP($C342,Ф_808_2023_2017[],MATCH(M$262,'Ф_808_2023-2017'!$1:$1,0),0))</f>
        <v>0</v>
      </c>
      <c r="N342" s="1349">
        <f>IF(ISBLANK($C342),"",VLOOKUP($C342,Ф_808_2023_2017[],MATCH(N$262,'Ф_808_2023-2017'!$1:$1,0),0))</f>
        <v>0</v>
      </c>
      <c r="O342" s="1349">
        <f>IF(ISBLANK($C342),"",VLOOKUP($C342,Ф_808_2023_2017[],MATCH(O$262,'Ф_808_2023-2017'!$1:$1,0),0))</f>
        <v>0</v>
      </c>
      <c r="P342" s="1351"/>
    </row>
    <row r="343" spans="1:16" ht="50.25" customHeight="1" x14ac:dyDescent="0.2">
      <c r="A343" s="1301"/>
      <c r="B343" s="1301" t="s">
        <v>3272</v>
      </c>
      <c r="C343" s="1301" t="s">
        <v>3153</v>
      </c>
      <c r="D343" s="1301"/>
      <c r="E343" s="1183" t="s">
        <v>2778</v>
      </c>
      <c r="F343" s="1184"/>
      <c r="G343" s="1350">
        <f>IF(ISBLANK($B343),"",VLOOKUP($B343,Ф_808_2016_2015[],MATCH(G$262,'Ф_808_2016-2015'!$1:$1,0),0))</f>
        <v>0</v>
      </c>
      <c r="H343" s="1349">
        <f>IF(ISBLANK($C343),"",VLOOKUP($C343,Ф_808_2023_2017[],MATCH(H$262,'Ф_808_2023-2017'!$1:$1,0),0))</f>
        <v>0</v>
      </c>
      <c r="I343" s="1349">
        <f>IF(ISBLANK($C343),"",VLOOKUP($C343,Ф_808_2023_2017[],MATCH(I$262,'Ф_808_2023-2017'!$1:$1,0),0))</f>
        <v>0</v>
      </c>
      <c r="J343" s="1349">
        <f>IF(ISBLANK($C343),"",VLOOKUP($C343,Ф_808_2023_2017[],MATCH(J$262,'Ф_808_2023-2017'!$1:$1,0),0))</f>
        <v>0</v>
      </c>
      <c r="K343" s="1349">
        <f>IF(ISBLANK($C343),"",VLOOKUP($C343,Ф_808_2023_2017[],MATCH(K$262,'Ф_808_2023-2017'!$1:$1,0),0))</f>
        <v>0</v>
      </c>
      <c r="L343" s="1349">
        <f>IF(ISBLANK($C343),"",VLOOKUP($C343,Ф_808_2023_2017[],MATCH(L$262,'Ф_808_2023-2017'!$1:$1,0),0))</f>
        <v>0</v>
      </c>
      <c r="M343" s="1349">
        <f>IF(ISBLANK($C343),"",VLOOKUP($C343,Ф_808_2023_2017[],MATCH(M$262,'Ф_808_2023-2017'!$1:$1,0),0))</f>
        <v>0</v>
      </c>
      <c r="N343" s="1349">
        <f>IF(ISBLANK($C343),"",VLOOKUP($C343,Ф_808_2023_2017[],MATCH(N$262,'Ф_808_2023-2017'!$1:$1,0),0))</f>
        <v>0</v>
      </c>
      <c r="O343" s="1349">
        <f>IF(ISBLANK($C343),"",VLOOKUP($C343,Ф_808_2023_2017[],MATCH(O$262,'Ф_808_2023-2017'!$1:$1,0),0))</f>
        <v>0</v>
      </c>
      <c r="P343" s="1351"/>
    </row>
    <row r="344" spans="1:16" ht="31.5" customHeight="1" x14ac:dyDescent="0.2">
      <c r="A344" s="1299"/>
      <c r="B344" s="1299" t="s">
        <v>3154</v>
      </c>
      <c r="C344" s="1299" t="s">
        <v>3154</v>
      </c>
      <c r="D344" s="1299"/>
      <c r="E344" s="307" t="s">
        <v>3226</v>
      </c>
      <c r="F344" s="374"/>
      <c r="G344" s="1343">
        <f>IF(ISBLANK($B344),"",VLOOKUP($B344,Ф_808_2016_2015[],MATCH(G$262,'Ф_808_2016-2015'!$1:$1,0),0))</f>
        <v>119184</v>
      </c>
      <c r="H344" s="1342">
        <f>IF(ISBLANK($C344),"",VLOOKUP($C344,Ф_808_2023_2017[],MATCH(H$262,'Ф_808_2023-2017'!$1:$1,0),0))</f>
        <v>0</v>
      </c>
      <c r="I344" s="1342">
        <f>IF(ISBLANK($C344),"",VLOOKUP($C344,Ф_808_2023_2017[],MATCH(I$262,'Ф_808_2023-2017'!$1:$1,0),0))</f>
        <v>0</v>
      </c>
      <c r="J344" s="1342">
        <f>IF(ISBLANK($C344),"",VLOOKUP($C344,Ф_808_2023_2017[],MATCH(J$262,'Ф_808_2023-2017'!$1:$1,0),0))</f>
        <v>0</v>
      </c>
      <c r="K344" s="1342">
        <f>IF(ISBLANK($C344),"",VLOOKUP($C344,Ф_808_2023_2017[],MATCH(K$262,'Ф_808_2023-2017'!$1:$1,0),0))</f>
        <v>0</v>
      </c>
      <c r="L344" s="1342">
        <f>IF(ISBLANK($C344),"",VLOOKUP($C344,Ф_808_2023_2017[],MATCH(L$262,'Ф_808_2023-2017'!$1:$1,0),0))</f>
        <v>0</v>
      </c>
      <c r="M344" s="1342">
        <f>IF(ISBLANK($C344),"",VLOOKUP($C344,Ф_808_2023_2017[],MATCH(M$262,'Ф_808_2023-2017'!$1:$1,0),0))</f>
        <v>0</v>
      </c>
      <c r="N344" s="1342">
        <f>IF(ISBLANK($C344),"",VLOOKUP($C344,Ф_808_2023_2017[],MATCH(N$262,'Ф_808_2023-2017'!$1:$1,0),0))</f>
        <v>0</v>
      </c>
      <c r="O344" s="1342">
        <f>IF(ISBLANK($C344),"",VLOOKUP($C344,Ф_808_2023_2017[],MATCH(O$262,'Ф_808_2023-2017'!$1:$1,0),0))</f>
        <v>0</v>
      </c>
      <c r="P344" s="1344"/>
    </row>
    <row r="345" spans="1:16" s="1375" customFormat="1" ht="21.75" customHeight="1" x14ac:dyDescent="0.2">
      <c r="A345" s="1369"/>
      <c r="B345" s="1369" t="s">
        <v>3156</v>
      </c>
      <c r="C345" s="1369" t="s">
        <v>3156</v>
      </c>
      <c r="D345" s="1369"/>
      <c r="E345" s="1370" t="s">
        <v>3231</v>
      </c>
      <c r="F345" s="1371"/>
      <c r="G345" s="1373">
        <f>IF(ISBLANK($B345),"",VLOOKUP($B345,Ф_808_2016_2015[],MATCH(G$262,'Ф_808_2016-2015'!$1:$1,0),0))</f>
        <v>28730889</v>
      </c>
      <c r="H345" s="1372">
        <f>IF(ISBLANK($C345),"",VLOOKUP($C345,Ф_808_2023_2017[],MATCH(H$262,'Ф_808_2023-2017'!$1:$1,0),0))</f>
        <v>22662490</v>
      </c>
      <c r="I345" s="1372">
        <f>IF(ISBLANK($C345),"",VLOOKUP($C345,Ф_808_2023_2017[],MATCH(I$262,'Ф_808_2023-2017'!$1:$1,0),0))</f>
        <v>24881671</v>
      </c>
      <c r="J345" s="1372">
        <f>IF(ISBLANK($C345),"",VLOOKUP($C345,Ф_808_2023_2017[],MATCH(J$262,'Ф_808_2023-2017'!$1:$1,0),0))</f>
        <v>15918923</v>
      </c>
      <c r="K345" s="1372">
        <f>IF(ISBLANK($C345),"",VLOOKUP($C345,Ф_808_2023_2017[],MATCH(K$262,'Ф_808_2023-2017'!$1:$1,0),0))</f>
        <v>14267208</v>
      </c>
      <c r="L345" s="1372">
        <f>IF(ISBLANK($C345),"",VLOOKUP($C345,Ф_808_2023_2017[],MATCH(L$262,'Ф_808_2023-2017'!$1:$1,0),0))</f>
        <v>16876771</v>
      </c>
      <c r="M345" s="1372">
        <f>IF(ISBLANK($C345),"",VLOOKUP($C345,Ф_808_2023_2017[],MATCH(M$262,'Ф_808_2023-2017'!$1:$1,0),0))</f>
        <v>14200777</v>
      </c>
      <c r="N345" s="1372">
        <f>IF(ISBLANK($C345),"",VLOOKUP($C345,Ф_808_2023_2017[],MATCH(N$262,'Ф_808_2023-2017'!$1:$1,0),0))</f>
        <v>32863078</v>
      </c>
      <c r="O345" s="1372">
        <f>IF(ISBLANK($C345),"",VLOOKUP($C345,Ф_808_2023_2017[],MATCH(O$262,'Ф_808_2023-2017'!$1:$1,0),0))</f>
        <v>18795461</v>
      </c>
      <c r="P345" s="1374"/>
    </row>
    <row r="346" spans="1:16" s="1375" customFormat="1" ht="27.75" customHeight="1" x14ac:dyDescent="0.2">
      <c r="A346" s="1369"/>
      <c r="B346" s="1369" t="s">
        <v>3158</v>
      </c>
      <c r="C346" s="1369" t="s">
        <v>3158</v>
      </c>
      <c r="D346" s="1369"/>
      <c r="E346" s="1370" t="s">
        <v>3227</v>
      </c>
      <c r="F346" s="1371"/>
      <c r="G346" s="1373">
        <f>IF(ISBLANK($B346),"",VLOOKUP($B346,Ф_808_2016_2015[],MATCH(G$262,'Ф_808_2016-2015'!$1:$1,0),0))</f>
        <v>70360826</v>
      </c>
      <c r="H346" s="1372">
        <f>IF(ISBLANK($C346),"",VLOOKUP($C346,Ф_808_2023_2017[],MATCH(H$262,'Ф_808_2023-2017'!$1:$1,0),0))</f>
        <v>78201160</v>
      </c>
      <c r="I346" s="1372">
        <f>IF(ISBLANK($C346),"",VLOOKUP($C346,Ф_808_2023_2017[],MATCH(I$262,'Ф_808_2023-2017'!$1:$1,0),0))</f>
        <v>80226694</v>
      </c>
      <c r="J346" s="1372">
        <f>IF(ISBLANK($C346),"",VLOOKUP($C346,Ф_808_2023_2017[],MATCH(J$262,'Ф_808_2023-2017'!$1:$1,0),0))</f>
        <v>78234152</v>
      </c>
      <c r="K346" s="1372">
        <f>IF(ISBLANK($C346),"",VLOOKUP($C346,Ф_808_2023_2017[],MATCH(K$262,'Ф_808_2023-2017'!$1:$1,0),0))</f>
        <v>75036812</v>
      </c>
      <c r="L346" s="1372">
        <f>IF(ISBLANK($C346),"",VLOOKUP($C346,Ф_808_2023_2017[],MATCH(L$262,'Ф_808_2023-2017'!$1:$1,0),0))</f>
        <v>76222356</v>
      </c>
      <c r="M346" s="1372">
        <f>IF(ISBLANK($C346),"",VLOOKUP($C346,Ф_808_2023_2017[],MATCH(M$262,'Ф_808_2023-2017'!$1:$1,0),0))</f>
        <v>74512912</v>
      </c>
      <c r="N346" s="1372">
        <f>IF(ISBLANK($C346),"",VLOOKUP($C346,Ф_808_2023_2017[],MATCH(N$262,'Ф_808_2023-2017'!$1:$1,0),0))</f>
        <v>96056958</v>
      </c>
      <c r="O346" s="1372">
        <f>IF(ISBLANK($C346),"",VLOOKUP($C346,Ф_808_2023_2017[],MATCH(O$262,'Ф_808_2023-2017'!$1:$1,0),0))</f>
        <v>101370755</v>
      </c>
      <c r="P346" s="1374"/>
    </row>
    <row r="347" spans="1:16" s="1367" customFormat="1" ht="28.5" customHeight="1" x14ac:dyDescent="0.2">
      <c r="A347" s="1361"/>
      <c r="B347" s="1361" t="s">
        <v>3160</v>
      </c>
      <c r="C347" s="1361" t="s">
        <v>3160</v>
      </c>
      <c r="D347" s="1361"/>
      <c r="E347" s="1362" t="s">
        <v>3161</v>
      </c>
      <c r="F347" s="1363"/>
      <c r="G347" s="1365">
        <f>IF(ISBLANK($B347),"",VLOOKUP($B347,Ф_808_2016_2015[],MATCH(G$262,'Ф_808_2016-2015'!$1:$1,0),0))</f>
        <v>0</v>
      </c>
      <c r="H347" s="1364">
        <f>IF(ISBLANK($C347),"",VLOOKUP($C347,Ф_808_2023_2017[],MATCH(H$262,'Ф_808_2023-2017'!$1:$1,0),0))</f>
        <v>0</v>
      </c>
      <c r="I347" s="1364">
        <f>IF(ISBLANK($C347),"",VLOOKUP($C347,Ф_808_2023_2017[],MATCH(I$262,'Ф_808_2023-2017'!$1:$1,0),0))</f>
        <v>0</v>
      </c>
      <c r="J347" s="1364">
        <f>IF(ISBLANK($C347),"",VLOOKUP($C347,Ф_808_2023_2017[],MATCH(J$262,'Ф_808_2023-2017'!$1:$1,0),0))</f>
        <v>0</v>
      </c>
      <c r="K347" s="1364">
        <f>IF(ISBLANK($C347),"",VLOOKUP($C347,Ф_808_2023_2017[],MATCH(K$262,'Ф_808_2023-2017'!$1:$1,0),0))</f>
        <v>0</v>
      </c>
      <c r="L347" s="1364">
        <f>IF(ISBLANK($C347),"",VLOOKUP($C347,Ф_808_2023_2017[],MATCH(L$262,'Ф_808_2023-2017'!$1:$1,0),0))</f>
        <v>0</v>
      </c>
      <c r="M347" s="1364">
        <f>IF(ISBLANK($C347),"",VLOOKUP($C347,Ф_808_2023_2017[],MATCH(M$262,'Ф_808_2023-2017'!$1:$1,0),0))</f>
        <v>0</v>
      </c>
      <c r="N347" s="1364">
        <f>IF(ISBLANK($C347),"",VLOOKUP($C347,Ф_808_2023_2017[],MATCH(N$262,'Ф_808_2023-2017'!$1:$1,0),0))</f>
        <v>0</v>
      </c>
      <c r="O347" s="1364">
        <f>IF(ISBLANK($C347),"",VLOOKUP($C347,Ф_808_2023_2017[],MATCH(O$262,'Ф_808_2023-2017'!$1:$1,0),0))</f>
        <v>0</v>
      </c>
      <c r="P347" s="1366"/>
    </row>
    <row r="348" spans="1:16" ht="15" customHeight="1" x14ac:dyDescent="0.2">
      <c r="A348" s="1301"/>
      <c r="B348" s="1301" t="s">
        <v>3164</v>
      </c>
      <c r="C348" s="1301" t="s">
        <v>3162</v>
      </c>
      <c r="D348" s="1301"/>
      <c r="E348" s="1183" t="s">
        <v>3163</v>
      </c>
      <c r="F348" s="1184"/>
      <c r="G348" s="1350">
        <f>IF(ISBLANK($B348),"",VLOOKUP($B348,Ф_808_2016_2015[],MATCH(G$262,'Ф_808_2016-2015'!$1:$1,0),0))</f>
        <v>538019710</v>
      </c>
      <c r="H348" s="1349">
        <f>IF(ISBLANK($C348),"",VLOOKUP($C348,Ф_808_2023_2017[],MATCH(H$262,'Ф_808_2023-2017'!$1:$1,0),0))</f>
        <v>548339488</v>
      </c>
      <c r="I348" s="1349">
        <f>IF(ISBLANK($C348),"",VLOOKUP($C348,Ф_808_2023_2017[],MATCH(I$262,'Ф_808_2023-2017'!$1:$1,0),0))</f>
        <v>526114963</v>
      </c>
      <c r="J348" s="1349">
        <f>IF(ISBLANK($C348),"",VLOOKUP($C348,Ф_808_2023_2017[],MATCH(J$262,'Ф_808_2023-2017'!$1:$1,0),0))</f>
        <v>518631101</v>
      </c>
      <c r="K348" s="1349">
        <f>IF(ISBLANK($C348),"",VLOOKUP($C348,Ф_808_2023_2017[],MATCH(K$262,'Ф_808_2023-2017'!$1:$1,0),0))</f>
        <v>524301086</v>
      </c>
      <c r="L348" s="1349">
        <f>IF(ISBLANK($C348),"",VLOOKUP($C348,Ф_808_2023_2017[],MATCH(L$262,'Ф_808_2023-2017'!$1:$1,0),0))</f>
        <v>633235213</v>
      </c>
      <c r="M348" s="1349">
        <f>IF(ISBLANK($C348),"",VLOOKUP($C348,Ф_808_2023_2017[],MATCH(M$262,'Ф_808_2023-2017'!$1:$1,0),0))</f>
        <v>624879043</v>
      </c>
      <c r="N348" s="1349">
        <f>IF(ISBLANK($C348),"",VLOOKUP($C348,Ф_808_2023_2017[],MATCH(N$262,'Ф_808_2023-2017'!$1:$1,0),0))</f>
        <v>684497906</v>
      </c>
      <c r="O348" s="1349">
        <f>IF(ISBLANK($C348),"",VLOOKUP($C348,Ф_808_2023_2017[],MATCH(O$262,'Ф_808_2023-2017'!$1:$1,0),0))</f>
        <v>756291057</v>
      </c>
      <c r="P348" s="1351"/>
    </row>
    <row r="349" spans="1:16" ht="15" customHeight="1" x14ac:dyDescent="0.2">
      <c r="A349" s="1301"/>
      <c r="B349" s="1301" t="s">
        <v>3166</v>
      </c>
      <c r="C349" s="1301" t="s">
        <v>3164</v>
      </c>
      <c r="D349" s="1301"/>
      <c r="E349" s="1183" t="s">
        <v>3165</v>
      </c>
      <c r="F349" s="1184"/>
      <c r="G349" s="1350">
        <f>IF(ISBLANK($B349),"",VLOOKUP($B349,Ф_808_2016_2015[],MATCH(G$262,'Ф_808_2016-2015'!$1:$1,0),0))</f>
        <v>538019710</v>
      </c>
      <c r="H349" s="1349">
        <f>IF(ISBLANK($C349),"",VLOOKUP($C349,Ф_808_2023_2017[],MATCH(H$262,'Ф_808_2023-2017'!$1:$1,0),0))</f>
        <v>548339488</v>
      </c>
      <c r="I349" s="1349">
        <f>IF(ISBLANK($C349),"",VLOOKUP($C349,Ф_808_2023_2017[],MATCH(I$262,'Ф_808_2023-2017'!$1:$1,0),0))</f>
        <v>526114963</v>
      </c>
      <c r="J349" s="1349">
        <f>IF(ISBLANK($C349),"",VLOOKUP($C349,Ф_808_2023_2017[],MATCH(J$262,'Ф_808_2023-2017'!$1:$1,0),0))</f>
        <v>518631101</v>
      </c>
      <c r="K349" s="1349">
        <f>IF(ISBLANK($C349),"",VLOOKUP($C349,Ф_808_2023_2017[],MATCH(K$262,'Ф_808_2023-2017'!$1:$1,0),0))</f>
        <v>524301086</v>
      </c>
      <c r="L349" s="1349">
        <f>IF(ISBLANK($C349),"",VLOOKUP($C349,Ф_808_2023_2017[],MATCH(L$262,'Ф_808_2023-2017'!$1:$1,0),0))</f>
        <v>633235213</v>
      </c>
      <c r="M349" s="1349">
        <f>IF(ISBLANK($C349),"",VLOOKUP($C349,Ф_808_2023_2017[],MATCH(M$262,'Ф_808_2023-2017'!$1:$1,0),0))</f>
        <v>624879043</v>
      </c>
      <c r="N349" s="1349">
        <f>IF(ISBLANK($C349),"",VLOOKUP($C349,Ф_808_2023_2017[],MATCH(N$262,'Ф_808_2023-2017'!$1:$1,0),0))</f>
        <v>684497906</v>
      </c>
      <c r="O349" s="1349">
        <f>IF(ISBLANK($C349),"",VLOOKUP($C349,Ф_808_2023_2017[],MATCH(O$262,'Ф_808_2023-2017'!$1:$1,0),0))</f>
        <v>756291057</v>
      </c>
      <c r="P349" s="1351"/>
    </row>
    <row r="350" spans="1:16" ht="15" customHeight="1" thickBot="1" x14ac:dyDescent="0.25">
      <c r="A350" s="1301"/>
      <c r="B350" s="1301" t="s">
        <v>3277</v>
      </c>
      <c r="C350" s="1301" t="s">
        <v>3166</v>
      </c>
      <c r="D350" s="1301"/>
      <c r="E350" s="1183" t="s">
        <v>3167</v>
      </c>
      <c r="F350" s="1184"/>
      <c r="G350" s="1551">
        <f>IF(ISBLANK($B350),"",VLOOKUP($B350,Ф_808_2016_2015[],MATCH(G$262,'Ф_808_2016-2015'!$1:$1,0),0))</f>
        <v>537904938</v>
      </c>
      <c r="H350" s="1552">
        <f>IF(ISBLANK($C350),"",VLOOKUP($C350,Ф_808_2023_2017[],MATCH(H$262,'Ф_808_2023-2017'!$1:$1,0),0))</f>
        <v>548309316</v>
      </c>
      <c r="I350" s="1552">
        <f>IF(ISBLANK($C350),"",VLOOKUP($C350,Ф_808_2023_2017[],MATCH(I$262,'Ф_808_2023-2017'!$1:$1,0),0))</f>
        <v>526129031</v>
      </c>
      <c r="J350" s="1552">
        <f>IF(ISBLANK($C350),"",VLOOKUP($C350,Ф_808_2023_2017[],MATCH(J$262,'Ф_808_2023-2017'!$1:$1,0),0))</f>
        <v>517567321</v>
      </c>
      <c r="K350" s="1552">
        <f>IF(ISBLANK($C350),"",VLOOKUP($C350,Ф_808_2023_2017[],MATCH(K$262,'Ф_808_2023-2017'!$1:$1,0),0))</f>
        <v>524308466</v>
      </c>
      <c r="L350" s="1552">
        <f>IF(ISBLANK($C350),"",VLOOKUP($C350,Ф_808_2023_2017[],MATCH(L$262,'Ф_808_2023-2017'!$1:$1,0),0))</f>
        <v>633242593</v>
      </c>
      <c r="M350" s="1552">
        <f>IF(ISBLANK($C350),"",VLOOKUP($C350,Ф_808_2023_2017[],MATCH(M$262,'Ф_808_2023-2017'!$1:$1,0),0))</f>
        <v>626380967</v>
      </c>
      <c r="N350" s="1552">
        <f>IF(ISBLANK($C350),"",VLOOKUP($C350,Ф_808_2023_2017[],MATCH(N$262,'Ф_808_2023-2017'!$1:$1,0),0))</f>
        <v>686526139</v>
      </c>
      <c r="O350" s="1552">
        <f>IF(ISBLANK($C350),"",VLOOKUP($C350,Ф_808_2023_2017[],MATCH(O$262,'Ф_808_2023-2017'!$1:$1,0),0))</f>
        <v>758768180</v>
      </c>
      <c r="P350" s="1553"/>
    </row>
    <row r="351" spans="1:16" ht="15" customHeight="1" thickTop="1" x14ac:dyDescent="0.2">
      <c r="A351" s="21"/>
      <c r="B351" s="21"/>
      <c r="C351" s="438"/>
      <c r="D351" s="438"/>
      <c r="E351" s="477"/>
      <c r="F351" s="390"/>
      <c r="G351" s="390"/>
      <c r="H351" s="390"/>
      <c r="I351" s="390"/>
      <c r="J351" s="390"/>
      <c r="K351" s="390"/>
      <c r="L351" s="390"/>
      <c r="M351" s="390"/>
      <c r="N351" s="390"/>
      <c r="O351" s="390"/>
      <c r="P351" s="390"/>
    </row>
    <row r="352" spans="1:16" ht="15" customHeight="1" x14ac:dyDescent="0.2">
      <c r="A352" s="21"/>
      <c r="B352" s="21"/>
      <c r="C352" s="438"/>
      <c r="D352" s="438"/>
      <c r="E352" s="477"/>
      <c r="F352" s="390"/>
      <c r="G352" s="390"/>
      <c r="H352" s="390"/>
      <c r="I352" s="390"/>
      <c r="J352" s="390"/>
      <c r="K352" s="390"/>
      <c r="L352" s="390"/>
      <c r="M352" s="390"/>
      <c r="N352" s="390"/>
      <c r="O352" s="390"/>
      <c r="P352" s="390"/>
    </row>
    <row r="353" spans="1:16" ht="15" customHeight="1" x14ac:dyDescent="0.2">
      <c r="A353" s="21"/>
      <c r="B353" s="21"/>
      <c r="C353" s="438"/>
      <c r="D353" s="438"/>
      <c r="E353" s="477"/>
      <c r="F353" s="390"/>
      <c r="G353" s="390"/>
      <c r="H353" s="390"/>
      <c r="I353" s="390"/>
      <c r="J353" s="390"/>
      <c r="K353" s="390"/>
      <c r="L353" s="390"/>
      <c r="M353" s="390"/>
      <c r="N353" s="390"/>
      <c r="O353" s="390"/>
      <c r="P353" s="390"/>
    </row>
    <row r="354" spans="1:16" ht="15" customHeight="1" x14ac:dyDescent="0.2">
      <c r="A354" s="21"/>
      <c r="B354" s="21"/>
      <c r="C354" s="438"/>
      <c r="D354" s="438"/>
      <c r="E354" s="477"/>
      <c r="F354" s="390"/>
      <c r="G354" s="390"/>
      <c r="H354" s="390"/>
      <c r="I354" s="390"/>
      <c r="J354" s="390"/>
      <c r="K354" s="390"/>
      <c r="L354" s="390"/>
      <c r="M354" s="390"/>
      <c r="N354" s="390"/>
      <c r="O354" s="390"/>
      <c r="P354" s="390"/>
    </row>
    <row r="355" spans="1:16" ht="15" customHeight="1" x14ac:dyDescent="0.2">
      <c r="A355" s="21"/>
      <c r="B355" s="21"/>
      <c r="C355" s="438"/>
      <c r="D355" s="438"/>
      <c r="E355" s="477"/>
      <c r="F355" s="390"/>
      <c r="G355" s="390"/>
      <c r="H355" s="390"/>
      <c r="I355" s="390"/>
      <c r="J355" s="390"/>
      <c r="K355" s="390"/>
      <c r="L355" s="390"/>
      <c r="M355" s="390"/>
      <c r="N355" s="390"/>
      <c r="O355" s="390"/>
      <c r="P355" s="390"/>
    </row>
    <row r="356" spans="1:16" ht="15" customHeight="1" x14ac:dyDescent="0.2">
      <c r="A356" s="21"/>
      <c r="B356" s="21"/>
      <c r="C356" s="438"/>
      <c r="D356" s="438"/>
      <c r="E356" s="477"/>
      <c r="F356" s="390"/>
      <c r="G356" s="390"/>
      <c r="H356" s="390"/>
      <c r="I356" s="390"/>
      <c r="J356" s="390"/>
      <c r="K356" s="390"/>
      <c r="L356" s="390"/>
      <c r="M356" s="390"/>
      <c r="N356" s="390"/>
      <c r="O356" s="390"/>
      <c r="P356" s="390"/>
    </row>
    <row r="357" spans="1:16" ht="15" customHeight="1" x14ac:dyDescent="0.2">
      <c r="A357" s="21"/>
      <c r="B357" s="21"/>
      <c r="C357" s="438"/>
      <c r="D357" s="438"/>
      <c r="E357" s="477"/>
      <c r="F357" s="390"/>
      <c r="G357" s="390"/>
      <c r="H357" s="390"/>
      <c r="I357" s="390"/>
      <c r="J357" s="390"/>
      <c r="K357" s="390"/>
      <c r="L357" s="390"/>
      <c r="M357" s="390"/>
      <c r="N357" s="390"/>
      <c r="O357" s="390"/>
      <c r="P357" s="390"/>
    </row>
    <row r="358" spans="1:16" ht="15" customHeight="1" x14ac:dyDescent="0.2">
      <c r="A358" s="21"/>
      <c r="B358" s="21"/>
      <c r="C358" s="438"/>
      <c r="D358" s="438"/>
      <c r="E358" s="477"/>
      <c r="F358" s="390"/>
      <c r="G358" s="390"/>
      <c r="H358" s="390"/>
      <c r="I358" s="390"/>
      <c r="J358" s="390"/>
      <c r="K358" s="390"/>
      <c r="L358" s="390"/>
      <c r="M358" s="390"/>
      <c r="N358" s="390"/>
      <c r="O358" s="390"/>
      <c r="P358" s="390"/>
    </row>
    <row r="359" spans="1:16" ht="15" customHeight="1" x14ac:dyDescent="0.2">
      <c r="A359" s="21"/>
      <c r="B359" s="21"/>
      <c r="C359" s="438"/>
      <c r="D359" s="438"/>
      <c r="E359" s="477"/>
      <c r="F359" s="390"/>
      <c r="G359" s="390"/>
      <c r="H359" s="390"/>
      <c r="I359" s="390"/>
      <c r="J359" s="390"/>
      <c r="K359" s="390"/>
      <c r="L359" s="390"/>
      <c r="M359" s="390"/>
      <c r="N359" s="390"/>
      <c r="O359" s="390"/>
      <c r="P359" s="390"/>
    </row>
    <row r="360" spans="1:16" ht="16.5" thickBot="1" x14ac:dyDescent="0.3">
      <c r="A360" s="21"/>
      <c r="B360" s="21"/>
      <c r="C360" s="21"/>
      <c r="D360" s="21"/>
      <c r="E360" s="316" t="s">
        <v>798</v>
      </c>
      <c r="F360" s="21" t="s">
        <v>348</v>
      </c>
      <c r="G360" s="21"/>
      <c r="H360" s="21"/>
      <c r="I360" s="21"/>
      <c r="J360" s="21"/>
      <c r="K360" s="21"/>
      <c r="L360" s="21"/>
      <c r="M360" s="21"/>
      <c r="N360" s="21"/>
      <c r="O360" s="21"/>
      <c r="P360" s="21"/>
    </row>
    <row r="361" spans="1:16" ht="15.75" thickTop="1" x14ac:dyDescent="0.2">
      <c r="A361" s="21"/>
      <c r="B361" s="21"/>
      <c r="C361" s="21"/>
      <c r="D361" s="21"/>
      <c r="E361" s="306" t="str">
        <f t="shared" ref="E361:P361" si="21">E7</f>
        <v>тыс. руб.</v>
      </c>
      <c r="F361" s="301">
        <f t="shared" si="21"/>
        <v>0</v>
      </c>
      <c r="G361" s="301">
        <f t="shared" si="21"/>
        <v>2016</v>
      </c>
      <c r="H361" s="726">
        <f t="shared" si="21"/>
        <v>2017</v>
      </c>
      <c r="I361" s="727">
        <f t="shared" si="21"/>
        <v>2018</v>
      </c>
      <c r="J361" s="727">
        <f t="shared" si="21"/>
        <v>2019</v>
      </c>
      <c r="K361" s="727">
        <f t="shared" si="21"/>
        <v>2020</v>
      </c>
      <c r="L361" s="727">
        <f t="shared" si="21"/>
        <v>2021</v>
      </c>
      <c r="M361" s="727">
        <f t="shared" si="21"/>
        <v>2022</v>
      </c>
      <c r="N361" s="727">
        <f t="shared" si="21"/>
        <v>2023</v>
      </c>
      <c r="O361" s="727">
        <f t="shared" si="21"/>
        <v>2024</v>
      </c>
      <c r="P361" s="728">
        <f t="shared" si="21"/>
        <v>2025</v>
      </c>
    </row>
    <row r="362" spans="1:16" ht="15.75" thickBot="1" x14ac:dyDescent="0.25">
      <c r="A362" s="21"/>
      <c r="B362" s="438"/>
      <c r="C362" s="438"/>
      <c r="D362" s="438"/>
      <c r="E362" s="291" t="s">
        <v>799</v>
      </c>
      <c r="F362" s="376" t="s">
        <v>643</v>
      </c>
      <c r="G362" s="1263" t="s">
        <v>643</v>
      </c>
      <c r="H362" s="1439">
        <v>548309316</v>
      </c>
      <c r="I362" s="1440">
        <v>526129031.00000006</v>
      </c>
      <c r="J362" s="1440">
        <v>538992427</v>
      </c>
      <c r="K362" s="1440">
        <v>538248589</v>
      </c>
      <c r="L362" s="1440">
        <v>0</v>
      </c>
      <c r="M362" s="1440">
        <v>0</v>
      </c>
      <c r="N362" s="1440">
        <v>0</v>
      </c>
      <c r="O362" s="1440">
        <v>0</v>
      </c>
      <c r="P362" s="1441">
        <v>0</v>
      </c>
    </row>
    <row r="363" spans="1:16" ht="15.75" thickTop="1" x14ac:dyDescent="0.2">
      <c r="A363" s="21"/>
      <c r="B363" s="438"/>
      <c r="C363" s="438"/>
      <c r="D363" s="438"/>
      <c r="E363" s="291"/>
      <c r="F363" s="373"/>
      <c r="G363" s="373"/>
      <c r="H363" s="373"/>
      <c r="I363" s="373"/>
      <c r="J363" s="373"/>
      <c r="K363" s="373"/>
      <c r="L363" s="373"/>
      <c r="M363" s="373"/>
      <c r="N363" s="373"/>
      <c r="O363" s="373"/>
      <c r="P363" s="373"/>
    </row>
    <row r="364" spans="1:16" x14ac:dyDescent="0.2">
      <c r="A364" s="21"/>
      <c r="B364" s="438"/>
      <c r="C364" s="438"/>
      <c r="D364" s="438"/>
      <c r="E364" s="291"/>
      <c r="F364" s="373"/>
      <c r="G364" s="373"/>
      <c r="H364" s="373"/>
      <c r="I364" s="373"/>
      <c r="J364" s="373"/>
      <c r="K364" s="373"/>
      <c r="L364" s="373"/>
      <c r="M364" s="373"/>
      <c r="N364" s="373"/>
      <c r="O364" s="373"/>
      <c r="P364" s="373"/>
    </row>
    <row r="365" spans="1:16" ht="16.5" thickBot="1" x14ac:dyDescent="0.3">
      <c r="A365" s="21"/>
      <c r="B365" s="21"/>
      <c r="C365" s="21"/>
      <c r="D365" s="21"/>
      <c r="E365" s="316" t="s">
        <v>996</v>
      </c>
      <c r="F365" s="21" t="s">
        <v>348</v>
      </c>
      <c r="G365" s="21"/>
      <c r="H365" s="21"/>
      <c r="I365" s="21"/>
      <c r="J365" s="21"/>
      <c r="K365" s="21"/>
      <c r="L365" s="21"/>
      <c r="M365" s="21"/>
      <c r="N365" s="21"/>
      <c r="O365" s="21"/>
      <c r="P365" s="21"/>
    </row>
    <row r="366" spans="1:16" ht="15.75" thickTop="1" x14ac:dyDescent="0.2">
      <c r="A366" s="21"/>
      <c r="B366" s="21"/>
      <c r="C366" s="21"/>
      <c r="D366" s="21"/>
      <c r="E366" s="306" t="str">
        <f t="shared" ref="E366:P366" si="22">E7</f>
        <v>тыс. руб.</v>
      </c>
      <c r="F366" s="301">
        <f t="shared" si="22"/>
        <v>0</v>
      </c>
      <c r="G366" s="301">
        <f t="shared" si="22"/>
        <v>2016</v>
      </c>
      <c r="H366" s="726">
        <f t="shared" si="22"/>
        <v>2017</v>
      </c>
      <c r="I366" s="727">
        <f t="shared" si="22"/>
        <v>2018</v>
      </c>
      <c r="J366" s="727">
        <f t="shared" si="22"/>
        <v>2019</v>
      </c>
      <c r="K366" s="728">
        <f t="shared" si="22"/>
        <v>2020</v>
      </c>
      <c r="L366" s="301">
        <f t="shared" si="22"/>
        <v>2021</v>
      </c>
      <c r="M366" s="301">
        <f t="shared" si="22"/>
        <v>2022</v>
      </c>
      <c r="N366" s="301">
        <f t="shared" si="22"/>
        <v>2023</v>
      </c>
      <c r="O366" s="301">
        <f t="shared" si="22"/>
        <v>2024</v>
      </c>
      <c r="P366" s="301">
        <f t="shared" si="22"/>
        <v>2025</v>
      </c>
    </row>
    <row r="367" spans="1:16" x14ac:dyDescent="0.2">
      <c r="A367" s="21"/>
      <c r="B367" s="438"/>
      <c r="C367" s="814"/>
      <c r="D367" s="814"/>
      <c r="E367" s="317" t="s">
        <v>1401</v>
      </c>
      <c r="F367" s="392" t="s">
        <v>643</v>
      </c>
      <c r="G367" s="1169" t="s">
        <v>643</v>
      </c>
      <c r="H367" s="749">
        <v>337077475</v>
      </c>
      <c r="I367" s="392">
        <v>370481278</v>
      </c>
      <c r="J367" s="392">
        <v>357497183</v>
      </c>
      <c r="K367" s="750">
        <v>398445427</v>
      </c>
      <c r="L367" s="1446"/>
      <c r="M367" s="1446"/>
      <c r="N367" s="1446"/>
      <c r="O367" s="1446"/>
      <c r="P367" s="1446"/>
    </row>
    <row r="368" spans="1:16" ht="15.75" x14ac:dyDescent="0.25">
      <c r="A368" s="21"/>
      <c r="B368" s="438"/>
      <c r="C368" s="814"/>
      <c r="D368" s="814"/>
      <c r="E368" s="1170" t="s">
        <v>1415</v>
      </c>
      <c r="F368" s="1171"/>
      <c r="G368" s="1265"/>
      <c r="H368" s="1442">
        <v>337077475</v>
      </c>
      <c r="I368" s="1442">
        <v>370481278</v>
      </c>
      <c r="J368" s="1442">
        <v>357497183</v>
      </c>
      <c r="K368" s="1555">
        <v>398445427</v>
      </c>
      <c r="L368" s="1560"/>
      <c r="M368" s="1560"/>
      <c r="N368" s="1560"/>
      <c r="O368" s="1560"/>
      <c r="P368" s="1560"/>
    </row>
    <row r="369" spans="1:16" ht="15.75" x14ac:dyDescent="0.25">
      <c r="A369" s="21"/>
      <c r="B369" s="438"/>
      <c r="C369" s="814"/>
      <c r="D369" s="814"/>
      <c r="E369" s="1170" t="s">
        <v>1416</v>
      </c>
      <c r="F369" s="1171"/>
      <c r="G369" s="1265"/>
      <c r="H369" s="1443">
        <v>0</v>
      </c>
      <c r="I369" s="1443">
        <v>0</v>
      </c>
      <c r="J369" s="1443">
        <v>0</v>
      </c>
      <c r="K369" s="1556">
        <v>0</v>
      </c>
      <c r="L369" s="1561"/>
      <c r="M369" s="1561"/>
      <c r="N369" s="1561"/>
      <c r="O369" s="1561"/>
      <c r="P369" s="1561"/>
    </row>
    <row r="370" spans="1:16" ht="15.75" x14ac:dyDescent="0.25">
      <c r="A370" s="21"/>
      <c r="B370" s="438"/>
      <c r="C370" s="814"/>
      <c r="D370" s="814"/>
      <c r="E370" s="1172" t="s">
        <v>1418</v>
      </c>
      <c r="F370" s="1173"/>
      <c r="G370" s="1174"/>
      <c r="H370" s="1444">
        <v>0</v>
      </c>
      <c r="I370" s="1445">
        <v>0</v>
      </c>
      <c r="J370" s="1445">
        <v>0</v>
      </c>
      <c r="K370" s="1557">
        <v>0</v>
      </c>
      <c r="L370" s="1447"/>
      <c r="M370" s="1447"/>
      <c r="N370" s="1447"/>
      <c r="O370" s="1447"/>
      <c r="P370" s="1447"/>
    </row>
    <row r="371" spans="1:16" x14ac:dyDescent="0.2">
      <c r="A371" s="21"/>
      <c r="B371" s="438"/>
      <c r="C371" s="814"/>
      <c r="D371" s="814"/>
      <c r="E371" s="1165" t="s">
        <v>1402</v>
      </c>
      <c r="F371" s="895" t="s">
        <v>643</v>
      </c>
      <c r="G371" s="1264" t="s">
        <v>643</v>
      </c>
      <c r="H371" s="1247">
        <v>1844674</v>
      </c>
      <c r="I371" s="1247">
        <v>8600763</v>
      </c>
      <c r="J371" s="1247">
        <v>19047396</v>
      </c>
      <c r="K371" s="1558">
        <v>13700350</v>
      </c>
      <c r="L371" s="1562"/>
      <c r="M371" s="1562"/>
      <c r="N371" s="1562"/>
      <c r="O371" s="1562"/>
      <c r="P371" s="1562"/>
    </row>
    <row r="372" spans="1:16" ht="56.25" customHeight="1" x14ac:dyDescent="0.2">
      <c r="A372" s="21"/>
      <c r="B372" s="438"/>
      <c r="C372" s="814"/>
      <c r="D372" s="814"/>
      <c r="E372" s="1165" t="s">
        <v>1403</v>
      </c>
      <c r="F372" s="895" t="s">
        <v>643</v>
      </c>
      <c r="G372" s="1264" t="s">
        <v>643</v>
      </c>
      <c r="H372" s="1247">
        <v>0</v>
      </c>
      <c r="I372" s="1247">
        <v>0</v>
      </c>
      <c r="J372" s="1247">
        <v>1038813</v>
      </c>
      <c r="K372" s="1558">
        <v>926599</v>
      </c>
      <c r="L372" s="1562"/>
      <c r="M372" s="1562"/>
      <c r="N372" s="1562"/>
      <c r="O372" s="1562"/>
      <c r="P372" s="1562"/>
    </row>
    <row r="373" spans="1:16" ht="60" x14ac:dyDescent="0.2">
      <c r="A373" s="21"/>
      <c r="B373" s="438"/>
      <c r="C373" s="814"/>
      <c r="D373" s="814"/>
      <c r="E373" s="1165" t="s">
        <v>1404</v>
      </c>
      <c r="F373" s="895" t="s">
        <v>643</v>
      </c>
      <c r="G373" s="1264" t="s">
        <v>643</v>
      </c>
      <c r="H373" s="1247">
        <v>0</v>
      </c>
      <c r="I373" s="1247">
        <v>0</v>
      </c>
      <c r="J373" s="1247">
        <v>0</v>
      </c>
      <c r="K373" s="1558">
        <v>0</v>
      </c>
      <c r="L373" s="1562"/>
      <c r="M373" s="1562"/>
      <c r="N373" s="1562"/>
      <c r="O373" s="1562"/>
      <c r="P373" s="1562"/>
    </row>
    <row r="374" spans="1:16" ht="30" x14ac:dyDescent="0.2">
      <c r="A374" s="21"/>
      <c r="B374" s="438"/>
      <c r="C374" s="814"/>
      <c r="D374" s="814"/>
      <c r="E374" s="1165" t="s">
        <v>1417</v>
      </c>
      <c r="F374" s="895" t="s">
        <v>643</v>
      </c>
      <c r="G374" s="1264" t="s">
        <v>643</v>
      </c>
      <c r="H374" s="1247">
        <v>19782402</v>
      </c>
      <c r="I374" s="1247">
        <v>16697697.000000002</v>
      </c>
      <c r="J374" s="1247">
        <v>20114050</v>
      </c>
      <c r="K374" s="1558">
        <v>15942760</v>
      </c>
      <c r="L374" s="1562"/>
      <c r="M374" s="1562"/>
      <c r="N374" s="1562"/>
      <c r="O374" s="1562"/>
      <c r="P374" s="1562"/>
    </row>
    <row r="375" spans="1:16" x14ac:dyDescent="0.2">
      <c r="A375" s="21"/>
      <c r="B375" s="438"/>
      <c r="C375" s="814"/>
      <c r="D375" s="814"/>
      <c r="E375" s="1165" t="s">
        <v>1406</v>
      </c>
      <c r="F375" s="895" t="s">
        <v>643</v>
      </c>
      <c r="G375" s="1264" t="s">
        <v>643</v>
      </c>
      <c r="H375" s="1247">
        <v>0</v>
      </c>
      <c r="I375" s="1247">
        <v>0</v>
      </c>
      <c r="J375" s="1247">
        <v>0</v>
      </c>
      <c r="K375" s="1558">
        <v>0</v>
      </c>
      <c r="L375" s="1562"/>
      <c r="M375" s="1562"/>
      <c r="N375" s="1562"/>
      <c r="O375" s="1562"/>
      <c r="P375" s="1562"/>
    </row>
    <row r="376" spans="1:16" x14ac:dyDescent="0.2">
      <c r="A376" s="21"/>
      <c r="B376" s="438"/>
      <c r="C376" s="814"/>
      <c r="D376" s="814"/>
      <c r="E376" s="1165" t="s">
        <v>1407</v>
      </c>
      <c r="F376" s="895" t="s">
        <v>643</v>
      </c>
      <c r="G376" s="1264" t="s">
        <v>643</v>
      </c>
      <c r="H376" s="1247">
        <v>16254162.999999998</v>
      </c>
      <c r="I376" s="1247">
        <v>16771799.999999998</v>
      </c>
      <c r="J376" s="1247">
        <v>18759685</v>
      </c>
      <c r="K376" s="1558">
        <v>12451436</v>
      </c>
      <c r="L376" s="1562"/>
      <c r="M376" s="1562"/>
      <c r="N376" s="1562"/>
      <c r="O376" s="1562"/>
      <c r="P376" s="1562"/>
    </row>
    <row r="377" spans="1:16" x14ac:dyDescent="0.2">
      <c r="A377" s="21"/>
      <c r="B377" s="438"/>
      <c r="C377" s="814"/>
      <c r="D377" s="814"/>
      <c r="E377" s="1165" t="s">
        <v>1408</v>
      </c>
      <c r="F377" s="895" t="s">
        <v>643</v>
      </c>
      <c r="G377" s="1264" t="s">
        <v>643</v>
      </c>
      <c r="H377" s="1247">
        <v>120164426</v>
      </c>
      <c r="I377" s="1247">
        <v>73390020</v>
      </c>
      <c r="J377" s="1247">
        <v>64483557.000000007</v>
      </c>
      <c r="K377" s="1558">
        <v>44385815</v>
      </c>
      <c r="L377" s="1562"/>
      <c r="M377" s="1562"/>
      <c r="N377" s="1562"/>
      <c r="O377" s="1562"/>
      <c r="P377" s="1562"/>
    </row>
    <row r="378" spans="1:16" ht="30" x14ac:dyDescent="0.2">
      <c r="A378" s="21"/>
      <c r="B378" s="438"/>
      <c r="C378" s="814"/>
      <c r="D378" s="814"/>
      <c r="E378" s="1165" t="s">
        <v>1409</v>
      </c>
      <c r="F378" s="895" t="s">
        <v>643</v>
      </c>
      <c r="G378" s="1264" t="s">
        <v>643</v>
      </c>
      <c r="H378" s="1247">
        <v>0</v>
      </c>
      <c r="I378" s="1247">
        <v>0</v>
      </c>
      <c r="J378" s="1247">
        <v>0</v>
      </c>
      <c r="K378" s="1558">
        <v>0</v>
      </c>
      <c r="L378" s="1562"/>
      <c r="M378" s="1562"/>
      <c r="N378" s="1562"/>
      <c r="O378" s="1562"/>
      <c r="P378" s="1562"/>
    </row>
    <row r="379" spans="1:16" x14ac:dyDescent="0.2">
      <c r="A379" s="21"/>
      <c r="B379" s="438"/>
      <c r="C379" s="814"/>
      <c r="D379" s="814"/>
      <c r="E379" s="1165" t="s">
        <v>1410</v>
      </c>
      <c r="F379" s="895" t="s">
        <v>643</v>
      </c>
      <c r="G379" s="1264" t="s">
        <v>643</v>
      </c>
      <c r="H379" s="1247">
        <v>40821024</v>
      </c>
      <c r="I379" s="1247">
        <v>33176786.999999996</v>
      </c>
      <c r="J379" s="1247">
        <v>34158125</v>
      </c>
      <c r="K379" s="1558">
        <v>36072187</v>
      </c>
      <c r="L379" s="1562"/>
      <c r="M379" s="1562"/>
      <c r="N379" s="1562"/>
      <c r="O379" s="1562"/>
      <c r="P379" s="1562"/>
    </row>
    <row r="380" spans="1:16" ht="30" x14ac:dyDescent="0.2">
      <c r="A380" s="21"/>
      <c r="B380" s="438"/>
      <c r="C380" s="814"/>
      <c r="D380" s="814"/>
      <c r="E380" s="1165" t="s">
        <v>1411</v>
      </c>
      <c r="F380" s="895" t="s">
        <v>643</v>
      </c>
      <c r="G380" s="1264" t="s">
        <v>643</v>
      </c>
      <c r="H380" s="1247">
        <v>1406170</v>
      </c>
      <c r="I380" s="1247">
        <v>2064865.0000000002</v>
      </c>
      <c r="J380" s="1247">
        <v>2468512</v>
      </c>
      <c r="K380" s="1558">
        <v>3603927</v>
      </c>
      <c r="L380" s="1562"/>
      <c r="M380" s="1562"/>
      <c r="N380" s="1562"/>
      <c r="O380" s="1562"/>
      <c r="P380" s="1562"/>
    </row>
    <row r="381" spans="1:16" ht="45.75" thickBot="1" x14ac:dyDescent="0.25">
      <c r="A381" s="21"/>
      <c r="B381" s="438"/>
      <c r="C381" s="814"/>
      <c r="D381" s="814"/>
      <c r="E381" s="1165" t="s">
        <v>1412</v>
      </c>
      <c r="F381" s="895" t="s">
        <v>643</v>
      </c>
      <c r="G381" s="1166" t="s">
        <v>643</v>
      </c>
      <c r="H381" s="897">
        <v>0</v>
      </c>
      <c r="I381" s="395">
        <v>0</v>
      </c>
      <c r="J381" s="395">
        <v>0</v>
      </c>
      <c r="K381" s="1559">
        <v>0</v>
      </c>
      <c r="L381" s="1448"/>
      <c r="M381" s="1448"/>
      <c r="N381" s="1448"/>
      <c r="O381" s="1448"/>
      <c r="P381" s="1448"/>
    </row>
    <row r="382" spans="1:16" ht="16.5" thickTop="1" x14ac:dyDescent="0.25">
      <c r="A382" s="21"/>
      <c r="B382" s="438"/>
      <c r="C382" s="814"/>
      <c r="D382" s="814"/>
      <c r="E382" s="291" t="s">
        <v>3313</v>
      </c>
      <c r="F382" s="373" t="s">
        <v>643</v>
      </c>
      <c r="G382" s="376" t="s">
        <v>643</v>
      </c>
      <c r="H382" s="1554">
        <f>H362-SUM(H367,H371:H381)</f>
        <v>10958982</v>
      </c>
      <c r="I382" s="1554">
        <f>I362-SUM(I367,I371:I381)</f>
        <v>4945821.0000000596</v>
      </c>
      <c r="J382" s="1554">
        <f>J362-SUM(J367,J371:J381)</f>
        <v>21425106</v>
      </c>
      <c r="K382" s="1554">
        <f>K362-SUM(K367,K371:K381)</f>
        <v>12720088</v>
      </c>
      <c r="L382" s="737">
        <f>L362-SUM(L367,L371:L381)</f>
        <v>0</v>
      </c>
      <c r="M382" s="737"/>
      <c r="N382" s="737"/>
      <c r="O382" s="737"/>
      <c r="P382" s="737"/>
    </row>
    <row r="383" spans="1:16" ht="22.5" customHeight="1" x14ac:dyDescent="0.2">
      <c r="A383" s="21"/>
      <c r="B383" s="21"/>
      <c r="C383" s="21"/>
      <c r="D383" s="21"/>
      <c r="E383" s="307" t="s">
        <v>997</v>
      </c>
      <c r="F383" s="374"/>
      <c r="G383" s="374"/>
      <c r="H383" s="374">
        <f t="shared" ref="H383:K383" si="23">SUM(H367,H371:H382)</f>
        <v>548309316</v>
      </c>
      <c r="I383" s="374">
        <f t="shared" si="23"/>
        <v>526129031.00000006</v>
      </c>
      <c r="J383" s="374">
        <f t="shared" si="23"/>
        <v>538992427</v>
      </c>
      <c r="K383" s="374">
        <f t="shared" si="23"/>
        <v>538248589</v>
      </c>
      <c r="L383" s="374">
        <f>SUM(L367,L371:L382)</f>
        <v>0</v>
      </c>
      <c r="M383" s="374"/>
      <c r="N383" s="374"/>
      <c r="O383" s="374"/>
      <c r="P383" s="374"/>
    </row>
    <row r="384" spans="1:16" ht="15.75" outlineLevel="1" x14ac:dyDescent="0.25">
      <c r="A384" s="21"/>
      <c r="B384" s="21"/>
      <c r="C384" s="21"/>
      <c r="D384" s="21"/>
      <c r="E384" s="309" t="s">
        <v>458</v>
      </c>
      <c r="F384" s="386"/>
      <c r="G384" s="386"/>
      <c r="H384" s="386">
        <f>H362-H383</f>
        <v>0</v>
      </c>
      <c r="I384" s="386">
        <f>I362-I383</f>
        <v>0</v>
      </c>
      <c r="J384" s="386">
        <f>J362-J383</f>
        <v>0</v>
      </c>
      <c r="K384" s="386">
        <f>K362-K383</f>
        <v>0</v>
      </c>
      <c r="L384" s="386">
        <f>L362-L383</f>
        <v>0</v>
      </c>
      <c r="M384" s="386"/>
      <c r="N384" s="386"/>
      <c r="O384" s="386"/>
      <c r="P384" s="386"/>
    </row>
    <row r="385" spans="1:16" x14ac:dyDescent="0.2">
      <c r="A385" s="21"/>
      <c r="B385" s="438"/>
      <c r="C385" s="438"/>
      <c r="D385" s="438"/>
      <c r="E385" s="291"/>
      <c r="F385" s="373"/>
      <c r="G385" s="373"/>
      <c r="H385" s="373"/>
      <c r="I385" s="373"/>
      <c r="J385" s="373"/>
      <c r="K385" s="373"/>
      <c r="L385" s="373"/>
      <c r="M385" s="373"/>
      <c r="N385" s="373"/>
      <c r="O385" s="373"/>
      <c r="P385" s="373"/>
    </row>
    <row r="386" spans="1:16" x14ac:dyDescent="0.2">
      <c r="A386" s="21"/>
      <c r="B386" s="438"/>
      <c r="C386" s="438"/>
      <c r="D386" s="438"/>
      <c r="E386" s="291"/>
      <c r="F386" s="373"/>
      <c r="G386" s="373"/>
      <c r="H386" s="373"/>
      <c r="I386" s="373"/>
      <c r="J386" s="373"/>
      <c r="K386" s="373"/>
      <c r="L386" s="373"/>
      <c r="M386" s="373"/>
      <c r="N386" s="373"/>
      <c r="O386" s="373"/>
      <c r="P386" s="373"/>
    </row>
    <row r="387" spans="1:16" x14ac:dyDescent="0.2">
      <c r="A387" s="21"/>
      <c r="B387" s="438"/>
      <c r="C387" s="438"/>
      <c r="D387" s="438"/>
      <c r="E387" s="291"/>
      <c r="F387" s="373"/>
      <c r="G387" s="373"/>
      <c r="H387" s="373"/>
      <c r="I387" s="373"/>
      <c r="J387" s="373"/>
      <c r="K387" s="373"/>
      <c r="L387" s="373"/>
      <c r="M387" s="373"/>
      <c r="N387" s="373"/>
      <c r="O387" s="373"/>
      <c r="P387" s="373"/>
    </row>
    <row r="388" spans="1:16" x14ac:dyDescent="0.2">
      <c r="A388" s="21"/>
      <c r="B388" s="438"/>
      <c r="C388" s="438"/>
      <c r="D388" s="438"/>
      <c r="E388" s="291"/>
      <c r="F388" s="373"/>
      <c r="G388" s="373"/>
      <c r="H388" s="373"/>
      <c r="I388" s="373"/>
      <c r="J388" s="373"/>
      <c r="K388" s="373"/>
      <c r="L388" s="373"/>
      <c r="M388" s="373"/>
      <c r="N388" s="373"/>
      <c r="O388" s="373"/>
      <c r="P388" s="373"/>
    </row>
    <row r="389" spans="1:16" ht="15.75" x14ac:dyDescent="0.2">
      <c r="A389" s="21"/>
      <c r="B389" s="438"/>
      <c r="C389" s="438"/>
      <c r="D389" s="438"/>
      <c r="E389" s="291"/>
      <c r="F389" s="373"/>
      <c r="G389" s="373"/>
      <c r="H389" s="373"/>
      <c r="I389" s="373"/>
      <c r="J389" s="373"/>
      <c r="K389" s="373"/>
      <c r="L389" s="373"/>
      <c r="M389" s="2119" t="s">
        <v>3444</v>
      </c>
      <c r="N389" s="373"/>
      <c r="O389" s="373"/>
      <c r="P389" s="373"/>
    </row>
    <row r="390" spans="1:16" ht="15.75" x14ac:dyDescent="0.25">
      <c r="A390" s="328"/>
      <c r="B390" s="328"/>
      <c r="C390" s="328"/>
      <c r="D390" s="328"/>
      <c r="E390" s="329" t="s">
        <v>761</v>
      </c>
      <c r="F390" s="391"/>
      <c r="G390" s="391"/>
      <c r="H390" s="391"/>
      <c r="I390" s="391"/>
      <c r="J390" s="391"/>
      <c r="K390" s="391"/>
      <c r="L390" s="391"/>
      <c r="M390" s="391"/>
      <c r="N390" s="391"/>
      <c r="O390" s="391"/>
      <c r="P390" s="391"/>
    </row>
    <row r="391" spans="1:16" ht="16.5" thickBot="1" x14ac:dyDescent="0.3">
      <c r="A391" s="21"/>
      <c r="B391" s="21"/>
      <c r="C391" s="21"/>
      <c r="D391" s="21"/>
      <c r="E391" s="316"/>
      <c r="F391" s="21" t="s">
        <v>348</v>
      </c>
      <c r="G391" s="21"/>
      <c r="H391" s="21"/>
      <c r="I391" s="21"/>
      <c r="J391" s="21"/>
      <c r="K391" s="21"/>
      <c r="L391" s="21"/>
      <c r="M391" s="1449" t="s">
        <v>3336</v>
      </c>
      <c r="N391" s="1449"/>
      <c r="O391" s="21"/>
      <c r="P391" s="21"/>
    </row>
    <row r="392" spans="1:16" ht="16.5" thickTop="1" x14ac:dyDescent="0.2">
      <c r="A392" s="1180" t="s">
        <v>3331</v>
      </c>
      <c r="B392" s="21"/>
      <c r="C392" s="21"/>
      <c r="D392" s="21"/>
      <c r="E392" s="306"/>
      <c r="F392" s="301">
        <f>F7</f>
        <v>0</v>
      </c>
      <c r="G392" s="1450" t="str">
        <f>TEXT(G$7,0)</f>
        <v>2016</v>
      </c>
      <c r="H392" s="1451" t="str">
        <f t="shared" ref="H392:P392" si="24">TEXT(H$7,0)</f>
        <v>2017</v>
      </c>
      <c r="I392" s="1451" t="str">
        <f t="shared" si="24"/>
        <v>2018</v>
      </c>
      <c r="J392" s="1451" t="str">
        <f t="shared" si="24"/>
        <v>2019</v>
      </c>
      <c r="K392" s="1451" t="str">
        <f t="shared" si="24"/>
        <v>2020</v>
      </c>
      <c r="L392" s="1451" t="str">
        <f t="shared" si="24"/>
        <v>2021</v>
      </c>
      <c r="M392" s="1451" t="str">
        <f t="shared" si="24"/>
        <v>2022</v>
      </c>
      <c r="N392" s="1451" t="str">
        <f t="shared" si="24"/>
        <v>2023</v>
      </c>
      <c r="O392" s="1451" t="str">
        <f t="shared" si="24"/>
        <v>2024</v>
      </c>
      <c r="P392" s="1452" t="str">
        <f t="shared" si="24"/>
        <v>2025</v>
      </c>
    </row>
    <row r="393" spans="1:16" x14ac:dyDescent="0.2">
      <c r="A393" s="21" t="s">
        <v>3316</v>
      </c>
      <c r="B393" s="438"/>
      <c r="C393" s="438" t="s">
        <v>1001</v>
      </c>
      <c r="D393" s="438"/>
      <c r="E393" s="291" t="s">
        <v>776</v>
      </c>
      <c r="F393" s="454"/>
      <c r="G393" s="738">
        <f>VLOOKUP($A393,Ф_135_2017_2015[],MATCH(G$392,'Ф_135_2017-2015'!$1:$1,0),0)</f>
        <v>7.7100000000000002E-2</v>
      </c>
      <c r="H393" s="454">
        <f>VLOOKUP($A393,Ф_135_2017_2015[],MATCH(H$392,'Ф_135_2017-2015'!$1:$1,0),0)</f>
        <v>0.10532999999999999</v>
      </c>
      <c r="I393" s="454">
        <f>VLOOKUP($A393,Ф_135_2024_2018[],MATCH(I$392,'Ф_135_2024-2018'!$1:$1,0),0)</f>
        <v>0.10917</v>
      </c>
      <c r="J393" s="454">
        <f>VLOOKUP($A393,Ф_135_2024_2018[],MATCH(J$392,'Ф_135_2024-2018'!$1:$1,0),0)</f>
        <v>0.11928</v>
      </c>
      <c r="K393" s="454">
        <f>VLOOKUP($A393,Ф_135_2024_2018[],MATCH(K$392,'Ф_135_2024-2018'!$1:$1,0),0)</f>
        <v>0.11613</v>
      </c>
      <c r="L393" s="454">
        <f>VLOOKUP($A393,Ф_135_2024_2018[],MATCH(L$392,'Ф_135_2024-2018'!$1:$1,0),0)</f>
        <v>9.4149999999999998E-2</v>
      </c>
      <c r="M393" s="1464">
        <v>9.6500000000000002E-2</v>
      </c>
      <c r="N393" s="454">
        <f>VLOOKUP($A393,Ф_135_2024_2018[],MATCH(N$392,'Ф_135_2024-2018'!$1:$1,0),0)</f>
        <v>9.1810000000000003E-2</v>
      </c>
      <c r="O393" s="454">
        <f>VLOOKUP($A393,Ф_135_2024_2018[],MATCH(O$392,'Ф_135_2024-2018'!$1:$1,0),0)</f>
        <v>0.10932</v>
      </c>
      <c r="P393" s="739"/>
    </row>
    <row r="394" spans="1:16" x14ac:dyDescent="0.2">
      <c r="A394" s="21" t="s">
        <v>3317</v>
      </c>
      <c r="B394" s="438"/>
      <c r="C394" s="443" t="s">
        <v>1047</v>
      </c>
      <c r="D394" s="443"/>
      <c r="E394" s="314" t="s">
        <v>777</v>
      </c>
      <c r="F394" s="456"/>
      <c r="G394" s="740">
        <f>VLOOKUP($A394,Ф_135_2017_2015[],MATCH(G$392,'Ф_135_2017-2015'!$1:$1,0),0)</f>
        <v>7.7100000000000002E-2</v>
      </c>
      <c r="H394" s="456">
        <f>VLOOKUP($A394,Ф_135_2017_2015[],MATCH(H$392,'Ф_135_2017-2015'!$1:$1,0),0)</f>
        <v>0.10532999999999999</v>
      </c>
      <c r="I394" s="456">
        <f>VLOOKUP($A394,Ф_135_2024_2018[],MATCH(I$392,'Ф_135_2024-2018'!$1:$1,0),0)</f>
        <v>0.10917</v>
      </c>
      <c r="J394" s="456">
        <f>VLOOKUP($A394,Ф_135_2024_2018[],MATCH(J$392,'Ф_135_2024-2018'!$1:$1,0),0)</f>
        <v>0.11928</v>
      </c>
      <c r="K394" s="456">
        <f>VLOOKUP($A394,Ф_135_2024_2018[],MATCH(K$392,'Ф_135_2024-2018'!$1:$1,0),0)</f>
        <v>0.11613</v>
      </c>
      <c r="L394" s="456">
        <f>VLOOKUP($A394,Ф_135_2024_2018[],MATCH(L$392,'Ф_135_2024-2018'!$1:$1,0),0)</f>
        <v>9.4149999999999998E-2</v>
      </c>
      <c r="M394" s="1465">
        <v>9.6500000000000002E-2</v>
      </c>
      <c r="N394" s="456">
        <f>VLOOKUP($A394,Ф_135_2024_2018[],MATCH(N$392,'Ф_135_2024-2018'!$1:$1,0),0)</f>
        <v>9.1810000000000003E-2</v>
      </c>
      <c r="O394" s="456">
        <f>VLOOKUP($A394,Ф_135_2024_2018[],MATCH(O$392,'Ф_135_2024-2018'!$1:$1,0),0)</f>
        <v>0.10932</v>
      </c>
      <c r="P394" s="741"/>
    </row>
    <row r="395" spans="1:16" ht="15.75" thickBot="1" x14ac:dyDescent="0.25">
      <c r="A395" s="21" t="s">
        <v>1140</v>
      </c>
      <c r="B395" s="438"/>
      <c r="C395" s="452" t="s">
        <v>911</v>
      </c>
      <c r="D395" s="452"/>
      <c r="E395" s="291" t="s">
        <v>768</v>
      </c>
      <c r="F395" s="454"/>
      <c r="G395" s="738">
        <f>VLOOKUP($A395,Ф_135_2017_2015[],MATCH(G$392,'Ф_135_2017-2015'!$1:$1,0),0)</f>
        <v>0.1336</v>
      </c>
      <c r="H395" s="454">
        <f>VLOOKUP($A395,Ф_135_2017_2015[],MATCH(H$392,'Ф_135_2017-2015'!$1:$1,0),0)</f>
        <v>0.14717</v>
      </c>
      <c r="I395" s="454">
        <f>VLOOKUP($A395,Ф_135_2024_2018[],MATCH(I$392,'Ф_135_2024-2018'!$1:$1,0),0)</f>
        <v>0.15112999999999999</v>
      </c>
      <c r="J395" s="454">
        <f>VLOOKUP($A395,Ф_135_2024_2018[],MATCH(J$392,'Ф_135_2024-2018'!$1:$1,0),0)</f>
        <v>0.15112999999999999</v>
      </c>
      <c r="K395" s="454">
        <f>VLOOKUP($A395,Ф_135_2024_2018[],MATCH(K$392,'Ф_135_2024-2018'!$1:$1,0),0)</f>
        <v>0.14334</v>
      </c>
      <c r="L395" s="454">
        <f>VLOOKUP($A395,Ф_135_2024_2018[],MATCH(L$392,'Ф_135_2024-2018'!$1:$1,0),0)</f>
        <v>0.12059</v>
      </c>
      <c r="M395" s="1466">
        <v>0.11899999999999999</v>
      </c>
      <c r="N395" s="454">
        <f>VLOOKUP($A395,Ф_135_2024_2018[],MATCH(N$392,'Ф_135_2024-2018'!$1:$1,0),0)</f>
        <v>0.14049</v>
      </c>
      <c r="O395" s="454">
        <f>VLOOKUP($A395,Ф_135_2024_2018[],MATCH(O$392,'Ф_135_2024-2018'!$1:$1,0),0)</f>
        <v>0.13297999999999999</v>
      </c>
      <c r="P395" s="739"/>
    </row>
    <row r="396" spans="1:16" ht="17.25" thickTop="1" thickBot="1" x14ac:dyDescent="0.25">
      <c r="A396" s="21" t="s">
        <v>3328</v>
      </c>
      <c r="B396" s="1468"/>
      <c r="C396" s="443" t="s">
        <v>1046</v>
      </c>
      <c r="D396" s="443"/>
      <c r="E396" s="742" t="s">
        <v>1270</v>
      </c>
      <c r="F396" s="456"/>
      <c r="G396" s="1999"/>
      <c r="H396" s="2000"/>
      <c r="I396" s="456">
        <f>VLOOKUP($A396,Ф_135_2024_2018[],MATCH(I$392,'Ф_135_2024-2018'!$1:$1,0),0)</f>
        <v>0.10551000000000001</v>
      </c>
      <c r="J396" s="456">
        <f>VLOOKUP($A396,Ф_135_2024_2018[],MATCH(J$392,'Ф_135_2024-2018'!$1:$1,0),0)</f>
        <v>9.8100000000000007E-2</v>
      </c>
      <c r="K396" s="456">
        <f>VLOOKUP($A396,Ф_135_2024_2018[],MATCH(K$392,'Ф_135_2024-2018'!$1:$1,0),0)</f>
        <v>8.7919999999999998E-2</v>
      </c>
      <c r="L396" s="456">
        <f>VLOOKUP($A396,Ф_135_2024_2018[],MATCH(L$392,'Ф_135_2024-2018'!$1:$1,0),0)</f>
        <v>7.7810000000000004E-2</v>
      </c>
      <c r="M396" s="1465">
        <v>7.9000000000000001E-2</v>
      </c>
      <c r="N396" s="456">
        <f>VLOOKUP($A396,Ф_135_2024_2018[],MATCH(N$392,'Ф_135_2024-2018'!$1:$1,0),0)</f>
        <v>0</v>
      </c>
      <c r="O396" s="456">
        <f>VLOOKUP($A396,Ф_135_2024_2018[],MATCH(O$392,'Ф_135_2024-2018'!$1:$1,0),0)</f>
        <v>0</v>
      </c>
      <c r="P396" s="741"/>
    </row>
    <row r="397" spans="1:16" ht="15.75" thickTop="1" x14ac:dyDescent="0.2">
      <c r="A397" s="21" t="s">
        <v>3319</v>
      </c>
      <c r="B397" s="438"/>
      <c r="C397" s="452" t="s">
        <v>762</v>
      </c>
      <c r="D397" s="452"/>
      <c r="E397" s="291" t="s">
        <v>769</v>
      </c>
      <c r="F397" s="454"/>
      <c r="G397" s="738">
        <f>VLOOKUP($A397,Ф_135_2017_2015[],MATCH(G$392,'Ф_135_2017-2015'!$1:$1,0),0)</f>
        <v>1.7318</v>
      </c>
      <c r="H397" s="454">
        <f>VLOOKUP($A397,Ф_135_2017_2015[],MATCH(H$392,'Ф_135_2017-2015'!$1:$1,0),0)</f>
        <v>2.4209399999999999</v>
      </c>
      <c r="I397" s="454">
        <f>VLOOKUP($A397,Ф_135_2024_2018[],MATCH(I$392,'Ф_135_2024-2018'!$1:$1,0),0)</f>
        <v>0.73041</v>
      </c>
      <c r="J397" s="454">
        <f>VLOOKUP($A397,Ф_135_2024_2018[],MATCH(J$392,'Ф_135_2024-2018'!$1:$1,0),0)</f>
        <v>1.21316</v>
      </c>
      <c r="K397" s="454">
        <f>VLOOKUP($A397,Ф_135_2024_2018[],MATCH(K$392,'Ф_135_2024-2018'!$1:$1,0),0)</f>
        <v>0.83565999999999996</v>
      </c>
      <c r="L397" s="454">
        <f>VLOOKUP($A397,Ф_135_2024_2018[],MATCH(L$392,'Ф_135_2024-2018'!$1:$1,0),0)</f>
        <v>0.47719</v>
      </c>
      <c r="M397" s="1466">
        <v>0.27189999999999998</v>
      </c>
      <c r="N397" s="454">
        <f>VLOOKUP($A397,Ф_135_2024_2018[],MATCH(N$392,'Ф_135_2024-2018'!$1:$1,0),0)</f>
        <v>1.0832999999999999</v>
      </c>
      <c r="O397" s="454">
        <f>VLOOKUP($A397,Ф_135_2024_2018[],MATCH(O$392,'Ф_135_2024-2018'!$1:$1,0),0)</f>
        <v>0.94738999999999995</v>
      </c>
      <c r="P397" s="739"/>
    </row>
    <row r="398" spans="1:16" x14ac:dyDescent="0.2">
      <c r="A398" s="21" t="s">
        <v>3320</v>
      </c>
      <c r="B398" s="438"/>
      <c r="C398" s="443" t="s">
        <v>763</v>
      </c>
      <c r="D398" s="443"/>
      <c r="E398" s="314" t="s">
        <v>770</v>
      </c>
      <c r="F398" s="456"/>
      <c r="G398" s="740">
        <f>VLOOKUP($A398,Ф_135_2017_2015[],MATCH(G$392,'Ф_135_2017-2015'!$1:$1,0),0)</f>
        <v>4.4734999999999996</v>
      </c>
      <c r="H398" s="456">
        <f>VLOOKUP($A398,Ф_135_2017_2015[],MATCH(H$392,'Ф_135_2017-2015'!$1:$1,0),0)</f>
        <v>3.3078599999999998</v>
      </c>
      <c r="I398" s="456">
        <f>VLOOKUP($A398,Ф_135_2024_2018[],MATCH(I$392,'Ф_135_2024-2018'!$1:$1,0),0)</f>
        <v>2.10697</v>
      </c>
      <c r="J398" s="456">
        <f>VLOOKUP($A398,Ф_135_2024_2018[],MATCH(J$392,'Ф_135_2024-2018'!$1:$1,0),0)</f>
        <v>6.4809599999999996</v>
      </c>
      <c r="K398" s="456">
        <f>VLOOKUP($A398,Ф_135_2024_2018[],MATCH(K$392,'Ф_135_2024-2018'!$1:$1,0),0)</f>
        <v>0.33194000000000001</v>
      </c>
      <c r="L398" s="456">
        <f>VLOOKUP($A398,Ф_135_2024_2018[],MATCH(L$392,'Ф_135_2024-2018'!$1:$1,0),0)</f>
        <v>2.1944699999999999</v>
      </c>
      <c r="M398" s="1465">
        <v>1.0024999999999999</v>
      </c>
      <c r="N398" s="456">
        <f>VLOOKUP($A398,Ф_135_2024_2018[],MATCH(N$392,'Ф_135_2024-2018'!$1:$1,0),0)</f>
        <v>1.42807</v>
      </c>
      <c r="O398" s="456">
        <f>VLOOKUP($A398,Ф_135_2024_2018[],MATCH(O$392,'Ф_135_2024-2018'!$1:$1,0),0)</f>
        <v>1.5831299999999999</v>
      </c>
      <c r="P398" s="741"/>
    </row>
    <row r="399" spans="1:16" ht="15.75" x14ac:dyDescent="0.2">
      <c r="A399" s="21" t="s">
        <v>3321</v>
      </c>
      <c r="B399" s="438"/>
      <c r="C399" s="453" t="s">
        <v>764</v>
      </c>
      <c r="D399" s="453"/>
      <c r="E399" s="291" t="s">
        <v>771</v>
      </c>
      <c r="F399" s="454"/>
      <c r="G399" s="738">
        <f>VLOOKUP($A399,Ф_135_2017_2015[],MATCH(G$392,'Ф_135_2017-2015'!$1:$1,0),0)</f>
        <v>0.42370000000000002</v>
      </c>
      <c r="H399" s="454">
        <f>VLOOKUP($A399,Ф_135_2017_2015[],MATCH(H$392,'Ф_135_2017-2015'!$1:$1,0),0)</f>
        <v>0.32521</v>
      </c>
      <c r="I399" s="454">
        <f>VLOOKUP($A399,Ф_135_2024_2018[],MATCH(I$392,'Ф_135_2024-2018'!$1:$1,0),0)</f>
        <v>0.33023999999999998</v>
      </c>
      <c r="J399" s="454">
        <f>VLOOKUP($A399,Ф_135_2024_2018[],MATCH(J$392,'Ф_135_2024-2018'!$1:$1,0),0)</f>
        <v>0.29082999999999998</v>
      </c>
      <c r="K399" s="454">
        <f>VLOOKUP($A399,Ф_135_2024_2018[],MATCH(K$392,'Ф_135_2024-2018'!$1:$1,0),0)</f>
        <v>0.31678000000000001</v>
      </c>
      <c r="L399" s="454">
        <f>VLOOKUP($A399,Ф_135_2024_2018[],MATCH(L$392,'Ф_135_2024-2018'!$1:$1,0),0)</f>
        <v>0.40716999999999998</v>
      </c>
      <c r="M399" s="1466">
        <v>0.45650000000000002</v>
      </c>
      <c r="N399" s="454">
        <f>VLOOKUP($A399,Ф_135_2024_2018[],MATCH(N$392,'Ф_135_2024-2018'!$1:$1,0),0)</f>
        <v>0.41274</v>
      </c>
      <c r="O399" s="454">
        <f>VLOOKUP($A399,Ф_135_2024_2018[],MATCH(O$392,'Ф_135_2024-2018'!$1:$1,0),0)</f>
        <v>0.46557999999999999</v>
      </c>
      <c r="P399" s="739"/>
    </row>
    <row r="400" spans="1:16" ht="30.75" thickBot="1" x14ac:dyDescent="0.25">
      <c r="A400" s="21" t="s">
        <v>1254</v>
      </c>
      <c r="B400" s="438"/>
      <c r="C400" s="457" t="s">
        <v>765</v>
      </c>
      <c r="D400" s="457"/>
      <c r="E400" s="314" t="s">
        <v>780</v>
      </c>
      <c r="F400" s="456"/>
      <c r="G400" s="1453">
        <f>VLOOKUP($A400,Ф_135_2017_2015[],MATCH(G$392,'Ф_135_2017-2015'!$1:$1,0),0)</f>
        <v>2.0470999999999999</v>
      </c>
      <c r="H400" s="1454">
        <f>VLOOKUP($A400,Ф_135_2017_2015[],MATCH(H$392,'Ф_135_2017-2015'!$1:$1,0),0)</f>
        <v>1.52423</v>
      </c>
      <c r="I400" s="1454">
        <f>VLOOKUP($A400,Ф_135_2024_2018[],MATCH(I$392,'Ф_135_2024-2018'!$1:$1,0),0)</f>
        <v>1.6833199999999999</v>
      </c>
      <c r="J400" s="1454">
        <f>VLOOKUP($A400,Ф_135_2024_2018[],MATCH(J$392,'Ф_135_2024-2018'!$1:$1,0),0)</f>
        <v>1.96346</v>
      </c>
      <c r="K400" s="1454">
        <f>VLOOKUP($A400,Ф_135_2024_2018[],MATCH(K$392,'Ф_135_2024-2018'!$1:$1,0),0)</f>
        <v>2.0877500000000002</v>
      </c>
      <c r="L400" s="1454">
        <f>VLOOKUP($A400,Ф_135_2024_2018[],MATCH(L$392,'Ф_135_2024-2018'!$1:$1,0),0)</f>
        <v>2.71888</v>
      </c>
      <c r="M400" s="1467"/>
      <c r="N400" s="1454">
        <f>VLOOKUP($A400,Ф_135_2024_2018[],MATCH(N$392,'Ф_135_2024-2018'!$1:$1,0),0)</f>
        <v>0</v>
      </c>
      <c r="O400" s="1454">
        <f>VLOOKUP($A400,Ф_135_2024_2018[],MATCH(O$392,'Ф_135_2024-2018'!$1:$1,0),0)</f>
        <v>0</v>
      </c>
      <c r="P400" s="1455"/>
    </row>
    <row r="401" spans="1:16" ht="30.75" thickTop="1" x14ac:dyDescent="0.2">
      <c r="A401" s="21"/>
      <c r="B401" s="1449" t="s">
        <v>3335</v>
      </c>
      <c r="C401" s="452" t="s">
        <v>773</v>
      </c>
      <c r="D401" s="452"/>
      <c r="E401" s="291" t="s">
        <v>772</v>
      </c>
      <c r="F401" s="454"/>
      <c r="G401" s="1459">
        <v>0.14299999999999999</v>
      </c>
      <c r="H401" s="1460">
        <v>0.34399999999999997</v>
      </c>
      <c r="I401" s="1460">
        <v>0.34370000000000001</v>
      </c>
      <c r="J401" s="1460" t="s">
        <v>643</v>
      </c>
      <c r="K401" s="1460" t="s">
        <v>643</v>
      </c>
      <c r="L401" s="1460" t="s">
        <v>643</v>
      </c>
      <c r="M401" s="1460"/>
      <c r="N401" s="454"/>
      <c r="O401" s="1460"/>
      <c r="P401" s="1461"/>
    </row>
    <row r="402" spans="1:16" ht="29.25" customHeight="1" thickBot="1" x14ac:dyDescent="0.25">
      <c r="A402" s="21"/>
      <c r="B402" s="1449" t="s">
        <v>3335</v>
      </c>
      <c r="C402" s="455" t="s">
        <v>774</v>
      </c>
      <c r="D402" s="455"/>
      <c r="E402" s="314" t="s">
        <v>767</v>
      </c>
      <c r="F402" s="456"/>
      <c r="G402" s="1453">
        <v>4.0000000000000001E-3</v>
      </c>
      <c r="H402" s="1454">
        <v>2E-3</v>
      </c>
      <c r="I402" s="1454">
        <v>2.7000000000000001E-3</v>
      </c>
      <c r="J402" s="1454">
        <v>3.8E-3</v>
      </c>
      <c r="K402" s="1454"/>
      <c r="L402" s="1454"/>
      <c r="M402" s="1454"/>
      <c r="N402" s="1454"/>
      <c r="O402" s="1454"/>
      <c r="P402" s="1455"/>
    </row>
    <row r="403" spans="1:16" ht="31.5" thickTop="1" thickBot="1" x14ac:dyDescent="0.25">
      <c r="A403" s="21" t="s">
        <v>1256</v>
      </c>
      <c r="B403" s="438"/>
      <c r="C403" s="452" t="s">
        <v>775</v>
      </c>
      <c r="D403" s="452"/>
      <c r="E403" s="291" t="s">
        <v>781</v>
      </c>
      <c r="F403" s="454"/>
      <c r="G403" s="1456">
        <f>VLOOKUP($A403,Ф_135_2017_2015[],MATCH(G$392,'Ф_135_2017-2015'!$1:$1,0),0)</f>
        <v>0.22770000000000001</v>
      </c>
      <c r="H403" s="1457">
        <f>VLOOKUP($A403,Ф_135_2017_2015[],MATCH(H$392,'Ф_135_2017-2015'!$1:$1,0),0)</f>
        <v>0.14377000000000001</v>
      </c>
      <c r="I403" s="1457">
        <v>0.14549999999999999</v>
      </c>
      <c r="J403" s="1457">
        <v>0.1522</v>
      </c>
      <c r="K403" s="1457">
        <v>0.15759999999999999</v>
      </c>
      <c r="L403" s="1457"/>
      <c r="M403" s="1457"/>
      <c r="N403" s="1457"/>
      <c r="O403" s="1457"/>
      <c r="P403" s="1458"/>
    </row>
    <row r="404" spans="1:16" ht="30.75" thickTop="1" x14ac:dyDescent="0.2">
      <c r="A404" s="21"/>
      <c r="B404" s="1449" t="s">
        <v>3335</v>
      </c>
      <c r="C404" s="443" t="s">
        <v>779</v>
      </c>
      <c r="D404" s="443"/>
      <c r="E404" s="314" t="s">
        <v>778</v>
      </c>
      <c r="F404" s="456" t="s">
        <v>643</v>
      </c>
      <c r="G404" s="1462" t="s">
        <v>643</v>
      </c>
      <c r="H404" s="1463" t="s">
        <v>643</v>
      </c>
      <c r="I404" s="456">
        <v>9.1700000000000004E-2</v>
      </c>
      <c r="J404" s="456">
        <v>0.1144</v>
      </c>
      <c r="K404" s="456">
        <v>0.1139</v>
      </c>
      <c r="L404" s="456"/>
      <c r="M404" s="456"/>
      <c r="N404" s="456"/>
      <c r="O404" s="456"/>
      <c r="P404" s="741"/>
    </row>
    <row r="405" spans="1:16" ht="30.75" x14ac:dyDescent="0.2">
      <c r="A405" s="21"/>
      <c r="B405" s="1449" t="s">
        <v>3335</v>
      </c>
      <c r="C405" s="438" t="s">
        <v>1048</v>
      </c>
      <c r="D405" s="438"/>
      <c r="E405" s="347" t="s">
        <v>3332</v>
      </c>
      <c r="F405" s="454" t="s">
        <v>643</v>
      </c>
      <c r="G405" s="1462" t="s">
        <v>643</v>
      </c>
      <c r="H405" s="1462" t="s">
        <v>643</v>
      </c>
      <c r="I405" s="454"/>
      <c r="J405" s="454"/>
      <c r="K405" s="454"/>
      <c r="L405" s="454"/>
      <c r="M405" s="454"/>
      <c r="N405" s="454"/>
      <c r="O405" s="454"/>
      <c r="P405" s="739"/>
    </row>
    <row r="406" spans="1:16" ht="30.75" x14ac:dyDescent="0.2">
      <c r="A406" s="21"/>
      <c r="B406" s="1449" t="s">
        <v>3335</v>
      </c>
      <c r="C406" s="443" t="s">
        <v>1045</v>
      </c>
      <c r="D406" s="443"/>
      <c r="E406" s="742" t="s">
        <v>3333</v>
      </c>
      <c r="F406" s="456" t="s">
        <v>643</v>
      </c>
      <c r="G406" s="1462" t="s">
        <v>643</v>
      </c>
      <c r="H406" s="1462" t="s">
        <v>643</v>
      </c>
      <c r="I406" s="1462" t="s">
        <v>643</v>
      </c>
      <c r="J406" s="456"/>
      <c r="K406" s="456"/>
      <c r="L406" s="456"/>
      <c r="M406" s="456"/>
      <c r="N406" s="456"/>
      <c r="O406" s="456"/>
      <c r="P406" s="741"/>
    </row>
    <row r="407" spans="1:16" ht="15.75" customHeight="1" thickBot="1" x14ac:dyDescent="0.25">
      <c r="A407" s="21"/>
      <c r="B407" s="1449"/>
      <c r="C407" s="438"/>
      <c r="D407" s="438"/>
      <c r="E407" s="347"/>
      <c r="F407" s="21" t="s">
        <v>348</v>
      </c>
      <c r="G407" s="454"/>
      <c r="H407" s="956"/>
      <c r="I407" s="956"/>
      <c r="J407" s="956"/>
      <c r="K407" s="956"/>
      <c r="L407" s="956"/>
      <c r="M407" s="956"/>
      <c r="N407" s="956"/>
      <c r="O407" s="956"/>
      <c r="P407" s="957"/>
    </row>
    <row r="408" spans="1:16" ht="15.75" customHeight="1" thickTop="1" x14ac:dyDescent="0.2">
      <c r="A408" s="21"/>
      <c r="B408" s="1449"/>
      <c r="C408" s="438"/>
      <c r="D408" s="438"/>
      <c r="E408" s="1187" t="s">
        <v>1450</v>
      </c>
      <c r="F408" s="1188"/>
      <c r="G408" s="301"/>
      <c r="H408" s="726">
        <f t="shared" ref="H408:P408" si="25">H7</f>
        <v>2017</v>
      </c>
      <c r="I408" s="727">
        <f t="shared" si="25"/>
        <v>2018</v>
      </c>
      <c r="J408" s="727">
        <f t="shared" si="25"/>
        <v>2019</v>
      </c>
      <c r="K408" s="727">
        <f t="shared" si="25"/>
        <v>2020</v>
      </c>
      <c r="L408" s="727">
        <f t="shared" si="25"/>
        <v>2021</v>
      </c>
      <c r="M408" s="727">
        <f t="shared" si="25"/>
        <v>2022</v>
      </c>
      <c r="N408" s="727">
        <f t="shared" si="25"/>
        <v>2023</v>
      </c>
      <c r="O408" s="727">
        <f t="shared" si="25"/>
        <v>2024</v>
      </c>
      <c r="P408" s="728">
        <f t="shared" si="25"/>
        <v>2025</v>
      </c>
    </row>
    <row r="409" spans="1:16" ht="15.75" customHeight="1" x14ac:dyDescent="0.2">
      <c r="A409" s="21"/>
      <c r="B409" s="1449" t="s">
        <v>3335</v>
      </c>
      <c r="C409" s="443"/>
      <c r="D409" s="443"/>
      <c r="E409" s="742" t="s">
        <v>1451</v>
      </c>
      <c r="F409" s="456"/>
      <c r="G409" s="1189">
        <v>1.2500000000000001E-2</v>
      </c>
      <c r="H409" s="1474">
        <v>1.8749999999999999E-2</v>
      </c>
      <c r="I409" s="1475">
        <v>2.2499999999999999E-2</v>
      </c>
      <c r="J409" s="1475">
        <v>2.5000000000000001E-2</v>
      </c>
      <c r="K409" s="1475">
        <v>2.5000000000000001E-2</v>
      </c>
      <c r="L409" s="1475">
        <v>2.5000000000000001E-2</v>
      </c>
      <c r="M409" s="1475">
        <v>2.5000000000000001E-2</v>
      </c>
      <c r="N409" s="1475">
        <v>0</v>
      </c>
      <c r="O409" s="1475">
        <v>2.5000000000000001E-3</v>
      </c>
      <c r="P409" s="1476">
        <v>5.0000000000000001E-3</v>
      </c>
    </row>
    <row r="410" spans="1:16" ht="15.75" customHeight="1" x14ac:dyDescent="0.2">
      <c r="A410" s="21"/>
      <c r="B410" s="1449" t="s">
        <v>3335</v>
      </c>
      <c r="C410" s="438"/>
      <c r="D410" s="438"/>
      <c r="E410" s="347" t="s">
        <v>1452</v>
      </c>
      <c r="F410" s="454"/>
      <c r="G410" s="1190"/>
      <c r="H410" s="1480">
        <v>0</v>
      </c>
      <c r="I410" s="1481"/>
      <c r="J410" s="1481"/>
      <c r="K410" s="1481"/>
      <c r="L410" s="1481"/>
      <c r="M410" s="1481"/>
      <c r="N410" s="1481"/>
      <c r="O410" s="1481"/>
      <c r="P410" s="1482">
        <v>5.0000000000000001E-3</v>
      </c>
    </row>
    <row r="411" spans="1:16" ht="45" customHeight="1" thickBot="1" x14ac:dyDescent="0.25">
      <c r="A411" s="21"/>
      <c r="B411" s="1449" t="s">
        <v>3335</v>
      </c>
      <c r="C411" s="443"/>
      <c r="D411" s="443"/>
      <c r="E411" s="742" t="s">
        <v>3334</v>
      </c>
      <c r="F411" s="456"/>
      <c r="G411" s="1189"/>
      <c r="H411" s="1477"/>
      <c r="I411" s="1478"/>
      <c r="J411" s="1478"/>
      <c r="K411" s="1478"/>
      <c r="L411" s="1478"/>
      <c r="M411" s="1478"/>
      <c r="N411" s="1478"/>
      <c r="O411" s="1478"/>
      <c r="P411" s="1479"/>
    </row>
    <row r="412" spans="1:16" s="1195" customFormat="1" ht="27" customHeight="1" thickTop="1" x14ac:dyDescent="0.25">
      <c r="A412" s="1191"/>
      <c r="B412" s="297"/>
      <c r="C412" s="297"/>
      <c r="D412" s="297"/>
      <c r="E412" s="676" t="s">
        <v>1454</v>
      </c>
      <c r="F412" s="1192"/>
      <c r="G412" s="1193"/>
      <c r="H412" s="1194"/>
      <c r="I412" s="1194"/>
      <c r="J412" s="1194"/>
      <c r="K412" s="1194"/>
      <c r="L412" s="1194"/>
      <c r="M412" s="1194"/>
      <c r="N412" s="1194"/>
      <c r="O412" s="1194"/>
      <c r="P412" s="1194"/>
    </row>
    <row r="413" spans="1:16" ht="119.25" customHeight="1" x14ac:dyDescent="0.2">
      <c r="A413" s="21"/>
      <c r="B413" s="438"/>
      <c r="C413" s="438"/>
      <c r="D413" s="438"/>
      <c r="E413" s="291"/>
      <c r="F413" s="454"/>
      <c r="G413" s="454"/>
      <c r="H413" s="454"/>
      <c r="I413" s="454"/>
      <c r="J413" s="454"/>
      <c r="K413" s="454"/>
      <c r="L413" s="454"/>
      <c r="M413" s="454"/>
      <c r="N413" s="454"/>
      <c r="O413" s="454"/>
      <c r="P413" s="454"/>
    </row>
    <row r="414" spans="1:16" ht="15.75" x14ac:dyDescent="0.25">
      <c r="A414" s="328"/>
      <c r="B414" s="328"/>
      <c r="C414" s="328"/>
      <c r="D414" s="328"/>
      <c r="E414" s="329" t="s">
        <v>835</v>
      </c>
      <c r="F414" s="391"/>
      <c r="G414" s="391"/>
      <c r="H414" s="391"/>
      <c r="I414" s="391"/>
      <c r="J414" s="391"/>
      <c r="K414" s="391"/>
      <c r="L414" s="391"/>
      <c r="M414" s="391"/>
      <c r="N414" s="391"/>
      <c r="O414" s="391"/>
      <c r="P414" s="391"/>
    </row>
    <row r="415" spans="1:16" x14ac:dyDescent="0.2">
      <c r="A415" s="21"/>
      <c r="B415" s="21"/>
      <c r="C415" s="21"/>
      <c r="D415" s="21"/>
      <c r="E415" s="291"/>
      <c r="F415" s="373"/>
      <c r="G415" s="373"/>
      <c r="H415" s="373"/>
      <c r="I415" s="373"/>
      <c r="J415" s="373"/>
      <c r="K415" s="373"/>
      <c r="L415" s="373"/>
      <c r="M415" s="373"/>
      <c r="N415" s="373"/>
      <c r="O415" s="373"/>
      <c r="P415" s="373"/>
    </row>
    <row r="416" spans="1:16" ht="16.5" thickBot="1" x14ac:dyDescent="0.3">
      <c r="A416" s="21"/>
      <c r="B416" s="21"/>
      <c r="C416" s="21"/>
      <c r="D416" s="21"/>
      <c r="E416" s="324" t="s">
        <v>3337</v>
      </c>
      <c r="F416" s="387" t="s">
        <v>348</v>
      </c>
      <c r="G416" s="387"/>
      <c r="H416" s="387"/>
      <c r="I416" s="387"/>
      <c r="J416" s="387"/>
      <c r="K416" s="387"/>
      <c r="L416" s="387"/>
      <c r="M416" s="387"/>
      <c r="N416" s="387"/>
      <c r="O416" s="387"/>
      <c r="P416" s="387"/>
    </row>
    <row r="417" spans="1:16" ht="15.75" thickTop="1" x14ac:dyDescent="0.2">
      <c r="A417" s="21"/>
      <c r="B417" s="21"/>
      <c r="C417" s="21"/>
      <c r="D417" s="21"/>
      <c r="E417" s="306"/>
      <c r="F417" s="301">
        <f t="shared" ref="F417:P417" si="26">F7</f>
        <v>0</v>
      </c>
      <c r="G417" s="301">
        <f t="shared" si="26"/>
        <v>2016</v>
      </c>
      <c r="H417" s="726">
        <f t="shared" si="26"/>
        <v>2017</v>
      </c>
      <c r="I417" s="727">
        <f t="shared" si="26"/>
        <v>2018</v>
      </c>
      <c r="J417" s="727">
        <f t="shared" si="26"/>
        <v>2019</v>
      </c>
      <c r="K417" s="727">
        <f t="shared" si="26"/>
        <v>2020</v>
      </c>
      <c r="L417" s="727">
        <f t="shared" si="26"/>
        <v>2021</v>
      </c>
      <c r="M417" s="727">
        <f t="shared" si="26"/>
        <v>2022</v>
      </c>
      <c r="N417" s="727">
        <f t="shared" si="26"/>
        <v>2023</v>
      </c>
      <c r="O417" s="727">
        <f t="shared" si="26"/>
        <v>2024</v>
      </c>
      <c r="P417" s="728">
        <f t="shared" si="26"/>
        <v>2025</v>
      </c>
    </row>
    <row r="418" spans="1:16" x14ac:dyDescent="0.2">
      <c r="A418" s="21"/>
      <c r="B418" s="21"/>
      <c r="C418" s="21"/>
      <c r="D418" s="21"/>
      <c r="E418" s="291"/>
      <c r="F418" s="532"/>
      <c r="G418" s="532"/>
      <c r="H418" s="1469"/>
      <c r="I418" s="532"/>
      <c r="J418" s="532"/>
      <c r="K418" s="532"/>
      <c r="L418" s="532"/>
      <c r="M418" s="532"/>
      <c r="N418" s="532"/>
      <c r="O418" s="532"/>
      <c r="P418" s="1470"/>
    </row>
    <row r="419" spans="1:16" ht="15.75" thickBot="1" x14ac:dyDescent="0.25">
      <c r="A419" s="21"/>
      <c r="B419" s="21"/>
      <c r="C419" s="21"/>
      <c r="D419" s="21"/>
      <c r="E419" s="291" t="str">
        <f>F2</f>
        <v>ПАО "АК Барс Банк"</v>
      </c>
      <c r="F419" s="533"/>
      <c r="G419" s="533">
        <v>5209</v>
      </c>
      <c r="H419" s="1471">
        <v>5292</v>
      </c>
      <c r="I419" s="1472">
        <v>5500</v>
      </c>
      <c r="J419" s="1472">
        <v>5345</v>
      </c>
      <c r="K419" s="1472">
        <v>5299</v>
      </c>
      <c r="L419" s="1472">
        <v>5189.4675000000007</v>
      </c>
      <c r="M419" s="1472">
        <v>4942.3500000000004</v>
      </c>
      <c r="N419" s="1472">
        <v>4707</v>
      </c>
      <c r="O419" s="1472">
        <v>5032</v>
      </c>
      <c r="P419" s="1473">
        <v>5053</v>
      </c>
    </row>
    <row r="420" spans="1:16" ht="15.75" thickTop="1" x14ac:dyDescent="0.2">
      <c r="A420" s="21"/>
      <c r="B420" s="21"/>
      <c r="C420" s="21"/>
      <c r="D420" s="21"/>
      <c r="E420" s="291"/>
      <c r="F420" s="373"/>
      <c r="G420" s="373"/>
      <c r="H420" s="373"/>
      <c r="I420" s="373"/>
      <c r="J420" s="373"/>
      <c r="K420" s="373"/>
      <c r="L420" s="373"/>
      <c r="M420" s="373"/>
      <c r="N420" s="373"/>
      <c r="O420" s="373"/>
      <c r="P420" s="2120" t="s">
        <v>3445</v>
      </c>
    </row>
    <row r="421" spans="1:16" x14ac:dyDescent="0.2">
      <c r="A421" s="21"/>
      <c r="B421" s="21"/>
      <c r="C421" s="21"/>
      <c r="D421" s="21"/>
      <c r="E421" s="291"/>
      <c r="F421" s="373"/>
      <c r="G421" s="373"/>
      <c r="H421" s="373"/>
      <c r="I421" s="373"/>
      <c r="J421" s="373"/>
      <c r="K421" s="373"/>
      <c r="L421" s="373"/>
      <c r="M421" s="373"/>
      <c r="N421" s="373"/>
      <c r="O421" s="373"/>
      <c r="P421" s="373"/>
    </row>
    <row r="422" spans="1:16" ht="15.75" x14ac:dyDescent="0.25">
      <c r="A422" s="21"/>
      <c r="B422" s="21"/>
      <c r="C422" s="21"/>
      <c r="D422" s="21"/>
      <c r="E422" s="324" t="s">
        <v>1002</v>
      </c>
      <c r="F422" s="387" t="s">
        <v>348</v>
      </c>
      <c r="G422" s="387"/>
      <c r="H422" s="387"/>
      <c r="I422" s="387"/>
      <c r="J422" s="387"/>
      <c r="K422" s="387"/>
      <c r="L422" s="387"/>
      <c r="M422" s="387"/>
      <c r="N422" s="387"/>
      <c r="O422" s="387"/>
      <c r="P422" s="387"/>
    </row>
    <row r="423" spans="1:16" x14ac:dyDescent="0.2">
      <c r="A423" s="21"/>
      <c r="B423" s="21"/>
      <c r="C423" s="21"/>
      <c r="D423" s="21"/>
      <c r="E423" s="306"/>
      <c r="F423" s="743">
        <f t="shared" ref="F423:P423" si="27">F7</f>
        <v>0</v>
      </c>
      <c r="G423" s="743">
        <f t="shared" si="27"/>
        <v>2016</v>
      </c>
      <c r="H423" s="743">
        <f t="shared" si="27"/>
        <v>2017</v>
      </c>
      <c r="I423" s="743">
        <f t="shared" si="27"/>
        <v>2018</v>
      </c>
      <c r="J423" s="743">
        <f t="shared" si="27"/>
        <v>2019</v>
      </c>
      <c r="K423" s="743">
        <f t="shared" si="27"/>
        <v>2020</v>
      </c>
      <c r="L423" s="743">
        <f t="shared" si="27"/>
        <v>2021</v>
      </c>
      <c r="M423" s="743">
        <f t="shared" si="27"/>
        <v>2022</v>
      </c>
      <c r="N423" s="743">
        <f t="shared" si="27"/>
        <v>2023</v>
      </c>
      <c r="O423" s="743">
        <f t="shared" si="27"/>
        <v>2024</v>
      </c>
      <c r="P423" s="743">
        <f t="shared" si="27"/>
        <v>2025</v>
      </c>
    </row>
    <row r="424" spans="1:16" x14ac:dyDescent="0.2">
      <c r="A424" s="21"/>
      <c r="B424" s="21"/>
      <c r="C424" s="21"/>
      <c r="D424" s="21"/>
      <c r="E424" s="291" t="s">
        <v>3341</v>
      </c>
      <c r="F424" s="744"/>
      <c r="G424" s="744">
        <v>57.600200000000001</v>
      </c>
      <c r="H424" s="744">
        <v>69.470600000000005</v>
      </c>
      <c r="I424" s="744">
        <v>61.905700000000003</v>
      </c>
      <c r="J424" s="744">
        <v>73.875699999999995</v>
      </c>
      <c r="K424" s="744">
        <v>75.131500000000003</v>
      </c>
      <c r="L424" s="744">
        <v>75.131500000000003</v>
      </c>
      <c r="M424" s="744">
        <v>70.300200000000004</v>
      </c>
      <c r="N424" s="744">
        <v>90.403999999999996</v>
      </c>
      <c r="O424" s="744">
        <v>101.6797</v>
      </c>
      <c r="P424" s="744">
        <v>78.226699999999994</v>
      </c>
    </row>
    <row r="425" spans="1:16" x14ac:dyDescent="0.2">
      <c r="A425" s="21"/>
      <c r="B425" s="21"/>
      <c r="C425" s="21"/>
      <c r="D425" s="21"/>
      <c r="E425" s="291"/>
      <c r="F425" s="533"/>
      <c r="G425" s="533"/>
      <c r="H425" s="533"/>
      <c r="I425" s="533"/>
      <c r="J425" s="533"/>
      <c r="K425" s="533"/>
      <c r="L425" s="533"/>
      <c r="M425" s="533"/>
      <c r="N425" s="533"/>
      <c r="O425" s="533"/>
      <c r="P425" s="533"/>
    </row>
    <row r="426" spans="1:16" x14ac:dyDescent="0.2">
      <c r="A426" s="21"/>
      <c r="B426" s="21"/>
      <c r="C426" s="21"/>
      <c r="D426" s="21"/>
      <c r="E426" s="291"/>
      <c r="F426" s="387"/>
      <c r="G426" s="387"/>
      <c r="H426" s="387"/>
      <c r="I426" s="387"/>
      <c r="J426" s="387"/>
      <c r="K426" s="387"/>
      <c r="L426" s="387"/>
      <c r="M426" s="387"/>
      <c r="N426" s="387"/>
      <c r="O426" s="387"/>
      <c r="P426" s="387"/>
    </row>
    <row r="427" spans="1:16" ht="15.75" x14ac:dyDescent="0.25">
      <c r="A427" s="328"/>
      <c r="B427" s="328"/>
      <c r="C427" s="328"/>
      <c r="D427" s="328"/>
      <c r="E427" s="329" t="s">
        <v>420</v>
      </c>
      <c r="F427" s="391"/>
      <c r="G427" s="391"/>
      <c r="H427" s="391"/>
      <c r="I427" s="391"/>
      <c r="J427" s="391"/>
      <c r="K427" s="391"/>
      <c r="L427" s="391"/>
      <c r="M427" s="391"/>
      <c r="N427" s="391"/>
      <c r="O427" s="391"/>
      <c r="P427" s="391"/>
    </row>
    <row r="428" spans="1:16" x14ac:dyDescent="0.2">
      <c r="A428" s="21"/>
      <c r="B428" s="21"/>
      <c r="C428" s="21"/>
      <c r="D428" s="21"/>
      <c r="E428" s="291"/>
      <c r="F428" s="387"/>
      <c r="G428" s="387"/>
      <c r="H428" s="387"/>
      <c r="I428" s="387"/>
      <c r="J428" s="387"/>
      <c r="K428" s="387"/>
      <c r="L428" s="387"/>
      <c r="M428" s="387"/>
      <c r="N428" s="387"/>
      <c r="O428" s="387"/>
      <c r="P428" s="387"/>
    </row>
    <row r="429" spans="1:16" ht="32.25" thickBot="1" x14ac:dyDescent="0.3">
      <c r="A429" s="21"/>
      <c r="B429" s="21"/>
      <c r="C429" s="21"/>
      <c r="D429" s="21"/>
      <c r="E429" s="324" t="s">
        <v>3</v>
      </c>
      <c r="F429" s="387" t="s">
        <v>348</v>
      </c>
      <c r="G429" s="387"/>
      <c r="H429" s="387"/>
      <c r="I429" s="387"/>
      <c r="J429" s="387"/>
      <c r="K429" s="387"/>
      <c r="L429" s="387"/>
      <c r="M429" s="387"/>
      <c r="N429" s="387"/>
      <c r="O429" s="387"/>
      <c r="P429" s="387"/>
    </row>
    <row r="430" spans="1:16" ht="15.75" thickTop="1" x14ac:dyDescent="0.2">
      <c r="A430" s="21"/>
      <c r="B430" s="21"/>
      <c r="C430" s="21"/>
      <c r="D430" s="21"/>
      <c r="E430" s="306" t="str">
        <f t="shared" ref="E430:P430" si="28">E7</f>
        <v>тыс. руб.</v>
      </c>
      <c r="F430" s="301">
        <f t="shared" si="28"/>
        <v>0</v>
      </c>
      <c r="G430" s="301">
        <f t="shared" si="28"/>
        <v>2016</v>
      </c>
      <c r="H430" s="726">
        <f t="shared" si="28"/>
        <v>2017</v>
      </c>
      <c r="I430" s="727">
        <f t="shared" si="28"/>
        <v>2018</v>
      </c>
      <c r="J430" s="727">
        <f t="shared" si="28"/>
        <v>2019</v>
      </c>
      <c r="K430" s="728">
        <f t="shared" si="28"/>
        <v>2020</v>
      </c>
      <c r="L430" s="767">
        <f t="shared" si="28"/>
        <v>2021</v>
      </c>
      <c r="M430" s="301">
        <f t="shared" si="28"/>
        <v>2022</v>
      </c>
      <c r="N430" s="301">
        <f t="shared" si="28"/>
        <v>2023</v>
      </c>
      <c r="O430" s="301">
        <f t="shared" si="28"/>
        <v>2024</v>
      </c>
      <c r="P430" s="301">
        <f t="shared" si="28"/>
        <v>2025</v>
      </c>
    </row>
    <row r="431" spans="1:16" s="28" customFormat="1" ht="15.75" x14ac:dyDescent="0.25">
      <c r="A431" s="11"/>
      <c r="B431" s="11"/>
      <c r="C431" s="11"/>
      <c r="D431" s="11"/>
      <c r="E431" s="303" t="s">
        <v>924</v>
      </c>
      <c r="F431" s="373"/>
      <c r="G431" s="373" t="s">
        <v>643</v>
      </c>
      <c r="H431" s="729" t="s">
        <v>643</v>
      </c>
      <c r="I431" s="373" t="s">
        <v>643</v>
      </c>
      <c r="J431" s="373" t="s">
        <v>643</v>
      </c>
      <c r="K431" s="730" t="s">
        <v>643</v>
      </c>
      <c r="L431" s="1569" t="s">
        <v>643</v>
      </c>
      <c r="M431" s="1570"/>
      <c r="N431" s="1570"/>
      <c r="O431" s="1570"/>
      <c r="P431" s="1570"/>
    </row>
    <row r="432" spans="1:16" x14ac:dyDescent="0.2">
      <c r="A432" s="21"/>
      <c r="B432" s="21"/>
      <c r="C432" s="21"/>
      <c r="D432" s="21"/>
      <c r="E432" s="291" t="s">
        <v>937</v>
      </c>
      <c r="F432" s="373"/>
      <c r="G432" s="373"/>
      <c r="H432" s="1488">
        <v>0</v>
      </c>
      <c r="I432" s="1489">
        <v>0</v>
      </c>
      <c r="J432" s="1489">
        <v>0</v>
      </c>
      <c r="K432" s="1490">
        <v>0</v>
      </c>
      <c r="L432" s="1571"/>
      <c r="M432" s="1572"/>
      <c r="N432" s="1572"/>
      <c r="O432" s="1572"/>
      <c r="P432" s="1572"/>
    </row>
    <row r="433" spans="1:26" ht="15.75" thickBot="1" x14ac:dyDescent="0.25">
      <c r="A433" s="21"/>
      <c r="B433" s="21"/>
      <c r="C433" s="21"/>
      <c r="D433" s="21"/>
      <c r="E433" s="291" t="s">
        <v>960</v>
      </c>
      <c r="F433" s="373"/>
      <c r="G433" s="373">
        <v>0</v>
      </c>
      <c r="H433" s="1488">
        <v>0</v>
      </c>
      <c r="I433" s="1489">
        <v>0</v>
      </c>
      <c r="J433" s="1489">
        <v>0</v>
      </c>
      <c r="K433" s="1490">
        <v>0</v>
      </c>
      <c r="L433" s="1571"/>
      <c r="M433" s="1572"/>
      <c r="N433" s="1572"/>
      <c r="O433" s="1572"/>
      <c r="P433" s="1572"/>
    </row>
    <row r="434" spans="1:26" x14ac:dyDescent="0.2">
      <c r="A434" s="21"/>
      <c r="B434" s="21"/>
      <c r="C434" s="21"/>
      <c r="D434" s="21"/>
      <c r="E434" s="829" t="s">
        <v>2568</v>
      </c>
      <c r="F434" s="1483"/>
      <c r="G434" s="827">
        <v>0</v>
      </c>
      <c r="H434" s="1491">
        <v>0</v>
      </c>
      <c r="I434" s="1492">
        <v>0</v>
      </c>
      <c r="J434" s="1564">
        <v>1309297</v>
      </c>
      <c r="K434" s="1565">
        <v>887458</v>
      </c>
      <c r="L434" s="1573"/>
      <c r="M434" s="1574"/>
      <c r="N434" s="1574"/>
      <c r="O434" s="1574"/>
      <c r="P434" s="1574"/>
    </row>
    <row r="435" spans="1:26" x14ac:dyDescent="0.2">
      <c r="A435" s="21"/>
      <c r="B435" s="21"/>
      <c r="C435" s="21"/>
      <c r="D435" s="21"/>
      <c r="E435" s="830" t="s">
        <v>1136</v>
      </c>
      <c r="F435" s="1484"/>
      <c r="G435" s="373">
        <v>0</v>
      </c>
      <c r="H435" s="1488">
        <v>0</v>
      </c>
      <c r="I435" s="1489">
        <v>0</v>
      </c>
      <c r="J435" s="1489">
        <v>0</v>
      </c>
      <c r="K435" s="1490">
        <v>0</v>
      </c>
      <c r="L435" s="1571"/>
      <c r="M435" s="1572"/>
      <c r="N435" s="1572"/>
      <c r="O435" s="1572"/>
      <c r="P435" s="1572"/>
    </row>
    <row r="436" spans="1:26" x14ac:dyDescent="0.2">
      <c r="A436" s="21"/>
      <c r="B436" s="21"/>
      <c r="C436" s="21"/>
      <c r="D436" s="21"/>
      <c r="E436" s="830" t="s">
        <v>1136</v>
      </c>
      <c r="F436" s="1484"/>
      <c r="G436" s="373">
        <v>0</v>
      </c>
      <c r="H436" s="1488">
        <v>0</v>
      </c>
      <c r="I436" s="1489">
        <v>0</v>
      </c>
      <c r="J436" s="1489">
        <v>0</v>
      </c>
      <c r="K436" s="1490">
        <v>0</v>
      </c>
      <c r="L436" s="1571"/>
      <c r="M436" s="1572"/>
      <c r="N436" s="1572"/>
      <c r="O436" s="1572"/>
      <c r="P436" s="1572"/>
    </row>
    <row r="437" spans="1:26" x14ac:dyDescent="0.2">
      <c r="A437" s="21"/>
      <c r="B437" s="21"/>
      <c r="C437" s="21"/>
      <c r="D437" s="21"/>
      <c r="E437" s="830" t="s">
        <v>1136</v>
      </c>
      <c r="F437" s="1484"/>
      <c r="G437" s="373">
        <v>0</v>
      </c>
      <c r="H437" s="1488">
        <v>0</v>
      </c>
      <c r="I437" s="1489">
        <v>0</v>
      </c>
      <c r="J437" s="1489">
        <v>0</v>
      </c>
      <c r="K437" s="1490">
        <v>0</v>
      </c>
      <c r="L437" s="1571"/>
      <c r="M437" s="1572"/>
      <c r="N437" s="1572"/>
      <c r="O437" s="1572"/>
      <c r="P437" s="1572"/>
    </row>
    <row r="438" spans="1:26" ht="15.75" thickBot="1" x14ac:dyDescent="0.25">
      <c r="A438" s="21"/>
      <c r="B438" s="21"/>
      <c r="C438" s="21"/>
      <c r="D438" s="21"/>
      <c r="E438" s="831" t="s">
        <v>1135</v>
      </c>
      <c r="F438" s="1485"/>
      <c r="G438" s="828">
        <v>0</v>
      </c>
      <c r="H438" s="1493">
        <v>0</v>
      </c>
      <c r="I438" s="1494">
        <v>0</v>
      </c>
      <c r="J438" s="1494">
        <v>0</v>
      </c>
      <c r="K438" s="1495">
        <v>0</v>
      </c>
      <c r="L438" s="1575"/>
      <c r="M438" s="1576"/>
      <c r="N438" s="1576"/>
      <c r="O438" s="1576"/>
      <c r="P438" s="1576"/>
    </row>
    <row r="439" spans="1:26" s="28" customFormat="1" ht="15.75" x14ac:dyDescent="0.25">
      <c r="A439" s="11"/>
      <c r="B439" s="11"/>
      <c r="C439" s="11"/>
      <c r="D439" s="11"/>
      <c r="E439" s="303" t="s">
        <v>939</v>
      </c>
      <c r="F439" s="390"/>
      <c r="G439" s="390">
        <v>0</v>
      </c>
      <c r="H439" s="1496">
        <v>0</v>
      </c>
      <c r="I439" s="1497">
        <v>0</v>
      </c>
      <c r="J439" s="1497">
        <v>0</v>
      </c>
      <c r="K439" s="1563">
        <v>0</v>
      </c>
      <c r="L439" s="1577"/>
      <c r="M439" s="1578"/>
      <c r="N439" s="1578"/>
      <c r="O439" s="1578"/>
      <c r="P439" s="1572"/>
    </row>
    <row r="440" spans="1:26" s="28" customFormat="1" ht="15.75" x14ac:dyDescent="0.25">
      <c r="A440" s="11"/>
      <c r="B440" s="11"/>
      <c r="C440" s="11"/>
      <c r="D440" s="11"/>
      <c r="E440" s="303" t="s">
        <v>465</v>
      </c>
      <c r="F440" s="390"/>
      <c r="G440" s="390">
        <v>744074</v>
      </c>
      <c r="H440" s="1496">
        <v>1061566</v>
      </c>
      <c r="I440" s="1497">
        <v>75649</v>
      </c>
      <c r="J440" s="1498">
        <v>241207</v>
      </c>
      <c r="K440" s="1566">
        <v>558990</v>
      </c>
      <c r="L440" s="1579"/>
      <c r="M440" s="1580"/>
      <c r="N440" s="1580"/>
      <c r="O440" s="1580"/>
      <c r="P440" s="1572"/>
    </row>
    <row r="441" spans="1:26" s="28" customFormat="1" ht="15.75" x14ac:dyDescent="0.25">
      <c r="A441" s="11"/>
      <c r="B441" s="11"/>
      <c r="C441" s="11"/>
      <c r="D441" s="11"/>
      <c r="E441" s="303" t="s">
        <v>448</v>
      </c>
      <c r="F441" s="390"/>
      <c r="G441" s="390">
        <v>30348</v>
      </c>
      <c r="H441" s="1496">
        <v>0</v>
      </c>
      <c r="I441" s="1497">
        <v>75935</v>
      </c>
      <c r="J441" s="1498">
        <v>1615491</v>
      </c>
      <c r="K441" s="1566">
        <v>1815270</v>
      </c>
      <c r="L441" s="1579"/>
      <c r="M441" s="1580"/>
      <c r="N441" s="1580"/>
      <c r="O441" s="1580"/>
      <c r="P441" s="1572"/>
    </row>
    <row r="442" spans="1:26" ht="39.75" customHeight="1" x14ac:dyDescent="0.2">
      <c r="A442" s="21"/>
      <c r="B442" s="21"/>
      <c r="C442" s="21"/>
      <c r="D442" s="21"/>
      <c r="E442" s="307" t="s">
        <v>961</v>
      </c>
      <c r="F442" s="374">
        <f t="shared" ref="F442:K442" si="29">SUM(F431:F441)</f>
        <v>0</v>
      </c>
      <c r="G442" s="374">
        <f t="shared" si="29"/>
        <v>774422</v>
      </c>
      <c r="H442" s="1343">
        <f t="shared" si="29"/>
        <v>1061566</v>
      </c>
      <c r="I442" s="1342">
        <f t="shared" si="29"/>
        <v>151584</v>
      </c>
      <c r="J442" s="1342">
        <f t="shared" si="29"/>
        <v>3165995</v>
      </c>
      <c r="K442" s="1344">
        <f t="shared" si="29"/>
        <v>3261718</v>
      </c>
      <c r="L442" s="1581"/>
      <c r="M442" s="1582"/>
      <c r="N442" s="1582"/>
      <c r="O442" s="1582"/>
      <c r="P442" s="1582"/>
    </row>
    <row r="443" spans="1:26" ht="16.5" outlineLevel="1" thickBot="1" x14ac:dyDescent="0.3">
      <c r="A443" s="21"/>
      <c r="B443" s="21"/>
      <c r="C443" s="21"/>
      <c r="D443" s="21"/>
      <c r="E443" s="309" t="s">
        <v>474</v>
      </c>
      <c r="F443" s="386">
        <f t="shared" ref="F443:K443" si="30">F13-F442</f>
        <v>0</v>
      </c>
      <c r="G443" s="386">
        <f t="shared" si="30"/>
        <v>0</v>
      </c>
      <c r="H443" s="1499">
        <f t="shared" si="30"/>
        <v>0</v>
      </c>
      <c r="I443" s="1500">
        <f t="shared" si="30"/>
        <v>0</v>
      </c>
      <c r="J443" s="1500">
        <f t="shared" si="30"/>
        <v>0</v>
      </c>
      <c r="K443" s="1501">
        <f t="shared" si="30"/>
        <v>0</v>
      </c>
      <c r="L443" s="1568"/>
      <c r="M443" s="1311"/>
      <c r="N443" s="1311"/>
      <c r="O443" s="1311"/>
      <c r="P443" s="1311"/>
    </row>
    <row r="444" spans="1:26" ht="15.75" thickTop="1" x14ac:dyDescent="0.2">
      <c r="A444" s="21"/>
      <c r="B444" s="21"/>
      <c r="C444" s="21"/>
      <c r="D444" s="21"/>
      <c r="E444" s="291"/>
      <c r="F444" s="373"/>
      <c r="G444" s="373"/>
      <c r="H444" s="373"/>
      <c r="I444" s="373"/>
      <c r="J444" s="373"/>
      <c r="K444" s="373"/>
      <c r="L444" s="373"/>
      <c r="M444" s="373"/>
      <c r="N444" s="373"/>
      <c r="O444" s="373"/>
      <c r="P444" s="373"/>
    </row>
    <row r="445" spans="1:26" ht="18" x14ac:dyDescent="0.2">
      <c r="A445" s="21"/>
      <c r="B445" s="21"/>
      <c r="C445" s="21"/>
      <c r="D445" s="21"/>
      <c r="E445" s="291"/>
      <c r="F445" s="373"/>
      <c r="G445" s="373"/>
      <c r="H445" s="373"/>
      <c r="I445" s="373"/>
      <c r="J445" s="373"/>
      <c r="K445" s="373"/>
      <c r="L445" s="2047" t="s">
        <v>3435</v>
      </c>
      <c r="M445" s="373"/>
      <c r="N445" s="373"/>
      <c r="O445" s="373"/>
      <c r="P445" s="373"/>
    </row>
    <row r="446" spans="1:26" ht="18" x14ac:dyDescent="0.25">
      <c r="A446" s="21"/>
      <c r="B446" s="21"/>
      <c r="C446" s="21"/>
      <c r="D446" s="21"/>
      <c r="F446" s="387"/>
      <c r="G446" s="387"/>
      <c r="H446" s="387"/>
      <c r="I446" s="387"/>
      <c r="J446" s="387"/>
      <c r="K446" s="387"/>
      <c r="L446" s="1843" t="s">
        <v>3379</v>
      </c>
      <c r="M446" s="2046" t="s">
        <v>3434</v>
      </c>
      <c r="N446" s="1846"/>
      <c r="O446" s="1846"/>
      <c r="P446" s="1846"/>
    </row>
    <row r="447" spans="1:26" ht="16.5" thickBot="1" x14ac:dyDescent="0.3">
      <c r="A447" s="21"/>
      <c r="B447" s="21"/>
      <c r="C447" s="21"/>
      <c r="D447" s="21"/>
      <c r="E447" s="324" t="s">
        <v>564</v>
      </c>
      <c r="F447" s="387" t="s">
        <v>348</v>
      </c>
      <c r="G447" s="387"/>
      <c r="H447" s="757"/>
      <c r="I447" s="757"/>
      <c r="J447" s="757"/>
      <c r="K447" s="757"/>
      <c r="L447" s="2019"/>
      <c r="M447" s="1211"/>
      <c r="N447" s="1846"/>
      <c r="O447" s="1847" t="s">
        <v>3380</v>
      </c>
      <c r="P447" s="1846"/>
      <c r="S447" s="1540" t="s">
        <v>328</v>
      </c>
      <c r="T447" s="1540"/>
      <c r="U447" s="1540"/>
      <c r="V447" s="1540"/>
      <c r="W447" s="1540"/>
      <c r="X447" s="1540"/>
    </row>
    <row r="448" spans="1:26" ht="16.5" thickTop="1" x14ac:dyDescent="0.25">
      <c r="A448" s="21"/>
      <c r="B448" s="21"/>
      <c r="C448" s="21"/>
      <c r="D448" s="21"/>
      <c r="E448" s="306" t="str">
        <f>E7</f>
        <v>тыс. руб.</v>
      </c>
      <c r="F448" s="301">
        <f>F7</f>
        <v>0</v>
      </c>
      <c r="G448" s="807"/>
      <c r="H448" s="726">
        <f t="shared" ref="H448:P448" si="31">H7</f>
        <v>2017</v>
      </c>
      <c r="I448" s="727">
        <f t="shared" si="31"/>
        <v>2018</v>
      </c>
      <c r="J448" s="727">
        <f t="shared" si="31"/>
        <v>2019</v>
      </c>
      <c r="K448" s="727">
        <f t="shared" si="31"/>
        <v>2020</v>
      </c>
      <c r="L448" s="1844">
        <f t="shared" si="31"/>
        <v>2021</v>
      </c>
      <c r="M448" s="1844">
        <f t="shared" si="31"/>
        <v>2022</v>
      </c>
      <c r="N448" s="1844">
        <f t="shared" si="31"/>
        <v>2023</v>
      </c>
      <c r="O448" s="1844">
        <f t="shared" si="31"/>
        <v>2024</v>
      </c>
      <c r="P448" s="1845">
        <f t="shared" si="31"/>
        <v>2025</v>
      </c>
      <c r="S448" s="2040">
        <v>2020</v>
      </c>
      <c r="T448" s="2040">
        <v>2021</v>
      </c>
      <c r="U448" s="2040">
        <v>2022</v>
      </c>
      <c r="V448" s="2040">
        <v>2023</v>
      </c>
      <c r="W448" s="2040">
        <v>2024</v>
      </c>
      <c r="X448" s="2040">
        <v>2025</v>
      </c>
      <c r="Y448" s="2041"/>
      <c r="Z448" s="2041"/>
    </row>
    <row r="449" spans="1:26" ht="16.5" thickBot="1" x14ac:dyDescent="0.3">
      <c r="A449" s="21"/>
      <c r="B449" s="21"/>
      <c r="C449" s="21"/>
      <c r="D449" s="21"/>
      <c r="E449" s="303" t="s">
        <v>421</v>
      </c>
      <c r="F449" s="387"/>
      <c r="G449" s="2036" t="s">
        <v>643</v>
      </c>
      <c r="H449" s="747" t="s">
        <v>643</v>
      </c>
      <c r="I449" s="1438" t="s">
        <v>643</v>
      </c>
      <c r="J449" s="1438" t="s">
        <v>643</v>
      </c>
      <c r="K449" s="1438" t="s">
        <v>643</v>
      </c>
      <c r="L449" s="2020"/>
      <c r="M449" s="2020"/>
      <c r="N449" s="2020"/>
      <c r="O449" s="2020"/>
      <c r="P449" s="2021"/>
      <c r="S449" s="2042"/>
      <c r="T449" s="2042"/>
      <c r="U449" s="2042"/>
      <c r="V449" s="2042"/>
      <c r="W449" s="2042"/>
      <c r="X449" s="2042"/>
      <c r="Y449" s="2042"/>
      <c r="Z449" s="2042"/>
    </row>
    <row r="450" spans="1:26" ht="15.75" thickTop="1" x14ac:dyDescent="0.2">
      <c r="A450" s="21"/>
      <c r="B450" s="21"/>
      <c r="C450" s="21"/>
      <c r="D450" s="21"/>
      <c r="E450" s="832" t="s">
        <v>456</v>
      </c>
      <c r="F450" s="373"/>
      <c r="G450" s="816">
        <v>113615546</v>
      </c>
      <c r="H450" s="1486">
        <v>67309486</v>
      </c>
      <c r="I450" s="1489">
        <v>70701490</v>
      </c>
      <c r="J450" s="1489">
        <v>87867190</v>
      </c>
      <c r="K450" s="1489">
        <v>93378673</v>
      </c>
      <c r="L450" s="2022"/>
      <c r="M450" s="2022"/>
      <c r="N450" s="2022"/>
      <c r="O450" s="2022"/>
      <c r="P450" s="2023"/>
      <c r="S450" s="2042"/>
      <c r="T450" s="2042"/>
      <c r="U450" s="2042"/>
      <c r="V450" s="2042"/>
      <c r="W450" s="2042"/>
      <c r="X450" s="2042"/>
      <c r="Y450" s="2042"/>
      <c r="Z450" s="2042"/>
    </row>
    <row r="451" spans="1:26" x14ac:dyDescent="0.2">
      <c r="A451" s="21"/>
      <c r="B451" s="21"/>
      <c r="C451" s="21"/>
      <c r="D451" s="21"/>
      <c r="E451" s="833" t="s">
        <v>423</v>
      </c>
      <c r="F451" s="373"/>
      <c r="G451" s="816">
        <v>10517601</v>
      </c>
      <c r="H451" s="1486">
        <v>10490030</v>
      </c>
      <c r="I451" s="1489">
        <v>8270954</v>
      </c>
      <c r="J451" s="1489">
        <v>2198240</v>
      </c>
      <c r="K451" s="1489">
        <v>3353788</v>
      </c>
      <c r="L451" s="2022"/>
      <c r="M451" s="2022"/>
      <c r="N451" s="2022"/>
      <c r="O451" s="2022"/>
      <c r="P451" s="2023"/>
      <c r="S451" s="2042"/>
      <c r="T451" s="2042"/>
      <c r="U451" s="2042"/>
      <c r="V451" s="2042"/>
      <c r="W451" s="2042"/>
      <c r="X451" s="2042"/>
      <c r="Y451" s="2042"/>
      <c r="Z451" s="2042"/>
    </row>
    <row r="452" spans="1:26" x14ac:dyDescent="0.2">
      <c r="A452" s="21"/>
      <c r="B452" s="21"/>
      <c r="C452" s="21"/>
      <c r="D452" s="21"/>
      <c r="E452" s="833" t="s">
        <v>422</v>
      </c>
      <c r="F452" s="373"/>
      <c r="G452" s="816">
        <v>62187404</v>
      </c>
      <c r="H452" s="1486">
        <v>69542319</v>
      </c>
      <c r="I452" s="1489">
        <v>78128343</v>
      </c>
      <c r="J452" s="1489">
        <v>70080765</v>
      </c>
      <c r="K452" s="1489">
        <v>49016052</v>
      </c>
      <c r="L452" s="2022"/>
      <c r="M452" s="2022"/>
      <c r="N452" s="2022"/>
      <c r="O452" s="2022"/>
      <c r="P452" s="2023"/>
      <c r="S452" s="2042"/>
      <c r="T452" s="2042"/>
      <c r="U452" s="2042"/>
      <c r="V452" s="2042"/>
      <c r="W452" s="2042"/>
      <c r="X452" s="2042"/>
      <c r="Y452" s="2042"/>
      <c r="Z452" s="2042"/>
    </row>
    <row r="453" spans="1:26" x14ac:dyDescent="0.2">
      <c r="A453" s="21"/>
      <c r="B453" s="21"/>
      <c r="C453" s="21"/>
      <c r="D453" s="21"/>
      <c r="E453" s="833" t="s">
        <v>2575</v>
      </c>
      <c r="F453" s="373"/>
      <c r="G453" s="816">
        <v>2893484</v>
      </c>
      <c r="H453" s="1486">
        <v>804558</v>
      </c>
      <c r="I453" s="1489">
        <v>5161500</v>
      </c>
      <c r="J453" s="1489">
        <v>16263542.999999998</v>
      </c>
      <c r="K453" s="1489">
        <v>11371906</v>
      </c>
      <c r="L453" s="2022"/>
      <c r="M453" s="2022"/>
      <c r="N453" s="2022"/>
      <c r="O453" s="2022"/>
      <c r="P453" s="2023"/>
      <c r="S453" s="2042"/>
      <c r="T453" s="2042"/>
      <c r="U453" s="2042"/>
      <c r="V453" s="2042"/>
      <c r="W453" s="2042"/>
      <c r="X453" s="2042"/>
      <c r="Y453" s="2042"/>
      <c r="Z453" s="2042"/>
    </row>
    <row r="454" spans="1:26" x14ac:dyDescent="0.2">
      <c r="A454" s="21"/>
      <c r="B454" s="21"/>
      <c r="C454" s="21"/>
      <c r="D454" s="21"/>
      <c r="E454" s="2126" t="s">
        <v>2576</v>
      </c>
      <c r="F454" s="373"/>
      <c r="G454" s="816">
        <v>0</v>
      </c>
      <c r="H454" s="1486">
        <v>0</v>
      </c>
      <c r="I454" s="1489">
        <v>1437</v>
      </c>
      <c r="J454" s="1489">
        <v>19281</v>
      </c>
      <c r="K454" s="1489">
        <v>21604</v>
      </c>
      <c r="L454" s="2022"/>
      <c r="M454" s="2022"/>
      <c r="N454" s="2022"/>
      <c r="O454" s="2022"/>
      <c r="P454" s="2023"/>
      <c r="S454" s="2042"/>
      <c r="T454" s="2042"/>
      <c r="U454" s="2042"/>
      <c r="V454" s="2042"/>
      <c r="W454" s="2042"/>
      <c r="X454" s="2042"/>
      <c r="Y454" s="2042"/>
      <c r="Z454" s="2042"/>
    </row>
    <row r="455" spans="1:26" x14ac:dyDescent="0.2">
      <c r="A455" s="21"/>
      <c r="B455" s="21"/>
      <c r="C455" s="21"/>
      <c r="D455" s="21"/>
      <c r="E455" s="2127" t="s">
        <v>2577</v>
      </c>
      <c r="F455" s="373"/>
      <c r="G455" s="816">
        <v>0</v>
      </c>
      <c r="H455" s="1486">
        <v>0</v>
      </c>
      <c r="I455" s="1489">
        <v>0</v>
      </c>
      <c r="J455" s="1489">
        <v>10606751</v>
      </c>
      <c r="K455" s="1489">
        <v>9025135</v>
      </c>
      <c r="L455" s="2022"/>
      <c r="M455" s="2022"/>
      <c r="N455" s="2022"/>
      <c r="O455" s="2022"/>
      <c r="P455" s="2023"/>
      <c r="S455" s="2042"/>
      <c r="T455" s="2042"/>
      <c r="U455" s="2042"/>
      <c r="V455" s="2042"/>
      <c r="W455" s="2042"/>
      <c r="X455" s="2042"/>
      <c r="Y455" s="2042"/>
      <c r="Z455" s="2042"/>
    </row>
    <row r="456" spans="1:26" s="322" customFormat="1" ht="21" customHeight="1" x14ac:dyDescent="0.25">
      <c r="A456" s="320"/>
      <c r="B456" s="320"/>
      <c r="C456" s="320"/>
      <c r="D456" s="320"/>
      <c r="E456" s="321" t="s">
        <v>926</v>
      </c>
      <c r="F456" s="392"/>
      <c r="G456" s="2037">
        <v>189214035</v>
      </c>
      <c r="H456" s="749">
        <v>148146393</v>
      </c>
      <c r="I456" s="1848">
        <v>162263724</v>
      </c>
      <c r="J456" s="1848">
        <v>187035770</v>
      </c>
      <c r="K456" s="1848">
        <v>166167158</v>
      </c>
      <c r="L456" s="2024">
        <v>176105817</v>
      </c>
      <c r="M456" s="2024">
        <v>219782352.56605029</v>
      </c>
      <c r="N456" s="2024">
        <v>235991805</v>
      </c>
      <c r="O456" s="2024">
        <f>O478-O474-O466</f>
        <v>298750774.29303962</v>
      </c>
      <c r="P456" s="2025"/>
      <c r="S456" s="2043">
        <v>137316000</v>
      </c>
      <c r="T456" s="2043">
        <v>165221000</v>
      </c>
      <c r="U456" s="2131"/>
      <c r="V456" s="2130">
        <v>201567000</v>
      </c>
      <c r="W456" s="2130">
        <v>278555000</v>
      </c>
      <c r="X456" s="2043"/>
      <c r="Y456" s="2043"/>
      <c r="Z456" s="2043"/>
    </row>
    <row r="457" spans="1:26" s="319" customFormat="1" ht="29.25" customHeight="1" x14ac:dyDescent="0.25">
      <c r="A457" s="318"/>
      <c r="B457" s="318"/>
      <c r="C457" s="318"/>
      <c r="D457" s="318"/>
      <c r="E457" s="323" t="s">
        <v>927</v>
      </c>
      <c r="F457" s="378"/>
      <c r="G457" s="2038">
        <v>-23280631.674182296</v>
      </c>
      <c r="H457" s="751">
        <v>-27142710.021288</v>
      </c>
      <c r="I457" s="1620">
        <v>-39170529</v>
      </c>
      <c r="J457" s="1620">
        <v>-44505294</v>
      </c>
      <c r="K457" s="1620">
        <v>-47991038</v>
      </c>
      <c r="L457" s="2026">
        <f>L479-L475-L467</f>
        <v>-32425076.223083358</v>
      </c>
      <c r="M457" s="2026">
        <f t="shared" ref="M457:O457" si="32">M479-M475-M467</f>
        <v>-39887046.333877794</v>
      </c>
      <c r="N457" s="2026">
        <f t="shared" si="32"/>
        <v>-38792614.09181115</v>
      </c>
      <c r="O457" s="2026">
        <f t="shared" si="32"/>
        <v>-38415488.820092171</v>
      </c>
      <c r="P457" s="2027"/>
      <c r="S457" s="2044">
        <v>-17472000</v>
      </c>
      <c r="T457" s="2044">
        <v>-15842000</v>
      </c>
      <c r="U457" s="2132"/>
      <c r="V457" s="2044">
        <v>-4030000</v>
      </c>
      <c r="W457" s="2044">
        <v>-11504000</v>
      </c>
      <c r="X457" s="2044"/>
      <c r="Y457" s="2044"/>
      <c r="Z457" s="2044"/>
    </row>
    <row r="458" spans="1:26" s="292" customFormat="1" ht="32.25" customHeight="1" x14ac:dyDescent="0.25">
      <c r="A458" s="297"/>
      <c r="B458" s="297"/>
      <c r="C458" s="297"/>
      <c r="D458" s="297"/>
      <c r="E458" s="307" t="s">
        <v>925</v>
      </c>
      <c r="F458" s="374"/>
      <c r="G458" s="810">
        <v>165933403.3258177</v>
      </c>
      <c r="H458" s="732">
        <v>121003682.97871199</v>
      </c>
      <c r="I458" s="1342">
        <v>123093195</v>
      </c>
      <c r="J458" s="1342">
        <v>142530476</v>
      </c>
      <c r="K458" s="1342">
        <v>118176120</v>
      </c>
      <c r="L458" s="2028">
        <f>SUM(L456:L457)</f>
        <v>143680740.77691665</v>
      </c>
      <c r="M458" s="2028">
        <f t="shared" ref="M458:O458" si="33">SUM(M456:M457)</f>
        <v>179895306.23217249</v>
      </c>
      <c r="N458" s="2028">
        <f t="shared" si="33"/>
        <v>197199190.90818885</v>
      </c>
      <c r="O458" s="2028">
        <f t="shared" si="33"/>
        <v>260335285.47294745</v>
      </c>
      <c r="P458" s="2029"/>
      <c r="S458" s="2045">
        <v>119844000</v>
      </c>
      <c r="T458" s="2045">
        <v>149379000</v>
      </c>
      <c r="U458" s="2133"/>
      <c r="V458" s="2045">
        <f>V456+V457</f>
        <v>197537000</v>
      </c>
      <c r="W458" s="2045">
        <f>W456+W457</f>
        <v>267051000</v>
      </c>
      <c r="X458" s="2045"/>
      <c r="Y458" s="2045"/>
      <c r="Z458" s="2045"/>
    </row>
    <row r="459" spans="1:26" x14ac:dyDescent="0.2">
      <c r="A459" s="21"/>
      <c r="B459" s="21"/>
      <c r="C459" s="21"/>
      <c r="D459" s="21"/>
      <c r="E459" s="291"/>
      <c r="F459" s="387"/>
      <c r="G459" s="2036"/>
      <c r="H459" s="747"/>
      <c r="I459" s="1438"/>
      <c r="J459" s="1438"/>
      <c r="K459" s="1438"/>
      <c r="L459" s="2020"/>
      <c r="M459" s="2020"/>
      <c r="N459" s="2020"/>
      <c r="O459" s="2020"/>
      <c r="P459" s="2021"/>
      <c r="S459" s="2042"/>
      <c r="T459" s="2042"/>
      <c r="U459" s="2134"/>
      <c r="V459" s="2042"/>
      <c r="W459" s="2042"/>
      <c r="X459" s="2042"/>
      <c r="Y459" s="2042"/>
      <c r="Z459" s="2042"/>
    </row>
    <row r="460" spans="1:26" ht="16.5" thickBot="1" x14ac:dyDescent="0.3">
      <c r="A460" s="21"/>
      <c r="B460" s="21"/>
      <c r="C460" s="21"/>
      <c r="D460" s="21"/>
      <c r="E460" s="1278" t="s">
        <v>129</v>
      </c>
      <c r="F460" s="387"/>
      <c r="G460" s="2036" t="s">
        <v>643</v>
      </c>
      <c r="H460" s="747" t="s">
        <v>643</v>
      </c>
      <c r="I460" s="1438" t="s">
        <v>643</v>
      </c>
      <c r="J460" s="1438" t="s">
        <v>643</v>
      </c>
      <c r="K460" s="1438" t="s">
        <v>643</v>
      </c>
      <c r="L460" s="2020"/>
      <c r="M460" s="2020"/>
      <c r="N460" s="2020"/>
      <c r="O460" s="2020"/>
      <c r="P460" s="2021"/>
      <c r="S460" s="2042"/>
      <c r="T460" s="2042"/>
      <c r="U460" s="2134"/>
      <c r="V460" s="2042"/>
      <c r="W460" s="2042"/>
      <c r="X460" s="2042"/>
      <c r="Y460" s="2042"/>
      <c r="Z460" s="2042"/>
    </row>
    <row r="461" spans="1:26" ht="15.75" thickTop="1" x14ac:dyDescent="0.2">
      <c r="A461" s="21"/>
      <c r="B461" s="21"/>
      <c r="C461" s="1275"/>
      <c r="D461" s="1275"/>
      <c r="E461" s="832" t="s">
        <v>2578</v>
      </c>
      <c r="F461" s="373"/>
      <c r="G461" s="816">
        <v>11756722</v>
      </c>
      <c r="H461" s="729">
        <v>9510162</v>
      </c>
      <c r="I461" s="1489">
        <v>8016965.0000000009</v>
      </c>
      <c r="J461" s="1489">
        <v>6500891</v>
      </c>
      <c r="K461" s="1489">
        <v>5573127</v>
      </c>
      <c r="L461" s="2022"/>
      <c r="M461" s="2022"/>
      <c r="N461" s="2022"/>
      <c r="O461" s="2022"/>
      <c r="P461" s="2023"/>
      <c r="S461" s="2042"/>
      <c r="T461" s="2042"/>
      <c r="U461" s="2134"/>
      <c r="V461" s="2042"/>
      <c r="W461" s="2042"/>
      <c r="X461" s="2042"/>
      <c r="Y461" s="2042"/>
      <c r="Z461" s="2042"/>
    </row>
    <row r="462" spans="1:26" x14ac:dyDescent="0.2">
      <c r="A462" s="21"/>
      <c r="B462" s="21"/>
      <c r="C462" s="1275"/>
      <c r="D462" s="1275"/>
      <c r="E462" s="833" t="s">
        <v>2579</v>
      </c>
      <c r="F462" s="373"/>
      <c r="G462" s="816">
        <v>29264592</v>
      </c>
      <c r="H462" s="729">
        <v>35710958</v>
      </c>
      <c r="I462" s="1489">
        <v>53984250</v>
      </c>
      <c r="J462" s="1489">
        <v>61000282</v>
      </c>
      <c r="K462" s="1489">
        <v>90183640</v>
      </c>
      <c r="L462" s="2022"/>
      <c r="M462" s="2022"/>
      <c r="N462" s="2022"/>
      <c r="O462" s="2022"/>
      <c r="P462" s="2023"/>
      <c r="S462" s="2042"/>
      <c r="T462" s="2042"/>
      <c r="U462" s="2134"/>
      <c r="V462" s="2042"/>
      <c r="W462" s="2042"/>
      <c r="X462" s="2042"/>
      <c r="Y462" s="2042"/>
      <c r="Z462" s="2042"/>
    </row>
    <row r="463" spans="1:26" x14ac:dyDescent="0.2">
      <c r="A463" s="21"/>
      <c r="B463" s="21"/>
      <c r="C463" s="1275"/>
      <c r="D463" s="1275"/>
      <c r="E463" s="833" t="s">
        <v>428</v>
      </c>
      <c r="F463" s="373"/>
      <c r="G463" s="816">
        <v>2779598</v>
      </c>
      <c r="H463" s="729">
        <v>1562222</v>
      </c>
      <c r="I463" s="1489">
        <v>960571</v>
      </c>
      <c r="J463" s="1489">
        <v>750349</v>
      </c>
      <c r="K463" s="1489">
        <v>529026</v>
      </c>
      <c r="L463" s="2022"/>
      <c r="M463" s="2022"/>
      <c r="N463" s="2022"/>
      <c r="O463" s="2022"/>
      <c r="P463" s="2023"/>
      <c r="S463" s="2042"/>
      <c r="T463" s="2042"/>
      <c r="U463" s="2134"/>
      <c r="V463" s="2042"/>
      <c r="W463" s="2042"/>
      <c r="X463" s="2042"/>
      <c r="Y463" s="2042"/>
      <c r="Z463" s="2042"/>
    </row>
    <row r="464" spans="1:26" x14ac:dyDescent="0.2">
      <c r="A464" s="21"/>
      <c r="B464" s="21"/>
      <c r="C464" s="1275"/>
      <c r="D464" s="1275"/>
      <c r="E464" s="833" t="s">
        <v>2580</v>
      </c>
      <c r="F464" s="373"/>
      <c r="G464" s="816">
        <v>23114519</v>
      </c>
      <c r="H464" s="729">
        <v>18715165</v>
      </c>
      <c r="I464" s="1489">
        <v>17922751</v>
      </c>
      <c r="J464" s="1489">
        <v>22878678</v>
      </c>
      <c r="K464" s="1489">
        <v>24984133</v>
      </c>
      <c r="L464" s="2022"/>
      <c r="M464" s="2022"/>
      <c r="N464" s="2022"/>
      <c r="O464" s="2022"/>
      <c r="P464" s="2023"/>
      <c r="S464" s="2042"/>
      <c r="T464" s="2042"/>
      <c r="U464" s="2134"/>
      <c r="V464" s="2042"/>
      <c r="W464" s="2042"/>
      <c r="X464" s="2042"/>
      <c r="Y464" s="2042"/>
      <c r="Z464" s="2042"/>
    </row>
    <row r="465" spans="1:26" x14ac:dyDescent="0.2">
      <c r="A465" s="21"/>
      <c r="B465" s="21"/>
      <c r="C465" s="1275"/>
      <c r="D465" s="1275"/>
      <c r="E465" s="2127" t="s">
        <v>2577</v>
      </c>
      <c r="F465" s="373"/>
      <c r="G465" s="816">
        <v>0</v>
      </c>
      <c r="H465" s="729">
        <v>0</v>
      </c>
      <c r="I465" s="1489">
        <v>0</v>
      </c>
      <c r="J465" s="1489">
        <v>1183918</v>
      </c>
      <c r="K465" s="1489">
        <v>3294991</v>
      </c>
      <c r="L465" s="2022"/>
      <c r="M465" s="2022"/>
      <c r="N465" s="2022"/>
      <c r="O465" s="2022"/>
      <c r="P465" s="2023"/>
      <c r="S465" s="2042"/>
      <c r="T465" s="2042"/>
      <c r="U465" s="2134"/>
      <c r="V465" s="2042"/>
      <c r="W465" s="2042"/>
      <c r="X465" s="2042"/>
      <c r="Y465" s="2042"/>
      <c r="Z465" s="2042"/>
    </row>
    <row r="466" spans="1:26" s="322" customFormat="1" ht="21" customHeight="1" thickBot="1" x14ac:dyDescent="0.3">
      <c r="A466" s="320"/>
      <c r="B466" s="320"/>
      <c r="C466" s="1276"/>
      <c r="D466" s="1276"/>
      <c r="E466" s="1277" t="s">
        <v>933</v>
      </c>
      <c r="F466" s="394"/>
      <c r="G466" s="2037">
        <v>66915431</v>
      </c>
      <c r="H466" s="752">
        <v>65498507</v>
      </c>
      <c r="I466" s="1617">
        <v>80884537</v>
      </c>
      <c r="J466" s="1617">
        <v>92314118</v>
      </c>
      <c r="K466" s="1617">
        <v>124564917</v>
      </c>
      <c r="L466" s="2030">
        <v>154972283</v>
      </c>
      <c r="M466" s="2030">
        <v>193407426.96915981</v>
      </c>
      <c r="N466" s="2030">
        <v>179237262</v>
      </c>
      <c r="O466" s="2030">
        <f>195389724+20684968*K532/K539</f>
        <v>205188738.92696041</v>
      </c>
      <c r="P466" s="2031"/>
      <c r="S466" s="2043">
        <v>122010000</v>
      </c>
      <c r="T466" s="2043">
        <v>155252000</v>
      </c>
      <c r="U466" s="2131"/>
      <c r="V466" s="2130">
        <v>180465000</v>
      </c>
      <c r="W466" s="2130">
        <f>196796000</f>
        <v>196796000</v>
      </c>
      <c r="X466" s="2043"/>
      <c r="Y466" s="2043"/>
      <c r="Z466" s="2043"/>
    </row>
    <row r="467" spans="1:26" s="319" customFormat="1" ht="29.25" customHeight="1" x14ac:dyDescent="0.25">
      <c r="A467" s="318"/>
      <c r="B467" s="318"/>
      <c r="C467" s="318"/>
      <c r="D467" s="318"/>
      <c r="E467" s="1274" t="s">
        <v>927</v>
      </c>
      <c r="F467" s="378"/>
      <c r="G467" s="2039">
        <v>-4104146.3258177047</v>
      </c>
      <c r="H467" s="751">
        <v>-6299057.978712</v>
      </c>
      <c r="I467" s="1620">
        <v>-6250985</v>
      </c>
      <c r="J467" s="1620">
        <v>-7113919</v>
      </c>
      <c r="K467" s="1620">
        <v>-8332603.0000000009</v>
      </c>
      <c r="L467" s="2026">
        <f>(L479-L475)*L486</f>
        <v>-5405117.908916642</v>
      </c>
      <c r="M467" s="2026">
        <f t="shared" ref="M467:N467" si="34">(M479-M475)*M486</f>
        <v>-6648995.5795246409</v>
      </c>
      <c r="N467" s="2026">
        <f t="shared" si="34"/>
        <v>-6466558.5276888469</v>
      </c>
      <c r="O467" s="2026">
        <f>(O479-O475)*O486</f>
        <v>-6403693.399907832</v>
      </c>
      <c r="P467" s="2027"/>
      <c r="S467" s="2044">
        <v>-3500000</v>
      </c>
      <c r="T467" s="2044">
        <v>-3478000</v>
      </c>
      <c r="U467" s="2132"/>
      <c r="V467" s="2044">
        <v>-6838000</v>
      </c>
      <c r="W467" s="2044">
        <v>-6991000</v>
      </c>
      <c r="X467" s="2044"/>
      <c r="Y467" s="2044"/>
      <c r="Z467" s="2044"/>
    </row>
    <row r="468" spans="1:26" s="292" customFormat="1" ht="32.25" customHeight="1" x14ac:dyDescent="0.25">
      <c r="A468" s="297"/>
      <c r="B468" s="297"/>
      <c r="C468" s="297"/>
      <c r="D468" s="297"/>
      <c r="E468" s="307" t="s">
        <v>928</v>
      </c>
      <c r="F468" s="374"/>
      <c r="G468" s="810">
        <v>62811284.674182296</v>
      </c>
      <c r="H468" s="732">
        <v>59199449.021288</v>
      </c>
      <c r="I468" s="1342">
        <v>74633552</v>
      </c>
      <c r="J468" s="1342">
        <v>85200199</v>
      </c>
      <c r="K468" s="1342">
        <v>116232314</v>
      </c>
      <c r="L468" s="2028">
        <f>SUM(L466:L467)</f>
        <v>149567165.09108335</v>
      </c>
      <c r="M468" s="2028">
        <f t="shared" ref="M468:O468" si="35">SUM(M466:M467)</f>
        <v>186758431.38963518</v>
      </c>
      <c r="N468" s="2028">
        <f t="shared" si="35"/>
        <v>172770703.47231114</v>
      </c>
      <c r="O468" s="2028">
        <f t="shared" si="35"/>
        <v>198785045.52705258</v>
      </c>
      <c r="P468" s="2029"/>
      <c r="S468" s="2045">
        <v>118510000</v>
      </c>
      <c r="T468" s="2045">
        <v>151774000</v>
      </c>
      <c r="U468" s="2133"/>
      <c r="V468" s="2045">
        <f>V466+V467</f>
        <v>173627000</v>
      </c>
      <c r="W468" s="2045">
        <f>W466+W467</f>
        <v>189805000</v>
      </c>
      <c r="X468" s="2045"/>
      <c r="Y468" s="2045"/>
      <c r="Z468" s="2045"/>
    </row>
    <row r="469" spans="1:26" x14ac:dyDescent="0.2">
      <c r="A469" s="21"/>
      <c r="B469" s="21"/>
      <c r="C469" s="21"/>
      <c r="D469" s="21"/>
      <c r="E469" s="291"/>
      <c r="F469" s="387"/>
      <c r="G469" s="2036"/>
      <c r="H469" s="747"/>
      <c r="I469" s="1438"/>
      <c r="J469" s="1438"/>
      <c r="K469" s="1438"/>
      <c r="L469" s="2020"/>
      <c r="M469" s="2020"/>
      <c r="N469" s="2020"/>
      <c r="O469" s="2020"/>
      <c r="P469" s="2021"/>
      <c r="S469" s="2042"/>
      <c r="T469" s="2042"/>
      <c r="U469" s="2134"/>
      <c r="V469" s="2042"/>
      <c r="W469" s="2042"/>
      <c r="X469" s="2042"/>
      <c r="Y469" s="2042"/>
      <c r="Z469" s="2042"/>
    </row>
    <row r="470" spans="1:26" ht="16.5" thickBot="1" x14ac:dyDescent="0.3">
      <c r="A470" s="21"/>
      <c r="B470" s="21"/>
      <c r="C470" s="21"/>
      <c r="D470" s="21"/>
      <c r="E470" s="303" t="s">
        <v>929</v>
      </c>
      <c r="F470" s="387"/>
      <c r="G470" s="2036" t="s">
        <v>643</v>
      </c>
      <c r="H470" s="747" t="s">
        <v>643</v>
      </c>
      <c r="I470" s="1438" t="s">
        <v>643</v>
      </c>
      <c r="J470" s="1438" t="s">
        <v>643</v>
      </c>
      <c r="K470" s="1438" t="s">
        <v>643</v>
      </c>
      <c r="L470" s="2020"/>
      <c r="M470" s="2020"/>
      <c r="N470" s="2020"/>
      <c r="O470" s="2020"/>
      <c r="P470" s="2021"/>
      <c r="S470" s="2042"/>
      <c r="T470" s="2042"/>
      <c r="U470" s="2134"/>
      <c r="V470" s="2042"/>
      <c r="W470" s="2042"/>
      <c r="X470" s="2042"/>
      <c r="Y470" s="2042"/>
      <c r="Z470" s="2042"/>
    </row>
    <row r="471" spans="1:26" ht="15.75" thickTop="1" x14ac:dyDescent="0.2">
      <c r="A471" s="21"/>
      <c r="B471" s="21"/>
      <c r="C471" s="21"/>
      <c r="D471" s="21"/>
      <c r="E471" s="832" t="s">
        <v>3381</v>
      </c>
      <c r="F471" s="373"/>
      <c r="G471" s="816">
        <v>0</v>
      </c>
      <c r="H471" s="729">
        <v>3379150</v>
      </c>
      <c r="I471" s="1489">
        <v>16500000</v>
      </c>
      <c r="J471" s="1489" t="s">
        <v>74</v>
      </c>
      <c r="K471" s="1489" t="s">
        <v>74</v>
      </c>
      <c r="L471" s="2022">
        <v>10550000</v>
      </c>
      <c r="M471" s="2022"/>
      <c r="N471" s="2022">
        <v>0</v>
      </c>
      <c r="O471" s="2022">
        <v>1381000</v>
      </c>
      <c r="P471" s="2023"/>
      <c r="S471" s="2042"/>
      <c r="T471" s="2042"/>
      <c r="U471" s="2134"/>
      <c r="V471" s="2042">
        <v>1130000</v>
      </c>
      <c r="W471" s="2042">
        <v>1381000</v>
      </c>
      <c r="X471" s="2042"/>
      <c r="Y471" s="2042"/>
      <c r="Z471" s="2042"/>
    </row>
    <row r="472" spans="1:26" x14ac:dyDescent="0.2">
      <c r="A472" s="21"/>
      <c r="B472" s="21"/>
      <c r="C472" s="21"/>
      <c r="D472" s="21"/>
      <c r="E472" s="833" t="s">
        <v>2558</v>
      </c>
      <c r="F472" s="373"/>
      <c r="G472" s="816">
        <v>17971079</v>
      </c>
      <c r="H472" s="729">
        <v>41125427</v>
      </c>
      <c r="I472" s="1489">
        <v>101691685</v>
      </c>
      <c r="J472" s="1489">
        <v>94760748</v>
      </c>
      <c r="K472" s="1489">
        <v>100369170</v>
      </c>
      <c r="L472" s="2022">
        <v>71173213</v>
      </c>
      <c r="M472" s="2022">
        <v>101991633.88450947</v>
      </c>
      <c r="N472" s="2022">
        <v>162814538</v>
      </c>
      <c r="O472" s="2022">
        <v>75481000</v>
      </c>
      <c r="P472" s="2023"/>
      <c r="S472" s="2042"/>
      <c r="T472" s="2042"/>
      <c r="U472" s="2134"/>
      <c r="V472" s="2042">
        <v>105755000</v>
      </c>
      <c r="W472" s="2042">
        <v>75481000</v>
      </c>
      <c r="X472" s="2042"/>
      <c r="Y472" s="2042"/>
      <c r="Z472" s="2042"/>
    </row>
    <row r="473" spans="1:26" x14ac:dyDescent="0.2">
      <c r="A473" s="21"/>
      <c r="B473" s="21"/>
      <c r="C473" s="21"/>
      <c r="D473" s="21"/>
      <c r="E473" s="2128" t="s">
        <v>930</v>
      </c>
      <c r="F473" s="373"/>
      <c r="G473" s="816">
        <v>0</v>
      </c>
      <c r="H473" s="729">
        <v>1.9999999949504854</v>
      </c>
      <c r="I473" s="1489">
        <v>0</v>
      </c>
      <c r="J473" s="1489">
        <v>0</v>
      </c>
      <c r="K473" s="1489">
        <v>0</v>
      </c>
      <c r="L473" s="2022">
        <v>0</v>
      </c>
      <c r="M473" s="2022"/>
      <c r="N473" s="2022"/>
      <c r="O473" s="2022">
        <f>O474-O471-O472</f>
        <v>11217179</v>
      </c>
      <c r="P473" s="2023"/>
      <c r="S473" s="2042"/>
      <c r="T473" s="2042"/>
      <c r="U473" s="2134"/>
      <c r="V473" s="2042">
        <v>71912000</v>
      </c>
      <c r="W473" s="2042">
        <v>22113000</v>
      </c>
      <c r="X473" s="2042"/>
      <c r="Y473" s="2042"/>
      <c r="Z473" s="2042"/>
    </row>
    <row r="474" spans="1:26" s="322" customFormat="1" ht="21" customHeight="1" x14ac:dyDescent="0.25">
      <c r="A474" s="320"/>
      <c r="B474" s="320"/>
      <c r="C474" s="320"/>
      <c r="D474" s="320"/>
      <c r="E474" s="332" t="s">
        <v>935</v>
      </c>
      <c r="F474" s="394"/>
      <c r="G474" s="2037">
        <v>17971079</v>
      </c>
      <c r="H474" s="752">
        <v>44504578.999999993</v>
      </c>
      <c r="I474" s="1617">
        <v>118191685</v>
      </c>
      <c r="J474" s="1617">
        <v>94760748</v>
      </c>
      <c r="K474" s="1617">
        <v>100369170</v>
      </c>
      <c r="L474" s="2030">
        <v>81723213</v>
      </c>
      <c r="M474" s="2030">
        <v>101991633.88450947</v>
      </c>
      <c r="N474" s="2030">
        <v>162814538</v>
      </c>
      <c r="O474" s="2030">
        <v>88079179</v>
      </c>
      <c r="P474" s="2031"/>
      <c r="S474" s="2043">
        <f>57900000+43416000+313000</f>
        <v>101629000</v>
      </c>
      <c r="T474" s="2043">
        <f>38362000+37375000+10956000</f>
        <v>86693000</v>
      </c>
      <c r="U474" s="2131"/>
      <c r="V474" s="2130">
        <f>SUM(V471:V473)</f>
        <v>178797000</v>
      </c>
      <c r="W474" s="2130">
        <f>SUM(W471:W473)</f>
        <v>98975000</v>
      </c>
      <c r="X474" s="2043"/>
      <c r="Y474" s="2043"/>
      <c r="Z474" s="2043"/>
    </row>
    <row r="475" spans="1:26" s="319" customFormat="1" ht="29.25" customHeight="1" x14ac:dyDescent="0.25">
      <c r="A475" s="318"/>
      <c r="B475" s="318"/>
      <c r="C475" s="318"/>
      <c r="D475" s="318"/>
      <c r="E475" s="323" t="s">
        <v>927</v>
      </c>
      <c r="F475" s="378"/>
      <c r="G475" s="2039">
        <v>0</v>
      </c>
      <c r="H475" s="1284">
        <v>0</v>
      </c>
      <c r="I475" s="1620">
        <v>0</v>
      </c>
      <c r="J475" s="1620">
        <v>0</v>
      </c>
      <c r="K475" s="1620">
        <v>0</v>
      </c>
      <c r="L475" s="2026">
        <v>-81130</v>
      </c>
      <c r="M475" s="2026">
        <v>-111725.20819755382</v>
      </c>
      <c r="N475" s="2026">
        <v>-9880427</v>
      </c>
      <c r="O475" s="2026">
        <v>-1056805</v>
      </c>
      <c r="P475" s="2027"/>
      <c r="S475" s="2044">
        <v>-63000</v>
      </c>
      <c r="T475" s="2044">
        <v>-80000</v>
      </c>
      <c r="U475" s="2132"/>
      <c r="V475" s="2044">
        <v>-1355000</v>
      </c>
      <c r="W475" s="2044">
        <v>-702000</v>
      </c>
      <c r="X475" s="2044"/>
      <c r="Y475" s="2044"/>
      <c r="Z475" s="2044"/>
    </row>
    <row r="476" spans="1:26" s="292" customFormat="1" ht="32.25" customHeight="1" x14ac:dyDescent="0.25">
      <c r="A476" s="297"/>
      <c r="B476" s="297"/>
      <c r="C476" s="297"/>
      <c r="D476" s="297"/>
      <c r="E476" s="307" t="s">
        <v>934</v>
      </c>
      <c r="F476" s="374"/>
      <c r="G476" s="810">
        <v>17971079</v>
      </c>
      <c r="H476" s="732">
        <v>44504578.999999993</v>
      </c>
      <c r="I476" s="1342">
        <v>118191685</v>
      </c>
      <c r="J476" s="1342">
        <v>94760748</v>
      </c>
      <c r="K476" s="1342">
        <v>100369170</v>
      </c>
      <c r="L476" s="2028">
        <v>81642083</v>
      </c>
      <c r="M476" s="2028">
        <v>101879908.67631193</v>
      </c>
      <c r="N476" s="2028">
        <v>152934111</v>
      </c>
      <c r="O476" s="2028">
        <f>O474+O475</f>
        <v>87022374</v>
      </c>
      <c r="P476" s="2029"/>
      <c r="S476" s="2045">
        <v>101566000</v>
      </c>
      <c r="T476" s="2045">
        <v>86613000</v>
      </c>
      <c r="U476" s="2133"/>
      <c r="V476" s="2045">
        <f>V474+V475</f>
        <v>177442000</v>
      </c>
      <c r="W476" s="2045">
        <f>W474+W475</f>
        <v>98273000</v>
      </c>
      <c r="X476" s="2045"/>
      <c r="Y476" s="2045"/>
      <c r="Z476" s="2045"/>
    </row>
    <row r="477" spans="1:26" x14ac:dyDescent="0.2">
      <c r="A477" s="21"/>
      <c r="B477" s="21"/>
      <c r="C477" s="21"/>
      <c r="D477" s="21"/>
      <c r="E477" s="291"/>
      <c r="F477" s="387"/>
      <c r="G477" s="2036"/>
      <c r="H477" s="747"/>
      <c r="I477" s="1438"/>
      <c r="J477" s="1438"/>
      <c r="K477" s="1438"/>
      <c r="L477" s="2020"/>
      <c r="M477" s="2020"/>
      <c r="N477" s="2020"/>
      <c r="O477" s="2020"/>
      <c r="P477" s="2021"/>
      <c r="S477" s="2042"/>
      <c r="T477" s="2042"/>
      <c r="U477" s="2134"/>
      <c r="V477" s="2042"/>
      <c r="W477" s="2042"/>
      <c r="X477" s="2042"/>
      <c r="Y477" s="2042"/>
      <c r="Z477" s="2042"/>
    </row>
    <row r="478" spans="1:26" s="322" customFormat="1" ht="21" customHeight="1" x14ac:dyDescent="0.25">
      <c r="A478" s="320"/>
      <c r="B478" s="320"/>
      <c r="C478" s="320"/>
      <c r="D478" s="320"/>
      <c r="E478" s="311" t="s">
        <v>931</v>
      </c>
      <c r="F478" s="383">
        <f t="shared" ref="F478" si="36">F456+F466+F474</f>
        <v>0</v>
      </c>
      <c r="G478" s="810">
        <v>274100545</v>
      </c>
      <c r="H478" s="753">
        <v>258149479</v>
      </c>
      <c r="I478" s="1849">
        <v>361339946</v>
      </c>
      <c r="J478" s="1849">
        <v>374110636</v>
      </c>
      <c r="K478" s="1849">
        <v>391101245</v>
      </c>
      <c r="L478" s="2032">
        <f>L480-L479</f>
        <v>420853992.13199997</v>
      </c>
      <c r="M478" s="2032">
        <f t="shared" ref="M478:O478" si="37">M480-M479</f>
        <v>520710441.12159997</v>
      </c>
      <c r="N478" s="2032">
        <f t="shared" si="37"/>
        <v>582791270.61950004</v>
      </c>
      <c r="O478" s="2032">
        <f t="shared" si="37"/>
        <v>592018692.22000003</v>
      </c>
      <c r="P478" s="2033"/>
      <c r="S478" s="2043">
        <f t="shared" ref="S478:T480" si="38">S456+S466+S474</f>
        <v>360955000</v>
      </c>
      <c r="T478" s="2043">
        <f t="shared" si="38"/>
        <v>407166000</v>
      </c>
      <c r="U478" s="2131">
        <f t="shared" ref="U478:W478" si="39">U456+U466+U474</f>
        <v>0</v>
      </c>
      <c r="V478" s="2043">
        <f t="shared" si="39"/>
        <v>560829000</v>
      </c>
      <c r="W478" s="2043">
        <f t="shared" si="39"/>
        <v>574326000</v>
      </c>
      <c r="X478" s="2043"/>
      <c r="Y478" s="2043"/>
      <c r="Z478" s="2043"/>
    </row>
    <row r="479" spans="1:26" s="319" customFormat="1" ht="29.25" customHeight="1" x14ac:dyDescent="0.25">
      <c r="A479" s="318"/>
      <c r="B479" s="318"/>
      <c r="C479" s="318"/>
      <c r="D479" s="318"/>
      <c r="E479" s="323" t="s">
        <v>927</v>
      </c>
      <c r="F479" s="378">
        <f>F457+F467+F475</f>
        <v>0</v>
      </c>
      <c r="G479" s="2037">
        <v>-27384778</v>
      </c>
      <c r="H479" s="1284">
        <v>-33441768</v>
      </c>
      <c r="I479" s="1620">
        <v>-45421514</v>
      </c>
      <c r="J479" s="1620">
        <v>-51619213</v>
      </c>
      <c r="K479" s="1620">
        <v>-56323641</v>
      </c>
      <c r="L479" s="2026">
        <f>-L480*L483</f>
        <v>-37911324.131999999</v>
      </c>
      <c r="M479" s="2026">
        <f>-M480*M484</f>
        <v>-46647767.121599995</v>
      </c>
      <c r="N479" s="2026">
        <f t="shared" ref="N479:O479" si="40">-N480*N484</f>
        <v>-55139599.619499996</v>
      </c>
      <c r="O479" s="2026">
        <f t="shared" si="40"/>
        <v>-45875987.220000006</v>
      </c>
      <c r="P479" s="2027"/>
      <c r="S479" s="2044">
        <f t="shared" si="38"/>
        <v>-21035000</v>
      </c>
      <c r="T479" s="2044">
        <f t="shared" si="38"/>
        <v>-19400000</v>
      </c>
      <c r="U479" s="2132">
        <f t="shared" ref="U479:W479" si="41">U457+U467+U475</f>
        <v>0</v>
      </c>
      <c r="V479" s="2044">
        <f t="shared" si="41"/>
        <v>-12223000</v>
      </c>
      <c r="W479" s="2044">
        <f t="shared" si="41"/>
        <v>-19197000</v>
      </c>
      <c r="X479" s="2044"/>
      <c r="Y479" s="2044"/>
      <c r="Z479" s="2044"/>
    </row>
    <row r="480" spans="1:26" s="292" customFormat="1" ht="32.25" customHeight="1" x14ac:dyDescent="0.25">
      <c r="A480" s="297"/>
      <c r="B480" s="297"/>
      <c r="C480" s="297"/>
      <c r="D480" s="297"/>
      <c r="E480" s="307" t="s">
        <v>932</v>
      </c>
      <c r="F480" s="374">
        <f t="shared" ref="F480" si="42">SUM(F478:F479)</f>
        <v>0</v>
      </c>
      <c r="G480" s="810">
        <v>246715767</v>
      </c>
      <c r="H480" s="732">
        <v>224707711</v>
      </c>
      <c r="I480" s="1342">
        <v>315918432</v>
      </c>
      <c r="J480" s="1342">
        <v>322491423</v>
      </c>
      <c r="K480" s="1342">
        <v>334777604</v>
      </c>
      <c r="L480" s="2028">
        <v>382942668</v>
      </c>
      <c r="M480" s="2028">
        <v>474062674</v>
      </c>
      <c r="N480" s="2028">
        <v>527651671</v>
      </c>
      <c r="O480" s="2028">
        <v>546142705</v>
      </c>
      <c r="P480" s="2029"/>
      <c r="S480" s="2045">
        <f t="shared" si="38"/>
        <v>339920000</v>
      </c>
      <c r="T480" s="2045">
        <f t="shared" si="38"/>
        <v>387766000</v>
      </c>
      <c r="U480" s="2133">
        <f t="shared" ref="U480:W480" si="43">U458+U468+U476</f>
        <v>0</v>
      </c>
      <c r="V480" s="2045">
        <f t="shared" si="43"/>
        <v>548606000</v>
      </c>
      <c r="W480" s="2045">
        <f t="shared" si="43"/>
        <v>555129000</v>
      </c>
      <c r="X480" s="2045"/>
      <c r="Y480" s="2045"/>
      <c r="Z480" s="2045"/>
    </row>
    <row r="481" spans="1:26" ht="16.5" outlineLevel="1" thickBot="1" x14ac:dyDescent="0.3">
      <c r="A481" s="21"/>
      <c r="B481" s="21"/>
      <c r="C481" s="21"/>
      <c r="D481" s="21"/>
      <c r="E481" s="309" t="s">
        <v>458</v>
      </c>
      <c r="F481" s="386">
        <f t="shared" ref="F481:P481" si="44">F14-F480</f>
        <v>0</v>
      </c>
      <c r="G481" s="386">
        <f t="shared" si="44"/>
        <v>0</v>
      </c>
      <c r="H481" s="734">
        <f t="shared" si="44"/>
        <v>0</v>
      </c>
      <c r="I481" s="1500">
        <f t="shared" si="44"/>
        <v>0</v>
      </c>
      <c r="J481" s="1500">
        <f t="shared" si="44"/>
        <v>0</v>
      </c>
      <c r="K481" s="1500">
        <f t="shared" si="44"/>
        <v>0</v>
      </c>
      <c r="L481" s="2034">
        <f t="shared" si="44"/>
        <v>0</v>
      </c>
      <c r="M481" s="2034">
        <f t="shared" si="44"/>
        <v>0</v>
      </c>
      <c r="N481" s="2034">
        <f t="shared" si="44"/>
        <v>0</v>
      </c>
      <c r="O481" s="2034">
        <f t="shared" si="44"/>
        <v>0</v>
      </c>
      <c r="P481" s="2035">
        <f t="shared" si="44"/>
        <v>0</v>
      </c>
      <c r="S481" s="2042"/>
      <c r="T481" s="2042"/>
      <c r="U481" s="2042"/>
      <c r="V481" s="2042"/>
      <c r="W481" s="2042"/>
      <c r="X481" s="2042"/>
      <c r="Y481" s="2042"/>
      <c r="Z481" s="2042"/>
    </row>
    <row r="482" spans="1:26" ht="15.75" thickTop="1" x14ac:dyDescent="0.2">
      <c r="A482" s="21"/>
      <c r="B482" s="21"/>
      <c r="C482" s="21"/>
      <c r="D482" s="21"/>
      <c r="E482" s="291"/>
      <c r="F482" s="387"/>
      <c r="G482" s="387"/>
      <c r="H482" s="387"/>
      <c r="I482" s="387"/>
      <c r="J482" s="387"/>
      <c r="K482" s="90"/>
      <c r="L482" s="2055"/>
      <c r="M482" s="2056"/>
      <c r="N482" s="387"/>
      <c r="O482" s="387"/>
      <c r="P482" s="387"/>
    </row>
    <row r="483" spans="1:26" x14ac:dyDescent="0.2">
      <c r="A483" s="21"/>
      <c r="B483" s="21"/>
      <c r="C483" s="21"/>
      <c r="D483" s="21"/>
      <c r="E483" s="291"/>
      <c r="F483" s="387"/>
      <c r="G483" s="387"/>
      <c r="H483" s="387"/>
      <c r="I483" s="387"/>
      <c r="J483" s="387"/>
      <c r="K483" s="387" t="s">
        <v>3446</v>
      </c>
      <c r="L483" s="2129">
        <v>9.9000000000000005E-2</v>
      </c>
      <c r="M483" s="2129"/>
      <c r="N483" s="2129"/>
      <c r="O483" s="2129"/>
      <c r="P483" s="2129"/>
    </row>
    <row r="484" spans="1:26" x14ac:dyDescent="0.2">
      <c r="A484" s="21"/>
      <c r="B484" s="21"/>
      <c r="C484" s="21"/>
      <c r="D484" s="21"/>
      <c r="E484" s="291"/>
      <c r="F484" s="387"/>
      <c r="G484" s="387"/>
      <c r="H484" s="387"/>
      <c r="I484" s="387"/>
      <c r="J484" s="387"/>
      <c r="K484" s="387" t="s">
        <v>3447</v>
      </c>
      <c r="L484" s="2129">
        <v>9.2299999999999993E-2</v>
      </c>
      <c r="M484" s="2129">
        <f>L484*0.5+N484*0.5</f>
        <v>9.8399999999999987E-2</v>
      </c>
      <c r="N484" s="2129">
        <v>0.1045</v>
      </c>
      <c r="O484" s="2129">
        <v>8.4000000000000005E-2</v>
      </c>
      <c r="P484" s="2129">
        <v>0.105</v>
      </c>
    </row>
    <row r="485" spans="1:26" ht="15.75" x14ac:dyDescent="0.25">
      <c r="A485" s="21"/>
      <c r="B485" s="21"/>
      <c r="C485" s="21"/>
      <c r="D485" s="21"/>
      <c r="E485" s="291"/>
      <c r="F485" s="387"/>
      <c r="G485" s="398" t="s">
        <v>3448</v>
      </c>
      <c r="H485" s="422">
        <f>H457/(H457+H467)</f>
        <v>0.81164100000000006</v>
      </c>
      <c r="I485" s="422">
        <f t="shared" ref="I485:K485" si="45">I457/(I457+I467)</f>
        <v>0.86237832142715454</v>
      </c>
      <c r="J485" s="422">
        <f t="shared" si="45"/>
        <v>0.86218466755779477</v>
      </c>
      <c r="K485" s="422">
        <f t="shared" si="45"/>
        <v>0.8520585166005159</v>
      </c>
      <c r="L485" s="2136">
        <f>AVERAGE(J485:K485)</f>
        <v>0.85712159207915528</v>
      </c>
      <c r="M485" s="2135">
        <f>$L$485</f>
        <v>0.85712159207915528</v>
      </c>
      <c r="N485" s="2135">
        <f t="shared" ref="N485:P485" si="46">$L$485</f>
        <v>0.85712159207915528</v>
      </c>
      <c r="O485" s="2135">
        <f t="shared" si="46"/>
        <v>0.85712159207915528</v>
      </c>
      <c r="P485" s="2135">
        <f t="shared" si="46"/>
        <v>0.85712159207915528</v>
      </c>
    </row>
    <row r="486" spans="1:26" ht="15.75" x14ac:dyDescent="0.25">
      <c r="A486" s="21"/>
      <c r="B486" s="21"/>
      <c r="C486" s="21"/>
      <c r="D486" s="21"/>
      <c r="E486" s="291"/>
      <c r="F486" s="387"/>
      <c r="G486" s="398" t="s">
        <v>3449</v>
      </c>
      <c r="H486" s="422">
        <f>1-H485</f>
        <v>0.18835899999999994</v>
      </c>
      <c r="I486" s="422">
        <f t="shared" ref="I486:K486" si="47">1-I485</f>
        <v>0.13762167857284546</v>
      </c>
      <c r="J486" s="422">
        <f t="shared" si="47"/>
        <v>0.13781533244220523</v>
      </c>
      <c r="K486" s="422">
        <f t="shared" si="47"/>
        <v>0.1479414833994841</v>
      </c>
      <c r="L486" s="2136">
        <f>1-L485</f>
        <v>0.14287840792084472</v>
      </c>
      <c r="M486" s="2135">
        <f>$L$486</f>
        <v>0.14287840792084472</v>
      </c>
      <c r="N486" s="2135">
        <f t="shared" ref="N486:P486" si="48">$L$486</f>
        <v>0.14287840792084472</v>
      </c>
      <c r="O486" s="2135">
        <f t="shared" si="48"/>
        <v>0.14287840792084472</v>
      </c>
      <c r="P486" s="2135">
        <f t="shared" si="48"/>
        <v>0.14287840792084472</v>
      </c>
    </row>
    <row r="487" spans="1:26" ht="15.75" x14ac:dyDescent="0.25">
      <c r="A487" s="21"/>
      <c r="B487" s="21"/>
      <c r="C487" s="21"/>
      <c r="D487" s="21"/>
      <c r="E487" s="291"/>
      <c r="F487" s="387"/>
      <c r="G487" s="398"/>
      <c r="H487" s="387"/>
      <c r="I487" s="387"/>
      <c r="J487" s="387"/>
      <c r="K487" s="387"/>
      <c r="L487" s="387"/>
      <c r="M487" s="387"/>
      <c r="N487" s="387"/>
      <c r="O487" s="387"/>
      <c r="P487" s="387"/>
    </row>
    <row r="488" spans="1:26" x14ac:dyDescent="0.2">
      <c r="A488" s="21"/>
      <c r="B488" s="21"/>
      <c r="C488" s="21"/>
      <c r="D488" s="21"/>
      <c r="E488" s="291"/>
      <c r="F488" s="387"/>
      <c r="G488" s="387"/>
      <c r="H488" s="387"/>
      <c r="I488" s="387"/>
      <c r="J488" s="387"/>
      <c r="K488" s="387"/>
      <c r="L488" s="387"/>
      <c r="M488" s="387"/>
      <c r="N488" s="387"/>
      <c r="O488" s="387"/>
      <c r="P488" s="387"/>
    </row>
    <row r="489" spans="1:26" x14ac:dyDescent="0.2">
      <c r="A489" s="21"/>
      <c r="B489" s="21"/>
      <c r="C489" s="21"/>
      <c r="D489" s="21"/>
      <c r="E489" s="291"/>
      <c r="F489" s="387"/>
      <c r="G489" s="387"/>
      <c r="H489" s="387"/>
      <c r="I489" s="387"/>
      <c r="J489" s="387"/>
      <c r="K489" s="387"/>
      <c r="L489" s="387"/>
      <c r="M489" s="387"/>
      <c r="N489" s="387"/>
      <c r="O489" s="387"/>
      <c r="P489" s="387"/>
    </row>
    <row r="490" spans="1:26" ht="16.5" thickBot="1" x14ac:dyDescent="0.3">
      <c r="A490" s="21"/>
      <c r="B490" s="21"/>
      <c r="C490" s="21"/>
      <c r="D490" s="21"/>
      <c r="E490" s="324" t="s">
        <v>1157</v>
      </c>
      <c r="F490" s="387" t="s">
        <v>348</v>
      </c>
      <c r="G490" s="387"/>
      <c r="H490" s="387"/>
      <c r="I490" s="387"/>
      <c r="J490" s="387"/>
      <c r="K490" s="387"/>
      <c r="L490" s="387"/>
      <c r="M490" s="387"/>
      <c r="N490" s="387"/>
      <c r="O490" s="387"/>
      <c r="P490" s="387"/>
    </row>
    <row r="491" spans="1:26" ht="15.75" thickTop="1" x14ac:dyDescent="0.2">
      <c r="A491" s="21"/>
      <c r="B491" s="21"/>
      <c r="C491" s="21"/>
      <c r="D491" s="21"/>
      <c r="E491" s="306" t="str">
        <f t="shared" ref="E491:P491" si="49">E7</f>
        <v>тыс. руб.</v>
      </c>
      <c r="F491" s="301">
        <f t="shared" si="49"/>
        <v>0</v>
      </c>
      <c r="G491" s="301">
        <f t="shared" si="49"/>
        <v>2016</v>
      </c>
      <c r="H491" s="726">
        <f t="shared" si="49"/>
        <v>2017</v>
      </c>
      <c r="I491" s="727">
        <f t="shared" si="49"/>
        <v>2018</v>
      </c>
      <c r="J491" s="727">
        <f t="shared" si="49"/>
        <v>2019</v>
      </c>
      <c r="K491" s="727">
        <f t="shared" si="49"/>
        <v>2020</v>
      </c>
      <c r="L491" s="728">
        <f t="shared" si="49"/>
        <v>2021</v>
      </c>
      <c r="M491" s="767">
        <f t="shared" si="49"/>
        <v>2022</v>
      </c>
      <c r="N491" s="301">
        <f t="shared" si="49"/>
        <v>2023</v>
      </c>
      <c r="O491" s="301">
        <f t="shared" si="49"/>
        <v>2024</v>
      </c>
      <c r="P491" s="301">
        <f t="shared" si="49"/>
        <v>2025</v>
      </c>
    </row>
    <row r="492" spans="1:26" ht="15.75" x14ac:dyDescent="0.25">
      <c r="A492" s="21"/>
      <c r="B492" s="21"/>
      <c r="C492" s="21"/>
      <c r="D492" s="21"/>
      <c r="E492" s="303" t="s">
        <v>421</v>
      </c>
      <c r="F492" s="387"/>
      <c r="G492" s="387" t="s">
        <v>643</v>
      </c>
      <c r="H492" s="747" t="s">
        <v>643</v>
      </c>
      <c r="I492" s="387" t="s">
        <v>643</v>
      </c>
      <c r="J492" s="387" t="s">
        <v>643</v>
      </c>
      <c r="K492" s="387" t="s">
        <v>643</v>
      </c>
      <c r="L492" s="748" t="s">
        <v>643</v>
      </c>
      <c r="M492" s="1584"/>
      <c r="N492" s="1585"/>
      <c r="O492" s="1585"/>
      <c r="P492" s="1592"/>
    </row>
    <row r="493" spans="1:26" x14ac:dyDescent="0.2">
      <c r="A493" s="21"/>
      <c r="B493" s="21"/>
      <c r="C493" s="21"/>
      <c r="D493" s="21"/>
      <c r="E493" s="291" t="s">
        <v>1158</v>
      </c>
      <c r="F493" s="373"/>
      <c r="G493" s="373"/>
      <c r="H493" s="729"/>
      <c r="I493" s="373"/>
      <c r="J493" s="373"/>
      <c r="K493" s="21"/>
      <c r="L493" s="1260"/>
      <c r="M493" s="1593"/>
      <c r="N493" s="1594"/>
      <c r="O493" s="1594"/>
      <c r="P493" s="1594"/>
    </row>
    <row r="494" spans="1:26" x14ac:dyDescent="0.2">
      <c r="A494" s="21"/>
      <c r="B494" s="21"/>
      <c r="C494" s="21"/>
      <c r="D494" s="21"/>
      <c r="E494" s="291" t="s">
        <v>1159</v>
      </c>
      <c r="F494" s="373"/>
      <c r="G494" s="373"/>
      <c r="H494" s="729"/>
      <c r="I494" s="373"/>
      <c r="J494" s="373"/>
      <c r="K494" s="21"/>
      <c r="L494" s="1260"/>
      <c r="M494" s="1593"/>
      <c r="N494" s="1594"/>
      <c r="O494" s="1594"/>
      <c r="P494" s="1594"/>
    </row>
    <row r="495" spans="1:26" x14ac:dyDescent="0.2">
      <c r="A495" s="21"/>
      <c r="B495" s="21"/>
      <c r="C495" s="21"/>
      <c r="D495" s="21"/>
      <c r="E495" s="291" t="s">
        <v>1160</v>
      </c>
      <c r="F495" s="373"/>
      <c r="G495" s="373"/>
      <c r="H495" s="729"/>
      <c r="I495" s="373"/>
      <c r="J495" s="373"/>
      <c r="K495" s="21"/>
      <c r="L495" s="1260"/>
      <c r="M495" s="1593"/>
      <c r="N495" s="1594"/>
      <c r="O495" s="1594"/>
      <c r="P495" s="1594"/>
    </row>
    <row r="496" spans="1:26" x14ac:dyDescent="0.2">
      <c r="A496" s="21"/>
      <c r="B496" s="21"/>
      <c r="C496" s="21"/>
      <c r="D496" s="21"/>
      <c r="E496" s="291" t="s">
        <v>1161</v>
      </c>
      <c r="F496" s="373"/>
      <c r="G496" s="373"/>
      <c r="H496" s="729"/>
      <c r="I496" s="373"/>
      <c r="J496" s="373"/>
      <c r="K496" s="21"/>
      <c r="L496" s="1260"/>
      <c r="M496" s="1593"/>
      <c r="N496" s="1594"/>
      <c r="O496" s="1594"/>
      <c r="P496" s="1594"/>
    </row>
    <row r="497" spans="1:16" x14ac:dyDescent="0.2">
      <c r="A497" s="21"/>
      <c r="B497" s="21"/>
      <c r="C497" s="21"/>
      <c r="D497" s="21"/>
      <c r="E497" s="291" t="s">
        <v>1162</v>
      </c>
      <c r="F497" s="373"/>
      <c r="G497" s="373"/>
      <c r="H497" s="729"/>
      <c r="I497" s="373"/>
      <c r="J497" s="373"/>
      <c r="K497" s="21"/>
      <c r="L497" s="1260"/>
      <c r="M497" s="1593"/>
      <c r="N497" s="1594"/>
      <c r="O497" s="1594"/>
      <c r="P497" s="1594"/>
    </row>
    <row r="498" spans="1:16" ht="27" customHeight="1" x14ac:dyDescent="0.2">
      <c r="A498" s="75"/>
      <c r="B498" s="75"/>
      <c r="C498" s="75"/>
      <c r="D498" s="75"/>
      <c r="E498" s="679" t="s">
        <v>926</v>
      </c>
      <c r="F498" s="680"/>
      <c r="G498" s="680"/>
      <c r="H498" s="758">
        <f>SUM(H493:H497)</f>
        <v>0</v>
      </c>
      <c r="I498" s="680">
        <f>SUM(I493:I497)</f>
        <v>0</v>
      </c>
      <c r="J498" s="680">
        <f>SUM(J493:J497)</f>
        <v>0</v>
      </c>
      <c r="K498" s="680">
        <f>SUM(K493:K497)</f>
        <v>0</v>
      </c>
      <c r="L498" s="759">
        <f>SUM(L493:L497)</f>
        <v>0</v>
      </c>
      <c r="M498" s="1595"/>
      <c r="N498" s="1596"/>
      <c r="O498" s="1596"/>
      <c r="P498" s="1596"/>
    </row>
    <row r="499" spans="1:16" ht="15.75" x14ac:dyDescent="0.25">
      <c r="A499" s="21"/>
      <c r="B499" s="21"/>
      <c r="C499" s="21"/>
      <c r="D499" s="21"/>
      <c r="E499" s="303" t="s">
        <v>129</v>
      </c>
      <c r="F499" s="387"/>
      <c r="G499" s="387" t="s">
        <v>643</v>
      </c>
      <c r="H499" s="747" t="s">
        <v>643</v>
      </c>
      <c r="I499" s="387" t="s">
        <v>643</v>
      </c>
      <c r="J499" s="387" t="s">
        <v>643</v>
      </c>
      <c r="K499" s="387" t="s">
        <v>643</v>
      </c>
      <c r="L499" s="748" t="s">
        <v>643</v>
      </c>
      <c r="M499" s="1584"/>
      <c r="N499" s="1585"/>
      <c r="O499" s="1585"/>
      <c r="P499" s="1585"/>
    </row>
    <row r="500" spans="1:16" x14ac:dyDescent="0.2">
      <c r="A500" s="21"/>
      <c r="B500" s="21"/>
      <c r="C500" s="21"/>
      <c r="D500" s="21"/>
      <c r="E500" s="291" t="s">
        <v>1158</v>
      </c>
      <c r="F500" s="373"/>
      <c r="G500" s="373"/>
      <c r="H500" s="729"/>
      <c r="I500" s="373"/>
      <c r="J500" s="373"/>
      <c r="K500" s="21"/>
      <c r="L500" s="1260"/>
      <c r="M500" s="1593"/>
      <c r="N500" s="1594"/>
      <c r="O500" s="1594"/>
      <c r="P500" s="1594"/>
    </row>
    <row r="501" spans="1:16" x14ac:dyDescent="0.2">
      <c r="A501" s="21"/>
      <c r="B501" s="21"/>
      <c r="C501" s="21"/>
      <c r="D501" s="21"/>
      <c r="E501" s="291" t="s">
        <v>1159</v>
      </c>
      <c r="F501" s="373"/>
      <c r="G501" s="373"/>
      <c r="H501" s="729"/>
      <c r="I501" s="373"/>
      <c r="J501" s="373"/>
      <c r="K501" s="21"/>
      <c r="L501" s="1260"/>
      <c r="M501" s="1593"/>
      <c r="N501" s="1594"/>
      <c r="O501" s="1594"/>
      <c r="P501" s="1594"/>
    </row>
    <row r="502" spans="1:16" x14ac:dyDescent="0.2">
      <c r="A502" s="21"/>
      <c r="B502" s="21"/>
      <c r="C502" s="21"/>
      <c r="D502" s="21"/>
      <c r="E502" s="291" t="s">
        <v>1160</v>
      </c>
      <c r="F502" s="373"/>
      <c r="G502" s="373"/>
      <c r="H502" s="729"/>
      <c r="I502" s="373"/>
      <c r="J502" s="373"/>
      <c r="K502" s="21"/>
      <c r="L502" s="1260"/>
      <c r="M502" s="1593"/>
      <c r="N502" s="1594"/>
      <c r="O502" s="1594"/>
      <c r="P502" s="1594"/>
    </row>
    <row r="503" spans="1:16" x14ac:dyDescent="0.2">
      <c r="A503" s="21"/>
      <c r="B503" s="21"/>
      <c r="C503" s="21"/>
      <c r="D503" s="21"/>
      <c r="E503" s="291" t="s">
        <v>1161</v>
      </c>
      <c r="F503" s="373"/>
      <c r="G503" s="373"/>
      <c r="H503" s="729"/>
      <c r="I503" s="373"/>
      <c r="J503" s="373"/>
      <c r="K503" s="21"/>
      <c r="L503" s="1260"/>
      <c r="M503" s="1593"/>
      <c r="N503" s="1594"/>
      <c r="O503" s="1594"/>
      <c r="P503" s="1594"/>
    </row>
    <row r="504" spans="1:16" x14ac:dyDescent="0.2">
      <c r="A504" s="21"/>
      <c r="B504" s="21"/>
      <c r="C504" s="21"/>
      <c r="D504" s="21"/>
      <c r="E504" s="291" t="s">
        <v>1162</v>
      </c>
      <c r="F504" s="373"/>
      <c r="G504" s="373"/>
      <c r="H504" s="729"/>
      <c r="I504" s="373"/>
      <c r="J504" s="373"/>
      <c r="K504" s="21"/>
      <c r="L504" s="1260"/>
      <c r="M504" s="1593"/>
      <c r="N504" s="1594"/>
      <c r="O504" s="1594"/>
      <c r="P504" s="1594"/>
    </row>
    <row r="505" spans="1:16" ht="27" customHeight="1" x14ac:dyDescent="0.2">
      <c r="A505" s="75"/>
      <c r="B505" s="75"/>
      <c r="C505" s="75"/>
      <c r="D505" s="75"/>
      <c r="E505" s="679" t="s">
        <v>933</v>
      </c>
      <c r="F505" s="680"/>
      <c r="G505" s="680"/>
      <c r="H505" s="758">
        <f>SUM(H500:H504)</f>
        <v>0</v>
      </c>
      <c r="I505" s="680">
        <f>SUM(I500:I504)</f>
        <v>0</v>
      </c>
      <c r="J505" s="680">
        <f>SUM(J500:J504)</f>
        <v>0</v>
      </c>
      <c r="K505" s="680">
        <f>SUM(K500:K504)</f>
        <v>0</v>
      </c>
      <c r="L505" s="759">
        <f>SUM(L500:L504)</f>
        <v>0</v>
      </c>
      <c r="M505" s="1595"/>
      <c r="N505" s="1596"/>
      <c r="O505" s="1596"/>
      <c r="P505" s="1596"/>
    </row>
    <row r="506" spans="1:16" ht="15.75" x14ac:dyDescent="0.25">
      <c r="A506" s="21"/>
      <c r="B506" s="21"/>
      <c r="C506" s="21"/>
      <c r="D506" s="21"/>
      <c r="E506" s="303" t="s">
        <v>929</v>
      </c>
      <c r="F506" s="387"/>
      <c r="G506" s="387" t="s">
        <v>643</v>
      </c>
      <c r="H506" s="747" t="s">
        <v>643</v>
      </c>
      <c r="I506" s="387" t="s">
        <v>643</v>
      </c>
      <c r="J506" s="387" t="s">
        <v>643</v>
      </c>
      <c r="K506" s="387" t="s">
        <v>643</v>
      </c>
      <c r="L506" s="748" t="s">
        <v>643</v>
      </c>
      <c r="M506" s="1584"/>
      <c r="N506" s="1585"/>
      <c r="O506" s="1585"/>
      <c r="P506" s="1585"/>
    </row>
    <row r="507" spans="1:16" x14ac:dyDescent="0.2">
      <c r="A507" s="21"/>
      <c r="B507" s="21"/>
      <c r="C507" s="21"/>
      <c r="D507" s="21"/>
      <c r="E507" s="291" t="s">
        <v>1158</v>
      </c>
      <c r="F507" s="373"/>
      <c r="G507" s="373"/>
      <c r="H507" s="729"/>
      <c r="I507" s="373"/>
      <c r="J507" s="373"/>
      <c r="K507" s="21"/>
      <c r="L507" s="1260"/>
      <c r="M507" s="1593"/>
      <c r="N507" s="1594"/>
      <c r="O507" s="1594"/>
      <c r="P507" s="1594"/>
    </row>
    <row r="508" spans="1:16" x14ac:dyDescent="0.2">
      <c r="A508" s="21"/>
      <c r="B508" s="21"/>
      <c r="C508" s="21"/>
      <c r="D508" s="21"/>
      <c r="E508" s="291" t="s">
        <v>1159</v>
      </c>
      <c r="F508" s="373"/>
      <c r="G508" s="373"/>
      <c r="H508" s="729"/>
      <c r="I508" s="373"/>
      <c r="J508" s="373"/>
      <c r="K508" s="373"/>
      <c r="L508" s="730"/>
      <c r="M508" s="1569"/>
      <c r="N508" s="1570"/>
      <c r="O508" s="1570"/>
      <c r="P508" s="1570"/>
    </row>
    <row r="509" spans="1:16" x14ac:dyDescent="0.2">
      <c r="A509" s="21"/>
      <c r="B509" s="21"/>
      <c r="C509" s="21"/>
      <c r="D509" s="21"/>
      <c r="E509" s="291" t="s">
        <v>1160</v>
      </c>
      <c r="F509" s="373"/>
      <c r="G509" s="373"/>
      <c r="H509" s="729"/>
      <c r="I509" s="373"/>
      <c r="J509" s="373"/>
      <c r="K509" s="373"/>
      <c r="L509" s="730"/>
      <c r="M509" s="1569"/>
      <c r="N509" s="1570"/>
      <c r="O509" s="1570"/>
      <c r="P509" s="1570"/>
    </row>
    <row r="510" spans="1:16" x14ac:dyDescent="0.2">
      <c r="A510" s="21"/>
      <c r="B510" s="21"/>
      <c r="C510" s="21"/>
      <c r="D510" s="21"/>
      <c r="E510" s="291" t="s">
        <v>1161</v>
      </c>
      <c r="F510" s="373"/>
      <c r="G510" s="373"/>
      <c r="H510" s="729"/>
      <c r="I510" s="373"/>
      <c r="J510" s="373"/>
      <c r="K510" s="373"/>
      <c r="L510" s="730"/>
      <c r="M510" s="1569"/>
      <c r="N510" s="1570"/>
      <c r="O510" s="1570"/>
      <c r="P510" s="1570"/>
    </row>
    <row r="511" spans="1:16" x14ac:dyDescent="0.2">
      <c r="A511" s="21"/>
      <c r="B511" s="21"/>
      <c r="C511" s="21"/>
      <c r="D511" s="21"/>
      <c r="E511" s="291" t="s">
        <v>1162</v>
      </c>
      <c r="F511" s="373"/>
      <c r="G511" s="373"/>
      <c r="H511" s="729"/>
      <c r="I511" s="373"/>
      <c r="J511" s="373"/>
      <c r="K511" s="373"/>
      <c r="L511" s="730"/>
      <c r="M511" s="1569"/>
      <c r="N511" s="1570"/>
      <c r="O511" s="1570"/>
      <c r="P511" s="1570"/>
    </row>
    <row r="512" spans="1:16" ht="30.75" customHeight="1" x14ac:dyDescent="0.2">
      <c r="A512" s="75"/>
      <c r="B512" s="75"/>
      <c r="C512" s="75"/>
      <c r="D512" s="75"/>
      <c r="E512" s="679" t="s">
        <v>935</v>
      </c>
      <c r="F512" s="680">
        <f>SUM(F507:F511)</f>
        <v>0</v>
      </c>
      <c r="G512" s="680"/>
      <c r="H512" s="758">
        <f>SUM(H507:H511)</f>
        <v>0</v>
      </c>
      <c r="I512" s="680">
        <f>SUM(I507:I511)</f>
        <v>0</v>
      </c>
      <c r="J512" s="680">
        <f>SUM(J507:J511)</f>
        <v>0</v>
      </c>
      <c r="K512" s="680">
        <f>SUM(K507:K511)</f>
        <v>0</v>
      </c>
      <c r="L512" s="759">
        <f>SUM(L507:L511)</f>
        <v>0</v>
      </c>
      <c r="M512" s="1595"/>
      <c r="N512" s="1596"/>
      <c r="O512" s="1596"/>
      <c r="P512" s="1596"/>
    </row>
    <row r="513" spans="1:16" x14ac:dyDescent="0.2">
      <c r="A513" s="21"/>
      <c r="B513" s="21"/>
      <c r="C513" s="21"/>
      <c r="D513" s="21"/>
      <c r="E513" s="291"/>
      <c r="F513" s="387"/>
      <c r="G513" s="387"/>
      <c r="H513" s="747"/>
      <c r="I513" s="387"/>
      <c r="J513" s="387"/>
      <c r="K513" s="387"/>
      <c r="L513" s="748"/>
      <c r="M513" s="1584"/>
      <c r="N513" s="1585"/>
      <c r="O513" s="1585"/>
      <c r="P513" s="1585"/>
    </row>
    <row r="514" spans="1:16" ht="30" customHeight="1" x14ac:dyDescent="0.2">
      <c r="A514" s="318"/>
      <c r="B514" s="318"/>
      <c r="C514" s="318"/>
      <c r="D514" s="318"/>
      <c r="E514" s="676" t="s">
        <v>931</v>
      </c>
      <c r="F514" s="677"/>
      <c r="G514" s="682"/>
      <c r="H514" s="760">
        <f>H498+H505+H512</f>
        <v>0</v>
      </c>
      <c r="I514" s="677">
        <f>I498+I505+I512</f>
        <v>0</v>
      </c>
      <c r="J514" s="677">
        <f>J498+J505+J512</f>
        <v>0</v>
      </c>
      <c r="K514" s="677">
        <f>K498+K505+K512</f>
        <v>0</v>
      </c>
      <c r="L514" s="761">
        <f>L498+L505+L512</f>
        <v>0</v>
      </c>
      <c r="M514" s="1597"/>
      <c r="N514" s="1598"/>
      <c r="O514" s="1598"/>
      <c r="P514" s="1598"/>
    </row>
    <row r="515" spans="1:16" ht="15.75" thickBot="1" x14ac:dyDescent="0.25">
      <c r="A515" s="21"/>
      <c r="B515" s="21"/>
      <c r="C515" s="21"/>
      <c r="D515" s="21"/>
      <c r="E515" s="291"/>
      <c r="F515" s="387"/>
      <c r="G515" s="387"/>
      <c r="H515" s="762"/>
      <c r="I515" s="757"/>
      <c r="J515" s="757"/>
      <c r="K515" s="757"/>
      <c r="L515" s="763"/>
      <c r="M515" s="1584"/>
      <c r="N515" s="1585"/>
      <c r="O515" s="1585"/>
      <c r="P515" s="1585"/>
    </row>
    <row r="516" spans="1:16" ht="15.75" thickTop="1" x14ac:dyDescent="0.2">
      <c r="A516" s="21"/>
      <c r="B516" s="21"/>
      <c r="C516" s="21"/>
      <c r="D516" s="21"/>
      <c r="E516" s="291"/>
      <c r="F516" s="387"/>
      <c r="G516" s="387"/>
      <c r="H516" s="387"/>
      <c r="I516" s="387"/>
      <c r="J516" s="387"/>
      <c r="K516" s="387"/>
      <c r="L516" s="387"/>
      <c r="M516" s="387"/>
      <c r="N516" s="387"/>
      <c r="O516" s="387"/>
      <c r="P516" s="387"/>
    </row>
    <row r="517" spans="1:16" ht="18" x14ac:dyDescent="0.2">
      <c r="A517" s="21"/>
      <c r="B517" s="21"/>
      <c r="C517" s="21"/>
      <c r="D517" s="21"/>
      <c r="E517" s="291"/>
      <c r="F517" s="387"/>
      <c r="G517" s="387"/>
      <c r="H517" s="387"/>
      <c r="I517" s="387"/>
      <c r="J517" s="387"/>
      <c r="K517" s="387"/>
      <c r="L517" s="2047"/>
      <c r="M517" s="373"/>
      <c r="N517" s="373"/>
      <c r="O517" s="373"/>
      <c r="P517" s="373"/>
    </row>
    <row r="518" spans="1:16" ht="18.75" thickBot="1" x14ac:dyDescent="0.3">
      <c r="A518" s="21"/>
      <c r="B518" s="21"/>
      <c r="C518" s="21"/>
      <c r="D518" s="21"/>
      <c r="E518" s="324" t="s">
        <v>953</v>
      </c>
      <c r="F518" s="387" t="s">
        <v>348</v>
      </c>
      <c r="G518" s="387"/>
      <c r="H518" s="387"/>
      <c r="I518" s="387"/>
      <c r="J518" s="387"/>
      <c r="K518" s="387"/>
      <c r="L518" s="2046" t="s">
        <v>3379</v>
      </c>
      <c r="M518" s="1211"/>
      <c r="N518" s="1846"/>
      <c r="O518" s="1846"/>
      <c r="P518" s="1846"/>
    </row>
    <row r="519" spans="1:16" ht="15.75" thickTop="1" x14ac:dyDescent="0.2">
      <c r="A519" s="21"/>
      <c r="B519" s="21"/>
      <c r="C519" s="21"/>
      <c r="D519" s="21"/>
      <c r="E519" s="306" t="str">
        <f t="shared" ref="E519:P519" si="50">E7</f>
        <v>тыс. руб.</v>
      </c>
      <c r="F519" s="301">
        <f t="shared" si="50"/>
        <v>0</v>
      </c>
      <c r="G519" s="301">
        <f t="shared" si="50"/>
        <v>2016</v>
      </c>
      <c r="H519" s="726">
        <f t="shared" si="50"/>
        <v>2017</v>
      </c>
      <c r="I519" s="727">
        <f t="shared" si="50"/>
        <v>2018</v>
      </c>
      <c r="J519" s="727">
        <f t="shared" si="50"/>
        <v>2019</v>
      </c>
      <c r="K519" s="727">
        <f t="shared" si="50"/>
        <v>2020</v>
      </c>
      <c r="L519" s="1844">
        <f t="shared" si="50"/>
        <v>2021</v>
      </c>
      <c r="M519" s="1844">
        <f t="shared" si="50"/>
        <v>2022</v>
      </c>
      <c r="N519" s="1844">
        <f t="shared" si="50"/>
        <v>2023</v>
      </c>
      <c r="O519" s="1844">
        <f t="shared" si="50"/>
        <v>2024</v>
      </c>
      <c r="P519" s="1844">
        <f t="shared" si="50"/>
        <v>2025</v>
      </c>
    </row>
    <row r="520" spans="1:16" ht="15.75" x14ac:dyDescent="0.25">
      <c r="A520" s="21"/>
      <c r="B520" s="21"/>
      <c r="C520" s="21"/>
      <c r="D520" s="21"/>
      <c r="E520" s="303" t="s">
        <v>421</v>
      </c>
      <c r="F520" s="387"/>
      <c r="G520" s="2057" t="s">
        <v>643</v>
      </c>
      <c r="H520" s="747" t="s">
        <v>643</v>
      </c>
      <c r="I520" s="387" t="s">
        <v>643</v>
      </c>
      <c r="J520" s="387" t="s">
        <v>643</v>
      </c>
      <c r="K520" s="387" t="s">
        <v>643</v>
      </c>
      <c r="L520" s="1846" t="s">
        <v>643</v>
      </c>
      <c r="M520" s="1846"/>
      <c r="N520" s="1846"/>
      <c r="O520" s="1846"/>
      <c r="P520" s="2048"/>
    </row>
    <row r="521" spans="1:16" x14ac:dyDescent="0.2">
      <c r="A521" s="21"/>
      <c r="B521" s="21"/>
      <c r="C521" s="21"/>
      <c r="D521" s="21"/>
      <c r="E521" s="291" t="str">
        <f>E450</f>
        <v>Корпоративные кредиты</v>
      </c>
      <c r="F521" s="373"/>
      <c r="G521" s="2058">
        <v>6076369</v>
      </c>
      <c r="H521" s="387">
        <v>5546621</v>
      </c>
      <c r="I521" s="387">
        <v>15906452</v>
      </c>
      <c r="J521" s="387">
        <v>21581871</v>
      </c>
      <c r="K521" s="387">
        <v>11798125</v>
      </c>
      <c r="L521" s="1846"/>
      <c r="M521" s="1846"/>
      <c r="N521" s="1846"/>
      <c r="O521" s="1846"/>
      <c r="P521" s="2048"/>
    </row>
    <row r="522" spans="1:16" x14ac:dyDescent="0.2">
      <c r="A522" s="21"/>
      <c r="B522" s="21"/>
      <c r="C522" s="21"/>
      <c r="D522" s="21"/>
      <c r="E522" s="291" t="str">
        <f>E451</f>
        <v>Кредиты государственным и муниципальным органам</v>
      </c>
      <c r="F522" s="373"/>
      <c r="G522" s="2058">
        <v>333431</v>
      </c>
      <c r="H522" s="387">
        <v>286561</v>
      </c>
      <c r="I522" s="387">
        <v>170416</v>
      </c>
      <c r="J522" s="387">
        <v>288664</v>
      </c>
      <c r="K522" s="387">
        <v>232409</v>
      </c>
      <c r="L522" s="1846"/>
      <c r="M522" s="1846"/>
      <c r="N522" s="1846"/>
      <c r="O522" s="1846"/>
      <c r="P522" s="2048"/>
    </row>
    <row r="523" spans="1:16" x14ac:dyDescent="0.2">
      <c r="A523" s="21"/>
      <c r="B523" s="21"/>
      <c r="C523" s="21"/>
      <c r="D523" s="21"/>
      <c r="E523" s="291" t="str">
        <f>E452</f>
        <v>Кредиты малому и среднему бизнесу</v>
      </c>
      <c r="F523" s="373"/>
      <c r="G523" s="2059">
        <v>0</v>
      </c>
      <c r="H523" s="729">
        <v>0</v>
      </c>
      <c r="I523" s="373">
        <v>0</v>
      </c>
      <c r="J523" s="373">
        <v>0</v>
      </c>
      <c r="K523" s="373">
        <v>0</v>
      </c>
      <c r="L523" s="2049"/>
      <c r="M523" s="2049"/>
      <c r="N523" s="2049"/>
      <c r="O523" s="2049"/>
      <c r="P523" s="2050"/>
    </row>
    <row r="524" spans="1:16" x14ac:dyDescent="0.2">
      <c r="A524" s="21"/>
      <c r="B524" s="21"/>
      <c r="C524" s="21"/>
      <c r="D524" s="21"/>
      <c r="E524" s="291" t="str">
        <f>E455</f>
        <v>Требования по процентам, корректировка ссуд. зад-ти</v>
      </c>
      <c r="F524" s="373"/>
      <c r="G524" s="2059">
        <v>0</v>
      </c>
      <c r="H524" s="729">
        <v>0</v>
      </c>
      <c r="I524" s="373">
        <v>0</v>
      </c>
      <c r="J524" s="373">
        <v>0</v>
      </c>
      <c r="K524" s="373">
        <v>0</v>
      </c>
      <c r="L524" s="2049"/>
      <c r="M524" s="2049"/>
      <c r="N524" s="2049"/>
      <c r="O524" s="2049"/>
      <c r="P524" s="2050"/>
    </row>
    <row r="525" spans="1:16" s="681" customFormat="1" ht="32.25" customHeight="1" x14ac:dyDescent="0.25">
      <c r="A525" s="75"/>
      <c r="B525" s="75"/>
      <c r="C525" s="75"/>
      <c r="D525" s="75"/>
      <c r="E525" s="679" t="s">
        <v>954</v>
      </c>
      <c r="F525" s="680"/>
      <c r="G525" s="2060">
        <v>6409800</v>
      </c>
      <c r="H525" s="758">
        <v>5833182</v>
      </c>
      <c r="I525" s="680">
        <v>16076868</v>
      </c>
      <c r="J525" s="680">
        <v>21870535</v>
      </c>
      <c r="K525" s="680">
        <v>12030534</v>
      </c>
      <c r="L525" s="2051">
        <f>L539*L485</f>
        <v>17265403.0763987</v>
      </c>
      <c r="M525" s="2051">
        <f t="shared" ref="M525:O525" si="51">M539*M485</f>
        <v>19981623.973062322</v>
      </c>
      <c r="N525" s="2051">
        <f t="shared" si="51"/>
        <v>23562358.278415188</v>
      </c>
      <c r="O525" s="2051">
        <f t="shared" si="51"/>
        <v>17729532.704266381</v>
      </c>
      <c r="P525" s="2052"/>
    </row>
    <row r="526" spans="1:16" ht="15.75" x14ac:dyDescent="0.25">
      <c r="A526" s="21"/>
      <c r="B526" s="21"/>
      <c r="C526" s="21"/>
      <c r="D526" s="21"/>
      <c r="E526" s="303" t="s">
        <v>129</v>
      </c>
      <c r="F526" s="387"/>
      <c r="G526" s="2057" t="s">
        <v>643</v>
      </c>
      <c r="H526" s="747" t="s">
        <v>643</v>
      </c>
      <c r="I526" s="387" t="s">
        <v>643</v>
      </c>
      <c r="J526" s="387" t="s">
        <v>643</v>
      </c>
      <c r="K526" s="387" t="s">
        <v>643</v>
      </c>
      <c r="L526" s="1846"/>
      <c r="M526" s="1846"/>
      <c r="N526" s="1846"/>
      <c r="O526" s="1846"/>
      <c r="P526" s="2048"/>
    </row>
    <row r="527" spans="1:16" x14ac:dyDescent="0.2">
      <c r="A527" s="21"/>
      <c r="B527" s="21"/>
      <c r="C527" s="21"/>
      <c r="D527" s="21"/>
      <c r="E527" s="291" t="str">
        <f>E461</f>
        <v>Жилищные (кроме ипотечных)</v>
      </c>
      <c r="F527" s="373"/>
      <c r="G527" s="2059">
        <v>0</v>
      </c>
      <c r="H527" s="729">
        <v>0</v>
      </c>
      <c r="I527" s="373">
        <v>0</v>
      </c>
      <c r="J527" s="373">
        <v>0</v>
      </c>
      <c r="K527" s="373">
        <v>0</v>
      </c>
      <c r="L527" s="2049"/>
      <c r="M527" s="2049"/>
      <c r="N527" s="2049"/>
      <c r="O527" s="2049"/>
      <c r="P527" s="2050"/>
    </row>
    <row r="528" spans="1:16" x14ac:dyDescent="0.2">
      <c r="A528" s="21"/>
      <c r="B528" s="21"/>
      <c r="C528" s="21"/>
      <c r="D528" s="21"/>
      <c r="E528" s="291" t="str">
        <f>E462</f>
        <v>Ипотечные</v>
      </c>
      <c r="F528" s="373"/>
      <c r="G528" s="2059">
        <v>0</v>
      </c>
      <c r="H528" s="729">
        <v>0</v>
      </c>
      <c r="I528" s="373">
        <v>0</v>
      </c>
      <c r="J528" s="373">
        <v>0</v>
      </c>
      <c r="K528" s="373">
        <v>0</v>
      </c>
      <c r="L528" s="2049"/>
      <c r="M528" s="2049"/>
      <c r="N528" s="2049"/>
      <c r="O528" s="2049"/>
      <c r="P528" s="2050"/>
    </row>
    <row r="529" spans="1:16" x14ac:dyDescent="0.2">
      <c r="A529" s="21"/>
      <c r="B529" s="21"/>
      <c r="C529" s="21"/>
      <c r="D529" s="21"/>
      <c r="E529" s="291" t="str">
        <f>E463</f>
        <v>Автокредиты</v>
      </c>
      <c r="F529" s="373"/>
      <c r="G529" s="2059">
        <v>0</v>
      </c>
      <c r="H529" s="729">
        <v>0</v>
      </c>
      <c r="I529" s="373">
        <v>0</v>
      </c>
      <c r="J529" s="373">
        <v>0</v>
      </c>
      <c r="K529" s="373">
        <v>0</v>
      </c>
      <c r="L529" s="2049"/>
      <c r="M529" s="2049"/>
      <c r="N529" s="2049"/>
      <c r="O529" s="2049"/>
      <c r="P529" s="2050"/>
    </row>
    <row r="530" spans="1:16" x14ac:dyDescent="0.2">
      <c r="A530" s="21"/>
      <c r="B530" s="21"/>
      <c r="C530" s="21"/>
      <c r="D530" s="21"/>
      <c r="E530" s="291" t="str">
        <f>E464</f>
        <v>Потребительские ссуды</v>
      </c>
      <c r="F530" s="373"/>
      <c r="G530" s="2059">
        <v>9198841</v>
      </c>
      <c r="H530" s="387">
        <v>7312511</v>
      </c>
      <c r="I530" s="387">
        <v>6893013</v>
      </c>
      <c r="J530" s="387">
        <v>11184912</v>
      </c>
      <c r="K530" s="387">
        <v>10829312</v>
      </c>
      <c r="L530" s="1846"/>
      <c r="M530" s="1846"/>
      <c r="N530" s="1846"/>
      <c r="O530" s="1846"/>
      <c r="P530" s="2048"/>
    </row>
    <row r="531" spans="1:16" x14ac:dyDescent="0.2">
      <c r="A531" s="21"/>
      <c r="B531" s="21"/>
      <c r="C531" s="21"/>
      <c r="D531" s="21"/>
      <c r="E531" s="291"/>
      <c r="F531" s="373"/>
      <c r="G531" s="2059"/>
      <c r="H531" s="729"/>
      <c r="I531" s="373"/>
      <c r="J531" s="373"/>
      <c r="K531" s="373"/>
      <c r="L531" s="2049"/>
      <c r="M531" s="2049"/>
      <c r="N531" s="2049"/>
      <c r="O531" s="2049"/>
      <c r="P531" s="2050"/>
    </row>
    <row r="532" spans="1:16" s="681" customFormat="1" ht="32.25" customHeight="1" x14ac:dyDescent="0.25">
      <c r="A532" s="75"/>
      <c r="B532" s="75"/>
      <c r="C532" s="75"/>
      <c r="D532" s="75"/>
      <c r="E532" s="679" t="s">
        <v>955</v>
      </c>
      <c r="F532" s="680"/>
      <c r="G532" s="2060">
        <v>9198841</v>
      </c>
      <c r="H532" s="758">
        <v>7312511</v>
      </c>
      <c r="I532" s="680">
        <v>6893013</v>
      </c>
      <c r="J532" s="680">
        <v>11184912</v>
      </c>
      <c r="K532" s="680">
        <v>10829312</v>
      </c>
      <c r="L532" s="2051">
        <f>L539-L525</f>
        <v>2878066.9236012995</v>
      </c>
      <c r="M532" s="2051">
        <f t="shared" ref="M532:O532" si="52">M539-M525</f>
        <v>3330849.0269376785</v>
      </c>
      <c r="N532" s="2051">
        <f t="shared" si="52"/>
        <v>3927741.7215848118</v>
      </c>
      <c r="O532" s="2051">
        <f t="shared" si="52"/>
        <v>2955435.2957336195</v>
      </c>
      <c r="P532" s="2052"/>
    </row>
    <row r="533" spans="1:16" ht="15.75" x14ac:dyDescent="0.25">
      <c r="A533" s="21"/>
      <c r="B533" s="21"/>
      <c r="C533" s="21"/>
      <c r="D533" s="21"/>
      <c r="E533" s="303" t="s">
        <v>929</v>
      </c>
      <c r="F533" s="387"/>
      <c r="G533" s="2057" t="s">
        <v>643</v>
      </c>
      <c r="H533" s="747" t="s">
        <v>643</v>
      </c>
      <c r="I533" s="387" t="s">
        <v>643</v>
      </c>
      <c r="J533" s="387" t="s">
        <v>643</v>
      </c>
      <c r="K533" s="387" t="s">
        <v>643</v>
      </c>
      <c r="L533" s="1846"/>
      <c r="M533" s="1846"/>
      <c r="N533" s="1846"/>
      <c r="O533" s="1846"/>
      <c r="P533" s="2048"/>
    </row>
    <row r="534" spans="1:16" x14ac:dyDescent="0.2">
      <c r="A534" s="21"/>
      <c r="B534" s="21"/>
      <c r="C534" s="21"/>
      <c r="D534" s="21"/>
      <c r="E534" s="291" t="str">
        <f>E471</f>
        <v>Депозиты в Банке россии</v>
      </c>
      <c r="F534" s="373"/>
      <c r="G534" s="2059"/>
      <c r="H534" s="729">
        <v>0</v>
      </c>
      <c r="I534" s="373"/>
      <c r="J534" s="373"/>
      <c r="K534" s="373">
        <v>0</v>
      </c>
      <c r="L534" s="2049"/>
      <c r="M534" s="2049"/>
      <c r="N534" s="2049"/>
      <c r="O534" s="2049"/>
      <c r="P534" s="2050"/>
    </row>
    <row r="535" spans="1:16" x14ac:dyDescent="0.2">
      <c r="A535" s="21"/>
      <c r="B535" s="21"/>
      <c r="C535" s="21"/>
      <c r="D535" s="21"/>
      <c r="E535" s="291" t="str">
        <f>E472</f>
        <v>Кредиты и депозиты другим кредитным организациям</v>
      </c>
      <c r="F535" s="373"/>
      <c r="G535" s="2059"/>
      <c r="H535" s="729"/>
      <c r="I535" s="373"/>
      <c r="J535" s="373"/>
      <c r="K535" s="373"/>
      <c r="L535" s="2049"/>
      <c r="M535" s="2049"/>
      <c r="N535" s="2049"/>
      <c r="O535" s="2049"/>
      <c r="P535" s="2050"/>
    </row>
    <row r="536" spans="1:16" x14ac:dyDescent="0.2">
      <c r="A536" s="21"/>
      <c r="B536" s="21"/>
      <c r="C536" s="21"/>
      <c r="D536" s="21"/>
      <c r="E536" s="291" t="str">
        <f>E473</f>
        <v>Прочая ссудная задолженность</v>
      </c>
      <c r="F536" s="373"/>
      <c r="G536" s="2059"/>
      <c r="H536" s="729"/>
      <c r="I536" s="373"/>
      <c r="J536" s="373"/>
      <c r="K536" s="373"/>
      <c r="L536" s="2049"/>
      <c r="M536" s="2049"/>
      <c r="N536" s="2049"/>
      <c r="O536" s="2049"/>
      <c r="P536" s="2050"/>
    </row>
    <row r="537" spans="1:16" s="681" customFormat="1" ht="32.25" customHeight="1" x14ac:dyDescent="0.25">
      <c r="A537" s="75"/>
      <c r="B537" s="75"/>
      <c r="C537" s="75"/>
      <c r="D537" s="75"/>
      <c r="E537" s="679" t="s">
        <v>956</v>
      </c>
      <c r="F537" s="680">
        <f t="shared" ref="F537" si="53">SUM(F534:F536)</f>
        <v>0</v>
      </c>
      <c r="G537" s="2060">
        <v>0</v>
      </c>
      <c r="H537" s="758">
        <v>0</v>
      </c>
      <c r="I537" s="680">
        <v>0</v>
      </c>
      <c r="J537" s="680">
        <v>0</v>
      </c>
      <c r="K537" s="680">
        <v>0</v>
      </c>
      <c r="L537" s="2051"/>
      <c r="M537" s="2051"/>
      <c r="N537" s="2051"/>
      <c r="O537" s="2051"/>
      <c r="P537" s="2052"/>
    </row>
    <row r="538" spans="1:16" x14ac:dyDescent="0.2">
      <c r="A538" s="21"/>
      <c r="B538" s="21"/>
      <c r="C538" s="21"/>
      <c r="D538" s="21"/>
      <c r="E538" s="291"/>
      <c r="F538" s="387"/>
      <c r="G538" s="2057"/>
      <c r="H538" s="747"/>
      <c r="I538" s="387"/>
      <c r="J538" s="387"/>
      <c r="K538" s="387"/>
      <c r="L538" s="1846"/>
      <c r="M538" s="1846"/>
      <c r="N538" s="1846"/>
      <c r="O538" s="1846"/>
      <c r="P538" s="2048"/>
    </row>
    <row r="539" spans="1:16" s="319" customFormat="1" ht="27.75" customHeight="1" x14ac:dyDescent="0.25">
      <c r="A539" s="318"/>
      <c r="B539" s="318"/>
      <c r="C539" s="318"/>
      <c r="D539" s="318"/>
      <c r="E539" s="676" t="s">
        <v>957</v>
      </c>
      <c r="F539" s="677"/>
      <c r="G539" s="2061">
        <f>G525+G532+G537</f>
        <v>15608641</v>
      </c>
      <c r="H539" s="760">
        <f>H525+H532+H537</f>
        <v>13145693</v>
      </c>
      <c r="I539" s="677">
        <f>I525+I532+I537</f>
        <v>22969881</v>
      </c>
      <c r="J539" s="677">
        <f>J525+J532+J537</f>
        <v>33055447</v>
      </c>
      <c r="K539" s="677">
        <f>K525+K532+K537</f>
        <v>22859846</v>
      </c>
      <c r="L539" s="2053">
        <v>20143470</v>
      </c>
      <c r="M539" s="2053">
        <v>23312473</v>
      </c>
      <c r="N539" s="2053">
        <v>27490100</v>
      </c>
      <c r="O539" s="2053">
        <v>20684968</v>
      </c>
      <c r="P539" s="2054"/>
    </row>
    <row r="540" spans="1:16" ht="15.75" thickBot="1" x14ac:dyDescent="0.25">
      <c r="A540" s="21"/>
      <c r="B540" s="21"/>
      <c r="C540" s="21"/>
      <c r="D540" s="21"/>
      <c r="E540" s="291"/>
      <c r="F540" s="387"/>
      <c r="G540" s="387"/>
      <c r="H540" s="762"/>
      <c r="I540" s="757"/>
      <c r="J540" s="757"/>
      <c r="K540" s="757"/>
      <c r="L540" s="757"/>
      <c r="M540" s="757"/>
      <c r="N540" s="757"/>
      <c r="O540" s="757"/>
      <c r="P540" s="763"/>
    </row>
    <row r="541" spans="1:16" ht="15.75" thickTop="1" x14ac:dyDescent="0.2">
      <c r="A541" s="21"/>
      <c r="B541" s="21"/>
      <c r="C541" s="21"/>
      <c r="D541" s="21"/>
      <c r="E541" s="291"/>
      <c r="F541" s="387"/>
      <c r="G541" s="387"/>
      <c r="H541" s="387"/>
      <c r="I541" s="387"/>
      <c r="J541" s="387"/>
      <c r="K541" s="387"/>
      <c r="L541" s="387"/>
      <c r="M541" s="387"/>
      <c r="N541" s="387"/>
      <c r="O541" s="387"/>
      <c r="P541" s="387"/>
    </row>
    <row r="542" spans="1:16" ht="16.5" thickBot="1" x14ac:dyDescent="0.3">
      <c r="A542" s="21"/>
      <c r="B542" s="21"/>
      <c r="C542" s="21"/>
      <c r="D542" s="21"/>
      <c r="E542" s="324" t="s">
        <v>958</v>
      </c>
      <c r="F542" s="387" t="s">
        <v>348</v>
      </c>
      <c r="G542" s="387"/>
      <c r="H542" s="387"/>
      <c r="I542" s="387"/>
      <c r="J542" s="387"/>
      <c r="K542" s="387"/>
      <c r="L542" s="387"/>
      <c r="M542" s="387"/>
      <c r="N542" s="387"/>
      <c r="O542" s="387"/>
      <c r="P542" s="387"/>
    </row>
    <row r="543" spans="1:16" ht="15.75" thickTop="1" x14ac:dyDescent="0.2">
      <c r="A543" s="21"/>
      <c r="B543" s="21"/>
      <c r="C543" s="21"/>
      <c r="D543" s="21"/>
      <c r="E543" s="306" t="str">
        <f t="shared" ref="E543:P543" si="54">E7</f>
        <v>тыс. руб.</v>
      </c>
      <c r="F543" s="301">
        <f t="shared" si="54"/>
        <v>0</v>
      </c>
      <c r="G543" s="301">
        <f t="shared" si="54"/>
        <v>2016</v>
      </c>
      <c r="H543" s="726">
        <f t="shared" si="54"/>
        <v>2017</v>
      </c>
      <c r="I543" s="727">
        <f t="shared" si="54"/>
        <v>2018</v>
      </c>
      <c r="J543" s="727">
        <f t="shared" si="54"/>
        <v>2019</v>
      </c>
      <c r="K543" s="728">
        <f t="shared" si="54"/>
        <v>2020</v>
      </c>
      <c r="L543" s="767">
        <f t="shared" si="54"/>
        <v>2021</v>
      </c>
      <c r="M543" s="301">
        <f t="shared" si="54"/>
        <v>2022</v>
      </c>
      <c r="N543" s="301">
        <f t="shared" si="54"/>
        <v>2023</v>
      </c>
      <c r="O543" s="301">
        <f t="shared" si="54"/>
        <v>2024</v>
      </c>
      <c r="P543" s="301">
        <f t="shared" si="54"/>
        <v>2025</v>
      </c>
    </row>
    <row r="544" spans="1:16" x14ac:dyDescent="0.2">
      <c r="A544" s="21"/>
      <c r="B544" s="21"/>
      <c r="C544" s="21"/>
      <c r="D544" s="21"/>
      <c r="E544" s="291" t="s">
        <v>421</v>
      </c>
      <c r="F544" s="387"/>
      <c r="G544" s="2062">
        <v>4348524</v>
      </c>
      <c r="H544" s="1599">
        <v>4413607</v>
      </c>
      <c r="I544" s="1600">
        <v>10509776</v>
      </c>
      <c r="J544" s="1600">
        <v>15206952</v>
      </c>
      <c r="K544" s="2138">
        <v>11064542</v>
      </c>
      <c r="L544" s="2139">
        <f>L525*L550</f>
        <v>13056916.266886776</v>
      </c>
      <c r="M544" s="2140">
        <f t="shared" ref="M544:P544" si="55">M525*M550</f>
        <v>15111051.270464266</v>
      </c>
      <c r="N544" s="2140">
        <f t="shared" si="55"/>
        <v>17818972.295654334</v>
      </c>
      <c r="O544" s="2140">
        <f t="shared" si="55"/>
        <v>13407913.093386218</v>
      </c>
      <c r="P544" s="2140">
        <f t="shared" si="55"/>
        <v>0</v>
      </c>
    </row>
    <row r="545" spans="1:16" x14ac:dyDescent="0.2">
      <c r="A545" s="21"/>
      <c r="B545" s="21"/>
      <c r="C545" s="21"/>
      <c r="D545" s="21"/>
      <c r="E545" s="291" t="s">
        <v>129</v>
      </c>
      <c r="F545" s="373"/>
      <c r="G545" s="2063">
        <v>8462166</v>
      </c>
      <c r="H545" s="1601">
        <v>6739828</v>
      </c>
      <c r="I545" s="1600">
        <v>5947459</v>
      </c>
      <c r="J545" s="1600">
        <v>6353979</v>
      </c>
      <c r="K545" s="2138">
        <v>6442580</v>
      </c>
      <c r="L545" s="2139">
        <f>L532*L551</f>
        <v>1943491.1075412598</v>
      </c>
      <c r="M545" s="2140">
        <f t="shared" ref="M545:P545" si="56">M532*M551</f>
        <v>2249244.2449238235</v>
      </c>
      <c r="N545" s="2140">
        <f t="shared" si="56"/>
        <v>2652311.885460645</v>
      </c>
      <c r="O545" s="2140">
        <f t="shared" si="56"/>
        <v>1995736.1550803063</v>
      </c>
      <c r="P545" s="2140">
        <f t="shared" si="56"/>
        <v>0</v>
      </c>
    </row>
    <row r="546" spans="1:16" x14ac:dyDescent="0.2">
      <c r="A546" s="21"/>
      <c r="B546" s="21"/>
      <c r="C546" s="21"/>
      <c r="D546" s="21"/>
      <c r="E546" s="291" t="s">
        <v>929</v>
      </c>
      <c r="F546" s="373"/>
      <c r="G546" s="2063">
        <v>0</v>
      </c>
      <c r="H546" s="1488">
        <v>0</v>
      </c>
      <c r="I546" s="1489">
        <v>0</v>
      </c>
      <c r="J546" s="1489">
        <v>0</v>
      </c>
      <c r="K546" s="2141">
        <v>0</v>
      </c>
      <c r="L546" s="2142"/>
      <c r="M546" s="2143"/>
      <c r="N546" s="2143"/>
      <c r="O546" s="2143"/>
      <c r="P546" s="2143"/>
    </row>
    <row r="547" spans="1:16" s="319" customFormat="1" ht="27.75" customHeight="1" x14ac:dyDescent="0.25">
      <c r="A547" s="318"/>
      <c r="B547" s="318"/>
      <c r="C547" s="318"/>
      <c r="D547" s="318"/>
      <c r="E547" s="676" t="s">
        <v>959</v>
      </c>
      <c r="F547" s="677">
        <f t="shared" ref="F547" si="57">SUM(F544:F546)</f>
        <v>0</v>
      </c>
      <c r="G547" s="2064">
        <v>12810690</v>
      </c>
      <c r="H547" s="1603">
        <v>11153435</v>
      </c>
      <c r="I547" s="1602">
        <v>16457235</v>
      </c>
      <c r="J547" s="1602">
        <v>21560931</v>
      </c>
      <c r="K547" s="2144">
        <v>17507122</v>
      </c>
      <c r="L547" s="2145">
        <f>SUM(L544:L545)</f>
        <v>15000407.374428036</v>
      </c>
      <c r="M547" s="2146">
        <f t="shared" ref="M547:P547" si="58">SUM(M544:M545)</f>
        <v>17360295.51538809</v>
      </c>
      <c r="N547" s="2146">
        <f t="shared" si="58"/>
        <v>20471284.181114979</v>
      </c>
      <c r="O547" s="2146">
        <f t="shared" si="58"/>
        <v>15403649.248466525</v>
      </c>
      <c r="P547" s="2146">
        <f t="shared" si="58"/>
        <v>0</v>
      </c>
    </row>
    <row r="548" spans="1:16" ht="15.75" thickBot="1" x14ac:dyDescent="0.25">
      <c r="A548" s="21"/>
      <c r="B548" s="21"/>
      <c r="C548" s="21"/>
      <c r="D548" s="21"/>
      <c r="E548" s="291"/>
      <c r="F548" s="387"/>
      <c r="G548" s="387"/>
      <c r="H548" s="762"/>
      <c r="I548" s="757"/>
      <c r="J548" s="757"/>
      <c r="K548" s="763"/>
      <c r="L548" s="747"/>
      <c r="M548" s="387"/>
      <c r="N548" s="387"/>
      <c r="O548" s="387"/>
      <c r="P548" s="387"/>
    </row>
    <row r="549" spans="1:16" ht="15.75" thickTop="1" x14ac:dyDescent="0.2">
      <c r="A549" s="21"/>
      <c r="B549" s="21"/>
      <c r="C549" s="21"/>
      <c r="D549" s="21"/>
      <c r="E549" s="291"/>
      <c r="F549" s="387"/>
      <c r="G549" s="387" t="s">
        <v>3450</v>
      </c>
      <c r="H549" s="387"/>
      <c r="I549" s="387"/>
      <c r="J549" s="387"/>
      <c r="K549" s="387"/>
      <c r="L549" s="387"/>
      <c r="M549" s="422"/>
      <c r="N549" s="422"/>
      <c r="O549" s="422"/>
      <c r="P549" s="422"/>
    </row>
    <row r="550" spans="1:16" ht="15.75" x14ac:dyDescent="0.25">
      <c r="A550" s="21"/>
      <c r="B550" s="21"/>
      <c r="C550" s="21"/>
      <c r="D550" s="21"/>
      <c r="E550" s="291"/>
      <c r="F550" s="387"/>
      <c r="G550" s="387" t="s">
        <v>3451</v>
      </c>
      <c r="H550" s="422">
        <f>H544/H525</f>
        <v>0.75663797220796469</v>
      </c>
      <c r="I550" s="422">
        <f t="shared" ref="I550:K550" si="59">I544/I525</f>
        <v>0.65372036394153388</v>
      </c>
      <c r="J550" s="422">
        <f t="shared" si="59"/>
        <v>0.69531687267824038</v>
      </c>
      <c r="K550" s="422">
        <f t="shared" si="59"/>
        <v>0.91970497735179502</v>
      </c>
      <c r="L550" s="2137">
        <f>AVERAGE(I550:K550)</f>
        <v>0.75624740465718976</v>
      </c>
      <c r="M550" s="422">
        <f>$L$550</f>
        <v>0.75624740465718976</v>
      </c>
      <c r="N550" s="422">
        <f t="shared" ref="N550:P550" si="60">$L$550</f>
        <v>0.75624740465718976</v>
      </c>
      <c r="O550" s="422">
        <f t="shared" si="60"/>
        <v>0.75624740465718976</v>
      </c>
      <c r="P550" s="422">
        <f t="shared" si="60"/>
        <v>0.75624740465718976</v>
      </c>
    </row>
    <row r="551" spans="1:16" ht="15.75" x14ac:dyDescent="0.25">
      <c r="A551" s="21"/>
      <c r="B551" s="21"/>
      <c r="C551" s="21"/>
      <c r="D551" s="21"/>
      <c r="E551" s="291"/>
      <c r="F551" s="387"/>
      <c r="G551" s="387" t="s">
        <v>3452</v>
      </c>
      <c r="H551" s="422">
        <f>H545/H532</f>
        <v>0.9216844938763169</v>
      </c>
      <c r="I551" s="422">
        <f t="shared" ref="I551:K551" si="61">I545/I532</f>
        <v>0.86282428308201364</v>
      </c>
      <c r="J551" s="422">
        <f t="shared" si="61"/>
        <v>0.56808484501263845</v>
      </c>
      <c r="K551" s="422">
        <f t="shared" si="61"/>
        <v>0.59492052680724317</v>
      </c>
      <c r="L551" s="2137">
        <f t="shared" ref="L551:L552" si="62">AVERAGE(I551:K551)</f>
        <v>0.67527655163396505</v>
      </c>
      <c r="M551" s="422">
        <f>$L$551</f>
        <v>0.67527655163396505</v>
      </c>
      <c r="N551" s="422">
        <f t="shared" ref="N551:P551" si="63">$L$551</f>
        <v>0.67527655163396505</v>
      </c>
      <c r="O551" s="422">
        <f t="shared" si="63"/>
        <v>0.67527655163396505</v>
      </c>
      <c r="P551" s="422">
        <f t="shared" si="63"/>
        <v>0.67527655163396505</v>
      </c>
    </row>
    <row r="552" spans="1:16" ht="15.75" x14ac:dyDescent="0.25">
      <c r="A552" s="21"/>
      <c r="B552" s="21"/>
      <c r="C552" s="21"/>
      <c r="D552" s="21"/>
      <c r="E552" s="291"/>
      <c r="F552" s="387"/>
      <c r="G552" s="387" t="s">
        <v>18</v>
      </c>
      <c r="H552" s="422">
        <f>H547/H539</f>
        <v>0.84844785284427382</v>
      </c>
      <c r="I552" s="422">
        <f t="shared" ref="I552:K552" si="64">I547/I539</f>
        <v>0.71647018981073518</v>
      </c>
      <c r="J552" s="422">
        <f t="shared" si="64"/>
        <v>0.65226560088568764</v>
      </c>
      <c r="K552" s="422">
        <f t="shared" si="64"/>
        <v>0.76584601663545759</v>
      </c>
      <c r="L552" s="2137">
        <f t="shared" si="62"/>
        <v>0.7115272691106268</v>
      </c>
      <c r="M552" s="422">
        <f>$L$552</f>
        <v>0.7115272691106268</v>
      </c>
      <c r="N552" s="422">
        <f t="shared" ref="N552:P552" si="65">$L$552</f>
        <v>0.7115272691106268</v>
      </c>
      <c r="O552" s="422">
        <f t="shared" si="65"/>
        <v>0.7115272691106268</v>
      </c>
      <c r="P552" s="422">
        <f t="shared" si="65"/>
        <v>0.7115272691106268</v>
      </c>
    </row>
    <row r="553" spans="1:16" x14ac:dyDescent="0.2">
      <c r="A553" s="21"/>
      <c r="B553" s="21"/>
      <c r="C553" s="21"/>
      <c r="D553" s="21"/>
      <c r="E553" s="291"/>
      <c r="F553" s="387"/>
      <c r="G553" s="387"/>
      <c r="H553" s="387"/>
      <c r="I553" s="387"/>
      <c r="J553" s="387"/>
      <c r="K553" s="387"/>
      <c r="L553" s="387"/>
      <c r="M553" s="387"/>
      <c r="N553" s="387"/>
      <c r="O553" s="387"/>
      <c r="P553" s="387"/>
    </row>
    <row r="554" spans="1:16" x14ac:dyDescent="0.2">
      <c r="A554" s="21"/>
      <c r="B554" s="21"/>
      <c r="C554" s="21"/>
      <c r="D554" s="21"/>
      <c r="E554" s="291"/>
      <c r="F554" s="387"/>
      <c r="G554" s="387"/>
      <c r="H554" s="387"/>
      <c r="I554" s="387"/>
      <c r="J554" s="387"/>
      <c r="K554" s="387"/>
      <c r="L554" s="387"/>
      <c r="M554" s="387"/>
      <c r="N554" s="387"/>
      <c r="O554" s="387"/>
      <c r="P554" s="387"/>
    </row>
    <row r="555" spans="1:16" x14ac:dyDescent="0.2">
      <c r="A555" s="21"/>
      <c r="B555" s="21"/>
      <c r="C555" s="21"/>
      <c r="D555" s="21"/>
      <c r="E555" s="291"/>
      <c r="F555" s="387"/>
      <c r="G555" s="387"/>
      <c r="H555" s="387"/>
      <c r="I555" s="387"/>
      <c r="J555" s="387"/>
      <c r="K555" s="387"/>
      <c r="L555" s="387"/>
      <c r="M555" s="387"/>
      <c r="N555" s="387"/>
      <c r="O555" s="387"/>
      <c r="P555" s="387"/>
    </row>
    <row r="556" spans="1:16" ht="32.25" thickBot="1" x14ac:dyDescent="0.3">
      <c r="A556" s="21"/>
      <c r="B556" s="21"/>
      <c r="C556" s="21"/>
      <c r="D556" s="21"/>
      <c r="E556" s="324" t="s">
        <v>936</v>
      </c>
      <c r="F556" s="387" t="s">
        <v>348</v>
      </c>
      <c r="G556" s="387"/>
      <c r="H556" s="387"/>
      <c r="I556" s="387"/>
      <c r="J556" s="387"/>
      <c r="K556" s="387"/>
      <c r="L556" s="2181" t="s">
        <v>328</v>
      </c>
      <c r="M556" s="2164">
        <f>ROUNDDOWN(M456/L456,2)</f>
        <v>1.24</v>
      </c>
      <c r="N556" s="2181" t="s">
        <v>328</v>
      </c>
      <c r="O556" s="2181" t="s">
        <v>328</v>
      </c>
      <c r="P556" s="387"/>
    </row>
    <row r="557" spans="1:16" ht="15.75" thickTop="1" x14ac:dyDescent="0.2">
      <c r="A557" s="21"/>
      <c r="B557" s="21"/>
      <c r="C557" s="21"/>
      <c r="D557" s="21"/>
      <c r="E557" s="764" t="str">
        <f t="shared" ref="E557:P557" si="66">E7</f>
        <v>тыс. руб.</v>
      </c>
      <c r="F557" s="301">
        <f t="shared" si="66"/>
        <v>0</v>
      </c>
      <c r="G557" s="301">
        <f t="shared" si="66"/>
        <v>2016</v>
      </c>
      <c r="H557" s="726">
        <f t="shared" si="66"/>
        <v>2017</v>
      </c>
      <c r="I557" s="727">
        <f t="shared" si="66"/>
        <v>2018</v>
      </c>
      <c r="J557" s="727">
        <f t="shared" si="66"/>
        <v>2019</v>
      </c>
      <c r="K557" s="727">
        <f t="shared" si="66"/>
        <v>2020</v>
      </c>
      <c r="L557" s="727">
        <f t="shared" si="66"/>
        <v>2021</v>
      </c>
      <c r="M557" s="727">
        <f t="shared" si="66"/>
        <v>2022</v>
      </c>
      <c r="N557" s="727">
        <f t="shared" si="66"/>
        <v>2023</v>
      </c>
      <c r="O557" s="727">
        <f t="shared" si="66"/>
        <v>2024</v>
      </c>
      <c r="P557" s="728">
        <f t="shared" si="66"/>
        <v>2025</v>
      </c>
    </row>
    <row r="558" spans="1:16" x14ac:dyDescent="0.2">
      <c r="A558" s="21"/>
      <c r="B558" s="21"/>
      <c r="C558" s="21"/>
      <c r="D558" s="21"/>
      <c r="E558" s="1285" t="s">
        <v>2564</v>
      </c>
      <c r="F558" s="373"/>
      <c r="G558" s="2065">
        <v>62269284</v>
      </c>
      <c r="H558" s="387">
        <v>26984273</v>
      </c>
      <c r="I558" s="387">
        <v>31290509</v>
      </c>
      <c r="J558" s="373">
        <v>49072309</v>
      </c>
      <c r="K558" s="387">
        <v>54585675</v>
      </c>
      <c r="L558" s="2182">
        <f>((8823+2497+28880)*1000)*1.06</f>
        <v>42612000</v>
      </c>
      <c r="M558" s="2178">
        <f>L558*$M$556</f>
        <v>52838880</v>
      </c>
      <c r="N558" s="2182">
        <f>((8823+2710+8974)*1000)*1.17</f>
        <v>23993190</v>
      </c>
      <c r="O558" s="2182">
        <f>((21627+3697)*1000)*1.07</f>
        <v>27096680</v>
      </c>
      <c r="P558" s="730"/>
    </row>
    <row r="559" spans="1:16" x14ac:dyDescent="0.2">
      <c r="A559" s="21"/>
      <c r="B559" s="21"/>
      <c r="C559" s="21"/>
      <c r="D559" s="21"/>
      <c r="E559" s="1283" t="s">
        <v>2562</v>
      </c>
      <c r="F559" s="373"/>
      <c r="G559" s="2058">
        <v>51908975</v>
      </c>
      <c r="H559" s="387">
        <v>48953174</v>
      </c>
      <c r="I559" s="387">
        <v>49346822</v>
      </c>
      <c r="J559" s="373">
        <v>37704560</v>
      </c>
      <c r="K559" s="387">
        <v>39604490</v>
      </c>
      <c r="L559" s="2182">
        <v>40497300</v>
      </c>
      <c r="M559" s="2178">
        <f t="shared" ref="M559:M566" si="67">L559*$M$556</f>
        <v>50216652</v>
      </c>
      <c r="N559" s="2182">
        <v>47207160</v>
      </c>
      <c r="O559" s="2182">
        <v>60702170</v>
      </c>
      <c r="P559" s="730"/>
    </row>
    <row r="560" spans="1:16" x14ac:dyDescent="0.2">
      <c r="A560" s="21"/>
      <c r="B560" s="21"/>
      <c r="C560" s="21"/>
      <c r="D560" s="21"/>
      <c r="E560" s="1283" t="s">
        <v>309</v>
      </c>
      <c r="F560" s="373"/>
      <c r="G560" s="2058">
        <v>23272107</v>
      </c>
      <c r="H560" s="387">
        <v>20995647</v>
      </c>
      <c r="I560" s="387">
        <v>26683234</v>
      </c>
      <c r="J560" s="373">
        <v>27704384</v>
      </c>
      <c r="K560" s="387">
        <v>13105472</v>
      </c>
      <c r="L560" s="2182">
        <v>10751580</v>
      </c>
      <c r="M560" s="2178">
        <f t="shared" si="67"/>
        <v>13331959.199999999</v>
      </c>
      <c r="N560" s="2182">
        <v>41325570</v>
      </c>
      <c r="O560" s="2182">
        <v>53854170</v>
      </c>
      <c r="P560" s="730"/>
    </row>
    <row r="561" spans="1:16" x14ac:dyDescent="0.2">
      <c r="A561" s="21"/>
      <c r="B561" s="21"/>
      <c r="C561" s="21"/>
      <c r="D561" s="1260"/>
      <c r="E561" s="1283" t="s">
        <v>3461</v>
      </c>
      <c r="F561" s="373"/>
      <c r="G561" s="2058">
        <v>19824883</v>
      </c>
      <c r="H561" s="387">
        <v>20741313</v>
      </c>
      <c r="I561" s="387">
        <v>19688848.999999996</v>
      </c>
      <c r="J561" s="373">
        <v>21483711</v>
      </c>
      <c r="K561" s="387">
        <v>18165481</v>
      </c>
      <c r="L561" s="2182">
        <v>12880060</v>
      </c>
      <c r="M561" s="2178">
        <f t="shared" si="67"/>
        <v>15971274.4</v>
      </c>
      <c r="N561" s="2182">
        <v>17773470</v>
      </c>
      <c r="O561" s="2182">
        <v>14094040</v>
      </c>
      <c r="P561" s="730"/>
    </row>
    <row r="562" spans="1:16" x14ac:dyDescent="0.2">
      <c r="A562" s="21"/>
      <c r="B562" s="21"/>
      <c r="C562" s="21"/>
      <c r="D562" s="1260"/>
      <c r="E562" s="1283" t="s">
        <v>435</v>
      </c>
      <c r="F562" s="373"/>
      <c r="G562" s="2058">
        <v>9982463</v>
      </c>
      <c r="H562" s="387">
        <v>8257950</v>
      </c>
      <c r="I562" s="387">
        <v>13206097</v>
      </c>
      <c r="J562" s="373">
        <v>20816508</v>
      </c>
      <c r="K562" s="387">
        <v>16011619</v>
      </c>
      <c r="L562" s="2182">
        <v>19317440</v>
      </c>
      <c r="M562" s="2178">
        <f t="shared" si="67"/>
        <v>23953625.600000001</v>
      </c>
      <c r="N562" s="2182">
        <v>45045000</v>
      </c>
      <c r="O562" s="2182">
        <v>52282340</v>
      </c>
      <c r="P562" s="730"/>
    </row>
    <row r="563" spans="1:16" x14ac:dyDescent="0.2">
      <c r="A563" s="21"/>
      <c r="B563" s="21"/>
      <c r="C563" s="21"/>
      <c r="D563" s="1260"/>
      <c r="E563" s="1283" t="s">
        <v>2565</v>
      </c>
      <c r="F563" s="373"/>
      <c r="G563" s="2058">
        <v>2822528</v>
      </c>
      <c r="H563" s="387">
        <v>3519832</v>
      </c>
      <c r="I563" s="387">
        <v>2860222</v>
      </c>
      <c r="J563" s="373">
        <v>1732257</v>
      </c>
      <c r="K563" s="387">
        <v>4367007</v>
      </c>
      <c r="L563" s="2182">
        <v>4074640</v>
      </c>
      <c r="M563" s="2178">
        <f t="shared" si="67"/>
        <v>5052553.5999999996</v>
      </c>
      <c r="N563" s="2182">
        <v>9929790</v>
      </c>
      <c r="O563" s="2182">
        <v>36055790</v>
      </c>
      <c r="P563" s="730"/>
    </row>
    <row r="564" spans="1:16" x14ac:dyDescent="0.2">
      <c r="A564" s="21"/>
      <c r="B564" s="21"/>
      <c r="C564" s="21"/>
      <c r="D564" s="1260"/>
      <c r="E564" s="1283" t="s">
        <v>2563</v>
      </c>
      <c r="F564" s="373"/>
      <c r="G564" s="2058">
        <v>4459994</v>
      </c>
      <c r="H564" s="387">
        <v>5739618</v>
      </c>
      <c r="I564" s="387">
        <v>11962332</v>
      </c>
      <c r="J564" s="373">
        <v>8434688</v>
      </c>
      <c r="K564" s="387">
        <v>3382098</v>
      </c>
      <c r="L564" s="2182">
        <v>8747120</v>
      </c>
      <c r="M564" s="2178">
        <f t="shared" si="67"/>
        <v>10846428.800000001</v>
      </c>
      <c r="N564" s="2182">
        <v>7387380</v>
      </c>
      <c r="O564" s="2182">
        <v>9065040</v>
      </c>
      <c r="P564" s="730"/>
    </row>
    <row r="565" spans="1:16" x14ac:dyDescent="0.2">
      <c r="A565" s="21"/>
      <c r="B565" s="21"/>
      <c r="C565" s="21"/>
      <c r="D565" s="1260"/>
      <c r="E565" s="1283" t="s">
        <v>2566</v>
      </c>
      <c r="F565" s="373"/>
      <c r="G565" s="2058">
        <v>816562</v>
      </c>
      <c r="H565" s="387">
        <v>273757</v>
      </c>
      <c r="I565" s="387">
        <v>4535253</v>
      </c>
      <c r="J565" s="373">
        <v>1382883</v>
      </c>
      <c r="K565" s="387">
        <v>2416021</v>
      </c>
      <c r="L565" s="2182">
        <v>5760040</v>
      </c>
      <c r="M565" s="2178">
        <f t="shared" si="67"/>
        <v>7142449.5999999996</v>
      </c>
      <c r="N565" s="2182">
        <v>7626060</v>
      </c>
      <c r="O565" s="2182">
        <v>8132000.0000000009</v>
      </c>
      <c r="P565" s="730"/>
    </row>
    <row r="566" spans="1:16" x14ac:dyDescent="0.2">
      <c r="A566" s="21"/>
      <c r="B566" s="21"/>
      <c r="C566" s="21"/>
      <c r="D566" s="1260"/>
      <c r="E566" s="1286" t="s">
        <v>3462</v>
      </c>
      <c r="F566" s="373"/>
      <c r="G566" s="2058">
        <v>569814</v>
      </c>
      <c r="H566" s="387">
        <v>10131158</v>
      </c>
      <c r="I566" s="387">
        <v>48532</v>
      </c>
      <c r="J566" s="373">
        <v>449551</v>
      </c>
      <c r="K566" s="387">
        <v>3458679</v>
      </c>
      <c r="L566" s="2182">
        <v>16568860</v>
      </c>
      <c r="M566" s="2178">
        <f t="shared" si="67"/>
        <v>20545386.399999999</v>
      </c>
      <c r="N566" s="2182">
        <v>18063630</v>
      </c>
      <c r="O566" s="2182">
        <v>21178510</v>
      </c>
      <c r="P566" s="730"/>
    </row>
    <row r="567" spans="1:16" x14ac:dyDescent="0.2">
      <c r="A567" s="21"/>
      <c r="B567" s="21"/>
      <c r="C567" s="21"/>
      <c r="D567" s="1260"/>
      <c r="E567" s="1283" t="s">
        <v>294</v>
      </c>
      <c r="F567" s="373"/>
      <c r="G567" s="2058">
        <v>2687739</v>
      </c>
      <c r="H567" s="387">
        <v>2549671</v>
      </c>
      <c r="I567" s="387">
        <v>2641874</v>
      </c>
      <c r="J567" s="373">
        <v>18254919</v>
      </c>
      <c r="K567" s="387">
        <v>11070616</v>
      </c>
      <c r="L567" s="2182">
        <f>((964+12173)*1000)*1.06+971557</f>
        <v>14896777</v>
      </c>
      <c r="M567" s="2178">
        <f>L567*$M$556+1411139.5</f>
        <v>19883142.98</v>
      </c>
      <c r="N567" s="2182">
        <f>17482140+158415</f>
        <v>17640555</v>
      </c>
      <c r="O567" s="2182">
        <f>15593110+696924.3</f>
        <v>16290034.300000001</v>
      </c>
      <c r="P567" s="730"/>
    </row>
    <row r="568" spans="1:16" x14ac:dyDescent="0.2">
      <c r="A568" s="21"/>
      <c r="B568" s="21"/>
      <c r="C568" s="21"/>
      <c r="D568" s="1260"/>
      <c r="E568" s="1283"/>
      <c r="F568" s="373"/>
      <c r="G568" s="2058"/>
      <c r="H568" s="387"/>
      <c r="I568" s="387"/>
      <c r="J568" s="373"/>
      <c r="K568" s="387"/>
      <c r="L568" s="387"/>
      <c r="M568" s="2178"/>
      <c r="N568" s="387"/>
      <c r="O568" s="387"/>
      <c r="P568" s="730"/>
    </row>
    <row r="569" spans="1:16" x14ac:dyDescent="0.2">
      <c r="A569" s="21"/>
      <c r="B569" s="21"/>
      <c r="C569" s="21"/>
      <c r="D569" s="1260"/>
      <c r="E569" s="1283"/>
      <c r="F569" s="373"/>
      <c r="G569" s="2058"/>
      <c r="H569" s="387"/>
      <c r="I569" s="387"/>
      <c r="J569" s="373"/>
      <c r="K569" s="387"/>
      <c r="L569" s="387"/>
      <c r="M569" s="387"/>
      <c r="N569" s="387"/>
      <c r="O569" s="387"/>
      <c r="P569" s="730"/>
    </row>
    <row r="570" spans="1:16" x14ac:dyDescent="0.2">
      <c r="A570" s="21"/>
      <c r="B570" s="21"/>
      <c r="C570" s="21"/>
      <c r="D570" s="21"/>
      <c r="E570" s="833"/>
      <c r="F570" s="373"/>
      <c r="G570" s="2058"/>
      <c r="H570" s="387"/>
      <c r="I570" s="387"/>
      <c r="J570" s="373"/>
      <c r="K570" s="387"/>
      <c r="L570" s="387"/>
      <c r="M570" s="387"/>
      <c r="N570" s="387"/>
      <c r="O570" s="387"/>
      <c r="P570" s="730"/>
    </row>
    <row r="571" spans="1:16" s="1123" customFormat="1" x14ac:dyDescent="0.2">
      <c r="A571" s="340"/>
      <c r="B571" s="340"/>
      <c r="C571" s="340"/>
      <c r="D571" s="340"/>
      <c r="E571" s="1283"/>
      <c r="F571" s="373"/>
      <c r="G571" s="2180"/>
      <c r="H571" s="2179"/>
      <c r="I571" s="2179"/>
      <c r="J571" s="373"/>
      <c r="K571" s="2179"/>
      <c r="L571" s="2179"/>
      <c r="M571" s="2179"/>
      <c r="N571" s="2179"/>
      <c r="O571" s="2179"/>
      <c r="P571" s="730"/>
    </row>
    <row r="572" spans="1:16" s="1123" customFormat="1" x14ac:dyDescent="0.2">
      <c r="A572" s="340"/>
      <c r="B572" s="340"/>
      <c r="C572" s="340"/>
      <c r="D572" s="340"/>
      <c r="E572" s="1283"/>
      <c r="F572" s="373"/>
      <c r="G572" s="730"/>
      <c r="H572" s="2179"/>
      <c r="I572" s="2179"/>
      <c r="J572" s="373"/>
      <c r="K572" s="2179"/>
      <c r="L572" s="2179"/>
      <c r="M572" s="2179"/>
      <c r="N572" s="2179"/>
      <c r="O572" s="2179"/>
      <c r="P572" s="730"/>
    </row>
    <row r="573" spans="1:16" s="1123" customFormat="1" x14ac:dyDescent="0.2">
      <c r="A573" s="340"/>
      <c r="B573" s="340"/>
      <c r="C573" s="340"/>
      <c r="D573" s="340"/>
      <c r="E573" s="833"/>
      <c r="F573" s="373"/>
      <c r="G573" s="730"/>
      <c r="H573" s="2179"/>
      <c r="I573" s="2179"/>
      <c r="J573" s="373"/>
      <c r="K573" s="2179"/>
      <c r="L573" s="2179"/>
      <c r="M573" s="2179"/>
      <c r="N573" s="2179"/>
      <c r="O573" s="2179"/>
      <c r="P573" s="730"/>
    </row>
    <row r="574" spans="1:16" s="1123" customFormat="1" x14ac:dyDescent="0.2">
      <c r="A574" s="340"/>
      <c r="B574" s="340"/>
      <c r="C574" s="340"/>
      <c r="D574" s="340"/>
      <c r="E574" s="833"/>
      <c r="F574" s="373"/>
      <c r="G574" s="730"/>
      <c r="H574" s="2179"/>
      <c r="I574" s="2179"/>
      <c r="J574" s="373"/>
      <c r="K574" s="2179"/>
      <c r="L574" s="2179"/>
      <c r="M574" s="2179"/>
      <c r="N574" s="2179"/>
      <c r="O574" s="2179"/>
      <c r="P574" s="730"/>
    </row>
    <row r="575" spans="1:16" ht="30" customHeight="1" x14ac:dyDescent="0.2">
      <c r="A575" s="21"/>
      <c r="B575" s="21"/>
      <c r="C575" s="21"/>
      <c r="D575" s="21"/>
      <c r="E575" s="765" t="s">
        <v>442</v>
      </c>
      <c r="F575" s="374">
        <f>SUM(F558:F570)</f>
        <v>0</v>
      </c>
      <c r="G575" s="2066">
        <f>SUM(G558:G574)</f>
        <v>178614349</v>
      </c>
      <c r="H575" s="374">
        <f t="shared" ref="H575:P575" si="68">SUM(H558:H574)</f>
        <v>148146393</v>
      </c>
      <c r="I575" s="374">
        <f t="shared" si="68"/>
        <v>162263724</v>
      </c>
      <c r="J575" s="374">
        <f t="shared" si="68"/>
        <v>187035770</v>
      </c>
      <c r="K575" s="374">
        <f t="shared" si="68"/>
        <v>166167158</v>
      </c>
      <c r="L575" s="374">
        <f t="shared" si="68"/>
        <v>176105817</v>
      </c>
      <c r="M575" s="374">
        <f t="shared" si="68"/>
        <v>219782352.58000001</v>
      </c>
      <c r="N575" s="374">
        <f t="shared" si="68"/>
        <v>235991805</v>
      </c>
      <c r="O575" s="374">
        <f t="shared" si="68"/>
        <v>298750774.30000001</v>
      </c>
      <c r="P575" s="733">
        <f t="shared" si="68"/>
        <v>0</v>
      </c>
    </row>
    <row r="576" spans="1:16" ht="16.5" outlineLevel="1" thickBot="1" x14ac:dyDescent="0.3">
      <c r="A576" s="21"/>
      <c r="B576" s="21"/>
      <c r="C576" s="21"/>
      <c r="D576" s="21"/>
      <c r="E576" s="766" t="s">
        <v>458</v>
      </c>
      <c r="F576" s="386">
        <f>F450+F452-F575</f>
        <v>0</v>
      </c>
      <c r="G576" s="386">
        <f>G456-G575</f>
        <v>10599686</v>
      </c>
      <c r="H576" s="734">
        <f>H456-H575</f>
        <v>0</v>
      </c>
      <c r="I576" s="735">
        <f>I456-I575</f>
        <v>0</v>
      </c>
      <c r="J576" s="735">
        <f>J456-J575</f>
        <v>0</v>
      </c>
      <c r="K576" s="735">
        <f>K456-K575</f>
        <v>0</v>
      </c>
      <c r="L576" s="735">
        <f t="shared" ref="L576:P576" si="69">L456-L575</f>
        <v>0</v>
      </c>
      <c r="M576" s="735">
        <f t="shared" si="69"/>
        <v>-1.3949722051620483E-2</v>
      </c>
      <c r="N576" s="735">
        <f t="shared" si="69"/>
        <v>0</v>
      </c>
      <c r="O576" s="735">
        <f t="shared" si="69"/>
        <v>-6.9603919982910156E-3</v>
      </c>
      <c r="P576" s="736">
        <f t="shared" si="69"/>
        <v>0</v>
      </c>
    </row>
    <row r="577" spans="1:16" ht="15.75" thickTop="1" x14ac:dyDescent="0.2">
      <c r="A577" s="21"/>
      <c r="B577" s="21"/>
      <c r="C577" s="21"/>
      <c r="D577" s="21"/>
      <c r="E577" s="291"/>
      <c r="F577" s="387"/>
      <c r="G577" s="387"/>
      <c r="H577" s="387"/>
      <c r="I577" s="387"/>
      <c r="J577" s="387"/>
      <c r="K577" s="387"/>
      <c r="L577" s="387"/>
      <c r="M577" s="387"/>
      <c r="N577" s="387"/>
      <c r="O577" s="387"/>
      <c r="P577" s="387"/>
    </row>
    <row r="578" spans="1:16" x14ac:dyDescent="0.2">
      <c r="A578" s="21"/>
      <c r="B578" s="21"/>
      <c r="C578" s="21"/>
      <c r="D578" s="21"/>
      <c r="E578" s="291"/>
      <c r="F578" s="387"/>
      <c r="G578" s="387"/>
      <c r="H578" s="387"/>
      <c r="I578" s="387"/>
      <c r="J578" s="387"/>
      <c r="K578" s="387"/>
      <c r="L578" s="387"/>
      <c r="M578" s="387"/>
      <c r="N578" s="387"/>
      <c r="O578" s="387"/>
      <c r="P578" s="387"/>
    </row>
    <row r="579" spans="1:16" x14ac:dyDescent="0.2">
      <c r="A579" s="21"/>
      <c r="B579" s="21"/>
      <c r="C579" s="21"/>
      <c r="D579" s="21"/>
      <c r="E579" s="291"/>
      <c r="F579" s="387"/>
      <c r="G579" s="387"/>
      <c r="H579" s="387"/>
      <c r="I579" s="387"/>
      <c r="J579" s="387"/>
      <c r="K579" s="387"/>
      <c r="L579" s="387"/>
      <c r="M579" s="387"/>
      <c r="N579" s="387"/>
      <c r="O579" s="387"/>
      <c r="P579" s="387"/>
    </row>
    <row r="580" spans="1:16" ht="15.75" thickBot="1" x14ac:dyDescent="0.25">
      <c r="A580" s="21"/>
      <c r="B580" s="21"/>
      <c r="C580" s="21"/>
      <c r="D580" s="21"/>
      <c r="E580" s="291"/>
      <c r="F580" s="387"/>
      <c r="G580" s="387"/>
      <c r="H580" s="387"/>
      <c r="I580" s="387"/>
      <c r="J580" s="387"/>
      <c r="K580" s="387"/>
      <c r="L580" s="387"/>
      <c r="M580" s="387"/>
      <c r="N580" s="387"/>
      <c r="O580" s="387"/>
      <c r="P580" s="387"/>
    </row>
    <row r="581" spans="1:16" ht="32.25" thickTop="1" x14ac:dyDescent="0.25">
      <c r="A581" s="21"/>
      <c r="B581" s="21"/>
      <c r="C581" s="21"/>
      <c r="D581" s="21"/>
      <c r="E581" s="324" t="s">
        <v>565</v>
      </c>
      <c r="F581" s="387" t="s">
        <v>348</v>
      </c>
      <c r="G581" s="387"/>
      <c r="H581" s="754"/>
      <c r="I581" s="755"/>
      <c r="J581" s="755"/>
      <c r="K581" s="756"/>
      <c r="L581" s="747"/>
      <c r="M581" s="387"/>
      <c r="N581" s="387"/>
      <c r="O581" s="387"/>
      <c r="P581" s="387"/>
    </row>
    <row r="582" spans="1:16" x14ac:dyDescent="0.2">
      <c r="A582" s="21"/>
      <c r="B582" s="21"/>
      <c r="C582" s="21"/>
      <c r="D582" s="21"/>
      <c r="E582" s="306" t="str">
        <f t="shared" ref="E582:P582" si="70">E7</f>
        <v>тыс. руб.</v>
      </c>
      <c r="F582" s="301">
        <f t="shared" si="70"/>
        <v>0</v>
      </c>
      <c r="G582" s="301">
        <f t="shared" si="70"/>
        <v>2016</v>
      </c>
      <c r="H582" s="767">
        <f t="shared" si="70"/>
        <v>2017</v>
      </c>
      <c r="I582" s="301">
        <f t="shared" si="70"/>
        <v>2018</v>
      </c>
      <c r="J582" s="301">
        <f t="shared" si="70"/>
        <v>2019</v>
      </c>
      <c r="K582" s="768">
        <f t="shared" si="70"/>
        <v>2020</v>
      </c>
      <c r="L582" s="767">
        <f t="shared" si="70"/>
        <v>2021</v>
      </c>
      <c r="M582" s="301">
        <f t="shared" si="70"/>
        <v>2022</v>
      </c>
      <c r="N582" s="301">
        <f t="shared" si="70"/>
        <v>2023</v>
      </c>
      <c r="O582" s="301">
        <f t="shared" si="70"/>
        <v>2024</v>
      </c>
      <c r="P582" s="301">
        <f t="shared" si="70"/>
        <v>2025</v>
      </c>
    </row>
    <row r="583" spans="1:16" ht="15.75" x14ac:dyDescent="0.25">
      <c r="A583" s="21"/>
      <c r="B583" s="21"/>
      <c r="C583" s="21"/>
      <c r="D583" s="21"/>
      <c r="E583" s="303" t="s">
        <v>924</v>
      </c>
      <c r="F583" s="387"/>
      <c r="G583" s="2057" t="s">
        <v>643</v>
      </c>
      <c r="H583" s="747" t="s">
        <v>643</v>
      </c>
      <c r="I583" s="1279" t="s">
        <v>643</v>
      </c>
      <c r="J583" s="1279" t="s">
        <v>643</v>
      </c>
      <c r="K583" s="1280" t="s">
        <v>643</v>
      </c>
      <c r="L583" s="1604" t="s">
        <v>643</v>
      </c>
      <c r="M583" s="1592"/>
      <c r="N583" s="1592"/>
      <c r="O583" s="1592"/>
      <c r="P583" s="1592"/>
    </row>
    <row r="584" spans="1:16" x14ac:dyDescent="0.2">
      <c r="A584" s="21"/>
      <c r="B584" s="21"/>
      <c r="C584" s="21"/>
      <c r="D584" s="21"/>
      <c r="E584" s="291" t="s">
        <v>937</v>
      </c>
      <c r="F584" s="373"/>
      <c r="G584" s="2071">
        <v>3781745</v>
      </c>
      <c r="H584" s="1874">
        <v>22980730</v>
      </c>
      <c r="I584" s="1781">
        <v>1956049</v>
      </c>
      <c r="J584" s="1781">
        <v>5347782</v>
      </c>
      <c r="K584" s="1875">
        <v>11359936</v>
      </c>
      <c r="L584" s="1569"/>
      <c r="M584" s="1570"/>
      <c r="N584" s="1570"/>
      <c r="O584" s="1570"/>
      <c r="P584" s="1570"/>
    </row>
    <row r="585" spans="1:16" ht="15.75" thickBot="1" x14ac:dyDescent="0.25">
      <c r="A585" s="21"/>
      <c r="B585" s="21"/>
      <c r="C585" s="21"/>
      <c r="D585" s="21"/>
      <c r="E585" s="291" t="s">
        <v>960</v>
      </c>
      <c r="F585" s="373"/>
      <c r="G585" s="2071">
        <v>0</v>
      </c>
      <c r="H585" s="1874">
        <v>1216919</v>
      </c>
      <c r="I585" s="1876">
        <v>0</v>
      </c>
      <c r="J585" s="1876">
        <v>0</v>
      </c>
      <c r="K585" s="1877">
        <v>0</v>
      </c>
      <c r="L585" s="1605"/>
      <c r="M585" s="1606"/>
      <c r="N585" s="1606"/>
      <c r="O585" s="1606"/>
      <c r="P585" s="1606"/>
    </row>
    <row r="586" spans="1:16" ht="15.75" thickTop="1" x14ac:dyDescent="0.2">
      <c r="A586" s="21"/>
      <c r="B586" s="21"/>
      <c r="C586" s="21"/>
      <c r="D586" s="21"/>
      <c r="E586" s="832" t="s">
        <v>3382</v>
      </c>
      <c r="F586" s="827"/>
      <c r="G586" s="2072">
        <v>5128668</v>
      </c>
      <c r="H586" s="1878">
        <v>6295471</v>
      </c>
      <c r="I586" s="1879">
        <v>2788228</v>
      </c>
      <c r="J586" s="1879">
        <v>0</v>
      </c>
      <c r="K586" s="1880">
        <v>918031</v>
      </c>
      <c r="L586" s="1607"/>
      <c r="M586" s="1608"/>
      <c r="N586" s="1608"/>
      <c r="O586" s="1608"/>
      <c r="P586" s="1608"/>
    </row>
    <row r="587" spans="1:16" x14ac:dyDescent="0.2">
      <c r="A587" s="21"/>
      <c r="B587" s="21"/>
      <c r="C587" s="21"/>
      <c r="D587" s="21"/>
      <c r="E587" s="833" t="s">
        <v>2559</v>
      </c>
      <c r="F587" s="373"/>
      <c r="G587" s="2071">
        <v>0</v>
      </c>
      <c r="H587" s="1874">
        <v>812824</v>
      </c>
      <c r="I587" s="1781">
        <v>0</v>
      </c>
      <c r="J587" s="1781">
        <v>0</v>
      </c>
      <c r="K587" s="1875">
        <v>0</v>
      </c>
      <c r="L587" s="1569"/>
      <c r="M587" s="1570"/>
      <c r="N587" s="1570"/>
      <c r="O587" s="1570"/>
      <c r="P587" s="1570"/>
    </row>
    <row r="588" spans="1:16" x14ac:dyDescent="0.2">
      <c r="A588" s="21"/>
      <c r="B588" s="21"/>
      <c r="C588" s="21"/>
      <c r="D588" s="21"/>
      <c r="E588" s="833" t="s">
        <v>2560</v>
      </c>
      <c r="F588" s="373"/>
      <c r="G588" s="2071">
        <v>12569752</v>
      </c>
      <c r="H588" s="1874">
        <v>15197498</v>
      </c>
      <c r="I588" s="1781">
        <v>7132107</v>
      </c>
      <c r="J588" s="1781">
        <v>4052203.9999999995</v>
      </c>
      <c r="K588" s="1875">
        <v>4938644</v>
      </c>
      <c r="L588" s="1569"/>
      <c r="M588" s="1570"/>
      <c r="N588" s="1570"/>
      <c r="O588" s="1570"/>
      <c r="P588" s="1570"/>
    </row>
    <row r="589" spans="1:16" x14ac:dyDescent="0.2">
      <c r="A589" s="21"/>
      <c r="B589" s="21"/>
      <c r="C589" s="21"/>
      <c r="D589" s="21"/>
      <c r="E589" s="833" t="s">
        <v>2561</v>
      </c>
      <c r="F589" s="373"/>
      <c r="G589" s="2071">
        <v>49171877</v>
      </c>
      <c r="H589" s="1874">
        <v>58764300</v>
      </c>
      <c r="I589" s="1781">
        <v>41087412</v>
      </c>
      <c r="J589" s="1781">
        <v>43940567</v>
      </c>
      <c r="K589" s="1875">
        <v>40742806</v>
      </c>
      <c r="L589" s="1569"/>
      <c r="M589" s="1570"/>
      <c r="N589" s="1570"/>
      <c r="O589" s="1570"/>
      <c r="P589" s="1570"/>
    </row>
    <row r="590" spans="1:16" ht="15.75" thickBot="1" x14ac:dyDescent="0.25">
      <c r="A590" s="21"/>
      <c r="B590" s="21"/>
      <c r="C590" s="21"/>
      <c r="D590" s="21"/>
      <c r="E590" s="834" t="s">
        <v>2569</v>
      </c>
      <c r="F590" s="828"/>
      <c r="G590" s="2073">
        <v>0</v>
      </c>
      <c r="H590" s="1881">
        <v>0</v>
      </c>
      <c r="I590" s="1876">
        <v>0</v>
      </c>
      <c r="J590" s="1876">
        <v>1165107</v>
      </c>
      <c r="K590" s="1877">
        <v>0</v>
      </c>
      <c r="L590" s="1605"/>
      <c r="M590" s="1606"/>
      <c r="N590" s="1606"/>
      <c r="O590" s="1606"/>
      <c r="P590" s="1606"/>
    </row>
    <row r="591" spans="1:16" ht="15.75" thickTop="1" x14ac:dyDescent="0.2">
      <c r="A591" s="21"/>
      <c r="B591" s="21"/>
      <c r="C591" s="21"/>
      <c r="D591" s="21"/>
      <c r="E591" s="291" t="s">
        <v>939</v>
      </c>
      <c r="F591" s="373"/>
      <c r="G591" s="2071">
        <v>0</v>
      </c>
      <c r="H591" s="1874">
        <v>0</v>
      </c>
      <c r="I591" s="1781">
        <v>0</v>
      </c>
      <c r="J591" s="1781">
        <v>0</v>
      </c>
      <c r="K591" s="1875">
        <v>0</v>
      </c>
      <c r="L591" s="1569"/>
      <c r="M591" s="1570"/>
      <c r="N591" s="1570"/>
      <c r="O591" s="1570"/>
      <c r="P591" s="1570"/>
    </row>
    <row r="592" spans="1:16" x14ac:dyDescent="0.2">
      <c r="A592" s="21"/>
      <c r="B592" s="21"/>
      <c r="C592" s="21"/>
      <c r="D592" s="21"/>
      <c r="E592" s="291" t="s">
        <v>940</v>
      </c>
      <c r="F592" s="373"/>
      <c r="G592" s="2071">
        <v>0</v>
      </c>
      <c r="H592" s="1874">
        <v>0</v>
      </c>
      <c r="I592" s="1781">
        <v>0</v>
      </c>
      <c r="J592" s="1781">
        <v>0</v>
      </c>
      <c r="K592" s="1875">
        <v>0</v>
      </c>
      <c r="L592" s="1569"/>
      <c r="M592" s="1570"/>
      <c r="N592" s="1570"/>
      <c r="O592" s="1570"/>
      <c r="P592" s="1570"/>
    </row>
    <row r="593" spans="1:16" s="28" customFormat="1" ht="15.75" x14ac:dyDescent="0.25">
      <c r="A593" s="11"/>
      <c r="B593" s="11"/>
      <c r="C593" s="11"/>
      <c r="D593" s="11"/>
      <c r="E593" s="303" t="s">
        <v>465</v>
      </c>
      <c r="F593" s="390"/>
      <c r="G593" s="2074">
        <v>41643038.000000007</v>
      </c>
      <c r="H593" s="1883">
        <v>41006699</v>
      </c>
      <c r="I593" s="1882">
        <v>34767219</v>
      </c>
      <c r="J593" s="1882">
        <v>25259714</v>
      </c>
      <c r="K593" s="1884">
        <v>20901370</v>
      </c>
      <c r="L593" s="1609"/>
      <c r="M593" s="1610"/>
      <c r="N593" s="1610"/>
      <c r="O593" s="1610"/>
      <c r="P593" s="1610"/>
    </row>
    <row r="594" spans="1:16" s="28" customFormat="1" ht="15.75" x14ac:dyDescent="0.25">
      <c r="A594" s="11"/>
      <c r="B594" s="11"/>
      <c r="C594" s="11"/>
      <c r="D594" s="11"/>
      <c r="E594" s="303" t="s">
        <v>8</v>
      </c>
      <c r="F594" s="390"/>
      <c r="G594" s="2074">
        <v>1493550</v>
      </c>
      <c r="H594" s="1883">
        <v>1268551</v>
      </c>
      <c r="I594" s="1882">
        <v>0</v>
      </c>
      <c r="J594" s="1882">
        <v>0</v>
      </c>
      <c r="K594" s="1884">
        <v>0</v>
      </c>
      <c r="L594" s="1609"/>
      <c r="M594" s="1610"/>
      <c r="N594" s="1610"/>
      <c r="O594" s="1610"/>
      <c r="P594" s="1610"/>
    </row>
    <row r="595" spans="1:16" s="28" customFormat="1" ht="15.75" x14ac:dyDescent="0.25">
      <c r="A595" s="11"/>
      <c r="B595" s="11"/>
      <c r="C595" s="11"/>
      <c r="D595" s="11"/>
      <c r="E595" s="303" t="s">
        <v>938</v>
      </c>
      <c r="F595" s="390"/>
      <c r="G595" s="2074">
        <v>121000</v>
      </c>
      <c r="H595" s="1883">
        <v>380933</v>
      </c>
      <c r="I595" s="1882">
        <v>0</v>
      </c>
      <c r="J595" s="1882">
        <v>0</v>
      </c>
      <c r="K595" s="1884">
        <v>0</v>
      </c>
      <c r="L595" s="1609"/>
      <c r="M595" s="1610"/>
      <c r="N595" s="1610"/>
      <c r="O595" s="1610"/>
      <c r="P595" s="1610"/>
    </row>
    <row r="596" spans="1:16" s="322" customFormat="1" ht="20.25" customHeight="1" x14ac:dyDescent="0.25">
      <c r="A596" s="320"/>
      <c r="B596" s="320"/>
      <c r="C596" s="320"/>
      <c r="D596" s="320"/>
      <c r="E596" s="332" t="s">
        <v>946</v>
      </c>
      <c r="F596" s="394">
        <f t="shared" ref="F596:H596" si="71">SUM(F583:F595)</f>
        <v>0</v>
      </c>
      <c r="G596" s="2075">
        <f t="shared" si="71"/>
        <v>113909630</v>
      </c>
      <c r="H596" s="1886">
        <f t="shared" si="71"/>
        <v>147923925</v>
      </c>
      <c r="I596" s="1885">
        <f>SUM(I583:I595)</f>
        <v>87731015</v>
      </c>
      <c r="J596" s="1885">
        <f>SUM(J583:J595)</f>
        <v>79765374</v>
      </c>
      <c r="K596" s="1887">
        <f>(SUM(K583:K595))</f>
        <v>78860787</v>
      </c>
      <c r="L596" s="1590">
        <f>(SUM(L583:L595))</f>
        <v>0</v>
      </c>
      <c r="M596" s="1591"/>
      <c r="N596" s="1591"/>
      <c r="O596" s="1591"/>
      <c r="P596" s="1591"/>
    </row>
    <row r="597" spans="1:16" s="319" customFormat="1" ht="29.25" customHeight="1" x14ac:dyDescent="0.25">
      <c r="A597" s="318"/>
      <c r="B597" s="318"/>
      <c r="C597" s="318"/>
      <c r="D597" s="318"/>
      <c r="E597" s="323" t="s">
        <v>927</v>
      </c>
      <c r="F597" s="378"/>
      <c r="G597" s="2076">
        <v>-1389751</v>
      </c>
      <c r="H597" s="1889">
        <v>-1364786</v>
      </c>
      <c r="I597" s="1888">
        <v>341931.00000000023</v>
      </c>
      <c r="J597" s="1888">
        <v>-1497917</v>
      </c>
      <c r="K597" s="1890">
        <v>-1418852</v>
      </c>
      <c r="L597" s="1586"/>
      <c r="M597" s="1587"/>
      <c r="N597" s="1587"/>
      <c r="O597" s="1587"/>
      <c r="P597" s="1587"/>
    </row>
    <row r="598" spans="1:16" ht="37.5" customHeight="1" x14ac:dyDescent="0.2">
      <c r="A598" s="21"/>
      <c r="B598" s="21"/>
      <c r="C598" s="21"/>
      <c r="D598" s="21"/>
      <c r="E598" s="307" t="s">
        <v>942</v>
      </c>
      <c r="F598" s="374">
        <f t="shared" ref="F598:K598" si="72">SUM(F596:F597)</f>
        <v>0</v>
      </c>
      <c r="G598" s="2077">
        <f t="shared" si="72"/>
        <v>112519879</v>
      </c>
      <c r="H598" s="1892">
        <f t="shared" si="72"/>
        <v>146559139</v>
      </c>
      <c r="I598" s="1891">
        <f t="shared" si="72"/>
        <v>88072946</v>
      </c>
      <c r="J598" s="1891">
        <f t="shared" si="72"/>
        <v>78267457</v>
      </c>
      <c r="K598" s="1893">
        <f t="shared" si="72"/>
        <v>77441935</v>
      </c>
      <c r="L598" s="1588">
        <f>SUM(L596:L597)</f>
        <v>0</v>
      </c>
      <c r="M598" s="1589"/>
      <c r="N598" s="1589"/>
      <c r="O598" s="1589"/>
      <c r="P598" s="1589"/>
    </row>
    <row r="599" spans="1:16" ht="16.5" outlineLevel="1" thickBot="1" x14ac:dyDescent="0.3">
      <c r="A599" s="21"/>
      <c r="B599" s="21"/>
      <c r="C599" s="21"/>
      <c r="D599" s="21"/>
      <c r="E599" s="309" t="s">
        <v>474</v>
      </c>
      <c r="F599" s="386">
        <f t="shared" ref="F599:L599" si="73">F15-F598</f>
        <v>0</v>
      </c>
      <c r="G599" s="1894">
        <f t="shared" si="73"/>
        <v>0</v>
      </c>
      <c r="H599" s="1870">
        <f t="shared" si="73"/>
        <v>0</v>
      </c>
      <c r="I599" s="1871">
        <f t="shared" si="73"/>
        <v>0</v>
      </c>
      <c r="J599" s="1871">
        <f t="shared" si="73"/>
        <v>0</v>
      </c>
      <c r="K599" s="1872">
        <f t="shared" si="73"/>
        <v>0</v>
      </c>
      <c r="L599" s="1583">
        <f t="shared" si="73"/>
        <v>70842146</v>
      </c>
      <c r="M599" s="386"/>
      <c r="N599" s="386"/>
      <c r="O599" s="386"/>
      <c r="P599" s="386"/>
    </row>
    <row r="600" spans="1:16" ht="15.75" thickTop="1" x14ac:dyDescent="0.2">
      <c r="A600" s="21"/>
      <c r="B600" s="21"/>
      <c r="C600" s="21"/>
      <c r="D600" s="21"/>
      <c r="E600" s="291"/>
      <c r="F600" s="387"/>
      <c r="G600" s="387"/>
      <c r="H600" s="387"/>
      <c r="I600" s="387"/>
      <c r="J600" s="387"/>
      <c r="K600" s="387"/>
      <c r="L600" s="387"/>
      <c r="M600" s="387"/>
      <c r="N600" s="387"/>
      <c r="O600" s="387"/>
      <c r="P600" s="387"/>
    </row>
    <row r="601" spans="1:16" ht="15.75" thickBot="1" x14ac:dyDescent="0.25">
      <c r="A601" s="21"/>
      <c r="B601" s="21"/>
      <c r="C601" s="21"/>
      <c r="D601" s="21"/>
      <c r="E601" s="291"/>
      <c r="F601" s="387"/>
      <c r="G601" s="387"/>
      <c r="H601" s="387"/>
      <c r="I601" s="387"/>
      <c r="J601" s="387"/>
      <c r="K601" s="387"/>
      <c r="L601" s="387"/>
      <c r="M601" s="387"/>
      <c r="N601" s="387"/>
      <c r="O601" s="387"/>
      <c r="P601" s="387"/>
    </row>
    <row r="602" spans="1:16" ht="16.5" thickTop="1" x14ac:dyDescent="0.25">
      <c r="A602" s="21"/>
      <c r="B602" s="21"/>
      <c r="C602" s="21"/>
      <c r="D602" s="21"/>
      <c r="E602" s="324" t="s">
        <v>941</v>
      </c>
      <c r="F602" s="387" t="s">
        <v>348</v>
      </c>
      <c r="G602" s="387"/>
      <c r="H602" s="754"/>
      <c r="I602" s="755"/>
      <c r="J602" s="755"/>
      <c r="K602" s="756"/>
      <c r="L602" s="747"/>
      <c r="M602" s="387"/>
      <c r="N602" s="387"/>
      <c r="O602" s="387"/>
      <c r="P602" s="387"/>
    </row>
    <row r="603" spans="1:16" x14ac:dyDescent="0.2">
      <c r="A603" s="21"/>
      <c r="B603" s="21"/>
      <c r="C603" s="21"/>
      <c r="D603" s="21"/>
      <c r="E603" s="306" t="str">
        <f t="shared" ref="E603:P603" si="74">E7</f>
        <v>тыс. руб.</v>
      </c>
      <c r="F603" s="301">
        <f t="shared" si="74"/>
        <v>0</v>
      </c>
      <c r="G603" s="301">
        <f t="shared" si="74"/>
        <v>2016</v>
      </c>
      <c r="H603" s="767">
        <f t="shared" si="74"/>
        <v>2017</v>
      </c>
      <c r="I603" s="301">
        <f t="shared" si="74"/>
        <v>2018</v>
      </c>
      <c r="J603" s="301">
        <f t="shared" si="74"/>
        <v>2019</v>
      </c>
      <c r="K603" s="768">
        <f t="shared" si="74"/>
        <v>2020</v>
      </c>
      <c r="L603" s="767">
        <f t="shared" si="74"/>
        <v>2021</v>
      </c>
      <c r="M603" s="301">
        <f t="shared" si="74"/>
        <v>2022</v>
      </c>
      <c r="N603" s="301">
        <f t="shared" si="74"/>
        <v>2023</v>
      </c>
      <c r="O603" s="301">
        <f t="shared" si="74"/>
        <v>2024</v>
      </c>
      <c r="P603" s="301">
        <f t="shared" si="74"/>
        <v>2025</v>
      </c>
    </row>
    <row r="604" spans="1:16" x14ac:dyDescent="0.2">
      <c r="A604" s="21"/>
      <c r="B604" s="21"/>
      <c r="C604" s="21"/>
      <c r="D604" s="21"/>
      <c r="E604" s="291" t="s">
        <v>937</v>
      </c>
      <c r="F604" s="373"/>
      <c r="G604" s="2063">
        <v>16980884.799999997</v>
      </c>
      <c r="H604" s="1615">
        <v>5294320</v>
      </c>
      <c r="I604" s="1438">
        <v>14795096</v>
      </c>
      <c r="J604" s="1438">
        <v>794689</v>
      </c>
      <c r="K604" s="1616">
        <v>781580</v>
      </c>
      <c r="L604" s="1584"/>
      <c r="M604" s="1585"/>
      <c r="N604" s="1585"/>
      <c r="O604" s="1585"/>
      <c r="P604" s="1585"/>
    </row>
    <row r="605" spans="1:16" x14ac:dyDescent="0.2">
      <c r="A605" s="21"/>
      <c r="B605" s="21"/>
      <c r="C605" s="21"/>
      <c r="D605" s="21"/>
      <c r="E605" s="291" t="s">
        <v>960</v>
      </c>
      <c r="F605" s="373"/>
      <c r="G605" s="2063">
        <v>1794949</v>
      </c>
      <c r="H605" s="1615">
        <v>3694431.6</v>
      </c>
      <c r="I605" s="1438">
        <v>1080622</v>
      </c>
      <c r="J605" s="1438">
        <v>0</v>
      </c>
      <c r="K605" s="1616">
        <v>0</v>
      </c>
      <c r="L605" s="1584"/>
      <c r="M605" s="1585"/>
      <c r="N605" s="1585"/>
      <c r="O605" s="1585"/>
      <c r="P605" s="1585"/>
    </row>
    <row r="606" spans="1:16" x14ac:dyDescent="0.2">
      <c r="A606" s="21"/>
      <c r="B606" s="21"/>
      <c r="C606" s="21"/>
      <c r="D606" s="21"/>
      <c r="E606" s="1287" t="s">
        <v>2560</v>
      </c>
      <c r="F606" s="827"/>
      <c r="G606" s="2078">
        <v>282074</v>
      </c>
      <c r="H606" s="1567">
        <v>290976</v>
      </c>
      <c r="I606" s="1564">
        <v>8066719.0000000009</v>
      </c>
      <c r="J606" s="1564">
        <v>83260046.800000012</v>
      </c>
      <c r="K606" s="1565">
        <v>72254545</v>
      </c>
      <c r="L606" s="1611"/>
      <c r="M606" s="1612"/>
      <c r="N606" s="1612"/>
      <c r="O606" s="1612"/>
      <c r="P606" s="1612"/>
    </row>
    <row r="607" spans="1:16" x14ac:dyDescent="0.2">
      <c r="A607" s="21"/>
      <c r="B607" s="21"/>
      <c r="C607" s="21"/>
      <c r="D607" s="21"/>
      <c r="E607" s="833" t="s">
        <v>2561</v>
      </c>
      <c r="F607" s="373"/>
      <c r="G607" s="2063">
        <v>0</v>
      </c>
      <c r="H607" s="1615">
        <v>0</v>
      </c>
      <c r="I607" s="1438">
        <v>14023375.4</v>
      </c>
      <c r="J607" s="1438">
        <v>7901668</v>
      </c>
      <c r="K607" s="1616">
        <v>32271442</v>
      </c>
      <c r="L607" s="1584"/>
      <c r="M607" s="1585"/>
      <c r="N607" s="1585"/>
      <c r="O607" s="1585"/>
      <c r="P607" s="1585"/>
    </row>
    <row r="608" spans="1:16" x14ac:dyDescent="0.2">
      <c r="A608" s="21"/>
      <c r="B608" s="21"/>
      <c r="C608" s="21"/>
      <c r="D608" s="21"/>
      <c r="E608" s="1288" t="s">
        <v>2567</v>
      </c>
      <c r="F608" s="373"/>
      <c r="G608" s="2063">
        <v>0</v>
      </c>
      <c r="H608" s="1615">
        <v>0</v>
      </c>
      <c r="I608" s="1438">
        <v>0</v>
      </c>
      <c r="J608" s="1438">
        <v>938948</v>
      </c>
      <c r="K608" s="1616">
        <v>423410</v>
      </c>
      <c r="L608" s="1584"/>
      <c r="M608" s="1585"/>
      <c r="N608" s="1585"/>
      <c r="O608" s="1585"/>
      <c r="P608" s="1585"/>
    </row>
    <row r="609" spans="1:16" x14ac:dyDescent="0.2">
      <c r="A609" s="21"/>
      <c r="B609" s="21"/>
      <c r="C609" s="21"/>
      <c r="D609" s="21"/>
      <c r="E609" s="833" t="s">
        <v>1136</v>
      </c>
      <c r="F609" s="373"/>
      <c r="G609" s="2063">
        <v>0</v>
      </c>
      <c r="H609" s="1615">
        <v>0</v>
      </c>
      <c r="I609" s="1438">
        <v>0</v>
      </c>
      <c r="J609" s="1438">
        <v>0</v>
      </c>
      <c r="K609" s="1616">
        <v>0</v>
      </c>
      <c r="L609" s="1584"/>
      <c r="M609" s="1585"/>
      <c r="N609" s="1585"/>
      <c r="O609" s="1585"/>
      <c r="P609" s="1585"/>
    </row>
    <row r="610" spans="1:16" ht="15.75" thickBot="1" x14ac:dyDescent="0.25">
      <c r="A610" s="21"/>
      <c r="B610" s="21"/>
      <c r="C610" s="21"/>
      <c r="D610" s="21"/>
      <c r="E610" s="834" t="s">
        <v>1136</v>
      </c>
      <c r="F610" s="828"/>
      <c r="G610" s="2079">
        <v>0</v>
      </c>
      <c r="H610" s="1493">
        <v>0</v>
      </c>
      <c r="I610" s="1494">
        <v>0</v>
      </c>
      <c r="J610" s="1494">
        <v>0</v>
      </c>
      <c r="K610" s="1495">
        <v>0</v>
      </c>
      <c r="L610" s="1613"/>
      <c r="M610" s="1614"/>
      <c r="N610" s="1614"/>
      <c r="O610" s="1614"/>
      <c r="P610" s="1614"/>
    </row>
    <row r="611" spans="1:16" ht="16.5" thickTop="1" x14ac:dyDescent="0.25">
      <c r="A611" s="21"/>
      <c r="B611" s="21"/>
      <c r="C611" s="21"/>
      <c r="D611" s="21"/>
      <c r="E611" s="303" t="s">
        <v>943</v>
      </c>
      <c r="F611" s="390"/>
      <c r="G611" s="2080">
        <v>0</v>
      </c>
      <c r="H611" s="1496">
        <v>0</v>
      </c>
      <c r="I611" s="1497">
        <v>0</v>
      </c>
      <c r="J611" s="1497">
        <v>0</v>
      </c>
      <c r="K611" s="1563">
        <v>0</v>
      </c>
      <c r="L611" s="1609"/>
      <c r="M611" s="1610"/>
      <c r="N611" s="1610"/>
      <c r="O611" s="1610"/>
      <c r="P611" s="1610"/>
    </row>
    <row r="612" spans="1:16" ht="15.75" thickBot="1" x14ac:dyDescent="0.25">
      <c r="A612" s="21"/>
      <c r="B612" s="21"/>
      <c r="C612" s="21"/>
      <c r="D612" s="21"/>
      <c r="E612" s="291" t="s">
        <v>944</v>
      </c>
      <c r="F612" s="373"/>
      <c r="G612" s="2063">
        <v>0</v>
      </c>
      <c r="H612" s="1488">
        <v>0</v>
      </c>
      <c r="I612" s="1489">
        <v>0</v>
      </c>
      <c r="J612" s="1489">
        <v>0</v>
      </c>
      <c r="K612" s="1490">
        <v>0</v>
      </c>
      <c r="L612" s="1569"/>
      <c r="M612" s="1570"/>
      <c r="N612" s="1570"/>
      <c r="O612" s="1570"/>
      <c r="P612" s="1570"/>
    </row>
    <row r="613" spans="1:16" ht="15.75" thickTop="1" x14ac:dyDescent="0.2">
      <c r="A613" s="21"/>
      <c r="B613" s="21"/>
      <c r="C613" s="21"/>
      <c r="D613" s="21"/>
      <c r="E613" s="832" t="s">
        <v>1137</v>
      </c>
      <c r="F613" s="373"/>
      <c r="G613" s="2063">
        <v>0</v>
      </c>
      <c r="H613" s="1488">
        <v>0</v>
      </c>
      <c r="I613" s="1489">
        <v>0</v>
      </c>
      <c r="J613" s="1489">
        <v>0</v>
      </c>
      <c r="K613" s="1490">
        <v>0</v>
      </c>
      <c r="L613" s="1569"/>
      <c r="M613" s="1570"/>
      <c r="N613" s="1570"/>
      <c r="O613" s="1570"/>
      <c r="P613" s="1570"/>
    </row>
    <row r="614" spans="1:16" ht="15.75" thickBot="1" x14ac:dyDescent="0.25">
      <c r="A614" s="21"/>
      <c r="B614" s="21"/>
      <c r="C614" s="21"/>
      <c r="D614" s="21"/>
      <c r="E614" s="834" t="s">
        <v>1137</v>
      </c>
      <c r="F614" s="373"/>
      <c r="G614" s="2063">
        <v>0</v>
      </c>
      <c r="H614" s="1488">
        <v>0</v>
      </c>
      <c r="I614" s="1489">
        <v>0</v>
      </c>
      <c r="J614" s="1489">
        <v>0</v>
      </c>
      <c r="K614" s="1490">
        <v>0</v>
      </c>
      <c r="L614" s="1569"/>
      <c r="M614" s="1570"/>
      <c r="N614" s="1570"/>
      <c r="O614" s="1570"/>
      <c r="P614" s="1570"/>
    </row>
    <row r="615" spans="1:16" ht="16.5" thickTop="1" x14ac:dyDescent="0.25">
      <c r="A615" s="21"/>
      <c r="B615" s="21"/>
      <c r="C615" s="21"/>
      <c r="D615" s="21"/>
      <c r="E615" s="303" t="s">
        <v>940</v>
      </c>
      <c r="F615" s="390"/>
      <c r="G615" s="2080">
        <v>0</v>
      </c>
      <c r="H615" s="1496">
        <v>0</v>
      </c>
      <c r="I615" s="1497">
        <v>0</v>
      </c>
      <c r="J615" s="1497">
        <v>0</v>
      </c>
      <c r="K615" s="1563">
        <v>0</v>
      </c>
      <c r="L615" s="1609"/>
      <c r="M615" s="1610"/>
      <c r="N615" s="1610"/>
      <c r="O615" s="1610"/>
      <c r="P615" s="1610"/>
    </row>
    <row r="616" spans="1:16" s="322" customFormat="1" x14ac:dyDescent="0.25">
      <c r="A616" s="320"/>
      <c r="B616" s="320"/>
      <c r="C616" s="320"/>
      <c r="D616" s="320"/>
      <c r="E616" s="332" t="s">
        <v>946</v>
      </c>
      <c r="F616" s="394">
        <f t="shared" ref="F616:L616" si="75">SUM(F604:F611,F615)</f>
        <v>0</v>
      </c>
      <c r="G616" s="2081">
        <f t="shared" si="75"/>
        <v>19057907.799999997</v>
      </c>
      <c r="H616" s="1618">
        <f>SUM(H604:H611,H615)</f>
        <v>9279727.5999999996</v>
      </c>
      <c r="I616" s="1617">
        <f>SUM(I604:I611,I615)</f>
        <v>37965812.399999999</v>
      </c>
      <c r="J616" s="1617">
        <f>SUM(J604:J611,J615)</f>
        <v>92895351.800000012</v>
      </c>
      <c r="K616" s="1619">
        <f t="shared" si="75"/>
        <v>105730977</v>
      </c>
      <c r="L616" s="1590">
        <f t="shared" si="75"/>
        <v>0</v>
      </c>
      <c r="M616" s="1591"/>
      <c r="N616" s="1591"/>
      <c r="O616" s="1591"/>
      <c r="P616" s="1591"/>
    </row>
    <row r="617" spans="1:16" s="319" customFormat="1" ht="29.25" customHeight="1" x14ac:dyDescent="0.2">
      <c r="A617" s="318"/>
      <c r="B617" s="318"/>
      <c r="C617" s="318"/>
      <c r="D617" s="318"/>
      <c r="E617" s="323" t="s">
        <v>927</v>
      </c>
      <c r="F617" s="378"/>
      <c r="G617" s="2082">
        <v>-16514.8</v>
      </c>
      <c r="H617" s="1615">
        <v>-29067.599999999999</v>
      </c>
      <c r="I617" s="1438">
        <v>-35516.399999999994</v>
      </c>
      <c r="J617" s="1438">
        <v>-30063.800000000003</v>
      </c>
      <c r="K617" s="1616">
        <v>-701177</v>
      </c>
      <c r="L617" s="1584"/>
      <c r="M617" s="1585"/>
      <c r="N617" s="1585"/>
      <c r="O617" s="1585"/>
      <c r="P617" s="1585"/>
    </row>
    <row r="618" spans="1:16" ht="42" customHeight="1" x14ac:dyDescent="0.2">
      <c r="A618" s="21"/>
      <c r="B618" s="21"/>
      <c r="C618" s="21"/>
      <c r="D618" s="21"/>
      <c r="E618" s="307" t="s">
        <v>945</v>
      </c>
      <c r="F618" s="374">
        <f t="shared" ref="F618:K618" si="76">SUM(F616:F617)</f>
        <v>0</v>
      </c>
      <c r="G618" s="1342">
        <f t="shared" si="76"/>
        <v>19041392.999999996</v>
      </c>
      <c r="H618" s="1343">
        <f t="shared" si="76"/>
        <v>9250660</v>
      </c>
      <c r="I618" s="1342">
        <f t="shared" si="76"/>
        <v>37930296</v>
      </c>
      <c r="J618" s="1342">
        <f t="shared" si="76"/>
        <v>92865288.000000015</v>
      </c>
      <c r="K618" s="1344">
        <f t="shared" si="76"/>
        <v>105029800</v>
      </c>
      <c r="L618" s="1588">
        <f>SUM(L616:L617)</f>
        <v>0</v>
      </c>
      <c r="M618" s="1589"/>
      <c r="N618" s="1589"/>
      <c r="O618" s="1589"/>
      <c r="P618" s="1589"/>
    </row>
    <row r="619" spans="1:16" ht="16.5" outlineLevel="1" thickBot="1" x14ac:dyDescent="0.3">
      <c r="A619" s="21"/>
      <c r="B619" s="21"/>
      <c r="C619" s="21"/>
      <c r="D619" s="21"/>
      <c r="E619" s="309" t="s">
        <v>474</v>
      </c>
      <c r="F619" s="386">
        <f t="shared" ref="F619:K619" si="77">SUM(F17,-F618)</f>
        <v>0</v>
      </c>
      <c r="G619" s="1311">
        <f t="shared" si="77"/>
        <v>0</v>
      </c>
      <c r="H619" s="1499">
        <f t="shared" si="77"/>
        <v>0</v>
      </c>
      <c r="I619" s="1500">
        <f t="shared" si="77"/>
        <v>0</v>
      </c>
      <c r="J619" s="1500">
        <f t="shared" si="77"/>
        <v>0</v>
      </c>
      <c r="K619" s="1501">
        <f t="shared" si="77"/>
        <v>0</v>
      </c>
      <c r="L619" s="2084"/>
      <c r="M619" s="386"/>
      <c r="N619" s="386"/>
      <c r="O619" s="386"/>
      <c r="P619" s="386"/>
    </row>
    <row r="620" spans="1:16" ht="15.75" thickTop="1" x14ac:dyDescent="0.2">
      <c r="A620" s="21"/>
      <c r="B620" s="21"/>
      <c r="C620" s="21"/>
      <c r="D620" s="21"/>
      <c r="E620" s="291"/>
      <c r="F620" s="387"/>
      <c r="G620" s="387"/>
      <c r="H620" s="387"/>
      <c r="I620" s="387"/>
      <c r="J620" s="387"/>
      <c r="K620" s="387"/>
      <c r="L620" s="387"/>
      <c r="M620" s="387"/>
      <c r="N620" s="387"/>
      <c r="O620" s="387"/>
      <c r="P620" s="387"/>
    </row>
    <row r="621" spans="1:16" x14ac:dyDescent="0.2">
      <c r="A621" s="21"/>
      <c r="B621" s="21"/>
      <c r="C621" s="21"/>
      <c r="D621" s="21"/>
      <c r="E621" s="291"/>
      <c r="F621" s="387"/>
      <c r="G621" s="387"/>
      <c r="H621" s="387"/>
      <c r="I621" s="387"/>
      <c r="J621" s="387"/>
      <c r="K621" s="387"/>
      <c r="L621" s="387"/>
      <c r="M621" s="387"/>
      <c r="N621" s="387"/>
      <c r="O621" s="387"/>
      <c r="P621" s="387"/>
    </row>
    <row r="622" spans="1:16" ht="18.75" thickBot="1" x14ac:dyDescent="0.3">
      <c r="A622" s="21"/>
      <c r="B622" s="21"/>
      <c r="C622" s="21"/>
      <c r="D622" s="21"/>
      <c r="E622" s="324" t="s">
        <v>947</v>
      </c>
      <c r="F622" s="387" t="s">
        <v>348</v>
      </c>
      <c r="G622" s="387"/>
      <c r="H622" s="387"/>
      <c r="I622" s="387"/>
      <c r="J622" s="387"/>
      <c r="K622" s="387"/>
      <c r="L622" s="1843" t="s">
        <v>3379</v>
      </c>
      <c r="M622" s="1846"/>
      <c r="N622" s="1846"/>
      <c r="O622" s="1846"/>
      <c r="P622" s="1846"/>
    </row>
    <row r="623" spans="1:16" ht="15.75" thickTop="1" x14ac:dyDescent="0.2">
      <c r="A623" s="21"/>
      <c r="B623" s="21"/>
      <c r="C623" s="21"/>
      <c r="D623" s="21"/>
      <c r="E623" s="306" t="str">
        <f t="shared" ref="E623:P623" si="78">E7</f>
        <v>тыс. руб.</v>
      </c>
      <c r="F623" s="301">
        <f t="shared" si="78"/>
        <v>0</v>
      </c>
      <c r="G623" s="301">
        <f t="shared" si="78"/>
        <v>2016</v>
      </c>
      <c r="H623" s="726">
        <f t="shared" si="78"/>
        <v>2017</v>
      </c>
      <c r="I623" s="727">
        <f t="shared" si="78"/>
        <v>2018</v>
      </c>
      <c r="J623" s="727">
        <f t="shared" si="78"/>
        <v>2019</v>
      </c>
      <c r="K623" s="727">
        <f t="shared" si="78"/>
        <v>2020</v>
      </c>
      <c r="L623" s="1844">
        <f t="shared" si="78"/>
        <v>2021</v>
      </c>
      <c r="M623" s="1844">
        <f t="shared" si="78"/>
        <v>2022</v>
      </c>
      <c r="N623" s="1844">
        <f t="shared" si="78"/>
        <v>2023</v>
      </c>
      <c r="O623" s="1844">
        <f t="shared" si="78"/>
        <v>2024</v>
      </c>
      <c r="P623" s="1845">
        <f t="shared" si="78"/>
        <v>2025</v>
      </c>
    </row>
    <row r="624" spans="1:16" x14ac:dyDescent="0.2">
      <c r="A624" s="21"/>
      <c r="B624" s="21"/>
      <c r="C624" s="21"/>
      <c r="D624" s="21"/>
      <c r="E624" s="291" t="s">
        <v>948</v>
      </c>
      <c r="F624" s="373"/>
      <c r="G624" s="373">
        <v>0</v>
      </c>
      <c r="H624" s="729">
        <v>0</v>
      </c>
      <c r="I624" s="373">
        <v>742061</v>
      </c>
      <c r="J624" s="387">
        <v>1523408</v>
      </c>
      <c r="K624" s="387">
        <v>6207334</v>
      </c>
      <c r="L624" s="1846">
        <v>1743193</v>
      </c>
      <c r="M624" s="1846">
        <v>2763779</v>
      </c>
      <c r="N624" s="1846">
        <v>10717397</v>
      </c>
      <c r="O624" s="1846">
        <v>3443821</v>
      </c>
      <c r="P624" s="2048"/>
    </row>
    <row r="625" spans="1:16" x14ac:dyDescent="0.2">
      <c r="A625" s="21"/>
      <c r="B625" s="21"/>
      <c r="C625" s="21"/>
      <c r="D625" s="21"/>
      <c r="E625" s="291" t="s">
        <v>949</v>
      </c>
      <c r="F625" s="373"/>
      <c r="G625" s="373">
        <v>0</v>
      </c>
      <c r="H625" s="729">
        <v>0</v>
      </c>
      <c r="I625" s="373">
        <v>0</v>
      </c>
      <c r="J625" s="373">
        <v>0</v>
      </c>
      <c r="K625" s="373">
        <v>0</v>
      </c>
      <c r="L625" s="2049"/>
      <c r="M625" s="2049"/>
      <c r="N625" s="2049"/>
      <c r="O625" s="2049"/>
      <c r="P625" s="2050"/>
    </row>
    <row r="626" spans="1:16" ht="27" customHeight="1" x14ac:dyDescent="0.2">
      <c r="A626" s="21"/>
      <c r="B626" s="21"/>
      <c r="C626" s="21"/>
      <c r="D626" s="21"/>
      <c r="E626" s="307" t="s">
        <v>508</v>
      </c>
      <c r="F626" s="374">
        <f t="shared" ref="F626:P626" si="79">SUM(F624:F625)</f>
        <v>0</v>
      </c>
      <c r="G626" s="374">
        <f t="shared" si="79"/>
        <v>0</v>
      </c>
      <c r="H626" s="732">
        <f t="shared" si="79"/>
        <v>0</v>
      </c>
      <c r="I626" s="374">
        <f t="shared" si="79"/>
        <v>742061</v>
      </c>
      <c r="J626" s="374">
        <f t="shared" si="79"/>
        <v>1523408</v>
      </c>
      <c r="K626" s="374">
        <f t="shared" si="79"/>
        <v>6207334</v>
      </c>
      <c r="L626" s="2069">
        <f t="shared" si="79"/>
        <v>1743193</v>
      </c>
      <c r="M626" s="2069">
        <f t="shared" si="79"/>
        <v>2763779</v>
      </c>
      <c r="N626" s="2069">
        <f t="shared" si="79"/>
        <v>10717397</v>
      </c>
      <c r="O626" s="2069">
        <f t="shared" si="79"/>
        <v>3443821</v>
      </c>
      <c r="P626" s="2070">
        <f t="shared" si="79"/>
        <v>0</v>
      </c>
    </row>
    <row r="627" spans="1:16" ht="16.5" outlineLevel="1" thickBot="1" x14ac:dyDescent="0.3">
      <c r="A627" s="21"/>
      <c r="B627" s="21"/>
      <c r="C627" s="21"/>
      <c r="D627" s="21"/>
      <c r="E627" s="309" t="s">
        <v>474</v>
      </c>
      <c r="F627" s="386">
        <f t="shared" ref="F627:P627" si="80">F26-F626</f>
        <v>0</v>
      </c>
      <c r="G627" s="386">
        <f t="shared" si="80"/>
        <v>0</v>
      </c>
      <c r="H627" s="734">
        <f t="shared" si="80"/>
        <v>0</v>
      </c>
      <c r="I627" s="735">
        <f t="shared" si="80"/>
        <v>0</v>
      </c>
      <c r="J627" s="735">
        <f t="shared" si="80"/>
        <v>0</v>
      </c>
      <c r="K627" s="735">
        <f t="shared" si="80"/>
        <v>0</v>
      </c>
      <c r="L627" s="735">
        <f t="shared" si="80"/>
        <v>0</v>
      </c>
      <c r="M627" s="735">
        <f t="shared" si="80"/>
        <v>0</v>
      </c>
      <c r="N627" s="735">
        <f t="shared" si="80"/>
        <v>0</v>
      </c>
      <c r="O627" s="735">
        <f t="shared" si="80"/>
        <v>0</v>
      </c>
      <c r="P627" s="736">
        <f t="shared" si="80"/>
        <v>0</v>
      </c>
    </row>
    <row r="628" spans="1:16" ht="15.75" thickTop="1" x14ac:dyDescent="0.2">
      <c r="A628" s="21"/>
      <c r="B628" s="21"/>
      <c r="C628" s="21"/>
      <c r="D628" s="21"/>
      <c r="E628" s="291"/>
      <c r="F628" s="387"/>
      <c r="G628" s="387"/>
      <c r="H628" s="387"/>
      <c r="I628" s="387"/>
      <c r="J628" s="387"/>
      <c r="K628" s="387"/>
      <c r="L628" s="387"/>
      <c r="M628" s="387"/>
      <c r="N628" s="387"/>
      <c r="O628" s="387"/>
      <c r="P628" s="387"/>
    </row>
    <row r="629" spans="1:16" x14ac:dyDescent="0.2">
      <c r="A629" s="21"/>
      <c r="B629" s="21"/>
      <c r="C629" s="21"/>
      <c r="D629" s="21"/>
      <c r="E629" s="291"/>
      <c r="F629" s="387"/>
      <c r="G629" s="387"/>
      <c r="H629" s="387"/>
      <c r="I629" s="387"/>
      <c r="J629" s="387"/>
      <c r="K629" s="387"/>
      <c r="L629" s="387"/>
      <c r="M629" s="387"/>
      <c r="N629" s="387"/>
      <c r="O629" s="387"/>
      <c r="P629" s="387"/>
    </row>
    <row r="630" spans="1:16" x14ac:dyDescent="0.2">
      <c r="A630" s="21"/>
      <c r="B630" s="21"/>
      <c r="C630" s="21"/>
      <c r="D630" s="21"/>
      <c r="E630" s="291"/>
      <c r="F630" s="387"/>
      <c r="G630" s="387"/>
      <c r="H630" s="387"/>
      <c r="I630" s="387"/>
      <c r="J630" s="387"/>
      <c r="K630" s="387"/>
      <c r="L630" s="387"/>
      <c r="M630" s="387"/>
      <c r="N630" s="387"/>
      <c r="O630" s="387"/>
      <c r="P630" s="387"/>
    </row>
    <row r="631" spans="1:16" ht="18.75" thickBot="1" x14ac:dyDescent="0.3">
      <c r="A631" s="21"/>
      <c r="B631" s="21"/>
      <c r="C631" s="21"/>
      <c r="D631" s="21"/>
      <c r="E631" s="324" t="s">
        <v>20</v>
      </c>
      <c r="F631" s="387" t="s">
        <v>348</v>
      </c>
      <c r="G631" s="387"/>
      <c r="H631" s="387"/>
      <c r="I631" s="387"/>
      <c r="J631" s="387"/>
      <c r="K631" s="387"/>
      <c r="L631" s="1843" t="s">
        <v>3379</v>
      </c>
      <c r="M631" s="1211"/>
      <c r="N631" s="1846"/>
      <c r="O631" s="1847"/>
      <c r="P631" s="1846"/>
    </row>
    <row r="632" spans="1:16" ht="15.75" thickTop="1" x14ac:dyDescent="0.2">
      <c r="A632" s="21"/>
      <c r="B632" s="21"/>
      <c r="C632" s="21"/>
      <c r="D632" s="21"/>
      <c r="E632" s="306" t="str">
        <f t="shared" ref="E632:P632" si="81">E7</f>
        <v>тыс. руб.</v>
      </c>
      <c r="F632" s="301">
        <f t="shared" si="81"/>
        <v>0</v>
      </c>
      <c r="G632" s="768">
        <f t="shared" si="81"/>
        <v>2016</v>
      </c>
      <c r="H632" s="727">
        <f t="shared" si="81"/>
        <v>2017</v>
      </c>
      <c r="I632" s="727">
        <f t="shared" si="81"/>
        <v>2018</v>
      </c>
      <c r="J632" s="727">
        <f t="shared" si="81"/>
        <v>2019</v>
      </c>
      <c r="K632" s="727">
        <f t="shared" si="81"/>
        <v>2020</v>
      </c>
      <c r="L632" s="1844">
        <f t="shared" si="81"/>
        <v>2021</v>
      </c>
      <c r="M632" s="1844">
        <f t="shared" si="81"/>
        <v>2022</v>
      </c>
      <c r="N632" s="1844">
        <f t="shared" si="81"/>
        <v>2023</v>
      </c>
      <c r="O632" s="1844">
        <f t="shared" si="81"/>
        <v>2024</v>
      </c>
      <c r="P632" s="1850">
        <f t="shared" si="81"/>
        <v>2025</v>
      </c>
    </row>
    <row r="633" spans="1:16" x14ac:dyDescent="0.2">
      <c r="A633" s="21"/>
      <c r="B633" s="21"/>
      <c r="C633" s="21"/>
      <c r="D633" s="21"/>
      <c r="E633" s="291" t="s">
        <v>950</v>
      </c>
      <c r="F633" s="373"/>
      <c r="G633" s="730">
        <v>81315</v>
      </c>
      <c r="H633" s="1438">
        <v>10998</v>
      </c>
      <c r="I633" s="1438">
        <v>7853.0000000000009</v>
      </c>
      <c r="J633" s="1438">
        <v>658125.01191</v>
      </c>
      <c r="K633" s="1438">
        <v>730482</v>
      </c>
      <c r="L633" s="2020">
        <v>10396</v>
      </c>
      <c r="M633" s="2121">
        <v>38318.5</v>
      </c>
      <c r="N633" s="2020">
        <v>4793791</v>
      </c>
      <c r="O633" s="2121">
        <f>M633/M637*O639</f>
        <v>482491.67744119448</v>
      </c>
      <c r="P633" s="2083"/>
    </row>
    <row r="634" spans="1:16" x14ac:dyDescent="0.2">
      <c r="A634" s="21"/>
      <c r="B634" s="21"/>
      <c r="C634" s="21"/>
      <c r="D634" s="21"/>
      <c r="E634" s="291" t="s">
        <v>948</v>
      </c>
      <c r="F634" s="373"/>
      <c r="G634" s="730">
        <v>3727595</v>
      </c>
      <c r="H634" s="1438">
        <v>131708</v>
      </c>
      <c r="I634" s="1438">
        <v>248629</v>
      </c>
      <c r="J634" s="1438">
        <v>1099913.9880900001</v>
      </c>
      <c r="K634" s="1438">
        <v>1107163</v>
      </c>
      <c r="L634" s="2020">
        <v>2643027</v>
      </c>
      <c r="M634" s="2121">
        <v>9741893.5</v>
      </c>
      <c r="N634" s="2020">
        <v>51386427</v>
      </c>
      <c r="O634" s="2121">
        <f>O639-O633</f>
        <v>122666141.32255881</v>
      </c>
      <c r="P634" s="2021"/>
    </row>
    <row r="635" spans="1:16" x14ac:dyDescent="0.2">
      <c r="A635" s="21"/>
      <c r="B635" s="21"/>
      <c r="C635" s="21"/>
      <c r="D635" s="21"/>
      <c r="E635" s="291" t="s">
        <v>949</v>
      </c>
      <c r="F635" s="373"/>
      <c r="G635" s="730">
        <v>5281491</v>
      </c>
      <c r="H635" s="1438">
        <v>12638287</v>
      </c>
      <c r="I635" s="1438">
        <v>1084184</v>
      </c>
      <c r="J635" s="1438">
        <v>3091698</v>
      </c>
      <c r="K635" s="1438">
        <v>2074423</v>
      </c>
      <c r="L635" s="2020"/>
      <c r="M635" s="2020"/>
      <c r="N635" s="2020"/>
      <c r="O635" s="2020"/>
      <c r="P635" s="2021"/>
    </row>
    <row r="636" spans="1:16" x14ac:dyDescent="0.2">
      <c r="A636" s="21"/>
      <c r="B636" s="21"/>
      <c r="C636" s="21"/>
      <c r="D636" s="21"/>
      <c r="E636" s="291"/>
      <c r="F636" s="373"/>
      <c r="G636" s="373"/>
      <c r="H636" s="1488"/>
      <c r="I636" s="1489"/>
      <c r="J636" s="1438"/>
      <c r="K636" s="1489"/>
      <c r="L636" s="2022"/>
      <c r="M636" s="2022"/>
      <c r="N636" s="2022"/>
      <c r="O636" s="2022"/>
      <c r="P636" s="2023"/>
    </row>
    <row r="637" spans="1:16" ht="32.25" customHeight="1" x14ac:dyDescent="0.2">
      <c r="A637" s="21"/>
      <c r="B637" s="21"/>
      <c r="C637" s="21"/>
      <c r="D637" s="21"/>
      <c r="E637" s="307" t="s">
        <v>497</v>
      </c>
      <c r="F637" s="374">
        <f t="shared" ref="F637:K637" si="82">SUM(F633:F636)</f>
        <v>0</v>
      </c>
      <c r="G637" s="374">
        <f t="shared" si="82"/>
        <v>9090401</v>
      </c>
      <c r="H637" s="1343">
        <f t="shared" si="82"/>
        <v>12780993</v>
      </c>
      <c r="I637" s="1342">
        <f t="shared" si="82"/>
        <v>1340666</v>
      </c>
      <c r="J637" s="1342">
        <f>SUM(J633:J636)</f>
        <v>4849737</v>
      </c>
      <c r="K637" s="1342">
        <f t="shared" si="82"/>
        <v>3912068</v>
      </c>
      <c r="L637" s="2028">
        <f>SUM(L633:L636)</f>
        <v>2653423</v>
      </c>
      <c r="M637" s="2028">
        <f t="shared" ref="M637:P637" si="83">SUM(M633:M636)</f>
        <v>9780212</v>
      </c>
      <c r="N637" s="2028">
        <f t="shared" si="83"/>
        <v>56180218</v>
      </c>
      <c r="O637" s="2028">
        <f t="shared" si="83"/>
        <v>123148633</v>
      </c>
      <c r="P637" s="2085">
        <f t="shared" si="83"/>
        <v>0</v>
      </c>
    </row>
    <row r="638" spans="1:16" ht="16.5" outlineLevel="1" thickBot="1" x14ac:dyDescent="0.3">
      <c r="A638" s="21"/>
      <c r="B638" s="21"/>
      <c r="C638" s="21"/>
      <c r="D638" s="21"/>
      <c r="E638" s="309" t="s">
        <v>474</v>
      </c>
      <c r="F638" s="386">
        <f t="shared" ref="F638:P638" si="84">F28-F637</f>
        <v>0</v>
      </c>
      <c r="G638" s="386">
        <f t="shared" si="84"/>
        <v>0</v>
      </c>
      <c r="H638" s="1499">
        <f t="shared" si="84"/>
        <v>0</v>
      </c>
      <c r="I638" s="1500">
        <f t="shared" si="84"/>
        <v>0</v>
      </c>
      <c r="J638" s="1500">
        <f t="shared" si="84"/>
        <v>0</v>
      </c>
      <c r="K638" s="1500">
        <f t="shared" si="84"/>
        <v>0</v>
      </c>
      <c r="L638" s="1500">
        <f t="shared" si="84"/>
        <v>0</v>
      </c>
      <c r="M638" s="1500">
        <f t="shared" si="84"/>
        <v>0</v>
      </c>
      <c r="N638" s="1500">
        <f t="shared" si="84"/>
        <v>0</v>
      </c>
      <c r="O638" s="1500">
        <f t="shared" si="84"/>
        <v>0</v>
      </c>
      <c r="P638" s="1501">
        <f t="shared" si="84"/>
        <v>0</v>
      </c>
    </row>
    <row r="639" spans="1:16" ht="15.75" thickTop="1" x14ac:dyDescent="0.2">
      <c r="A639" s="21"/>
      <c r="B639" s="21"/>
      <c r="C639" s="21"/>
      <c r="D639" s="21"/>
      <c r="E639" s="291"/>
      <c r="F639" s="387"/>
      <c r="G639" s="387"/>
      <c r="H639" s="387"/>
      <c r="I639" s="387"/>
      <c r="J639" s="387"/>
      <c r="K639" s="387"/>
      <c r="L639" s="387"/>
      <c r="M639" s="387"/>
      <c r="N639" s="387"/>
      <c r="O639" s="387">
        <v>123148633</v>
      </c>
      <c r="P639" s="387"/>
    </row>
    <row r="640" spans="1:16" x14ac:dyDescent="0.2">
      <c r="A640" s="21"/>
      <c r="B640" s="21"/>
      <c r="C640" s="21"/>
      <c r="D640" s="21"/>
      <c r="E640" s="291"/>
      <c r="F640" s="387"/>
      <c r="G640" s="387"/>
      <c r="H640" s="387"/>
      <c r="I640" s="387"/>
      <c r="J640" s="387"/>
      <c r="K640" s="387"/>
      <c r="L640" s="387"/>
      <c r="M640" s="387"/>
      <c r="N640" s="387"/>
      <c r="O640" s="387"/>
      <c r="P640" s="387"/>
    </row>
    <row r="641" spans="1:23" x14ac:dyDescent="0.2">
      <c r="A641" s="21"/>
      <c r="B641" s="21"/>
      <c r="C641" s="21"/>
      <c r="D641" s="21"/>
      <c r="E641" s="291"/>
      <c r="F641" s="387"/>
      <c r="G641" s="387"/>
      <c r="H641" s="387"/>
      <c r="I641" s="387"/>
      <c r="J641" s="387"/>
      <c r="K641" s="387"/>
      <c r="L641" s="387"/>
      <c r="M641" s="387"/>
      <c r="N641" s="387"/>
      <c r="O641" s="387"/>
      <c r="P641" s="387"/>
    </row>
    <row r="642" spans="1:23" ht="18.75" thickBot="1" x14ac:dyDescent="0.3">
      <c r="A642" s="21"/>
      <c r="B642" s="21"/>
      <c r="C642" s="21"/>
      <c r="D642" s="21"/>
      <c r="E642" s="324" t="s">
        <v>568</v>
      </c>
      <c r="F642" s="387" t="s">
        <v>348</v>
      </c>
      <c r="G642" s="387"/>
      <c r="H642" s="387"/>
      <c r="I642" s="387"/>
      <c r="J642" s="387"/>
      <c r="K642" s="387"/>
      <c r="L642" s="1843" t="s">
        <v>3379</v>
      </c>
      <c r="M642" s="1211"/>
      <c r="N642" s="1846"/>
      <c r="O642" s="1847"/>
      <c r="P642" s="1846"/>
    </row>
    <row r="643" spans="1:23" ht="15.75" thickTop="1" x14ac:dyDescent="0.2">
      <c r="A643" s="21"/>
      <c r="B643" s="21"/>
      <c r="C643" s="21"/>
      <c r="D643" s="21"/>
      <c r="E643" s="306" t="str">
        <f t="shared" ref="E643:P643" si="85">E7</f>
        <v>тыс. руб.</v>
      </c>
      <c r="F643" s="301">
        <f t="shared" si="85"/>
        <v>0</v>
      </c>
      <c r="G643" s="301">
        <f t="shared" si="85"/>
        <v>2016</v>
      </c>
      <c r="H643" s="726">
        <f t="shared" si="85"/>
        <v>2017</v>
      </c>
      <c r="I643" s="727">
        <f t="shared" si="85"/>
        <v>2018</v>
      </c>
      <c r="J643" s="727">
        <f t="shared" si="85"/>
        <v>2019</v>
      </c>
      <c r="K643" s="727">
        <f t="shared" si="85"/>
        <v>2020</v>
      </c>
      <c r="L643" s="1844">
        <f t="shared" si="85"/>
        <v>2021</v>
      </c>
      <c r="M643" s="1844">
        <f t="shared" si="85"/>
        <v>2022</v>
      </c>
      <c r="N643" s="1844">
        <f t="shared" si="85"/>
        <v>2023</v>
      </c>
      <c r="O643" s="1844">
        <f t="shared" si="85"/>
        <v>2024</v>
      </c>
      <c r="P643" s="1845">
        <f t="shared" si="85"/>
        <v>2025</v>
      </c>
      <c r="S643" s="2123">
        <f>L643</f>
        <v>2021</v>
      </c>
      <c r="T643" s="2123">
        <f t="shared" ref="T643:V643" si="86">M643</f>
        <v>2022</v>
      </c>
      <c r="U643" s="2123">
        <f t="shared" si="86"/>
        <v>2023</v>
      </c>
      <c r="V643" s="2123">
        <f t="shared" si="86"/>
        <v>2024</v>
      </c>
      <c r="W643" s="2123"/>
    </row>
    <row r="644" spans="1:23" s="28" customFormat="1" ht="15.75" x14ac:dyDescent="0.25">
      <c r="A644" s="11"/>
      <c r="B644" s="11"/>
      <c r="C644" s="11"/>
      <c r="D644" s="11"/>
      <c r="E644" s="303" t="s">
        <v>3383</v>
      </c>
      <c r="F644" s="390">
        <f t="shared" ref="F644:K644" si="87">SUM(F645:F647)</f>
        <v>0</v>
      </c>
      <c r="G644" s="731">
        <f t="shared" si="87"/>
        <v>215104639</v>
      </c>
      <c r="H644" s="390">
        <f t="shared" si="87"/>
        <v>237776313</v>
      </c>
      <c r="I644" s="390">
        <f t="shared" si="87"/>
        <v>290411493</v>
      </c>
      <c r="J644" s="390">
        <f t="shared" si="87"/>
        <v>352974024</v>
      </c>
      <c r="K644" s="390">
        <f t="shared" si="87"/>
        <v>377243683</v>
      </c>
      <c r="L644" s="2086">
        <f>SUM(L645:L647)</f>
        <v>442969511</v>
      </c>
      <c r="M644" s="2086">
        <v>554056362</v>
      </c>
      <c r="N644" s="2086">
        <f t="shared" ref="N644:P644" si="88">SUM(N645:N647)</f>
        <v>508633697</v>
      </c>
      <c r="O644" s="2086">
        <v>516452984</v>
      </c>
      <c r="P644" s="2087">
        <f t="shared" si="88"/>
        <v>0</v>
      </c>
      <c r="S644" s="2124">
        <f>L644/L$644</f>
        <v>1</v>
      </c>
      <c r="T644" s="2124">
        <f t="shared" ref="T644:T646" si="89">M644/M$644</f>
        <v>1</v>
      </c>
      <c r="U644" s="2124">
        <f t="shared" ref="U644:U646" si="90">N644/N$644</f>
        <v>1</v>
      </c>
      <c r="V644" s="2124">
        <f t="shared" ref="V644:V646" si="91">O644/O$644</f>
        <v>1</v>
      </c>
      <c r="W644" s="1540"/>
    </row>
    <row r="645" spans="1:23" x14ac:dyDescent="0.2">
      <c r="A645" s="21"/>
      <c r="B645" s="21"/>
      <c r="C645" s="21"/>
      <c r="D645" s="21"/>
      <c r="E645" s="291" t="s">
        <v>501</v>
      </c>
      <c r="F645" s="373"/>
      <c r="G645" s="730">
        <v>48905540</v>
      </c>
      <c r="H645" s="387">
        <v>48537859</v>
      </c>
      <c r="I645" s="387">
        <v>53547759</v>
      </c>
      <c r="J645" s="387">
        <v>58969373</v>
      </c>
      <c r="K645" s="387">
        <v>76929614</v>
      </c>
      <c r="L645" s="1846">
        <v>61113154</v>
      </c>
      <c r="M645" s="1846">
        <f>M644*0.185</f>
        <v>102500426.97</v>
      </c>
      <c r="N645" s="1846">
        <v>117457817</v>
      </c>
      <c r="O645" s="1846">
        <f>O644*0.25</f>
        <v>129113246</v>
      </c>
      <c r="P645" s="2048"/>
      <c r="S645" s="2125">
        <f t="shared" ref="S645:S646" si="92">L645/L$644</f>
        <v>0.13796243868350569</v>
      </c>
      <c r="T645" s="2125">
        <f t="shared" si="89"/>
        <v>0.185</v>
      </c>
      <c r="U645" s="2125">
        <f t="shared" si="90"/>
        <v>0.23092810738412403</v>
      </c>
      <c r="V645" s="2125">
        <f t="shared" si="91"/>
        <v>0.25</v>
      </c>
      <c r="W645" s="1367"/>
    </row>
    <row r="646" spans="1:23" x14ac:dyDescent="0.2">
      <c r="A646" s="21"/>
      <c r="B646" s="21"/>
      <c r="C646" s="21"/>
      <c r="D646" s="21"/>
      <c r="E646" s="291" t="s">
        <v>502</v>
      </c>
      <c r="F646" s="373"/>
      <c r="G646" s="730">
        <v>161952616</v>
      </c>
      <c r="H646" s="387">
        <v>189238454</v>
      </c>
      <c r="I646" s="387">
        <v>236863734</v>
      </c>
      <c r="J646" s="387">
        <v>294004651</v>
      </c>
      <c r="K646" s="387">
        <v>300314069</v>
      </c>
      <c r="L646" s="1846">
        <v>381856357</v>
      </c>
      <c r="M646" s="1846">
        <f>M644*(1-0.185)</f>
        <v>451555935.02999997</v>
      </c>
      <c r="N646" s="1846">
        <v>391175880</v>
      </c>
      <c r="O646" s="1846">
        <f>O644*0.75</f>
        <v>387339738</v>
      </c>
      <c r="P646" s="2048"/>
      <c r="S646" s="2125">
        <f t="shared" si="92"/>
        <v>0.86203756131649434</v>
      </c>
      <c r="T646" s="2125">
        <f t="shared" si="89"/>
        <v>0.81499999999999995</v>
      </c>
      <c r="U646" s="2125">
        <f t="shared" si="90"/>
        <v>0.76907189261587594</v>
      </c>
      <c r="V646" s="2125">
        <f t="shared" si="91"/>
        <v>0.75</v>
      </c>
      <c r="W646" s="1367"/>
    </row>
    <row r="647" spans="1:23" x14ac:dyDescent="0.2">
      <c r="A647" s="21"/>
      <c r="B647" s="21"/>
      <c r="C647" s="21"/>
      <c r="D647" s="21"/>
      <c r="E647" s="291" t="s">
        <v>949</v>
      </c>
      <c r="F647" s="373"/>
      <c r="G647" s="730">
        <v>4246483</v>
      </c>
      <c r="H647" s="387">
        <v>0</v>
      </c>
      <c r="I647" s="373">
        <v>0</v>
      </c>
      <c r="J647" s="373">
        <v>0</v>
      </c>
      <c r="K647" s="373">
        <v>0</v>
      </c>
      <c r="L647" s="2049"/>
      <c r="M647" s="2049"/>
      <c r="N647" s="2049"/>
      <c r="O647" s="2049"/>
      <c r="P647" s="2050"/>
      <c r="S647" s="1367"/>
      <c r="T647" s="1367"/>
      <c r="U647" s="1367"/>
      <c r="V647" s="1367"/>
      <c r="W647" s="1367"/>
    </row>
    <row r="648" spans="1:23" s="28" customFormat="1" ht="15.75" x14ac:dyDescent="0.25">
      <c r="A648" s="11"/>
      <c r="B648" s="11"/>
      <c r="C648" s="11"/>
      <c r="D648" s="11"/>
      <c r="E648" s="303" t="s">
        <v>62</v>
      </c>
      <c r="F648" s="390">
        <f t="shared" ref="F648:K648" si="93">SUM(F649:F650)</f>
        <v>0</v>
      </c>
      <c r="G648" s="746">
        <f t="shared" si="93"/>
        <v>105991828</v>
      </c>
      <c r="H648" s="390">
        <f t="shared" si="93"/>
        <v>108247779</v>
      </c>
      <c r="I648" s="390">
        <f t="shared" si="93"/>
        <v>112532485</v>
      </c>
      <c r="J648" s="390">
        <f t="shared" si="93"/>
        <v>123507908</v>
      </c>
      <c r="K648" s="390">
        <f t="shared" si="93"/>
        <v>124439685</v>
      </c>
      <c r="L648" s="2086">
        <f>SUM(L649:L650)</f>
        <v>119057672</v>
      </c>
      <c r="M648" s="2086">
        <v>152421895</v>
      </c>
      <c r="N648" s="2086">
        <f t="shared" ref="N648:P648" si="94">SUM(N649:N650)</f>
        <v>152962532</v>
      </c>
      <c r="O648" s="2086">
        <v>148946994</v>
      </c>
      <c r="P648" s="2087">
        <f t="shared" si="94"/>
        <v>0</v>
      </c>
      <c r="S648" s="2124">
        <f>L648/L$648</f>
        <v>1</v>
      </c>
      <c r="T648" s="2124">
        <f t="shared" ref="T648:T650" si="95">M648/M$648</f>
        <v>1</v>
      </c>
      <c r="U648" s="2124">
        <f t="shared" ref="U648:U650" si="96">N648/N$648</f>
        <v>1</v>
      </c>
      <c r="V648" s="2124">
        <f t="shared" ref="V648:V650" si="97">O648/O$648</f>
        <v>1</v>
      </c>
      <c r="W648" s="1540"/>
    </row>
    <row r="649" spans="1:23" x14ac:dyDescent="0.2">
      <c r="A649" s="21"/>
      <c r="B649" s="21"/>
      <c r="C649" s="21"/>
      <c r="D649" s="21"/>
      <c r="E649" s="291" t="s">
        <v>3384</v>
      </c>
      <c r="F649" s="373"/>
      <c r="G649" s="730">
        <v>15242886</v>
      </c>
      <c r="H649" s="387">
        <v>15211440</v>
      </c>
      <c r="I649" s="387">
        <v>17719175</v>
      </c>
      <c r="J649" s="387">
        <v>20471841</v>
      </c>
      <c r="K649" s="387">
        <v>29492333</v>
      </c>
      <c r="L649" s="1846">
        <v>41501188</v>
      </c>
      <c r="M649" s="1846">
        <f>M648*0.35</f>
        <v>53347663.25</v>
      </c>
      <c r="N649" s="1846">
        <v>53319762.522217102</v>
      </c>
      <c r="O649" s="1846">
        <f>O648*0.35</f>
        <v>52131447.899999999</v>
      </c>
      <c r="P649" s="2048"/>
      <c r="S649" s="2125">
        <f t="shared" ref="S649:S650" si="98">L649/L$648</f>
        <v>0.34858054338572991</v>
      </c>
      <c r="T649" s="2125">
        <f t="shared" si="95"/>
        <v>0.35</v>
      </c>
      <c r="U649" s="2125">
        <f t="shared" si="96"/>
        <v>0.34858054338572991</v>
      </c>
      <c r="V649" s="2125">
        <f t="shared" si="97"/>
        <v>0.35</v>
      </c>
      <c r="W649" s="1367"/>
    </row>
    <row r="650" spans="1:23" x14ac:dyDescent="0.2">
      <c r="A650" s="21"/>
      <c r="B650" s="21"/>
      <c r="C650" s="21"/>
      <c r="D650" s="21"/>
      <c r="E650" s="291" t="s">
        <v>502</v>
      </c>
      <c r="F650" s="373"/>
      <c r="G650" s="730">
        <v>90748942</v>
      </c>
      <c r="H650" s="387">
        <v>93036339</v>
      </c>
      <c r="I650" s="387">
        <v>94813310</v>
      </c>
      <c r="J650" s="387">
        <v>103036067</v>
      </c>
      <c r="K650" s="387">
        <v>94947352</v>
      </c>
      <c r="L650" s="1846">
        <v>77556484</v>
      </c>
      <c r="M650" s="1846">
        <f>M648*0.65</f>
        <v>99074231.75</v>
      </c>
      <c r="N650" s="1846">
        <v>99642769.477782905</v>
      </c>
      <c r="O650" s="1846">
        <f>O648*0.65</f>
        <v>96815546.100000009</v>
      </c>
      <c r="P650" s="2048"/>
      <c r="S650" s="2125">
        <f t="shared" si="98"/>
        <v>0.65141945661427014</v>
      </c>
      <c r="T650" s="2125">
        <f t="shared" si="95"/>
        <v>0.65</v>
      </c>
      <c r="U650" s="2125">
        <f t="shared" si="96"/>
        <v>0.65141945661427014</v>
      </c>
      <c r="V650" s="2125">
        <f t="shared" si="97"/>
        <v>0.65</v>
      </c>
      <c r="W650" s="1367"/>
    </row>
    <row r="651" spans="1:23" ht="31.5" customHeight="1" x14ac:dyDescent="0.2">
      <c r="A651" s="21"/>
      <c r="B651" s="21"/>
      <c r="C651" s="21"/>
      <c r="D651" s="21"/>
      <c r="E651" s="307" t="s">
        <v>507</v>
      </c>
      <c r="F651" s="374">
        <f t="shared" ref="F651:K651" si="99">SUM(F644,F648)</f>
        <v>0</v>
      </c>
      <c r="G651" s="733">
        <f t="shared" si="99"/>
        <v>321096467</v>
      </c>
      <c r="H651" s="374">
        <f t="shared" si="99"/>
        <v>346024092</v>
      </c>
      <c r="I651" s="374">
        <f t="shared" si="99"/>
        <v>402943978</v>
      </c>
      <c r="J651" s="374">
        <f t="shared" si="99"/>
        <v>476481932</v>
      </c>
      <c r="K651" s="374">
        <f t="shared" si="99"/>
        <v>501683368</v>
      </c>
      <c r="L651" s="2069">
        <f>SUM(L644,L648)</f>
        <v>562027183</v>
      </c>
      <c r="M651" s="2069">
        <f t="shared" ref="M651:P651" si="100">SUM(M644,M648)</f>
        <v>706478257</v>
      </c>
      <c r="N651" s="2069">
        <f t="shared" si="100"/>
        <v>661596229</v>
      </c>
      <c r="O651" s="2069">
        <f t="shared" si="100"/>
        <v>665399978</v>
      </c>
      <c r="P651" s="2070">
        <f t="shared" si="100"/>
        <v>0</v>
      </c>
    </row>
    <row r="652" spans="1:23" ht="16.5" outlineLevel="1" thickBot="1" x14ac:dyDescent="0.3">
      <c r="A652" s="21"/>
      <c r="B652" s="21"/>
      <c r="C652" s="21"/>
      <c r="D652" s="21"/>
      <c r="E652" s="309" t="s">
        <v>474</v>
      </c>
      <c r="F652" s="386">
        <f t="shared" ref="F652:P652" si="101">F29-F651</f>
        <v>0</v>
      </c>
      <c r="G652" s="386">
        <f t="shared" si="101"/>
        <v>0</v>
      </c>
      <c r="H652" s="1870">
        <f t="shared" si="101"/>
        <v>0</v>
      </c>
      <c r="I652" s="1871">
        <f t="shared" si="101"/>
        <v>0</v>
      </c>
      <c r="J652" s="1871">
        <f t="shared" si="101"/>
        <v>0</v>
      </c>
      <c r="K652" s="1871">
        <f t="shared" si="101"/>
        <v>0</v>
      </c>
      <c r="L652" s="1871">
        <f t="shared" si="101"/>
        <v>0</v>
      </c>
      <c r="M652" s="1871">
        <f t="shared" si="101"/>
        <v>0</v>
      </c>
      <c r="N652" s="1871">
        <f t="shared" si="101"/>
        <v>0</v>
      </c>
      <c r="O652" s="1871">
        <f t="shared" si="101"/>
        <v>0</v>
      </c>
      <c r="P652" s="1872">
        <f t="shared" si="101"/>
        <v>0</v>
      </c>
    </row>
    <row r="653" spans="1:23" s="1869" customFormat="1" ht="16.5" thickTop="1" x14ac:dyDescent="0.25">
      <c r="A653" s="1867"/>
      <c r="B653" s="1867"/>
      <c r="C653" s="1867"/>
      <c r="D653" s="1867"/>
      <c r="E653" s="812" t="s">
        <v>3402</v>
      </c>
      <c r="F653" s="1868"/>
      <c r="G653" s="1868"/>
      <c r="H653" s="1868">
        <f t="shared" ref="H653:P653" si="102">H30-H648</f>
        <v>1781054</v>
      </c>
      <c r="I653" s="1868">
        <f t="shared" si="102"/>
        <v>1915897</v>
      </c>
      <c r="J653" s="1868">
        <f t="shared" si="102"/>
        <v>781920</v>
      </c>
      <c r="K653" s="1868">
        <f t="shared" si="102"/>
        <v>3202984</v>
      </c>
      <c r="L653" s="1868">
        <f t="shared" si="102"/>
        <v>0</v>
      </c>
      <c r="M653" s="1868">
        <f t="shared" si="102"/>
        <v>0</v>
      </c>
      <c r="N653" s="1868">
        <f t="shared" si="102"/>
        <v>0</v>
      </c>
      <c r="O653" s="1868">
        <f t="shared" si="102"/>
        <v>0</v>
      </c>
      <c r="P653" s="1868">
        <f t="shared" si="102"/>
        <v>0</v>
      </c>
    </row>
    <row r="654" spans="1:23" x14ac:dyDescent="0.2">
      <c r="A654" s="21"/>
      <c r="B654" s="21"/>
      <c r="C654" s="21"/>
      <c r="D654" s="21"/>
      <c r="E654" s="291"/>
      <c r="F654" s="387"/>
      <c r="G654" s="387"/>
      <c r="H654" s="387"/>
      <c r="I654" s="387"/>
      <c r="J654" s="387"/>
      <c r="K654" s="387"/>
      <c r="L654" s="90"/>
      <c r="M654" s="90"/>
      <c r="N654" s="90"/>
      <c r="O654" s="387"/>
      <c r="P654" s="387"/>
    </row>
    <row r="655" spans="1:23" x14ac:dyDescent="0.2">
      <c r="A655" s="21"/>
      <c r="B655" s="21"/>
      <c r="C655" s="21"/>
      <c r="D655" s="21"/>
      <c r="E655" s="291"/>
      <c r="F655" s="387"/>
      <c r="G655" s="387"/>
      <c r="H655" s="387"/>
      <c r="I655" s="387"/>
      <c r="J655" s="387"/>
      <c r="K655" s="2167" t="s">
        <v>3457</v>
      </c>
      <c r="L655" s="2168"/>
      <c r="M655" s="2177" t="s">
        <v>3460</v>
      </c>
      <c r="N655" s="90"/>
      <c r="O655" s="387"/>
      <c r="P655" s="387"/>
    </row>
    <row r="656" spans="1:23" ht="16.5" thickBot="1" x14ac:dyDescent="0.3">
      <c r="A656" s="21"/>
      <c r="B656" s="21"/>
      <c r="C656" s="21"/>
      <c r="D656" s="21"/>
      <c r="E656" s="399" t="s">
        <v>3458</v>
      </c>
      <c r="F656" s="387" t="s">
        <v>348</v>
      </c>
      <c r="G656" s="387"/>
      <c r="H656" s="387"/>
      <c r="I656" s="387"/>
      <c r="J656" s="387"/>
      <c r="K656" s="2165" t="s">
        <v>328</v>
      </c>
      <c r="L656" s="2165" t="s">
        <v>328</v>
      </c>
      <c r="M656" s="2164">
        <f>ROUNDDOWN(M644/L644,2)</f>
        <v>1.25</v>
      </c>
      <c r="N656" s="2165" t="s">
        <v>328</v>
      </c>
      <c r="O656" s="2165" t="s">
        <v>328</v>
      </c>
      <c r="P656" s="387"/>
    </row>
    <row r="657" spans="1:16" ht="15.75" thickTop="1" x14ac:dyDescent="0.2">
      <c r="A657" s="21"/>
      <c r="B657" s="21"/>
      <c r="C657" s="21"/>
      <c r="D657" s="21"/>
      <c r="E657" s="764" t="str">
        <f t="shared" ref="E657:P657" si="103">E7</f>
        <v>тыс. руб.</v>
      </c>
      <c r="F657" s="301">
        <f t="shared" si="103"/>
        <v>0</v>
      </c>
      <c r="G657" s="768">
        <f t="shared" si="103"/>
        <v>2016</v>
      </c>
      <c r="H657" s="727">
        <f t="shared" si="103"/>
        <v>2017</v>
      </c>
      <c r="I657" s="727">
        <f t="shared" si="103"/>
        <v>2018</v>
      </c>
      <c r="J657" s="727">
        <f t="shared" si="103"/>
        <v>2019</v>
      </c>
      <c r="K657" s="727">
        <f t="shared" si="103"/>
        <v>2020</v>
      </c>
      <c r="L657" s="727">
        <f t="shared" si="103"/>
        <v>2021</v>
      </c>
      <c r="M657" s="727">
        <f t="shared" si="103"/>
        <v>2022</v>
      </c>
      <c r="N657" s="727">
        <f t="shared" si="103"/>
        <v>2023</v>
      </c>
      <c r="O657" s="727">
        <f t="shared" si="103"/>
        <v>2024</v>
      </c>
      <c r="P657" s="728">
        <f t="shared" si="103"/>
        <v>2025</v>
      </c>
    </row>
    <row r="658" spans="1:16" s="28" customFormat="1" ht="15.75" x14ac:dyDescent="0.25">
      <c r="A658" s="11"/>
      <c r="B658" s="11"/>
      <c r="C658" s="11"/>
      <c r="D658" s="11"/>
      <c r="E658" s="1283"/>
      <c r="F658" s="373"/>
      <c r="G658" s="2058"/>
      <c r="H658" s="1289"/>
      <c r="I658" s="1289"/>
      <c r="J658" s="1289"/>
      <c r="K658" s="1289"/>
      <c r="L658" s="1289"/>
      <c r="M658" s="1289"/>
      <c r="N658" s="1289"/>
      <c r="O658" s="1289"/>
      <c r="P658" s="1622"/>
    </row>
    <row r="659" spans="1:16" x14ac:dyDescent="0.2">
      <c r="A659" s="21"/>
      <c r="B659" s="21"/>
      <c r="C659" s="21"/>
      <c r="D659" s="21"/>
      <c r="E659" s="1283" t="s">
        <v>2570</v>
      </c>
      <c r="F659" s="373"/>
      <c r="G659" s="2058">
        <v>61744244</v>
      </c>
      <c r="H659" s="1289">
        <v>118505286</v>
      </c>
      <c r="I659" s="1289">
        <v>181712850</v>
      </c>
      <c r="J659" s="1289">
        <v>227040126</v>
      </c>
      <c r="K659" s="2166">
        <v>267893649.99999997</v>
      </c>
      <c r="L659" s="2166">
        <v>339006200</v>
      </c>
      <c r="M659" s="2163">
        <f>L659*$M$656</f>
        <v>423757750</v>
      </c>
      <c r="N659" s="2166">
        <v>323107440</v>
      </c>
      <c r="O659" s="2166">
        <v>337617960</v>
      </c>
      <c r="P659" s="1622"/>
    </row>
    <row r="660" spans="1:16" x14ac:dyDescent="0.2">
      <c r="A660" s="21"/>
      <c r="B660" s="21"/>
      <c r="C660" s="21"/>
      <c r="D660" s="21"/>
      <c r="E660" s="1283" t="s">
        <v>433</v>
      </c>
      <c r="F660" s="373"/>
      <c r="G660" s="2058">
        <v>91049087</v>
      </c>
      <c r="H660" s="1289">
        <v>81622754</v>
      </c>
      <c r="I660" s="1289">
        <v>72447090</v>
      </c>
      <c r="J660" s="1289">
        <v>80671642</v>
      </c>
      <c r="K660" s="2166">
        <v>44928200</v>
      </c>
      <c r="L660" s="2166">
        <v>53134599.999999993</v>
      </c>
      <c r="M660" s="2163">
        <f t="shared" ref="M660:M669" si="104">L660*$M$656</f>
        <v>66418249.999999993</v>
      </c>
      <c r="N660" s="2166">
        <v>101904120</v>
      </c>
      <c r="O660" s="2166">
        <v>66315300</v>
      </c>
      <c r="P660" s="1622"/>
    </row>
    <row r="661" spans="1:16" s="28" customFormat="1" ht="15.75" x14ac:dyDescent="0.25">
      <c r="A661" s="11"/>
      <c r="B661" s="11"/>
      <c r="C661" s="11"/>
      <c r="D661" s="11"/>
      <c r="E661" s="1283" t="s">
        <v>307</v>
      </c>
      <c r="F661" s="373"/>
      <c r="G661" s="2058">
        <v>22391919</v>
      </c>
      <c r="H661" s="1289">
        <v>13119762</v>
      </c>
      <c r="I661" s="1289">
        <v>11368556</v>
      </c>
      <c r="J661" s="1289">
        <v>12646009</v>
      </c>
      <c r="K661" s="2166">
        <f>((0.7*23111)*1000)*1.15</f>
        <v>18604354.999999996</v>
      </c>
      <c r="L661" s="2166">
        <f>((0.7*27543)*1000)*1.15</f>
        <v>22172115</v>
      </c>
      <c r="M661" s="2163">
        <f t="shared" si="104"/>
        <v>27715143.75</v>
      </c>
      <c r="N661" s="2166">
        <f>((0.7*41429)*1000)*1.02</f>
        <v>29580306</v>
      </c>
      <c r="O661" s="2166">
        <f>((0.7*62270)*1000)*1.02</f>
        <v>44460780</v>
      </c>
      <c r="P661" s="1622"/>
    </row>
    <row r="662" spans="1:16" x14ac:dyDescent="0.2">
      <c r="A662" s="21"/>
      <c r="B662" s="21"/>
      <c r="C662" s="21"/>
      <c r="D662" s="21"/>
      <c r="E662" s="1283" t="s">
        <v>951</v>
      </c>
      <c r="F662" s="373"/>
      <c r="G662" s="2058">
        <v>12426462</v>
      </c>
      <c r="H662" s="1289">
        <v>8347792</v>
      </c>
      <c r="I662" s="1289">
        <v>6846715</v>
      </c>
      <c r="J662" s="1289">
        <v>5321392</v>
      </c>
      <c r="K662" s="2166">
        <v>9696800</v>
      </c>
      <c r="L662" s="2166">
        <v>7209349.9999999991</v>
      </c>
      <c r="M662" s="2163">
        <f t="shared" si="104"/>
        <v>9011687.4999999981</v>
      </c>
      <c r="N662" s="2166">
        <v>13892400</v>
      </c>
      <c r="O662" s="2166">
        <v>17348160</v>
      </c>
      <c r="P662" s="1622"/>
    </row>
    <row r="663" spans="1:16" x14ac:dyDescent="0.2">
      <c r="A663" s="21"/>
      <c r="B663" s="21"/>
      <c r="C663" s="21"/>
      <c r="D663" s="21"/>
      <c r="E663" s="1283" t="s">
        <v>2571</v>
      </c>
      <c r="F663" s="373"/>
      <c r="G663" s="2058">
        <v>1050510</v>
      </c>
      <c r="H663" s="1289">
        <v>354001</v>
      </c>
      <c r="I663" s="1289">
        <v>48522</v>
      </c>
      <c r="J663" s="1289">
        <v>17165</v>
      </c>
      <c r="K663" s="2166">
        <v>11500</v>
      </c>
      <c r="L663" s="2166">
        <v>684250</v>
      </c>
      <c r="M663" s="2163">
        <f t="shared" si="104"/>
        <v>855312.5</v>
      </c>
      <c r="N663" s="2166">
        <v>55080</v>
      </c>
      <c r="O663" s="2166">
        <v>344760</v>
      </c>
      <c r="P663" s="1622"/>
    </row>
    <row r="664" spans="1:16" x14ac:dyDescent="0.2">
      <c r="A664" s="21"/>
      <c r="B664" s="21"/>
      <c r="C664" s="21"/>
      <c r="D664" s="21"/>
      <c r="E664" s="1283" t="s">
        <v>2572</v>
      </c>
      <c r="F664" s="373"/>
      <c r="G664" s="2058">
        <v>9348942</v>
      </c>
      <c r="H664" s="1289">
        <v>3994771</v>
      </c>
      <c r="I664" s="1289">
        <v>3218676</v>
      </c>
      <c r="J664" s="1289">
        <v>6149180</v>
      </c>
      <c r="K664" s="2166">
        <f>((0.3*23111)*1000)*1.15</f>
        <v>7973294.9999999991</v>
      </c>
      <c r="L664" s="2166">
        <f>((0.3*27453)*1000)*1.15</f>
        <v>9471285</v>
      </c>
      <c r="M664" s="2163">
        <f t="shared" si="104"/>
        <v>11839106.25</v>
      </c>
      <c r="N664" s="2166">
        <f>((0.3*41429)*1000)*1.02</f>
        <v>12677273.999999998</v>
      </c>
      <c r="O664" s="2166">
        <f>((0.3*62270)*1000)*1.02</f>
        <v>19054620</v>
      </c>
      <c r="P664" s="1622"/>
    </row>
    <row r="665" spans="1:16" s="28" customFormat="1" ht="15.75" x14ac:dyDescent="0.25">
      <c r="A665" s="11"/>
      <c r="B665" s="11"/>
      <c r="C665" s="11"/>
      <c r="D665" s="11"/>
      <c r="E665" s="1283" t="s">
        <v>2566</v>
      </c>
      <c r="F665" s="373"/>
      <c r="G665" s="2058">
        <v>5136695</v>
      </c>
      <c r="H665" s="1289">
        <v>2007476</v>
      </c>
      <c r="I665" s="1289">
        <v>3268199</v>
      </c>
      <c r="J665" s="1289">
        <v>2555497</v>
      </c>
      <c r="K665" s="2166">
        <v>4134249.9999999995</v>
      </c>
      <c r="L665" s="2166">
        <v>3536249.9999999995</v>
      </c>
      <c r="M665" s="2163">
        <f t="shared" si="104"/>
        <v>4420312.4999999991</v>
      </c>
      <c r="N665" s="2166">
        <v>4974540</v>
      </c>
      <c r="O665" s="2166">
        <v>5041860</v>
      </c>
      <c r="P665" s="1622"/>
    </row>
    <row r="666" spans="1:16" x14ac:dyDescent="0.2">
      <c r="A666" s="21"/>
      <c r="B666" s="21"/>
      <c r="C666" s="21"/>
      <c r="D666" s="21"/>
      <c r="E666" s="1624" t="s">
        <v>440</v>
      </c>
      <c r="F666" s="373"/>
      <c r="G666" s="2058">
        <v>1529216</v>
      </c>
      <c r="H666" s="1289">
        <v>680947</v>
      </c>
      <c r="I666" s="1289">
        <v>647355</v>
      </c>
      <c r="J666" s="1289">
        <v>505783</v>
      </c>
      <c r="K666" s="2166">
        <v>840649.99999999988</v>
      </c>
      <c r="L666" s="2166">
        <v>684250</v>
      </c>
      <c r="M666" s="2163">
        <f t="shared" si="104"/>
        <v>855312.5</v>
      </c>
      <c r="N666" s="2166">
        <v>1486140</v>
      </c>
      <c r="O666" s="2166">
        <v>971040</v>
      </c>
      <c r="P666" s="1622"/>
    </row>
    <row r="667" spans="1:16" x14ac:dyDescent="0.2">
      <c r="A667" s="21"/>
      <c r="B667" s="21"/>
      <c r="C667" s="21"/>
      <c r="D667" s="21"/>
      <c r="E667" s="1283" t="s">
        <v>2573</v>
      </c>
      <c r="F667" s="373"/>
      <c r="G667" s="2058">
        <v>2599344</v>
      </c>
      <c r="H667" s="1289">
        <v>2358108</v>
      </c>
      <c r="I667" s="1289">
        <v>2363872</v>
      </c>
      <c r="J667" s="1289">
        <v>2805224</v>
      </c>
      <c r="K667" s="2166">
        <v>4499950</v>
      </c>
      <c r="L667" s="2166">
        <v>4764450</v>
      </c>
      <c r="M667" s="2163">
        <f t="shared" si="104"/>
        <v>5955562.5</v>
      </c>
      <c r="N667" s="2166">
        <v>12961140</v>
      </c>
      <c r="O667" s="2166">
        <v>10897680</v>
      </c>
      <c r="P667" s="1622"/>
    </row>
    <row r="668" spans="1:16" x14ac:dyDescent="0.2">
      <c r="A668" s="21"/>
      <c r="B668" s="21"/>
      <c r="C668" s="21"/>
      <c r="D668" s="21"/>
      <c r="E668" s="1283" t="s">
        <v>2574</v>
      </c>
      <c r="F668" s="373"/>
      <c r="G668" s="2058">
        <v>914297</v>
      </c>
      <c r="H668" s="1289">
        <v>637341</v>
      </c>
      <c r="I668" s="1289">
        <v>857689</v>
      </c>
      <c r="J668" s="1289">
        <v>1068253</v>
      </c>
      <c r="K668" s="2166">
        <f>((0.7*1731)*1000)*1.15</f>
        <v>1393454.9999999995</v>
      </c>
      <c r="L668" s="2166">
        <f>((0.7*1826)*1000)*1.15</f>
        <v>1469929.9999999995</v>
      </c>
      <c r="M668" s="2163">
        <f t="shared" si="104"/>
        <v>1837412.4999999995</v>
      </c>
      <c r="N668" s="2166">
        <f>((2756*0.7)*1000)*1.02</f>
        <v>1967783.9999999998</v>
      </c>
      <c r="O668" s="2166">
        <f>((0.7*4161)*1000)*1.02</f>
        <v>2970954</v>
      </c>
      <c r="P668" s="1622"/>
    </row>
    <row r="669" spans="1:16" x14ac:dyDescent="0.2">
      <c r="A669" s="21"/>
      <c r="B669" s="21"/>
      <c r="C669" s="21"/>
      <c r="D669" s="21"/>
      <c r="E669" s="1283" t="s">
        <v>438</v>
      </c>
      <c r="F669" s="373"/>
      <c r="G669" s="2058">
        <v>273132</v>
      </c>
      <c r="H669" s="1289">
        <v>233132</v>
      </c>
      <c r="I669" s="1289">
        <v>269038</v>
      </c>
      <c r="J669" s="1289">
        <v>406463</v>
      </c>
      <c r="K669" s="2166">
        <f>((0.3*1731)*1000)*1.15</f>
        <v>597194.99999999988</v>
      </c>
      <c r="L669" s="2166">
        <f>((0.3*1826)*1000)*1.15</f>
        <v>629970</v>
      </c>
      <c r="M669" s="2163">
        <f t="shared" si="104"/>
        <v>787462.5</v>
      </c>
      <c r="N669" s="2166">
        <f>((2756*0.3)*1000)*1.02</f>
        <v>843336</v>
      </c>
      <c r="O669" s="2166">
        <f>((0.3*4161)*1000)*1.02</f>
        <v>1273266</v>
      </c>
      <c r="P669" s="1622"/>
    </row>
    <row r="670" spans="1:16" x14ac:dyDescent="0.2">
      <c r="A670" s="21"/>
      <c r="B670" s="21"/>
      <c r="C670" s="21"/>
      <c r="D670" s="21"/>
      <c r="E670" s="1283" t="s">
        <v>522</v>
      </c>
      <c r="F670" s="373"/>
      <c r="G670" s="2058">
        <f>6642791-2000</f>
        <v>6640791</v>
      </c>
      <c r="H670" s="1289">
        <v>5914943</v>
      </c>
      <c r="I670" s="1289">
        <v>7362931</v>
      </c>
      <c r="J670" s="1289">
        <v>13787290</v>
      </c>
      <c r="K670" s="2166">
        <v>16670383</v>
      </c>
      <c r="L670" s="2166">
        <v>206861</v>
      </c>
      <c r="M670" s="2163">
        <f>L670*$M$656+344473.3</f>
        <v>603049.55000000005</v>
      </c>
      <c r="N670" s="2166">
        <v>5184137</v>
      </c>
      <c r="O670" s="2166">
        <v>10156604</v>
      </c>
      <c r="P670" s="1622"/>
    </row>
    <row r="671" spans="1:16" x14ac:dyDescent="0.2">
      <c r="A671" s="21"/>
      <c r="B671" s="21"/>
      <c r="C671" s="21"/>
      <c r="D671" s="21"/>
      <c r="E671" s="1283"/>
      <c r="F671" s="373"/>
      <c r="G671" s="2059"/>
      <c r="H671" s="1290"/>
      <c r="I671" s="1291"/>
      <c r="J671" s="1291"/>
      <c r="K671" s="1291"/>
      <c r="L671" s="1291"/>
      <c r="M671" s="1291"/>
      <c r="N671" s="1291"/>
      <c r="O671" s="1291"/>
      <c r="P671" s="1623"/>
    </row>
    <row r="672" spans="1:16" x14ac:dyDescent="0.2">
      <c r="A672" s="21"/>
      <c r="B672" s="21"/>
      <c r="C672" s="21"/>
      <c r="D672" s="21"/>
      <c r="E672" s="1283"/>
      <c r="F672" s="373"/>
      <c r="G672" s="2059"/>
      <c r="H672" s="1290"/>
      <c r="I672" s="1291"/>
      <c r="J672" s="1291"/>
      <c r="K672" s="1291"/>
      <c r="L672" s="1291"/>
      <c r="M672" s="1291"/>
      <c r="N672" s="1291"/>
      <c r="O672" s="1291"/>
      <c r="P672" s="1623"/>
    </row>
    <row r="673" spans="1:16" x14ac:dyDescent="0.2">
      <c r="A673" s="21"/>
      <c r="B673" s="21"/>
      <c r="C673" s="21"/>
      <c r="D673" s="21"/>
      <c r="E673" s="1283"/>
      <c r="F673" s="373"/>
      <c r="G673" s="2059"/>
      <c r="H673" s="1290"/>
      <c r="I673" s="1291"/>
      <c r="J673" s="1291"/>
      <c r="K673" s="1291"/>
      <c r="L673" s="1291"/>
      <c r="M673" s="1291"/>
      <c r="N673" s="1291"/>
      <c r="O673" s="1291"/>
      <c r="P673" s="1623"/>
    </row>
    <row r="674" spans="1:16" x14ac:dyDescent="0.2">
      <c r="A674" s="21"/>
      <c r="B674" s="21"/>
      <c r="C674" s="21"/>
      <c r="D674" s="21"/>
      <c r="E674" s="1283"/>
      <c r="F674" s="373"/>
      <c r="G674" s="2059"/>
      <c r="H674" s="1290"/>
      <c r="I674" s="1291"/>
      <c r="J674" s="1291"/>
      <c r="K674" s="1291"/>
      <c r="L674" s="1291"/>
      <c r="M674" s="1291"/>
      <c r="N674" s="1291"/>
      <c r="O674" s="1291"/>
      <c r="P674" s="1623"/>
    </row>
    <row r="675" spans="1:16" x14ac:dyDescent="0.2">
      <c r="A675" s="21"/>
      <c r="B675" s="21"/>
      <c r="C675" s="21"/>
      <c r="D675" s="21"/>
      <c r="E675" s="1283"/>
      <c r="F675" s="373"/>
      <c r="G675" s="2059"/>
      <c r="H675" s="1290"/>
      <c r="I675" s="1291"/>
      <c r="J675" s="1291"/>
      <c r="K675" s="1291"/>
      <c r="L675" s="1291"/>
      <c r="M675" s="1291"/>
      <c r="N675" s="1291"/>
      <c r="O675" s="1291"/>
      <c r="P675" s="1623"/>
    </row>
    <row r="676" spans="1:16" ht="34.5" customHeight="1" x14ac:dyDescent="0.2">
      <c r="A676" s="21"/>
      <c r="B676" s="21"/>
      <c r="C676" s="21"/>
      <c r="D676" s="21"/>
      <c r="E676" s="765" t="s">
        <v>507</v>
      </c>
      <c r="F676" s="374">
        <f t="shared" ref="F676:J676" si="105">SUM(F658:F675)</f>
        <v>0</v>
      </c>
      <c r="G676" s="2061">
        <f t="shared" si="105"/>
        <v>215104639</v>
      </c>
      <c r="H676" s="732">
        <f t="shared" si="105"/>
        <v>237776313</v>
      </c>
      <c r="I676" s="374">
        <f t="shared" si="105"/>
        <v>290411493</v>
      </c>
      <c r="J676" s="374">
        <f t="shared" si="105"/>
        <v>352974024</v>
      </c>
      <c r="K676" s="374">
        <f t="shared" ref="K676:O676" si="106">SUM(K658:K675)</f>
        <v>377243683</v>
      </c>
      <c r="L676" s="374">
        <f t="shared" si="106"/>
        <v>442969511</v>
      </c>
      <c r="M676" s="374">
        <f t="shared" si="106"/>
        <v>554056362.04999995</v>
      </c>
      <c r="N676" s="374">
        <f t="shared" si="106"/>
        <v>508633697</v>
      </c>
      <c r="O676" s="374">
        <f t="shared" si="106"/>
        <v>516452984</v>
      </c>
      <c r="P676" s="733">
        <f t="shared" ref="P676" si="107">SUM(P658:P675)</f>
        <v>0</v>
      </c>
    </row>
    <row r="677" spans="1:16" ht="16.5" outlineLevel="1" thickBot="1" x14ac:dyDescent="0.3">
      <c r="A677" s="21"/>
      <c r="B677" s="21"/>
      <c r="C677" s="21"/>
      <c r="D677" s="21"/>
      <c r="E677" s="766" t="s">
        <v>474</v>
      </c>
      <c r="F677" s="386">
        <f>F29-F676</f>
        <v>0</v>
      </c>
      <c r="G677" s="386">
        <f>G644-G676</f>
        <v>0</v>
      </c>
      <c r="H677" s="734">
        <f t="shared" ref="H677:P677" si="108">H644-H676</f>
        <v>0</v>
      </c>
      <c r="I677" s="735">
        <f t="shared" si="108"/>
        <v>0</v>
      </c>
      <c r="J677" s="735">
        <f t="shared" si="108"/>
        <v>0</v>
      </c>
      <c r="K677" s="735">
        <f t="shared" si="108"/>
        <v>0</v>
      </c>
      <c r="L677" s="735">
        <f t="shared" si="108"/>
        <v>0</v>
      </c>
      <c r="M677" s="735">
        <f t="shared" si="108"/>
        <v>-4.999995231628418E-2</v>
      </c>
      <c r="N677" s="735">
        <f t="shared" si="108"/>
        <v>0</v>
      </c>
      <c r="O677" s="735">
        <f t="shared" si="108"/>
        <v>0</v>
      </c>
      <c r="P677" s="736">
        <f t="shared" si="108"/>
        <v>0</v>
      </c>
    </row>
    <row r="678" spans="1:16" ht="15.75" thickTop="1" x14ac:dyDescent="0.2">
      <c r="A678" s="21"/>
      <c r="B678" s="21"/>
      <c r="C678" s="21"/>
      <c r="D678" s="21"/>
      <c r="E678" s="291"/>
      <c r="F678" s="387"/>
      <c r="G678" s="387"/>
      <c r="H678" s="387"/>
      <c r="I678" s="387"/>
      <c r="J678" s="387"/>
      <c r="K678" s="387"/>
      <c r="L678" s="387"/>
      <c r="M678" s="387"/>
      <c r="N678" s="387"/>
      <c r="O678" s="387"/>
      <c r="P678" s="387"/>
    </row>
    <row r="679" spans="1:16" x14ac:dyDescent="0.2">
      <c r="A679" s="21"/>
      <c r="B679" s="21"/>
      <c r="C679" s="21"/>
      <c r="D679" s="21"/>
      <c r="E679" s="291"/>
      <c r="F679" s="387"/>
      <c r="G679" s="387"/>
      <c r="H679" s="387"/>
      <c r="I679" s="387"/>
      <c r="J679" s="387"/>
      <c r="K679" s="387"/>
      <c r="L679" s="387"/>
      <c r="M679" s="387"/>
      <c r="N679" s="387"/>
      <c r="O679" s="387"/>
      <c r="P679" s="387"/>
    </row>
    <row r="680" spans="1:16" ht="18.75" thickBot="1" x14ac:dyDescent="0.3">
      <c r="A680" s="21"/>
      <c r="B680" s="21"/>
      <c r="C680" s="21"/>
      <c r="D680" s="21"/>
      <c r="E680" s="324" t="s">
        <v>352</v>
      </c>
      <c r="F680" s="387" t="s">
        <v>348</v>
      </c>
      <c r="G680" s="387"/>
      <c r="H680" s="1254"/>
      <c r="I680" s="1254"/>
      <c r="J680" s="1254"/>
      <c r="K680" s="1254"/>
      <c r="L680" s="1843" t="s">
        <v>3379</v>
      </c>
      <c r="M680" s="1211"/>
      <c r="N680" s="1846"/>
      <c r="O680" s="1847"/>
      <c r="P680" s="1846"/>
    </row>
    <row r="681" spans="1:16" ht="15.75" thickTop="1" x14ac:dyDescent="0.2">
      <c r="A681" s="21"/>
      <c r="B681" s="21"/>
      <c r="C681" s="21"/>
      <c r="D681" s="21"/>
      <c r="E681" s="306" t="str">
        <f t="shared" ref="E681:P681" si="109">E7</f>
        <v>тыс. руб.</v>
      </c>
      <c r="F681" s="301">
        <f t="shared" si="109"/>
        <v>0</v>
      </c>
      <c r="G681" s="768">
        <f t="shared" si="109"/>
        <v>2016</v>
      </c>
      <c r="H681" s="1261">
        <f t="shared" si="109"/>
        <v>2017</v>
      </c>
      <c r="I681" s="1261">
        <f t="shared" si="109"/>
        <v>2018</v>
      </c>
      <c r="J681" s="1261">
        <f t="shared" si="109"/>
        <v>2019</v>
      </c>
      <c r="K681" s="1261">
        <f t="shared" si="109"/>
        <v>2020</v>
      </c>
      <c r="L681" s="1304">
        <f t="shared" si="109"/>
        <v>2021</v>
      </c>
      <c r="M681" s="1304">
        <f t="shared" si="109"/>
        <v>2022</v>
      </c>
      <c r="N681" s="1304">
        <f t="shared" si="109"/>
        <v>2023</v>
      </c>
      <c r="O681" s="1304">
        <f t="shared" si="109"/>
        <v>2024</v>
      </c>
      <c r="P681" s="1851">
        <f t="shared" si="109"/>
        <v>2025</v>
      </c>
    </row>
    <row r="682" spans="1:16" x14ac:dyDescent="0.2">
      <c r="A682" s="21"/>
      <c r="B682" s="21"/>
      <c r="C682" s="21"/>
      <c r="D682" s="21"/>
      <c r="E682" s="1127" t="s">
        <v>511</v>
      </c>
      <c r="F682" s="373"/>
      <c r="G682" s="730">
        <v>46909733</v>
      </c>
      <c r="H682" s="1292">
        <v>1809403</v>
      </c>
      <c r="I682" s="1292">
        <v>135925</v>
      </c>
      <c r="J682" s="1292">
        <v>1210511</v>
      </c>
      <c r="K682" s="1292">
        <v>85184</v>
      </c>
      <c r="L682" s="2067">
        <v>129063</v>
      </c>
      <c r="M682" s="2122">
        <v>1000576</v>
      </c>
      <c r="N682" s="2067">
        <v>58864</v>
      </c>
      <c r="O682" s="2122">
        <v>37939</v>
      </c>
      <c r="P682" s="2068"/>
    </row>
    <row r="683" spans="1:16" x14ac:dyDescent="0.2">
      <c r="A683" s="21"/>
      <c r="B683" s="21"/>
      <c r="C683" s="21"/>
      <c r="D683" s="21"/>
      <c r="E683" s="1127" t="s">
        <v>510</v>
      </c>
      <c r="F683" s="373"/>
      <c r="G683" s="730">
        <v>2109760</v>
      </c>
      <c r="H683" s="1292">
        <v>1646168</v>
      </c>
      <c r="I683" s="1292">
        <v>1140057</v>
      </c>
      <c r="J683" s="1292">
        <v>105137</v>
      </c>
      <c r="K683" s="1292">
        <v>30</v>
      </c>
      <c r="L683" s="2067"/>
      <c r="M683" s="2122"/>
      <c r="N683" s="2067"/>
      <c r="O683" s="2067"/>
      <c r="P683" s="2068"/>
    </row>
    <row r="684" spans="1:16" x14ac:dyDescent="0.2">
      <c r="A684" s="21"/>
      <c r="B684" s="21"/>
      <c r="C684" s="21"/>
      <c r="D684" s="21"/>
      <c r="E684" s="1127" t="s">
        <v>509</v>
      </c>
      <c r="F684" s="373"/>
      <c r="G684" s="730">
        <v>1134710</v>
      </c>
      <c r="H684" s="1292">
        <v>0</v>
      </c>
      <c r="I684" s="1292">
        <v>0</v>
      </c>
      <c r="J684" s="1292">
        <v>0</v>
      </c>
      <c r="K684" s="1292">
        <v>100000</v>
      </c>
      <c r="L684" s="2067">
        <v>100000</v>
      </c>
      <c r="M684" s="2122">
        <v>100000</v>
      </c>
      <c r="N684" s="2067">
        <v>32</v>
      </c>
      <c r="O684" s="2122">
        <v>40000</v>
      </c>
      <c r="P684" s="2068"/>
    </row>
    <row r="685" spans="1:16" ht="30" x14ac:dyDescent="0.2">
      <c r="A685" s="21"/>
      <c r="B685" s="21"/>
      <c r="C685" s="21"/>
      <c r="D685" s="21"/>
      <c r="E685" s="1127" t="s">
        <v>952</v>
      </c>
      <c r="F685" s="373"/>
      <c r="G685" s="1266">
        <v>0</v>
      </c>
      <c r="H685" s="1292">
        <v>0</v>
      </c>
      <c r="I685" s="1292">
        <v>0</v>
      </c>
      <c r="J685" s="1292">
        <v>77912</v>
      </c>
      <c r="K685" s="1292">
        <v>4</v>
      </c>
      <c r="L685" s="2067"/>
      <c r="M685" s="2067"/>
      <c r="N685" s="2067"/>
      <c r="O685" s="2067"/>
      <c r="P685" s="2068"/>
    </row>
    <row r="686" spans="1:16" ht="27" customHeight="1" x14ac:dyDescent="0.2">
      <c r="A686" s="21"/>
      <c r="B686" s="21"/>
      <c r="C686" s="21"/>
      <c r="D686" s="21"/>
      <c r="E686" s="307" t="s">
        <v>513</v>
      </c>
      <c r="F686" s="374">
        <f t="shared" ref="F686" si="110">SUM(F682:F685)</f>
        <v>0</v>
      </c>
      <c r="G686" s="374">
        <f>SUM(G682:G685)</f>
        <v>50154203</v>
      </c>
      <c r="H686" s="732">
        <f t="shared" ref="H686:P686" si="111">SUM(H682:H685)</f>
        <v>3455571</v>
      </c>
      <c r="I686" s="374">
        <f t="shared" si="111"/>
        <v>1275982</v>
      </c>
      <c r="J686" s="374">
        <f t="shared" si="111"/>
        <v>1393560</v>
      </c>
      <c r="K686" s="374">
        <f t="shared" si="111"/>
        <v>185218</v>
      </c>
      <c r="L686" s="2069">
        <f t="shared" si="111"/>
        <v>229063</v>
      </c>
      <c r="M686" s="2069">
        <f t="shared" si="111"/>
        <v>1100576</v>
      </c>
      <c r="N686" s="2069">
        <f t="shared" si="111"/>
        <v>58896</v>
      </c>
      <c r="O686" s="2069">
        <f t="shared" si="111"/>
        <v>77939</v>
      </c>
      <c r="P686" s="2070">
        <f t="shared" si="111"/>
        <v>0</v>
      </c>
    </row>
    <row r="687" spans="1:16" ht="16.5" outlineLevel="1" thickBot="1" x14ac:dyDescent="0.3">
      <c r="A687" s="21"/>
      <c r="B687" s="21"/>
      <c r="C687" s="21"/>
      <c r="D687" s="21"/>
      <c r="E687" s="309" t="s">
        <v>474</v>
      </c>
      <c r="F687" s="386">
        <f t="shared" ref="F687:P687" si="112">F33-F686</f>
        <v>0</v>
      </c>
      <c r="G687" s="386">
        <f t="shared" si="112"/>
        <v>0</v>
      </c>
      <c r="H687" s="734">
        <f t="shared" si="112"/>
        <v>0</v>
      </c>
      <c r="I687" s="735">
        <f t="shared" si="112"/>
        <v>0</v>
      </c>
      <c r="J687" s="735">
        <f t="shared" si="112"/>
        <v>0</v>
      </c>
      <c r="K687" s="735">
        <f t="shared" si="112"/>
        <v>0</v>
      </c>
      <c r="L687" s="735">
        <f t="shared" si="112"/>
        <v>0</v>
      </c>
      <c r="M687" s="735">
        <f t="shared" si="112"/>
        <v>0</v>
      </c>
      <c r="N687" s="735">
        <f t="shared" si="112"/>
        <v>0</v>
      </c>
      <c r="O687" s="735">
        <f t="shared" si="112"/>
        <v>0</v>
      </c>
      <c r="P687" s="736">
        <f t="shared" si="112"/>
        <v>0</v>
      </c>
    </row>
    <row r="688" spans="1:16" ht="24" customHeight="1" thickTop="1" x14ac:dyDescent="0.2">
      <c r="A688" s="21"/>
      <c r="B688" s="21"/>
      <c r="C688" s="21"/>
      <c r="D688" s="21"/>
      <c r="E688" s="291"/>
      <c r="F688" s="387"/>
      <c r="G688" s="387"/>
      <c r="H688" s="387"/>
      <c r="I688" s="387"/>
      <c r="J688" s="387"/>
      <c r="K688" s="387"/>
      <c r="L688" s="387"/>
      <c r="M688" s="387"/>
      <c r="N688" s="387"/>
      <c r="O688" s="387"/>
      <c r="P688" s="387"/>
    </row>
    <row r="689" spans="1:16" ht="24" customHeight="1" x14ac:dyDescent="0.2">
      <c r="A689" s="21"/>
      <c r="B689" s="21"/>
      <c r="C689" s="21"/>
      <c r="D689" s="21"/>
      <c r="E689" s="291"/>
      <c r="F689" s="387"/>
      <c r="G689" s="387"/>
      <c r="H689" s="387"/>
      <c r="I689" s="387"/>
      <c r="J689" s="387"/>
      <c r="K689" s="387"/>
      <c r="L689" s="387"/>
      <c r="M689" s="387"/>
      <c r="N689" s="387"/>
      <c r="O689" s="387"/>
      <c r="P689" s="387"/>
    </row>
    <row r="690" spans="1:16" ht="24" customHeight="1" x14ac:dyDescent="0.2">
      <c r="A690" s="21"/>
      <c r="B690" s="21"/>
      <c r="C690" s="21"/>
      <c r="D690" s="21"/>
      <c r="E690" s="291"/>
      <c r="F690" s="387"/>
      <c r="G690" s="387"/>
      <c r="H690" s="387"/>
      <c r="I690" s="387"/>
      <c r="J690" s="387"/>
      <c r="K690" s="387"/>
      <c r="L690" s="387"/>
      <c r="M690" s="387"/>
      <c r="N690" s="387"/>
      <c r="O690" s="387"/>
      <c r="P690" s="387"/>
    </row>
    <row r="691" spans="1:16" ht="39.75" customHeight="1" thickBot="1" x14ac:dyDescent="0.3">
      <c r="A691" s="21"/>
      <c r="B691" s="21"/>
      <c r="C691" s="21"/>
      <c r="D691" s="21"/>
      <c r="E691" s="324" t="s">
        <v>1181</v>
      </c>
      <c r="F691" s="387" t="s">
        <v>348</v>
      </c>
      <c r="G691" s="387"/>
      <c r="H691" s="387"/>
      <c r="I691" s="387"/>
      <c r="J691" s="387"/>
      <c r="K691" s="387"/>
      <c r="L691" s="387"/>
      <c r="M691" s="387"/>
      <c r="N691" s="387"/>
      <c r="O691" s="387"/>
      <c r="P691" s="387"/>
    </row>
    <row r="692" spans="1:16" ht="45.75" customHeight="1" thickTop="1" x14ac:dyDescent="0.2">
      <c r="A692" s="21"/>
      <c r="B692" s="21"/>
      <c r="C692" s="291" t="s">
        <v>1182</v>
      </c>
      <c r="D692" s="291"/>
      <c r="E692" s="306" t="str">
        <f t="shared" ref="E692:P692" si="113">E7</f>
        <v>тыс. руб.</v>
      </c>
      <c r="F692" s="301">
        <f t="shared" si="113"/>
        <v>0</v>
      </c>
      <c r="G692" s="768">
        <f t="shared" si="113"/>
        <v>2016</v>
      </c>
      <c r="H692" s="726">
        <f t="shared" si="113"/>
        <v>2017</v>
      </c>
      <c r="I692" s="727">
        <f t="shared" si="113"/>
        <v>2018</v>
      </c>
      <c r="J692" s="727">
        <f t="shared" si="113"/>
        <v>2019</v>
      </c>
      <c r="K692" s="727">
        <f t="shared" si="113"/>
        <v>2020</v>
      </c>
      <c r="L692" s="728">
        <f t="shared" si="113"/>
        <v>2021</v>
      </c>
      <c r="M692" s="301">
        <f t="shared" si="113"/>
        <v>2022</v>
      </c>
      <c r="N692" s="301">
        <f t="shared" si="113"/>
        <v>2023</v>
      </c>
      <c r="O692" s="301">
        <f t="shared" si="113"/>
        <v>2024</v>
      </c>
      <c r="P692" s="301">
        <f t="shared" si="113"/>
        <v>2025</v>
      </c>
    </row>
    <row r="693" spans="1:16" ht="24" customHeight="1" thickBot="1" x14ac:dyDescent="0.25">
      <c r="A693" s="21"/>
      <c r="B693" s="21"/>
      <c r="C693" s="1135"/>
      <c r="D693" s="1135"/>
      <c r="E693" s="1136" t="s">
        <v>1183</v>
      </c>
      <c r="F693" s="1137">
        <f t="shared" ref="F693:L693" si="114">F75</f>
        <v>0</v>
      </c>
      <c r="G693" s="2088">
        <f t="shared" si="114"/>
        <v>1429268</v>
      </c>
      <c r="H693" s="2089">
        <f t="shared" si="114"/>
        <v>2290198</v>
      </c>
      <c r="I693" s="2090">
        <f t="shared" si="114"/>
        <v>5236226</v>
      </c>
      <c r="J693" s="2090">
        <f t="shared" si="114"/>
        <v>8626417</v>
      </c>
      <c r="K693" s="2090">
        <f t="shared" si="114"/>
        <v>4687320</v>
      </c>
      <c r="L693" s="2088">
        <f t="shared" si="114"/>
        <v>3466338</v>
      </c>
      <c r="M693" s="1625"/>
      <c r="N693" s="1625"/>
      <c r="O693" s="1625"/>
      <c r="P693" s="1625"/>
    </row>
    <row r="694" spans="1:16" ht="25.5" customHeight="1" thickTop="1" x14ac:dyDescent="0.2">
      <c r="A694" s="21"/>
      <c r="B694" s="21"/>
      <c r="C694" s="1141"/>
      <c r="D694" s="1141"/>
      <c r="E694" s="1142" t="s">
        <v>1186</v>
      </c>
      <c r="F694" s="1143"/>
      <c r="G694" s="2091">
        <f>'Доходы-Расходы_Ф102'!B60</f>
        <v>-66058</v>
      </c>
      <c r="H694" s="2092">
        <f>'Доходы-Расходы_Ф102'!C60</f>
        <v>-253654</v>
      </c>
      <c r="I694" s="2093">
        <f>'Доходы-Расходы_Ф102'!D60</f>
        <v>-201858</v>
      </c>
      <c r="J694" s="2093">
        <f>'Доходы-Расходы_Ф102'!E60</f>
        <v>-205628</v>
      </c>
      <c r="K694" s="2093">
        <f>'Доходы-Расходы_Ф102'!F60</f>
        <v>-179999</v>
      </c>
      <c r="L694" s="2091">
        <f>'Доходы-Расходы_Ф102'!G60</f>
        <v>-163400</v>
      </c>
      <c r="M694" s="1626"/>
      <c r="N694" s="1626"/>
      <c r="O694" s="1626"/>
      <c r="P694" s="1626"/>
    </row>
    <row r="695" spans="1:16" ht="25.5" customHeight="1" x14ac:dyDescent="0.2">
      <c r="A695" s="21"/>
      <c r="B695" s="21"/>
      <c r="C695" s="900"/>
      <c r="D695" s="900"/>
      <c r="E695" s="898" t="s">
        <v>1184</v>
      </c>
      <c r="F695" s="899"/>
      <c r="G695" s="2094">
        <f>'Доходы-Расходы_Ф102'!B74</f>
        <v>420840</v>
      </c>
      <c r="H695" s="2095">
        <f>'Доходы-Расходы_Ф102'!C74</f>
        <v>428494</v>
      </c>
      <c r="I695" s="2096">
        <f>'Доходы-Расходы_Ф102'!D74</f>
        <v>412261</v>
      </c>
      <c r="J695" s="2096">
        <f>'Доходы-Расходы_Ф102'!E74</f>
        <v>441993</v>
      </c>
      <c r="K695" s="2096">
        <f>'Доходы-Расходы_Ф102'!F74</f>
        <v>406965</v>
      </c>
      <c r="L695" s="2094">
        <f>'Доходы-Расходы_Ф102'!G74</f>
        <v>348308</v>
      </c>
      <c r="M695" s="1627"/>
      <c r="N695" s="1627"/>
      <c r="O695" s="1627"/>
      <c r="P695" s="1627"/>
    </row>
    <row r="696" spans="1:16" ht="27" customHeight="1" x14ac:dyDescent="0.2">
      <c r="A696" s="21"/>
      <c r="B696" s="21"/>
      <c r="C696" s="900"/>
      <c r="D696" s="900"/>
      <c r="E696" s="898" t="s">
        <v>1185</v>
      </c>
      <c r="F696" s="899"/>
      <c r="G696" s="2094">
        <f>'Доходы-Расходы_Ф102'!B98</f>
        <v>7019531</v>
      </c>
      <c r="H696" s="2095">
        <f>'Доходы-Расходы_Ф102'!C98</f>
        <v>8091742</v>
      </c>
      <c r="I696" s="2096">
        <f>'Доходы-Расходы_Ф102'!D98</f>
        <v>8077623</v>
      </c>
      <c r="J696" s="2096">
        <f>'Доходы-Расходы_Ф102'!E98</f>
        <v>9154823</v>
      </c>
      <c r="K696" s="2096">
        <f>'Доходы-Расходы_Ф102'!F98</f>
        <v>9686956</v>
      </c>
      <c r="L696" s="2094">
        <f>'Доходы-Расходы_Ф102'!G98</f>
        <v>12128422</v>
      </c>
      <c r="M696" s="1627"/>
      <c r="N696" s="1627"/>
      <c r="O696" s="1627"/>
      <c r="P696" s="1627"/>
    </row>
    <row r="697" spans="1:16" ht="24" customHeight="1" thickBot="1" x14ac:dyDescent="0.25">
      <c r="A697" s="21"/>
      <c r="B697" s="21"/>
      <c r="C697" s="1144"/>
      <c r="D697" s="1144"/>
      <c r="E697" s="1145" t="s">
        <v>1214</v>
      </c>
      <c r="F697" s="1146">
        <f t="shared" ref="F697:L697" si="115">F76-F694-F695-F696-F700</f>
        <v>0</v>
      </c>
      <c r="G697" s="2097">
        <f t="shared" si="115"/>
        <v>24302331</v>
      </c>
      <c r="H697" s="2098">
        <f t="shared" si="115"/>
        <v>14821221</v>
      </c>
      <c r="I697" s="2099">
        <f t="shared" si="115"/>
        <v>11325784</v>
      </c>
      <c r="J697" s="2099">
        <f t="shared" si="115"/>
        <v>9127653</v>
      </c>
      <c r="K697" s="2099">
        <f t="shared" si="115"/>
        <v>8074415</v>
      </c>
      <c r="L697" s="2097">
        <f t="shared" si="115"/>
        <v>7253915</v>
      </c>
      <c r="M697" s="1628"/>
      <c r="N697" s="1628"/>
      <c r="O697" s="1628"/>
      <c r="P697" s="1628"/>
    </row>
    <row r="698" spans="1:16" ht="24" customHeight="1" thickTop="1" x14ac:dyDescent="0.2">
      <c r="A698" s="21"/>
      <c r="B698" s="21"/>
      <c r="C698" s="1138"/>
      <c r="D698" s="1138"/>
      <c r="E698" s="1139" t="s">
        <v>581</v>
      </c>
      <c r="F698" s="1140">
        <f t="shared" ref="F698:L699" si="116">F77</f>
        <v>0</v>
      </c>
      <c r="G698" s="2100">
        <f t="shared" si="116"/>
        <v>0</v>
      </c>
      <c r="H698" s="2101">
        <f t="shared" si="116"/>
        <v>0</v>
      </c>
      <c r="I698" s="2102">
        <f t="shared" si="116"/>
        <v>0</v>
      </c>
      <c r="J698" s="2102">
        <f t="shared" si="116"/>
        <v>0</v>
      </c>
      <c r="K698" s="2102">
        <f t="shared" si="116"/>
        <v>0</v>
      </c>
      <c r="L698" s="2100">
        <f t="shared" si="116"/>
        <v>0</v>
      </c>
      <c r="M698" s="1629"/>
      <c r="N698" s="1629"/>
      <c r="O698" s="1629"/>
      <c r="P698" s="1629"/>
    </row>
    <row r="699" spans="1:16" ht="24" customHeight="1" x14ac:dyDescent="0.2">
      <c r="A699" s="21"/>
      <c r="B699" s="21"/>
      <c r="C699" s="901"/>
      <c r="D699" s="901"/>
      <c r="E699" s="902" t="s">
        <v>582</v>
      </c>
      <c r="F699" s="903">
        <f t="shared" si="116"/>
        <v>0</v>
      </c>
      <c r="G699" s="2103">
        <f t="shared" si="116"/>
        <v>6174294</v>
      </c>
      <c r="H699" s="2104">
        <f t="shared" si="116"/>
        <v>6764890</v>
      </c>
      <c r="I699" s="2105">
        <f t="shared" si="116"/>
        <v>7232030</v>
      </c>
      <c r="J699" s="2105">
        <f t="shared" si="116"/>
        <v>7494124</v>
      </c>
      <c r="K699" s="2105">
        <f t="shared" si="116"/>
        <v>11214114</v>
      </c>
      <c r="L699" s="2103">
        <f t="shared" si="116"/>
        <v>11376599</v>
      </c>
      <c r="M699" s="1627"/>
      <c r="N699" s="1627"/>
      <c r="O699" s="1627"/>
      <c r="P699" s="1627"/>
    </row>
    <row r="700" spans="1:16" ht="24" customHeight="1" x14ac:dyDescent="0.2">
      <c r="A700" s="21"/>
      <c r="B700" s="21"/>
      <c r="C700" s="1130"/>
      <c r="D700" s="1130"/>
      <c r="E700" s="1131" t="s">
        <v>1379</v>
      </c>
      <c r="F700" s="1132"/>
      <c r="G700" s="2106">
        <f>'Доходы-Расходы_Ф102'!B100</f>
        <v>126760</v>
      </c>
      <c r="H700" s="1338">
        <f>'Доходы-Расходы_Ф102'!C100</f>
        <v>134483</v>
      </c>
      <c r="I700" s="1337">
        <f>'Доходы-Расходы_Ф102'!D100</f>
        <v>614036</v>
      </c>
      <c r="J700" s="1337">
        <f>'Доходы-Расходы_Ф102'!E100</f>
        <v>250747</v>
      </c>
      <c r="K700" s="1337">
        <f>'Доходы-Расходы_Ф102'!F100</f>
        <v>1174508</v>
      </c>
      <c r="L700" s="2106">
        <f>'Доходы-Расходы_Ф102'!G100</f>
        <v>68757</v>
      </c>
      <c r="M700" s="1630"/>
      <c r="N700" s="1630"/>
      <c r="O700" s="1630"/>
      <c r="P700" s="1630"/>
    </row>
    <row r="701" spans="1:16" ht="24" customHeight="1" x14ac:dyDescent="0.2">
      <c r="A701" s="21"/>
      <c r="B701" s="21"/>
      <c r="C701" s="318"/>
      <c r="D701" s="318"/>
      <c r="E701" s="889" t="s">
        <v>807</v>
      </c>
      <c r="F701" s="374">
        <f>SUM(F693:F700)</f>
        <v>0</v>
      </c>
      <c r="G701" s="1344">
        <f t="shared" ref="G701:L701" si="117">SUM(G693:G700)</f>
        <v>39406966</v>
      </c>
      <c r="H701" s="1343">
        <f t="shared" si="117"/>
        <v>32277374</v>
      </c>
      <c r="I701" s="1342">
        <f t="shared" si="117"/>
        <v>32696102</v>
      </c>
      <c r="J701" s="1342">
        <f t="shared" si="117"/>
        <v>34890129</v>
      </c>
      <c r="K701" s="1342">
        <f t="shared" si="117"/>
        <v>35064279</v>
      </c>
      <c r="L701" s="1344">
        <f t="shared" si="117"/>
        <v>34478939</v>
      </c>
      <c r="M701" s="1589"/>
      <c r="N701" s="1589"/>
      <c r="O701" s="1589"/>
      <c r="P701" s="1589"/>
    </row>
    <row r="702" spans="1:16" ht="24" customHeight="1" thickBot="1" x14ac:dyDescent="0.3">
      <c r="A702" s="21"/>
      <c r="B702" s="21"/>
      <c r="C702" s="21"/>
      <c r="D702" s="21"/>
      <c r="E702" s="309" t="s">
        <v>1179</v>
      </c>
      <c r="F702" s="386">
        <f t="shared" ref="F702:M702" si="118">F701-F74</f>
        <v>0</v>
      </c>
      <c r="G702" s="1853">
        <f t="shared" si="118"/>
        <v>0</v>
      </c>
      <c r="H702" s="734">
        <f t="shared" si="118"/>
        <v>0</v>
      </c>
      <c r="I702" s="735">
        <f t="shared" si="118"/>
        <v>0</v>
      </c>
      <c r="J702" s="735">
        <f t="shared" si="118"/>
        <v>0</v>
      </c>
      <c r="K702" s="735">
        <f t="shared" si="118"/>
        <v>0</v>
      </c>
      <c r="L702" s="736">
        <f t="shared" si="118"/>
        <v>0</v>
      </c>
      <c r="M702" s="1621">
        <f t="shared" si="118"/>
        <v>-52116860</v>
      </c>
      <c r="N702" s="1621"/>
      <c r="O702" s="1621"/>
      <c r="P702" s="1621"/>
    </row>
    <row r="703" spans="1:16" ht="24" customHeight="1" thickTop="1" x14ac:dyDescent="0.2">
      <c r="A703" s="21"/>
      <c r="B703" s="21"/>
      <c r="C703" s="21"/>
      <c r="D703" s="21"/>
      <c r="E703" s="291"/>
      <c r="F703" s="387"/>
      <c r="G703" s="387"/>
      <c r="H703" s="387"/>
      <c r="I703" s="387"/>
      <c r="J703" s="387"/>
      <c r="K703" s="387"/>
      <c r="L703" s="387"/>
      <c r="M703" s="387"/>
      <c r="N703" s="387"/>
      <c r="O703" s="387"/>
      <c r="P703" s="387"/>
    </row>
    <row r="704" spans="1:16" ht="32.25" thickBot="1" x14ac:dyDescent="0.3">
      <c r="A704" s="21"/>
      <c r="B704" s="21"/>
      <c r="C704" s="21"/>
      <c r="D704" s="21"/>
      <c r="E704" s="324" t="s">
        <v>3390</v>
      </c>
      <c r="F704" s="387" t="s">
        <v>348</v>
      </c>
      <c r="G704" s="387"/>
      <c r="H704" s="387"/>
      <c r="I704" s="387"/>
      <c r="J704" s="387"/>
      <c r="K704" s="387"/>
      <c r="L704" s="387"/>
      <c r="M704" s="387"/>
      <c r="N704" s="387"/>
      <c r="O704" s="387"/>
      <c r="P704" s="387"/>
    </row>
    <row r="705" spans="1:16" ht="30.75" thickTop="1" x14ac:dyDescent="0.2">
      <c r="A705" s="21"/>
      <c r="B705" s="21"/>
      <c r="C705" s="313" t="s">
        <v>1182</v>
      </c>
      <c r="D705" s="313"/>
      <c r="E705" s="306"/>
      <c r="F705" s="301"/>
      <c r="G705" s="301">
        <f t="shared" ref="G705:P705" si="119">G7</f>
        <v>2016</v>
      </c>
      <c r="H705" s="726">
        <f t="shared" si="119"/>
        <v>2017</v>
      </c>
      <c r="I705" s="727">
        <f t="shared" si="119"/>
        <v>2018</v>
      </c>
      <c r="J705" s="727">
        <f t="shared" si="119"/>
        <v>2019</v>
      </c>
      <c r="K705" s="727">
        <f t="shared" si="119"/>
        <v>2020</v>
      </c>
      <c r="L705" s="728">
        <f t="shared" si="119"/>
        <v>2021</v>
      </c>
      <c r="M705" s="301">
        <f t="shared" si="119"/>
        <v>2022</v>
      </c>
      <c r="N705" s="301">
        <f t="shared" si="119"/>
        <v>2023</v>
      </c>
      <c r="O705" s="301">
        <f t="shared" si="119"/>
        <v>2024</v>
      </c>
      <c r="P705" s="301">
        <f t="shared" si="119"/>
        <v>2025</v>
      </c>
    </row>
    <row r="706" spans="1:16" ht="44.25" customHeight="1" x14ac:dyDescent="0.2">
      <c r="A706" s="21"/>
      <c r="B706" s="21"/>
      <c r="C706" s="904" t="s">
        <v>3391</v>
      </c>
      <c r="D706" s="904"/>
      <c r="E706" s="906" t="s">
        <v>3394</v>
      </c>
      <c r="F706" s="907"/>
      <c r="G706" s="1633">
        <f>'Доходы-Расходы_Ф102'!B126</f>
        <v>2031845</v>
      </c>
      <c r="H706" s="1634">
        <f>'Доходы-Расходы_Ф102'!C126</f>
        <v>173659</v>
      </c>
      <c r="I706" s="1633">
        <f>'Доходы-Расходы_Ф102'!D126</f>
        <v>246835</v>
      </c>
      <c r="J706" s="1633">
        <f>'Доходы-Расходы_Ф102'!E126</f>
        <v>2306444</v>
      </c>
      <c r="K706" s="1633">
        <f>'Доходы-Расходы_Ф102'!F126</f>
        <v>14207226</v>
      </c>
      <c r="L706" s="1635">
        <f>'Доходы-Расходы_Ф102'!G126</f>
        <v>8349389</v>
      </c>
      <c r="M706" s="1631"/>
      <c r="N706" s="1631"/>
      <c r="O706" s="1631"/>
      <c r="P706" s="1631"/>
    </row>
    <row r="707" spans="1:16" ht="44.25" customHeight="1" x14ac:dyDescent="0.2">
      <c r="A707" s="21"/>
      <c r="B707" s="21"/>
      <c r="C707" s="905" t="s">
        <v>3392</v>
      </c>
      <c r="D707" s="905"/>
      <c r="E707" s="908" t="s">
        <v>3395</v>
      </c>
      <c r="F707" s="909"/>
      <c r="G707" s="1636">
        <f>'Доходы-Расходы_Ф102'!B147</f>
        <v>0</v>
      </c>
      <c r="H707" s="1637">
        <f>'Доходы-Расходы_Ф102'!C147</f>
        <v>0</v>
      </c>
      <c r="I707" s="1636">
        <f>'Доходы-Расходы_Ф102'!D147</f>
        <v>0</v>
      </c>
      <c r="J707" s="1636">
        <f>'Доходы-Расходы_Ф102'!E147</f>
        <v>152786</v>
      </c>
      <c r="K707" s="1636">
        <f>'Доходы-Расходы_Ф102'!F147</f>
        <v>54551</v>
      </c>
      <c r="L707" s="1638">
        <f>'Доходы-Расходы_Ф102'!G147</f>
        <v>213348</v>
      </c>
      <c r="M707" s="1632"/>
      <c r="N707" s="1632"/>
      <c r="O707" s="1632"/>
      <c r="P707" s="1632"/>
    </row>
    <row r="708" spans="1:16" ht="44.25" customHeight="1" x14ac:dyDescent="0.2">
      <c r="A708" s="21"/>
      <c r="B708" s="21"/>
      <c r="C708" s="905" t="s">
        <v>3393</v>
      </c>
      <c r="D708" s="905"/>
      <c r="E708" s="908" t="s">
        <v>3396</v>
      </c>
      <c r="F708" s="909"/>
      <c r="G708" s="1636">
        <f>'Доходы-Расходы_Ф102'!B151</f>
        <v>0</v>
      </c>
      <c r="H708" s="1637">
        <f>'Доходы-Расходы_Ф102'!C151</f>
        <v>0</v>
      </c>
      <c r="I708" s="1636">
        <f>'Доходы-Расходы_Ф102'!D151</f>
        <v>0</v>
      </c>
      <c r="J708" s="1636">
        <f>'Доходы-Расходы_Ф102'!E151</f>
        <v>0</v>
      </c>
      <c r="K708" s="1636">
        <f>'Доходы-Расходы_Ф102'!F151</f>
        <v>0</v>
      </c>
      <c r="L708" s="1638">
        <f>'Доходы-Расходы_Ф102'!G151</f>
        <v>0</v>
      </c>
      <c r="M708" s="1632"/>
      <c r="N708" s="1632"/>
      <c r="O708" s="1632"/>
      <c r="P708" s="1632"/>
    </row>
    <row r="709" spans="1:16" ht="27" customHeight="1" x14ac:dyDescent="0.2">
      <c r="A709" s="21"/>
      <c r="B709" s="21"/>
      <c r="C709" s="910"/>
      <c r="D709" s="910"/>
      <c r="E709" s="889" t="s">
        <v>3397</v>
      </c>
      <c r="F709" s="374">
        <f t="shared" ref="F709:M709" si="120">SUM(F706:F708)</f>
        <v>0</v>
      </c>
      <c r="G709" s="1342">
        <f t="shared" si="120"/>
        <v>2031845</v>
      </c>
      <c r="H709" s="1343">
        <f t="shared" si="120"/>
        <v>173659</v>
      </c>
      <c r="I709" s="1342">
        <f t="shared" si="120"/>
        <v>246835</v>
      </c>
      <c r="J709" s="1342">
        <f t="shared" si="120"/>
        <v>2459230</v>
      </c>
      <c r="K709" s="1342">
        <f t="shared" si="120"/>
        <v>14261777</v>
      </c>
      <c r="L709" s="1344">
        <f t="shared" si="120"/>
        <v>8562737</v>
      </c>
      <c r="M709" s="1589">
        <f t="shared" si="120"/>
        <v>0</v>
      </c>
      <c r="N709" s="1589"/>
      <c r="O709" s="1589"/>
      <c r="P709" s="1589"/>
    </row>
    <row r="710" spans="1:16" ht="24" customHeight="1" x14ac:dyDescent="0.2">
      <c r="A710" s="21"/>
      <c r="B710" s="21"/>
      <c r="C710" s="21"/>
      <c r="D710" s="21"/>
      <c r="E710" s="291"/>
      <c r="F710" s="387"/>
      <c r="G710" s="387"/>
      <c r="H710" s="387"/>
      <c r="I710" s="387"/>
      <c r="J710" s="387"/>
      <c r="K710" s="387"/>
      <c r="L710" s="387"/>
      <c r="M710" s="387"/>
      <c r="N710" s="387"/>
      <c r="O710" s="387"/>
      <c r="P710" s="387"/>
    </row>
    <row r="711" spans="1:16" ht="24" customHeight="1" x14ac:dyDescent="0.2">
      <c r="A711" s="21"/>
      <c r="B711" s="21"/>
      <c r="C711" s="21"/>
      <c r="D711" s="21"/>
      <c r="E711" s="291"/>
      <c r="F711" s="387"/>
      <c r="G711" s="387"/>
      <c r="H711" s="387"/>
      <c r="I711" s="387"/>
      <c r="J711" s="387"/>
      <c r="K711" s="387"/>
      <c r="L711" s="387"/>
      <c r="M711" s="387"/>
      <c r="N711" s="387"/>
      <c r="O711" s="387"/>
      <c r="P711" s="387"/>
    </row>
    <row r="712" spans="1:16" ht="24" customHeight="1" x14ac:dyDescent="0.2">
      <c r="A712" s="21"/>
      <c r="B712" s="21"/>
      <c r="C712" s="21"/>
      <c r="D712" s="21"/>
      <c r="E712" s="291"/>
      <c r="F712" s="387"/>
      <c r="G712" s="387"/>
      <c r="H712" s="387"/>
      <c r="I712" s="387"/>
      <c r="J712" s="387"/>
      <c r="K712" s="387"/>
      <c r="L712" s="387"/>
      <c r="M712" s="387"/>
      <c r="N712" s="387"/>
      <c r="O712" s="387"/>
      <c r="P712" s="387"/>
    </row>
    <row r="713" spans="1:16" ht="16.5" thickBot="1" x14ac:dyDescent="0.3">
      <c r="A713" s="21"/>
      <c r="B713" s="21"/>
      <c r="C713" s="21"/>
      <c r="D713" s="21"/>
      <c r="E713" s="324" t="s">
        <v>372</v>
      </c>
      <c r="F713" s="387" t="s">
        <v>348</v>
      </c>
      <c r="G713" s="387"/>
      <c r="H713" s="387"/>
      <c r="I713" s="387"/>
      <c r="J713" s="387"/>
      <c r="K713" s="387"/>
      <c r="L713" s="387"/>
      <c r="M713" s="387"/>
      <c r="N713" s="387"/>
      <c r="O713" s="387"/>
      <c r="P713" s="387"/>
    </row>
    <row r="714" spans="1:16" ht="30.75" thickTop="1" x14ac:dyDescent="0.2">
      <c r="A714" s="21"/>
      <c r="B714" s="21"/>
      <c r="C714" s="313" t="s">
        <v>1182</v>
      </c>
      <c r="D714" s="313"/>
      <c r="E714" s="306" t="str">
        <f t="shared" ref="E714:P714" si="121">E7</f>
        <v>тыс. руб.</v>
      </c>
      <c r="F714" s="301">
        <f t="shared" si="121"/>
        <v>0</v>
      </c>
      <c r="G714" s="301">
        <f t="shared" si="121"/>
        <v>2016</v>
      </c>
      <c r="H714" s="726">
        <f t="shared" si="121"/>
        <v>2017</v>
      </c>
      <c r="I714" s="727">
        <f t="shared" si="121"/>
        <v>2018</v>
      </c>
      <c r="J714" s="727">
        <f t="shared" si="121"/>
        <v>2019</v>
      </c>
      <c r="K714" s="727">
        <f t="shared" si="121"/>
        <v>2020</v>
      </c>
      <c r="L714" s="728">
        <f t="shared" si="121"/>
        <v>2021</v>
      </c>
      <c r="M714" s="301">
        <f t="shared" si="121"/>
        <v>2022</v>
      </c>
      <c r="N714" s="301">
        <f t="shared" si="121"/>
        <v>2023</v>
      </c>
      <c r="O714" s="301">
        <f t="shared" si="121"/>
        <v>2024</v>
      </c>
      <c r="P714" s="301">
        <f t="shared" si="121"/>
        <v>2025</v>
      </c>
    </row>
    <row r="715" spans="1:16" ht="29.25" customHeight="1" x14ac:dyDescent="0.2">
      <c r="A715" s="21"/>
      <c r="B715" s="21"/>
      <c r="C715" s="904" t="s">
        <v>1188</v>
      </c>
      <c r="D715" s="904"/>
      <c r="E715" s="906" t="s">
        <v>1195</v>
      </c>
      <c r="F715" s="907"/>
      <c r="G715" s="1633">
        <f>'Доходы-Расходы_Ф102'!B172</f>
        <v>259842</v>
      </c>
      <c r="H715" s="1634">
        <f>'Доходы-Расходы_Ф102'!C172</f>
        <v>251812</v>
      </c>
      <c r="I715" s="1633">
        <f>'Доходы-Расходы_Ф102'!D172</f>
        <v>228062</v>
      </c>
      <c r="J715" s="1633">
        <f>'Доходы-Расходы_Ф102'!E172</f>
        <v>222718</v>
      </c>
      <c r="K715" s="1633">
        <f>'Доходы-Расходы_Ф102'!F172</f>
        <v>139975</v>
      </c>
      <c r="L715" s="1635">
        <f>'Доходы-Расходы_Ф102'!G172</f>
        <v>135698</v>
      </c>
      <c r="M715" s="1631"/>
      <c r="N715" s="1631"/>
      <c r="O715" s="1631"/>
      <c r="P715" s="1631"/>
    </row>
    <row r="716" spans="1:16" ht="29.25" customHeight="1" x14ac:dyDescent="0.2">
      <c r="A716" s="21"/>
      <c r="B716" s="21"/>
      <c r="C716" s="905" t="s">
        <v>1189</v>
      </c>
      <c r="D716" s="905"/>
      <c r="E716" s="908" t="s">
        <v>1172</v>
      </c>
      <c r="F716" s="909"/>
      <c r="G716" s="1636">
        <f>'Доходы-Расходы_Ф102'!B177</f>
        <v>1917759</v>
      </c>
      <c r="H716" s="1637">
        <f>'Доходы-Расходы_Ф102'!C177</f>
        <v>2447900</v>
      </c>
      <c r="I716" s="1636">
        <f>'Доходы-Расходы_Ф102'!D177</f>
        <v>3079325</v>
      </c>
      <c r="J716" s="1636">
        <f>'Доходы-Расходы_Ф102'!E177</f>
        <v>4108078</v>
      </c>
      <c r="K716" s="1636">
        <f>'Доходы-Расходы_Ф102'!F177</f>
        <v>4730941</v>
      </c>
      <c r="L716" s="1638">
        <f>'Доходы-Расходы_Ф102'!G177</f>
        <v>5397597</v>
      </c>
      <c r="M716" s="1632"/>
      <c r="N716" s="1632"/>
      <c r="O716" s="1632"/>
      <c r="P716" s="1632"/>
    </row>
    <row r="717" spans="1:16" ht="29.25" customHeight="1" x14ac:dyDescent="0.2">
      <c r="A717" s="21"/>
      <c r="B717" s="21"/>
      <c r="C717" s="905" t="s">
        <v>1380</v>
      </c>
      <c r="D717" s="905"/>
      <c r="E717" s="908" t="s">
        <v>1173</v>
      </c>
      <c r="F717" s="909"/>
      <c r="G717" s="1636">
        <f>'Доходы-Расходы_Ф102'!B182</f>
        <v>17120</v>
      </c>
      <c r="H717" s="1637">
        <f>'Доходы-Расходы_Ф102'!C182</f>
        <v>22505</v>
      </c>
      <c r="I717" s="1636">
        <f>'Доходы-Расходы_Ф102'!D182</f>
        <v>41654</v>
      </c>
      <c r="J717" s="1636">
        <f>'Доходы-Расходы_Ф102'!E182</f>
        <v>53174</v>
      </c>
      <c r="K717" s="1636">
        <f>'Доходы-Расходы_Ф102'!F182</f>
        <v>86049</v>
      </c>
      <c r="L717" s="1638">
        <f>'Доходы-Расходы_Ф102'!G182</f>
        <v>103186</v>
      </c>
      <c r="M717" s="1632"/>
      <c r="N717" s="1632"/>
      <c r="O717" s="1632"/>
      <c r="P717" s="1632"/>
    </row>
    <row r="718" spans="1:16" ht="29.25" customHeight="1" x14ac:dyDescent="0.2">
      <c r="A718" s="21"/>
      <c r="B718" s="21"/>
      <c r="C718" s="905" t="s">
        <v>1190</v>
      </c>
      <c r="D718" s="905"/>
      <c r="E718" s="908" t="s">
        <v>1174</v>
      </c>
      <c r="F718" s="909"/>
      <c r="G718" s="1636">
        <f>'Доходы-Расходы_Ф102'!B192</f>
        <v>835251</v>
      </c>
      <c r="H718" s="1637">
        <f>'Доходы-Расходы_Ф102'!C192</f>
        <v>878478</v>
      </c>
      <c r="I718" s="1636">
        <f>'Доходы-Расходы_Ф102'!D192</f>
        <v>954361</v>
      </c>
      <c r="J718" s="1636">
        <f>'Доходы-Расходы_Ф102'!E192</f>
        <v>957634</v>
      </c>
      <c r="K718" s="1636">
        <f>'Доходы-Расходы_Ф102'!F192</f>
        <v>1016453</v>
      </c>
      <c r="L718" s="1638">
        <f>'Доходы-Расходы_Ф102'!G192</f>
        <v>938876</v>
      </c>
      <c r="M718" s="1632"/>
      <c r="N718" s="1632"/>
      <c r="O718" s="1632"/>
      <c r="P718" s="1632"/>
    </row>
    <row r="719" spans="1:16" ht="29.25" customHeight="1" x14ac:dyDescent="0.2">
      <c r="A719" s="21"/>
      <c r="B719" s="21"/>
      <c r="C719" s="905" t="s">
        <v>1191</v>
      </c>
      <c r="D719" s="905"/>
      <c r="E719" s="908" t="s">
        <v>1175</v>
      </c>
      <c r="F719" s="909"/>
      <c r="G719" s="1636">
        <f>'Доходы-Расходы_Ф102'!B197</f>
        <v>346325</v>
      </c>
      <c r="H719" s="1637">
        <f>'Доходы-Расходы_Ф102'!C197</f>
        <v>488497</v>
      </c>
      <c r="I719" s="1636">
        <f>'Доходы-Расходы_Ф102'!D197</f>
        <v>934599</v>
      </c>
      <c r="J719" s="1636">
        <f>'Доходы-Расходы_Ф102'!E197</f>
        <v>1346926</v>
      </c>
      <c r="K719" s="1636">
        <f>'Доходы-Расходы_Ф102'!F197</f>
        <v>1603639</v>
      </c>
      <c r="L719" s="1638">
        <f>'Доходы-Расходы_Ф102'!G197</f>
        <v>1858942</v>
      </c>
      <c r="M719" s="1632"/>
      <c r="N719" s="1632"/>
      <c r="O719" s="1632"/>
      <c r="P719" s="1632"/>
    </row>
    <row r="720" spans="1:16" ht="39.75" customHeight="1" x14ac:dyDescent="0.2">
      <c r="A720" s="21"/>
      <c r="B720" s="21"/>
      <c r="C720" s="905" t="s">
        <v>1192</v>
      </c>
      <c r="D720" s="905"/>
      <c r="E720" s="908" t="s">
        <v>1176</v>
      </c>
      <c r="F720" s="909"/>
      <c r="G720" s="1636">
        <f>'Доходы-Расходы_Ф102'!B202</f>
        <v>179537</v>
      </c>
      <c r="H720" s="1637">
        <f>'Доходы-Расходы_Ф102'!C202</f>
        <v>274999</v>
      </c>
      <c r="I720" s="1636">
        <f>'Доходы-Расходы_Ф102'!D202</f>
        <v>216259</v>
      </c>
      <c r="J720" s="1636">
        <f>'Доходы-Расходы_Ф102'!E202</f>
        <v>195913</v>
      </c>
      <c r="K720" s="1636">
        <f>'Доходы-Расходы_Ф102'!F202</f>
        <v>224772</v>
      </c>
      <c r="L720" s="1638">
        <f>'Доходы-Расходы_Ф102'!G202</f>
        <v>250759</v>
      </c>
      <c r="M720" s="1632"/>
      <c r="N720" s="1632"/>
      <c r="O720" s="1632"/>
      <c r="P720" s="1632"/>
    </row>
    <row r="721" spans="1:20" ht="29.25" customHeight="1" x14ac:dyDescent="0.2">
      <c r="A721" s="1211"/>
      <c r="B721" s="1211"/>
      <c r="C721" s="1212" t="s">
        <v>1193</v>
      </c>
      <c r="D721" s="1212"/>
      <c r="E721" s="1213" t="s">
        <v>1196</v>
      </c>
      <c r="F721" s="1214"/>
      <c r="G721" s="1639">
        <f>'Доходы-Расходы_Ф102'!B207</f>
        <v>77</v>
      </c>
      <c r="H721" s="1640">
        <f>'Доходы-Расходы_Ф102'!C207</f>
        <v>105</v>
      </c>
      <c r="I721" s="1639">
        <f>'Доходы-Расходы_Ф102'!D207</f>
        <v>71</v>
      </c>
      <c r="J721" s="1639">
        <f>'Доходы-Расходы_Ф102'!E207</f>
        <v>86</v>
      </c>
      <c r="K721" s="1639">
        <f>'Доходы-Расходы_Ф102'!F207</f>
        <v>127</v>
      </c>
      <c r="L721" s="1641">
        <f>'Доходы-Расходы_Ф102'!G207</f>
        <v>77</v>
      </c>
      <c r="M721" s="1632"/>
      <c r="N721" s="1632"/>
      <c r="O721" s="1632"/>
      <c r="P721" s="1632"/>
      <c r="T721" s="387" t="s">
        <v>1485</v>
      </c>
    </row>
    <row r="722" spans="1:20" ht="29.25" customHeight="1" x14ac:dyDescent="0.2">
      <c r="A722" s="1211"/>
      <c r="B722" s="1211"/>
      <c r="C722" s="1212" t="s">
        <v>1194</v>
      </c>
      <c r="D722" s="1212"/>
      <c r="E722" s="1213" t="s">
        <v>1177</v>
      </c>
      <c r="F722" s="1214"/>
      <c r="G722" s="1639">
        <f>'Доходы-Расходы_Ф102'!B212</f>
        <v>53689</v>
      </c>
      <c r="H722" s="1640">
        <f>'Доходы-Расходы_Ф102'!C212</f>
        <v>101693</v>
      </c>
      <c r="I722" s="1639">
        <f>'Доходы-Расходы_Ф102'!D212</f>
        <v>235357</v>
      </c>
      <c r="J722" s="1639">
        <f>'Доходы-Расходы_Ф102'!E212</f>
        <v>234655</v>
      </c>
      <c r="K722" s="1639">
        <f>'Доходы-Расходы_Ф102'!F212</f>
        <v>289455</v>
      </c>
      <c r="L722" s="1641">
        <f>'Доходы-Расходы_Ф102'!G212</f>
        <v>386138</v>
      </c>
      <c r="M722" s="1632"/>
      <c r="N722" s="1632"/>
      <c r="O722" s="1632"/>
      <c r="P722" s="1632"/>
      <c r="T722" s="387" t="s">
        <v>1485</v>
      </c>
    </row>
    <row r="723" spans="1:20" ht="29.25" customHeight="1" x14ac:dyDescent="0.2">
      <c r="A723" s="21"/>
      <c r="B723" s="21"/>
      <c r="C723" s="905" t="s">
        <v>1381</v>
      </c>
      <c r="D723" s="905"/>
      <c r="E723" s="908" t="s">
        <v>1382</v>
      </c>
      <c r="F723" s="909"/>
      <c r="G723" s="1636">
        <f>'Доходы-Расходы_Ф102'!B217</f>
        <v>110610</v>
      </c>
      <c r="H723" s="1637">
        <f>'Доходы-Расходы_Ф102'!C217</f>
        <v>100945</v>
      </c>
      <c r="I723" s="1636">
        <f>'Доходы-Расходы_Ф102'!D217</f>
        <v>127137</v>
      </c>
      <c r="J723" s="1636">
        <f>'Доходы-Расходы_Ф102'!E217</f>
        <v>104807</v>
      </c>
      <c r="K723" s="1636">
        <f>'Доходы-Расходы_Ф102'!F217</f>
        <v>116033</v>
      </c>
      <c r="L723" s="1638">
        <f>'Доходы-Расходы_Ф102'!G217</f>
        <v>139737</v>
      </c>
      <c r="M723" s="1632"/>
      <c r="N723" s="1632"/>
      <c r="O723" s="1632"/>
      <c r="P723" s="1632"/>
    </row>
    <row r="724" spans="1:20" ht="27" customHeight="1" x14ac:dyDescent="0.2">
      <c r="A724" s="21"/>
      <c r="B724" s="21"/>
      <c r="C724" s="910"/>
      <c r="D724" s="910"/>
      <c r="E724" s="889" t="s">
        <v>1178</v>
      </c>
      <c r="F724" s="374">
        <f t="shared" ref="F724:K724" si="122">SUM(F715:F723)</f>
        <v>0</v>
      </c>
      <c r="G724" s="1342">
        <f t="shared" si="122"/>
        <v>3720210</v>
      </c>
      <c r="H724" s="1343">
        <f t="shared" si="122"/>
        <v>4566934</v>
      </c>
      <c r="I724" s="1342">
        <f t="shared" si="122"/>
        <v>5816825</v>
      </c>
      <c r="J724" s="1342">
        <f t="shared" si="122"/>
        <v>7223991</v>
      </c>
      <c r="K724" s="1342">
        <f t="shared" si="122"/>
        <v>8207444</v>
      </c>
      <c r="L724" s="1344">
        <f>SUM(L715:L723)</f>
        <v>9211010</v>
      </c>
      <c r="M724" s="1589">
        <f>SUM(M715:M723)</f>
        <v>0</v>
      </c>
      <c r="N724" s="1589"/>
      <c r="O724" s="1589"/>
      <c r="P724" s="1589"/>
    </row>
    <row r="725" spans="1:20" ht="16.5" outlineLevel="1" thickBot="1" x14ac:dyDescent="0.3">
      <c r="A725" s="21"/>
      <c r="B725" s="21"/>
      <c r="C725" s="21"/>
      <c r="D725" s="21"/>
      <c r="E725" s="309" t="s">
        <v>1179</v>
      </c>
      <c r="F725" s="386">
        <f t="shared" ref="F725:M725" si="123">SUM(F715:F720,F723)-F95</f>
        <v>0</v>
      </c>
      <c r="G725" s="1311">
        <f t="shared" si="123"/>
        <v>540</v>
      </c>
      <c r="H725" s="1499">
        <f t="shared" si="123"/>
        <v>-4365</v>
      </c>
      <c r="I725" s="1500">
        <f t="shared" si="123"/>
        <v>515</v>
      </c>
      <c r="J725" s="1500">
        <f t="shared" si="123"/>
        <v>-5489</v>
      </c>
      <c r="K725" s="1500">
        <f t="shared" si="123"/>
        <v>-293</v>
      </c>
      <c r="L725" s="1501">
        <f t="shared" si="123"/>
        <v>-8909</v>
      </c>
      <c r="M725" s="1621">
        <f t="shared" si="123"/>
        <v>-9326419</v>
      </c>
      <c r="N725" s="1621"/>
      <c r="O725" s="1621"/>
      <c r="P725" s="1621"/>
    </row>
    <row r="726" spans="1:20" ht="24" customHeight="1" thickTop="1" x14ac:dyDescent="0.2">
      <c r="A726" s="21"/>
      <c r="B726" s="21"/>
      <c r="C726" s="21"/>
      <c r="D726" s="21"/>
      <c r="E726" s="291"/>
      <c r="F726" s="387"/>
      <c r="G726" s="387"/>
      <c r="H726" s="387"/>
      <c r="I726" s="387"/>
      <c r="J726" s="387"/>
      <c r="K726" s="387"/>
      <c r="L726" s="387"/>
      <c r="M726" s="387"/>
      <c r="N726" s="387"/>
      <c r="O726" s="387"/>
      <c r="P726" s="387"/>
    </row>
    <row r="727" spans="1:20" ht="24" customHeight="1" x14ac:dyDescent="0.2">
      <c r="A727" s="21"/>
      <c r="B727" s="21"/>
      <c r="C727" s="21"/>
      <c r="D727" s="21"/>
      <c r="E727" s="291"/>
      <c r="F727" s="387"/>
      <c r="G727" s="387"/>
      <c r="H727" s="387"/>
      <c r="I727" s="387"/>
      <c r="J727" s="387"/>
      <c r="K727" s="387"/>
      <c r="L727" s="387"/>
      <c r="M727" s="387"/>
      <c r="N727" s="387"/>
      <c r="O727" s="387"/>
      <c r="P727" s="387"/>
    </row>
    <row r="728" spans="1:20" x14ac:dyDescent="0.2">
      <c r="A728" s="21"/>
      <c r="B728" s="21"/>
      <c r="C728" s="21"/>
      <c r="D728" s="21"/>
      <c r="E728" s="291"/>
      <c r="F728" s="387"/>
      <c r="G728" s="387"/>
      <c r="H728" s="387"/>
      <c r="I728" s="387"/>
      <c r="J728" s="387"/>
      <c r="K728" s="387"/>
      <c r="L728" s="387"/>
      <c r="M728" s="387"/>
      <c r="N728" s="387"/>
      <c r="O728" s="387"/>
      <c r="P728" s="387"/>
    </row>
    <row r="729" spans="1:20" ht="16.5" thickBot="1" x14ac:dyDescent="0.3">
      <c r="A729" s="21"/>
      <c r="B729" s="21"/>
      <c r="C729" s="21"/>
      <c r="D729" s="21"/>
      <c r="E729" s="324" t="s">
        <v>598</v>
      </c>
      <c r="F729" s="387" t="s">
        <v>348</v>
      </c>
      <c r="G729" s="387"/>
      <c r="H729" s="387"/>
      <c r="I729" s="387"/>
      <c r="J729" s="387"/>
      <c r="K729" s="387"/>
      <c r="L729" s="387"/>
      <c r="M729" s="387"/>
      <c r="N729" s="387"/>
      <c r="O729" s="387"/>
      <c r="P729" s="387"/>
    </row>
    <row r="730" spans="1:20" ht="15.75" thickTop="1" x14ac:dyDescent="0.2">
      <c r="A730" s="21"/>
      <c r="B730" s="21"/>
      <c r="C730" s="21"/>
      <c r="D730" s="21"/>
      <c r="E730" s="306" t="str">
        <f>E7</f>
        <v>тыс. руб.</v>
      </c>
      <c r="F730" s="301"/>
      <c r="G730" s="301">
        <f t="shared" ref="G730:P730" si="124">G7</f>
        <v>2016</v>
      </c>
      <c r="H730" s="726">
        <f t="shared" si="124"/>
        <v>2017</v>
      </c>
      <c r="I730" s="727">
        <f t="shared" si="124"/>
        <v>2018</v>
      </c>
      <c r="J730" s="727">
        <f t="shared" si="124"/>
        <v>2019</v>
      </c>
      <c r="K730" s="727">
        <f t="shared" si="124"/>
        <v>2020</v>
      </c>
      <c r="L730" s="728">
        <f t="shared" si="124"/>
        <v>2021</v>
      </c>
      <c r="M730" s="301">
        <f t="shared" si="124"/>
        <v>2022</v>
      </c>
      <c r="N730" s="301">
        <f t="shared" si="124"/>
        <v>2023</v>
      </c>
      <c r="O730" s="301">
        <f t="shared" si="124"/>
        <v>2024</v>
      </c>
      <c r="P730" s="301">
        <f t="shared" si="124"/>
        <v>2025</v>
      </c>
    </row>
    <row r="731" spans="1:20" x14ac:dyDescent="0.2">
      <c r="A731" s="21"/>
      <c r="B731" s="21"/>
      <c r="C731" s="438">
        <v>1</v>
      </c>
      <c r="D731" s="438"/>
      <c r="E731" s="892" t="s">
        <v>1147</v>
      </c>
      <c r="F731" s="893"/>
      <c r="G731" s="1642">
        <f>-'Доходы-Расходы_Ф102'!B238</f>
        <v>-4078651</v>
      </c>
      <c r="H731" s="1643">
        <f>-'Доходы-Расходы_Ф102'!C238</f>
        <v>-4333896</v>
      </c>
      <c r="I731" s="1642">
        <f>-'Доходы-Расходы_Ф102'!D238</f>
        <v>-5256479</v>
      </c>
      <c r="J731" s="1642">
        <f>-'Доходы-Расходы_Ф102'!E238</f>
        <v>-5224016</v>
      </c>
      <c r="K731" s="1642">
        <f>-'Доходы-Расходы_Ф102'!F238</f>
        <v>-5738886</v>
      </c>
      <c r="L731" s="1656">
        <f>-'Доходы-Расходы_Ф102'!G238</f>
        <v>-6650856</v>
      </c>
      <c r="M731" s="1663"/>
      <c r="N731" s="1663"/>
      <c r="O731" s="1663"/>
      <c r="P731" s="1663"/>
    </row>
    <row r="732" spans="1:20" x14ac:dyDescent="0.2">
      <c r="A732" s="21"/>
      <c r="B732" s="21"/>
      <c r="C732" s="438">
        <v>2</v>
      </c>
      <c r="D732" s="438"/>
      <c r="E732" s="894" t="s">
        <v>1148</v>
      </c>
      <c r="F732" s="895"/>
      <c r="G732" s="1644">
        <f>-'Доходы-Расходы_Ф102'!B248</f>
        <v>-401915</v>
      </c>
      <c r="H732" s="1645">
        <f>-'Доходы-Расходы_Ф102'!C248</f>
        <v>-460661</v>
      </c>
      <c r="I732" s="1644">
        <f>-'Доходы-Расходы_Ф102'!D248</f>
        <v>-440595</v>
      </c>
      <c r="J732" s="1644">
        <f>-'Доходы-Расходы_Ф102'!E248</f>
        <v>-384160</v>
      </c>
      <c r="K732" s="1644">
        <f>-'Доходы-Расходы_Ф102'!F248</f>
        <v>-436764</v>
      </c>
      <c r="L732" s="1657">
        <f>-'Доходы-Расходы_Ф102'!G248</f>
        <v>-1048912</v>
      </c>
      <c r="M732" s="1448"/>
      <c r="N732" s="1448"/>
      <c r="O732" s="1448"/>
      <c r="P732" s="1448"/>
    </row>
    <row r="733" spans="1:20" x14ac:dyDescent="0.2">
      <c r="A733" s="21"/>
      <c r="B733" s="21"/>
      <c r="C733" s="438">
        <v>3</v>
      </c>
      <c r="D733" s="438"/>
      <c r="E733" s="894" t="s">
        <v>1149</v>
      </c>
      <c r="F733" s="895"/>
      <c r="G733" s="1644">
        <f>-'Доходы-Расходы_Ф102'!B252</f>
        <v>-495823</v>
      </c>
      <c r="H733" s="1645">
        <f>-'Доходы-Расходы_Ф102'!C252</f>
        <v>-359918</v>
      </c>
      <c r="I733" s="1644">
        <f>-'Доходы-Расходы_Ф102'!D252</f>
        <v>-374201</v>
      </c>
      <c r="J733" s="1644">
        <f>-'Доходы-Расходы_Ф102'!E252</f>
        <v>-535939</v>
      </c>
      <c r="K733" s="1644">
        <f>-'Доходы-Расходы_Ф102'!F252</f>
        <v>-1291065</v>
      </c>
      <c r="L733" s="1657">
        <f>-'Доходы-Расходы_Ф102'!G252</f>
        <v>-1594742</v>
      </c>
      <c r="M733" s="1448"/>
      <c r="N733" s="1448"/>
      <c r="O733" s="1448"/>
      <c r="P733" s="1448"/>
    </row>
    <row r="734" spans="1:20" ht="30.75" customHeight="1" x14ac:dyDescent="0.2">
      <c r="A734" s="21"/>
      <c r="B734" s="21"/>
      <c r="C734" s="438">
        <v>4</v>
      </c>
      <c r="D734" s="438"/>
      <c r="E734" s="894" t="s">
        <v>1465</v>
      </c>
      <c r="F734" s="895"/>
      <c r="G734" s="1644">
        <f>-'Доходы-Расходы_Ф102'!B266</f>
        <v>-2269304</v>
      </c>
      <c r="H734" s="1645">
        <f>-'Доходы-Расходы_Ф102'!C266</f>
        <v>-2900055</v>
      </c>
      <c r="I734" s="1644">
        <f>-'Доходы-Расходы_Ф102'!D266</f>
        <v>-6485116</v>
      </c>
      <c r="J734" s="1644">
        <f>-'Доходы-Расходы_Ф102'!E266</f>
        <v>-5765642</v>
      </c>
      <c r="K734" s="1644">
        <f>-'Доходы-Расходы_Ф102'!F266</f>
        <v>-5576941</v>
      </c>
      <c r="L734" s="1657">
        <f>-'Доходы-Расходы_Ф102'!G266</f>
        <v>-6088502</v>
      </c>
      <c r="M734" s="1448"/>
      <c r="N734" s="1448"/>
      <c r="O734" s="1448"/>
      <c r="P734" s="1448"/>
    </row>
    <row r="735" spans="1:20" ht="30.75" customHeight="1" outlineLevel="1" x14ac:dyDescent="0.2">
      <c r="A735" s="21"/>
      <c r="B735" s="21"/>
      <c r="C735" s="438"/>
      <c r="D735" s="438"/>
      <c r="E735" s="1206" t="s">
        <v>1469</v>
      </c>
      <c r="F735" s="1207"/>
      <c r="G735" s="1646">
        <f>-'Доходы-Расходы_Ф102'!B255</f>
        <v>-157348</v>
      </c>
      <c r="H735" s="1647">
        <f>-'Доходы-Расходы_Ф102'!C255</f>
        <v>-155188</v>
      </c>
      <c r="I735" s="1646">
        <f>-'Доходы-Расходы_Ф102'!D255</f>
        <v>-237273</v>
      </c>
      <c r="J735" s="1646">
        <f>-'Доходы-Расходы_Ф102'!E255</f>
        <v>-270913</v>
      </c>
      <c r="K735" s="1646">
        <f>-'Доходы-Расходы_Ф102'!F255</f>
        <v>-301467</v>
      </c>
      <c r="L735" s="1658">
        <f>-'Доходы-Расходы_Ф102'!G255</f>
        <v>-251415</v>
      </c>
      <c r="M735" s="1664"/>
      <c r="N735" s="1664"/>
      <c r="O735" s="1664"/>
      <c r="P735" s="1664"/>
    </row>
    <row r="736" spans="1:20" ht="30.75" customHeight="1" outlineLevel="1" x14ac:dyDescent="0.2">
      <c r="A736" s="21"/>
      <c r="B736" s="21"/>
      <c r="C736" s="438"/>
      <c r="D736" s="438"/>
      <c r="E736" s="1206" t="s">
        <v>1470</v>
      </c>
      <c r="F736" s="1207"/>
      <c r="G736" s="1646">
        <f>-'Доходы-Расходы_Ф102'!B259</f>
        <v>-127018</v>
      </c>
      <c r="H736" s="1647">
        <f>-'Доходы-Расходы_Ф102'!C259</f>
        <v>-392432</v>
      </c>
      <c r="I736" s="1646">
        <f>-'Доходы-Расходы_Ф102'!D259</f>
        <v>-2391644</v>
      </c>
      <c r="J736" s="1646">
        <f>-'Доходы-Расходы_Ф102'!E259</f>
        <v>-2501138</v>
      </c>
      <c r="K736" s="1646">
        <f>-'Доходы-Расходы_Ф102'!F259</f>
        <v>-2575326</v>
      </c>
      <c r="L736" s="1658">
        <f>-'Доходы-Расходы_Ф102'!G259</f>
        <v>-2484332</v>
      </c>
      <c r="M736" s="1664"/>
      <c r="N736" s="1664"/>
      <c r="O736" s="1664"/>
      <c r="P736" s="1664"/>
    </row>
    <row r="737" spans="1:16" ht="30.75" customHeight="1" outlineLevel="1" x14ac:dyDescent="0.2">
      <c r="A737" s="21"/>
      <c r="B737" s="21"/>
      <c r="C737" s="438"/>
      <c r="D737" s="438"/>
      <c r="E737" s="1206" t="s">
        <v>1471</v>
      </c>
      <c r="F737" s="1207"/>
      <c r="G737" s="1646">
        <f>-'Доходы-Расходы_Ф102'!B261</f>
        <v>-145365</v>
      </c>
      <c r="H737" s="1647">
        <f>-'Доходы-Расходы_Ф102'!C261</f>
        <v>-180549</v>
      </c>
      <c r="I737" s="1646">
        <f>-'Доходы-Расходы_Ф102'!D261</f>
        <v>-299154</v>
      </c>
      <c r="J737" s="1646">
        <f>-'Доходы-Расходы_Ф102'!E261</f>
        <v>-299423</v>
      </c>
      <c r="K737" s="1646">
        <f>-'Доходы-Расходы_Ф102'!F261</f>
        <v>-384673</v>
      </c>
      <c r="L737" s="1658">
        <f>-'Доходы-Расходы_Ф102'!G261</f>
        <v>-293567</v>
      </c>
      <c r="M737" s="1664"/>
      <c r="N737" s="1664"/>
      <c r="O737" s="1664"/>
      <c r="P737" s="1664"/>
    </row>
    <row r="738" spans="1:16" ht="30.75" customHeight="1" outlineLevel="1" x14ac:dyDescent="0.2">
      <c r="A738" s="21"/>
      <c r="B738" s="21"/>
      <c r="C738" s="438"/>
      <c r="D738" s="438"/>
      <c r="E738" s="1206" t="s">
        <v>1472</v>
      </c>
      <c r="F738" s="1207"/>
      <c r="G738" s="1646">
        <f>-'Доходы-Расходы_Ф102'!B264</f>
        <v>-448019</v>
      </c>
      <c r="H738" s="1647">
        <f>-'Доходы-Расходы_Ф102'!C264</f>
        <v>-552915</v>
      </c>
      <c r="I738" s="1646">
        <f>-'Доходы-Расходы_Ф102'!D264</f>
        <v>-700202</v>
      </c>
      <c r="J738" s="1646">
        <f>-'Доходы-Расходы_Ф102'!E264</f>
        <v>-807010</v>
      </c>
      <c r="K738" s="1646">
        <f>-'Доходы-Расходы_Ф102'!F264</f>
        <v>-686089</v>
      </c>
      <c r="L738" s="1658">
        <f>-'Доходы-Расходы_Ф102'!G264</f>
        <v>-782572</v>
      </c>
      <c r="M738" s="1664"/>
      <c r="N738" s="1664"/>
      <c r="O738" s="1664"/>
      <c r="P738" s="1664"/>
    </row>
    <row r="739" spans="1:16" ht="30.75" customHeight="1" outlineLevel="1" x14ac:dyDescent="0.2">
      <c r="A739" s="21"/>
      <c r="B739" s="21"/>
      <c r="C739" s="438"/>
      <c r="D739" s="438"/>
      <c r="E739" s="1206" t="s">
        <v>1473</v>
      </c>
      <c r="F739" s="1207"/>
      <c r="G739" s="1646">
        <f>-'Доходы-Расходы_Ф102'!B265</f>
        <v>-624589</v>
      </c>
      <c r="H739" s="1647">
        <f>-'Доходы-Расходы_Ф102'!C265</f>
        <v>-857497</v>
      </c>
      <c r="I739" s="1646">
        <f>-'Доходы-Расходы_Ф102'!D265</f>
        <v>-2027582</v>
      </c>
      <c r="J739" s="1646">
        <f>-'Доходы-Расходы_Ф102'!E265</f>
        <v>-1067907</v>
      </c>
      <c r="K739" s="1646">
        <f>-'Доходы-Расходы_Ф102'!F265</f>
        <v>-1276761</v>
      </c>
      <c r="L739" s="1658">
        <f>-'Доходы-Расходы_Ф102'!G265</f>
        <v>-1802529</v>
      </c>
      <c r="M739" s="1664"/>
      <c r="N739" s="1664"/>
      <c r="O739" s="1664"/>
      <c r="P739" s="1664"/>
    </row>
    <row r="740" spans="1:16" ht="35.25" customHeight="1" x14ac:dyDescent="0.2">
      <c r="A740" s="21"/>
      <c r="B740" s="21"/>
      <c r="C740" s="438">
        <v>5</v>
      </c>
      <c r="D740" s="438"/>
      <c r="E740" s="896" t="s">
        <v>1150</v>
      </c>
      <c r="F740" s="395"/>
      <c r="G740" s="1648">
        <f>-'Доходы-Расходы_Ф102'!B278</f>
        <v>-131764</v>
      </c>
      <c r="H740" s="1649">
        <f>-'Доходы-Расходы_Ф102'!C278</f>
        <v>-119409</v>
      </c>
      <c r="I740" s="1648">
        <f>-'Доходы-Расходы_Ф102'!D278</f>
        <v>-96297</v>
      </c>
      <c r="J740" s="1648">
        <f>-'Доходы-Расходы_Ф102'!E278</f>
        <v>-840673</v>
      </c>
      <c r="K740" s="1648">
        <f>-'Доходы-Расходы_Ф102'!F278</f>
        <v>-559147</v>
      </c>
      <c r="L740" s="1659">
        <f>-'Доходы-Расходы_Ф102'!G278</f>
        <v>-1219941</v>
      </c>
      <c r="M740" s="1608"/>
      <c r="N740" s="1608"/>
      <c r="O740" s="1608"/>
      <c r="P740" s="1608"/>
    </row>
    <row r="741" spans="1:16" ht="17.25" customHeight="1" x14ac:dyDescent="0.2">
      <c r="A741" s="21"/>
      <c r="B741" s="21"/>
      <c r="C741" s="438"/>
      <c r="D741" s="438"/>
      <c r="E741" s="865"/>
      <c r="F741" s="866"/>
      <c r="G741" s="1650" t="s">
        <v>643</v>
      </c>
      <c r="H741" s="1651" t="s">
        <v>643</v>
      </c>
      <c r="I741" s="1650" t="s">
        <v>643</v>
      </c>
      <c r="J741" s="1650" t="s">
        <v>643</v>
      </c>
      <c r="K741" s="1650" t="s">
        <v>643</v>
      </c>
      <c r="L741" s="1660" t="s">
        <v>643</v>
      </c>
      <c r="M741" s="1570"/>
      <c r="N741" s="1570"/>
      <c r="O741" s="1570"/>
      <c r="P741" s="1570"/>
    </row>
    <row r="742" spans="1:16" ht="49.5" customHeight="1" x14ac:dyDescent="0.2">
      <c r="A742" s="21"/>
      <c r="B742" s="21"/>
      <c r="C742" s="438" t="s">
        <v>1525</v>
      </c>
      <c r="D742" s="438"/>
      <c r="E742" s="1203" t="s">
        <v>3401</v>
      </c>
      <c r="F742" s="895"/>
      <c r="G742" s="1644">
        <f>-'Доходы-Расходы_Ф102'!B299-'Доходы-Расходы_Ф102'!B323</f>
        <v>-4029263</v>
      </c>
      <c r="H742" s="1645">
        <f>-'Доходы-Расходы_Ф102'!C299-'Доходы-Расходы_Ф102'!C323</f>
        <v>-15386564</v>
      </c>
      <c r="I742" s="1644">
        <f>-'Доходы-Расходы_Ф102'!D299-'Доходы-Расходы_Ф102'!D323</f>
        <v>-2372861</v>
      </c>
      <c r="J742" s="1644">
        <f>-'Доходы-Расходы_Ф102'!E299-'Доходы-Расходы_Ф102'!E323</f>
        <v>-717363</v>
      </c>
      <c r="K742" s="1644">
        <f>-'Доходы-Расходы_Ф102'!F299-'Доходы-Расходы_Ф102'!F323</f>
        <v>-1378085</v>
      </c>
      <c r="L742" s="1657">
        <f>-'Доходы-Расходы_Ф102'!G299-'Доходы-Расходы_Ф102'!G323</f>
        <v>-648770</v>
      </c>
      <c r="M742" s="1448"/>
      <c r="N742" s="1448"/>
      <c r="O742" s="1448"/>
      <c r="P742" s="1448"/>
    </row>
    <row r="743" spans="1:16" ht="45" x14ac:dyDescent="0.2">
      <c r="A743" s="21"/>
      <c r="B743" s="21"/>
      <c r="C743" s="438">
        <v>8</v>
      </c>
      <c r="D743" s="438"/>
      <c r="E743" s="1203" t="s">
        <v>1475</v>
      </c>
      <c r="F743" s="895"/>
      <c r="G743" s="1644">
        <f>-'Доходы-Расходы_Ф102'!B344</f>
        <v>0</v>
      </c>
      <c r="H743" s="1645">
        <f>-'Доходы-Расходы_Ф102'!C344</f>
        <v>0</v>
      </c>
      <c r="I743" s="1644">
        <f>-'Доходы-Расходы_Ф102'!D344</f>
        <v>0</v>
      </c>
      <c r="J743" s="1644">
        <f>-'Доходы-Расходы_Ф102'!E344</f>
        <v>0</v>
      </c>
      <c r="K743" s="1644">
        <f>-'Доходы-Расходы_Ф102'!F344</f>
        <v>0</v>
      </c>
      <c r="L743" s="1657">
        <f>-'Доходы-Расходы_Ф102'!G344</f>
        <v>0</v>
      </c>
      <c r="M743" s="1448"/>
      <c r="N743" s="1448"/>
      <c r="O743" s="1448"/>
      <c r="P743" s="1448"/>
    </row>
    <row r="744" spans="1:16" ht="57" customHeight="1" x14ac:dyDescent="0.2">
      <c r="A744" s="21"/>
      <c r="B744" s="21"/>
      <c r="C744" s="438">
        <v>9</v>
      </c>
      <c r="D744" s="438"/>
      <c r="E744" s="1203" t="s">
        <v>1476</v>
      </c>
      <c r="F744" s="895"/>
      <c r="G744" s="1644">
        <f>-'Доходы-Расходы_Ф102'!B365</f>
        <v>0</v>
      </c>
      <c r="H744" s="1645">
        <f>-'Доходы-Расходы_Ф102'!C365</f>
        <v>0</v>
      </c>
      <c r="I744" s="1644">
        <f>-'Доходы-Расходы_Ф102'!D365</f>
        <v>0</v>
      </c>
      <c r="J744" s="1644">
        <f>-'Доходы-Расходы_Ф102'!E365</f>
        <v>0</v>
      </c>
      <c r="K744" s="1644">
        <f>-'Доходы-Расходы_Ф102'!F365</f>
        <v>0</v>
      </c>
      <c r="L744" s="1657">
        <f>-'Доходы-Расходы_Ф102'!G365</f>
        <v>0</v>
      </c>
      <c r="M744" s="1448"/>
      <c r="N744" s="1448"/>
      <c r="O744" s="1448"/>
      <c r="P744" s="1448"/>
    </row>
    <row r="745" spans="1:16" ht="36.75" customHeight="1" x14ac:dyDescent="0.2">
      <c r="A745" s="21"/>
      <c r="B745" s="21"/>
      <c r="C745" s="438">
        <v>10</v>
      </c>
      <c r="D745" s="438"/>
      <c r="E745" s="1203" t="s">
        <v>1477</v>
      </c>
      <c r="F745" s="895"/>
      <c r="G745" s="1644">
        <f>-'Доходы-Расходы_Ф102'!B369</f>
        <v>0</v>
      </c>
      <c r="H745" s="1645">
        <f>-'Доходы-Расходы_Ф102'!C369</f>
        <v>0</v>
      </c>
      <c r="I745" s="1644">
        <f>-'Доходы-Расходы_Ф102'!D369</f>
        <v>0</v>
      </c>
      <c r="J745" s="1644">
        <f>-'Доходы-Расходы_Ф102'!E369</f>
        <v>0</v>
      </c>
      <c r="K745" s="1644">
        <f>-'Доходы-Расходы_Ф102'!F369</f>
        <v>0</v>
      </c>
      <c r="L745" s="1657">
        <f>-'Доходы-Расходы_Ф102'!G369</f>
        <v>0</v>
      </c>
      <c r="M745" s="1448"/>
      <c r="N745" s="1448"/>
      <c r="O745" s="1448"/>
      <c r="P745" s="1448"/>
    </row>
    <row r="746" spans="1:16" ht="99.75" customHeight="1" x14ac:dyDescent="0.2">
      <c r="A746" s="21"/>
      <c r="B746" s="21"/>
      <c r="C746" s="438">
        <v>11</v>
      </c>
      <c r="D746" s="438"/>
      <c r="E746" s="1203" t="s">
        <v>1478</v>
      </c>
      <c r="F746" s="895"/>
      <c r="G746" s="1644">
        <f>-'Доходы-Расходы_Ф102'!B470</f>
        <v>-29719</v>
      </c>
      <c r="H746" s="1645">
        <f>-'Доходы-Расходы_Ф102'!C470</f>
        <v>-7643</v>
      </c>
      <c r="I746" s="1644">
        <f>-'Доходы-Расходы_Ф102'!D470</f>
        <v>-10768</v>
      </c>
      <c r="J746" s="1644">
        <f>-'Доходы-Расходы_Ф102'!E470</f>
        <v>-18775</v>
      </c>
      <c r="K746" s="1644">
        <f>-'Доходы-Расходы_Ф102'!F470</f>
        <v>-1208388</v>
      </c>
      <c r="L746" s="1657">
        <f>-'Доходы-Расходы_Ф102'!G470</f>
        <v>-2243165</v>
      </c>
      <c r="M746" s="1448"/>
      <c r="N746" s="1448"/>
      <c r="O746" s="1448"/>
      <c r="P746" s="1448"/>
    </row>
    <row r="747" spans="1:16" ht="30" customHeight="1" x14ac:dyDescent="0.2">
      <c r="A747" s="21"/>
      <c r="B747" s="21"/>
      <c r="C747" s="438"/>
      <c r="D747" s="438"/>
      <c r="E747" s="800" t="s">
        <v>522</v>
      </c>
      <c r="F747" s="737"/>
      <c r="G747" s="1652"/>
      <c r="H747" s="1653">
        <f t="shared" ref="H747:M747" si="125">-H102-SUM(H731:H734,H740,H742:H746)</f>
        <v>-1506959</v>
      </c>
      <c r="I747" s="1652">
        <f t="shared" si="125"/>
        <v>-1817248</v>
      </c>
      <c r="J747" s="1652">
        <f t="shared" si="125"/>
        <v>-1546867</v>
      </c>
      <c r="K747" s="1652">
        <f t="shared" si="125"/>
        <v>-1748960</v>
      </c>
      <c r="L747" s="1661">
        <f t="shared" si="125"/>
        <v>-2099672</v>
      </c>
      <c r="M747" s="1570">
        <f t="shared" si="125"/>
        <v>-28587486</v>
      </c>
      <c r="N747" s="1570"/>
      <c r="O747" s="1570"/>
      <c r="P747" s="1570"/>
    </row>
    <row r="748" spans="1:16" ht="27" customHeight="1" x14ac:dyDescent="0.2">
      <c r="A748" s="21"/>
      <c r="B748" s="21"/>
      <c r="C748" s="21"/>
      <c r="D748" s="21"/>
      <c r="E748" s="1204" t="s">
        <v>1108</v>
      </c>
      <c r="F748" s="1205"/>
      <c r="G748" s="1654"/>
      <c r="H748" s="1655">
        <f t="shared" ref="H748:K748" si="126">SUM(H731:H734,H740:H747)</f>
        <v>-25075105</v>
      </c>
      <c r="I748" s="1654">
        <f t="shared" si="126"/>
        <v>-16853565</v>
      </c>
      <c r="J748" s="1654">
        <f t="shared" si="126"/>
        <v>-15033435</v>
      </c>
      <c r="K748" s="1654">
        <f t="shared" si="126"/>
        <v>-17938236</v>
      </c>
      <c r="L748" s="1662">
        <f>SUM(L731:L734,L740:L747)</f>
        <v>-21594560</v>
      </c>
      <c r="M748" s="1665">
        <f>SUM(M731:M734,M740:M747)</f>
        <v>-28587486</v>
      </c>
      <c r="N748" s="1665"/>
      <c r="O748" s="1665"/>
      <c r="P748" s="1665"/>
    </row>
    <row r="749" spans="1:16" ht="16.5" outlineLevel="1" thickBot="1" x14ac:dyDescent="0.3">
      <c r="A749" s="21"/>
      <c r="B749" s="21"/>
      <c r="C749" s="21"/>
      <c r="D749" s="21"/>
      <c r="E749" s="309" t="s">
        <v>1109</v>
      </c>
      <c r="F749" s="386"/>
      <c r="G749" s="1311"/>
      <c r="H749" s="1499">
        <f t="shared" ref="H749:M749" si="127">H102+H748</f>
        <v>0</v>
      </c>
      <c r="I749" s="1500">
        <f t="shared" si="127"/>
        <v>0</v>
      </c>
      <c r="J749" s="1500">
        <f t="shared" si="127"/>
        <v>0</v>
      </c>
      <c r="K749" s="1500">
        <f t="shared" si="127"/>
        <v>0</v>
      </c>
      <c r="L749" s="1501">
        <f t="shared" si="127"/>
        <v>0</v>
      </c>
      <c r="M749" s="1621">
        <f t="shared" si="127"/>
        <v>0</v>
      </c>
      <c r="N749" s="1621"/>
      <c r="O749" s="1621"/>
      <c r="P749" s="1621"/>
    </row>
    <row r="750" spans="1:16" ht="15.75" thickTop="1" x14ac:dyDescent="0.2">
      <c r="A750" s="21"/>
      <c r="B750" s="21"/>
      <c r="C750" s="21"/>
      <c r="D750" s="21"/>
      <c r="E750" s="291"/>
      <c r="F750" s="21"/>
      <c r="G750" s="21"/>
      <c r="H750" s="21"/>
      <c r="I750" s="21"/>
      <c r="J750" s="21"/>
      <c r="K750" s="21"/>
      <c r="L750" s="21"/>
      <c r="M750" s="21"/>
      <c r="N750" s="21"/>
      <c r="O750" s="21"/>
      <c r="P750" s="21"/>
    </row>
    <row r="751" spans="1:16" x14ac:dyDescent="0.2">
      <c r="A751" s="21"/>
      <c r="B751" s="21"/>
      <c r="C751" s="21"/>
      <c r="D751" s="21"/>
      <c r="E751" s="291"/>
      <c r="F751" s="21"/>
      <c r="G751" s="21"/>
      <c r="H751" s="21"/>
      <c r="I751" s="21"/>
      <c r="J751" s="21"/>
      <c r="K751" s="21"/>
      <c r="L751" s="21"/>
      <c r="M751" s="21"/>
      <c r="N751" s="21"/>
      <c r="O751" s="21"/>
      <c r="P751" s="21"/>
    </row>
    <row r="752" spans="1:16" x14ac:dyDescent="0.2">
      <c r="A752" s="21"/>
      <c r="B752" s="21"/>
      <c r="C752" s="21"/>
      <c r="D752" s="21"/>
      <c r="E752" s="291"/>
      <c r="F752" s="21"/>
      <c r="G752" s="21"/>
      <c r="H752" s="21"/>
      <c r="I752" s="21"/>
      <c r="J752" s="21"/>
      <c r="K752" s="21"/>
      <c r="L752" s="21"/>
      <c r="M752" s="21"/>
      <c r="N752" s="21"/>
      <c r="O752" s="21"/>
      <c r="P752" s="21"/>
    </row>
    <row r="753" spans="1:16" x14ac:dyDescent="0.2">
      <c r="A753" s="21"/>
      <c r="B753" s="21"/>
      <c r="C753" s="21"/>
      <c r="D753" s="21"/>
      <c r="E753" s="291"/>
      <c r="F753" s="21"/>
      <c r="G753" s="21"/>
      <c r="H753" s="21"/>
      <c r="I753" s="21"/>
      <c r="J753" s="21"/>
      <c r="K753" s="21"/>
      <c r="L753" s="21"/>
      <c r="M753" s="21"/>
      <c r="N753" s="21"/>
      <c r="O753" s="21"/>
      <c r="P753" s="21"/>
    </row>
    <row r="754" spans="1:16" x14ac:dyDescent="0.2">
      <c r="A754" s="21"/>
      <c r="B754" s="21"/>
      <c r="C754" s="21"/>
      <c r="D754" s="21"/>
      <c r="E754" s="291"/>
      <c r="F754" s="21"/>
      <c r="G754" s="21"/>
      <c r="H754" s="21"/>
      <c r="I754" s="21"/>
      <c r="J754" s="21"/>
      <c r="K754" s="21"/>
      <c r="L754" s="21"/>
      <c r="M754" s="21"/>
      <c r="N754" s="21"/>
      <c r="O754" s="21"/>
      <c r="P754" s="21"/>
    </row>
    <row r="755" spans="1:16" x14ac:dyDescent="0.2">
      <c r="A755" s="21"/>
      <c r="B755" s="21"/>
      <c r="C755" s="21"/>
      <c r="D755" s="21"/>
      <c r="E755" s="291"/>
      <c r="F755" s="21"/>
      <c r="G755" s="21"/>
      <c r="H755" s="21"/>
      <c r="I755" s="21"/>
      <c r="J755" s="21"/>
      <c r="K755" s="21"/>
      <c r="L755" s="21"/>
      <c r="M755" s="21"/>
      <c r="N755" s="21"/>
      <c r="O755" s="21"/>
      <c r="P755" s="21"/>
    </row>
    <row r="756" spans="1:16" x14ac:dyDescent="0.2">
      <c r="A756" s="21"/>
      <c r="B756" s="21"/>
      <c r="C756" s="21"/>
      <c r="D756" s="21"/>
      <c r="E756" s="291"/>
      <c r="F756" s="21"/>
      <c r="G756" s="21"/>
      <c r="H756" s="21"/>
      <c r="I756" s="21"/>
      <c r="J756" s="21"/>
      <c r="K756" s="21"/>
      <c r="L756" s="21"/>
      <c r="M756" s="21"/>
      <c r="N756" s="21"/>
      <c r="O756" s="21"/>
      <c r="P756" s="21"/>
    </row>
    <row r="757" spans="1:16" x14ac:dyDescent="0.2">
      <c r="A757" s="21"/>
      <c r="B757" s="21"/>
      <c r="C757" s="21"/>
      <c r="D757" s="21"/>
      <c r="E757" s="291"/>
      <c r="F757" s="21"/>
      <c r="G757" s="21"/>
      <c r="H757" s="21"/>
      <c r="I757" s="21"/>
      <c r="J757" s="21"/>
      <c r="K757" s="21"/>
      <c r="L757" s="21"/>
      <c r="M757" s="21"/>
      <c r="N757" s="21"/>
      <c r="O757" s="21"/>
      <c r="P757" s="21"/>
    </row>
    <row r="758" spans="1:16" x14ac:dyDescent="0.2">
      <c r="A758" s="21"/>
      <c r="B758" s="21"/>
      <c r="C758" s="21"/>
      <c r="D758" s="21"/>
      <c r="E758" s="291"/>
      <c r="F758" s="21"/>
      <c r="G758" s="21"/>
      <c r="H758" s="21"/>
      <c r="I758" s="21"/>
      <c r="J758" s="21"/>
      <c r="K758" s="21"/>
      <c r="L758" s="21"/>
      <c r="M758" s="21"/>
      <c r="N758" s="21"/>
      <c r="O758" s="21"/>
      <c r="P758" s="21"/>
    </row>
    <row r="759" spans="1:16" x14ac:dyDescent="0.2">
      <c r="A759" s="21"/>
      <c r="B759" s="21"/>
      <c r="C759" s="21"/>
      <c r="D759" s="21"/>
      <c r="E759" s="291"/>
      <c r="F759" s="21"/>
      <c r="G759" s="21"/>
      <c r="H759" s="21"/>
      <c r="I759" s="21"/>
      <c r="J759" s="21"/>
      <c r="K759" s="21"/>
      <c r="L759" s="21"/>
      <c r="M759" s="21"/>
      <c r="N759" s="21"/>
      <c r="O759" s="21"/>
      <c r="P759" s="21"/>
    </row>
    <row r="760" spans="1:16" x14ac:dyDescent="0.2">
      <c r="A760" s="21"/>
      <c r="B760" s="21"/>
      <c r="C760" s="21"/>
      <c r="D760" s="21"/>
      <c r="E760" s="291"/>
      <c r="F760" s="21"/>
      <c r="G760" s="21"/>
      <c r="H760" s="21"/>
      <c r="I760" s="21"/>
      <c r="J760" s="21"/>
      <c r="K760" s="21"/>
      <c r="L760" s="21"/>
      <c r="M760" s="21"/>
      <c r="N760" s="21"/>
      <c r="O760" s="21"/>
      <c r="P760" s="21"/>
    </row>
    <row r="761" spans="1:16" x14ac:dyDescent="0.2">
      <c r="A761" s="21"/>
      <c r="B761" s="21"/>
      <c r="C761" s="21"/>
      <c r="D761" s="21"/>
      <c r="E761" s="291"/>
      <c r="F761" s="21"/>
      <c r="G761" s="21"/>
      <c r="H761" s="21"/>
      <c r="I761" s="21"/>
      <c r="J761" s="21"/>
      <c r="K761" s="21"/>
      <c r="L761" s="21"/>
      <c r="M761" s="21"/>
      <c r="N761" s="21"/>
      <c r="O761" s="21"/>
      <c r="P761" s="21"/>
    </row>
    <row r="762" spans="1:16" x14ac:dyDescent="0.2">
      <c r="A762" s="21"/>
      <c r="B762" s="21"/>
      <c r="C762" s="21"/>
      <c r="D762" s="21"/>
      <c r="E762" s="291"/>
      <c r="F762" s="21"/>
      <c r="G762" s="21"/>
      <c r="H762" s="21"/>
      <c r="I762" s="21"/>
      <c r="J762" s="21"/>
      <c r="K762" s="21"/>
      <c r="L762" s="21"/>
      <c r="M762" s="21"/>
      <c r="N762" s="21"/>
      <c r="O762" s="21"/>
      <c r="P762" s="21"/>
    </row>
    <row r="763" spans="1:16" x14ac:dyDescent="0.2">
      <c r="A763" s="21"/>
      <c r="B763" s="21"/>
      <c r="C763" s="21"/>
      <c r="D763" s="21"/>
      <c r="E763" s="291"/>
      <c r="F763" s="21"/>
      <c r="G763" s="21"/>
      <c r="H763" s="21"/>
      <c r="I763" s="21"/>
      <c r="J763" s="21"/>
      <c r="K763" s="21"/>
      <c r="L763" s="21"/>
      <c r="M763" s="21"/>
      <c r="N763" s="21"/>
      <c r="O763" s="21"/>
      <c r="P763" s="21"/>
    </row>
    <row r="764" spans="1:16" x14ac:dyDescent="0.2">
      <c r="A764" s="21"/>
      <c r="B764" s="21"/>
      <c r="C764" s="21"/>
      <c r="D764" s="21"/>
      <c r="E764" s="291"/>
      <c r="F764" s="21"/>
      <c r="G764" s="21"/>
      <c r="H764" s="21"/>
      <c r="I764" s="21"/>
      <c r="J764" s="21"/>
      <c r="K764" s="21"/>
      <c r="L764" s="21"/>
      <c r="M764" s="21"/>
      <c r="N764" s="21"/>
      <c r="O764" s="21"/>
      <c r="P764" s="21"/>
    </row>
    <row r="765" spans="1:16" x14ac:dyDescent="0.2">
      <c r="A765" s="21"/>
      <c r="B765" s="21"/>
      <c r="C765" s="21"/>
      <c r="D765" s="21"/>
      <c r="E765" s="291"/>
      <c r="F765" s="21"/>
      <c r="G765" s="21"/>
      <c r="H765" s="21"/>
      <c r="I765" s="21"/>
      <c r="J765" s="21"/>
      <c r="K765" s="21"/>
      <c r="L765" s="21"/>
      <c r="M765" s="21"/>
      <c r="N765" s="21"/>
      <c r="O765" s="21"/>
      <c r="P765" s="21"/>
    </row>
    <row r="766" spans="1:16" x14ac:dyDescent="0.2">
      <c r="A766" s="21"/>
      <c r="B766" s="21"/>
      <c r="C766" s="21"/>
      <c r="D766" s="21"/>
      <c r="E766" s="291"/>
      <c r="F766" s="21"/>
      <c r="G766" s="21"/>
      <c r="H766" s="21"/>
      <c r="I766" s="21"/>
      <c r="J766" s="21"/>
      <c r="K766" s="21"/>
      <c r="L766" s="21"/>
      <c r="M766" s="21"/>
      <c r="N766" s="21"/>
      <c r="O766" s="21"/>
      <c r="P766" s="21"/>
    </row>
    <row r="767" spans="1:16" x14ac:dyDescent="0.2">
      <c r="A767" s="21"/>
      <c r="B767" s="21"/>
      <c r="C767" s="21"/>
      <c r="D767" s="21"/>
      <c r="E767" s="291"/>
      <c r="F767" s="21"/>
      <c r="G767" s="21"/>
      <c r="H767" s="21"/>
      <c r="I767" s="21"/>
      <c r="J767" s="21"/>
      <c r="K767" s="21"/>
      <c r="L767" s="21"/>
      <c r="M767" s="21"/>
      <c r="N767" s="21"/>
      <c r="O767" s="21"/>
      <c r="P767" s="21"/>
    </row>
    <row r="768" spans="1:16" x14ac:dyDescent="0.2">
      <c r="A768" s="21"/>
      <c r="B768" s="21"/>
      <c r="C768" s="21"/>
      <c r="D768" s="21"/>
      <c r="E768" s="291"/>
      <c r="F768" s="21"/>
      <c r="G768" s="21"/>
      <c r="H768" s="21"/>
      <c r="I768" s="21"/>
      <c r="J768" s="21"/>
      <c r="K768" s="21"/>
      <c r="L768" s="21"/>
      <c r="M768" s="21"/>
      <c r="N768" s="21"/>
      <c r="O768" s="21"/>
      <c r="P768" s="21"/>
    </row>
    <row r="769" spans="1:16" x14ac:dyDescent="0.2">
      <c r="A769" s="21"/>
      <c r="B769" s="21"/>
      <c r="C769" s="21"/>
      <c r="D769" s="21"/>
      <c r="E769" s="291"/>
      <c r="F769" s="21"/>
      <c r="G769" s="21"/>
      <c r="H769" s="21"/>
      <c r="I769" s="21"/>
      <c r="J769" s="21"/>
      <c r="K769" s="21"/>
      <c r="L769" s="21"/>
      <c r="M769" s="21"/>
      <c r="N769" s="21"/>
      <c r="O769" s="21"/>
      <c r="P769" s="21"/>
    </row>
    <row r="770" spans="1:16" x14ac:dyDescent="0.2">
      <c r="A770" s="21"/>
      <c r="B770" s="21"/>
      <c r="C770" s="21"/>
      <c r="D770" s="21"/>
      <c r="E770" s="291"/>
      <c r="F770" s="21"/>
      <c r="G770" s="21"/>
      <c r="H770" s="21"/>
      <c r="I770" s="21"/>
      <c r="J770" s="21"/>
      <c r="K770" s="21"/>
      <c r="L770" s="21"/>
      <c r="M770" s="21"/>
      <c r="N770" s="21"/>
      <c r="O770" s="21"/>
      <c r="P770" s="21"/>
    </row>
  </sheetData>
  <hyperlinks>
    <hyperlink ref="L446" r:id="rId1" xr:uid="{92387830-0889-4950-AC05-6200C4F61F1E}"/>
    <hyperlink ref="L518" r:id="rId2" xr:uid="{7B9E8774-550F-4936-B903-8DD169CE114F}"/>
    <hyperlink ref="L631" r:id="rId3" xr:uid="{99363008-11AC-455F-9EFE-A1BC8BF96E5C}"/>
    <hyperlink ref="L642" r:id="rId4" xr:uid="{00DA5748-E65F-4436-8328-098AD8FAAA56}"/>
    <hyperlink ref="L680" r:id="rId5" xr:uid="{455876B7-831B-4698-B2EF-B35FEF770DF0}"/>
    <hyperlink ref="L622" r:id="rId6" xr:uid="{F57CF947-5859-4886-B44E-51E71D2862DA}"/>
  </hyperlinks>
  <pageMargins left="0.7" right="0.7" top="0.75" bottom="0.75" header="0.3" footer="0.3"/>
  <pageSetup paperSize="9" orientation="portrait" r:id="rId7"/>
  <drawing r:id="rId8"/>
  <legacyDrawing r:id="rId9"/>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366"/>
  <sheetViews>
    <sheetView view="pageBreakPreview" zoomScale="70" zoomScaleNormal="100" zoomScaleSheetLayoutView="70" zoomScalePageLayoutView="115" workbookViewId="0">
      <pane xSplit="4" ySplit="8" topLeftCell="E230" activePane="bottomRight" state="frozen"/>
      <selection pane="topRight" activeCell="E1" sqref="E1"/>
      <selection pane="bottomLeft" activeCell="A6" sqref="A6"/>
      <selection pane="bottomRight" activeCell="J239" sqref="J239"/>
    </sheetView>
  </sheetViews>
  <sheetFormatPr defaultColWidth="9.140625" defaultRowHeight="14.25" outlineLevelRow="1" outlineLevelCol="1" x14ac:dyDescent="0.2"/>
  <cols>
    <col min="1" max="1" width="8.7109375" style="1" customWidth="1"/>
    <col min="2" max="2" width="10.42578125" style="1" customWidth="1"/>
    <col min="3" max="3" width="3" style="1" customWidth="1"/>
    <col min="4" max="4" width="68.85546875" style="1" customWidth="1"/>
    <col min="5" max="5" width="9.85546875" style="1" customWidth="1" outlineLevel="1"/>
    <col min="6" max="9" width="22.140625" style="1" customWidth="1" outlineLevel="1"/>
    <col min="10" max="10" width="22.140625" style="65" customWidth="1" outlineLevel="1"/>
    <col min="11" max="15" width="22.140625" style="234" customWidth="1" outlineLevel="1"/>
    <col min="16" max="16" width="3.5703125" style="1" customWidth="1"/>
    <col min="17" max="19" width="10.140625" style="1" customWidth="1" outlineLevel="1"/>
    <col min="20" max="21" width="9.7109375" style="1" customWidth="1" outlineLevel="1"/>
    <col min="22" max="22" width="11.42578125" style="234" customWidth="1" outlineLevel="1"/>
    <col min="23" max="27" width="9.7109375" style="234" customWidth="1" outlineLevel="1"/>
    <col min="28" max="28" width="13.7109375" style="1" customWidth="1"/>
    <col min="29" max="16384" width="9.140625" style="1"/>
  </cols>
  <sheetData>
    <row r="1" spans="1:31" ht="16.5" customHeight="1" x14ac:dyDescent="0.2">
      <c r="A1" s="1928" t="s">
        <v>3340</v>
      </c>
      <c r="B1" s="1929">
        <v>1</v>
      </c>
      <c r="C1" s="93"/>
      <c r="D1" s="327"/>
      <c r="E1" s="93"/>
      <c r="F1" s="93"/>
      <c r="G1" s="93"/>
      <c r="H1" s="93"/>
      <c r="I1" s="93"/>
      <c r="J1" s="230"/>
      <c r="K1" s="337"/>
      <c r="L1" s="337"/>
      <c r="M1" s="337"/>
      <c r="N1" s="337"/>
      <c r="O1" s="337"/>
      <c r="P1" s="93"/>
      <c r="Q1" s="93"/>
      <c r="R1" s="93"/>
      <c r="S1" s="93"/>
      <c r="T1" s="93"/>
      <c r="U1" s="93"/>
      <c r="V1" s="337"/>
      <c r="W1" s="337"/>
      <c r="X1" s="337"/>
      <c r="Y1" s="337"/>
      <c r="Z1" s="337"/>
      <c r="AA1" s="337"/>
      <c r="AB1" s="93"/>
      <c r="AC1" s="93"/>
      <c r="AD1" s="93"/>
      <c r="AE1" s="93"/>
    </row>
    <row r="2" spans="1:31" ht="16.5" customHeight="1" x14ac:dyDescent="0.25">
      <c r="A2" s="1928" t="s">
        <v>2607</v>
      </c>
      <c r="B2" s="1929">
        <v>1000</v>
      </c>
      <c r="C2" s="93"/>
      <c r="D2" s="1927" t="str">
        <f>Ввод!F2</f>
        <v>ПАО "АК Барс Банк"</v>
      </c>
      <c r="E2" s="93"/>
      <c r="F2" s="93"/>
      <c r="G2" s="93"/>
      <c r="H2" s="93"/>
      <c r="I2" s="93"/>
      <c r="J2" s="230"/>
      <c r="K2" s="337"/>
      <c r="L2" s="337"/>
      <c r="M2" s="337"/>
      <c r="N2" s="337"/>
      <c r="O2" s="337"/>
      <c r="P2" s="93"/>
      <c r="Q2" s="93"/>
      <c r="R2" s="93"/>
      <c r="S2" s="93"/>
      <c r="T2" s="93"/>
      <c r="U2" s="93"/>
      <c r="V2" s="337"/>
      <c r="W2" s="337"/>
      <c r="X2" s="337"/>
      <c r="Y2" s="337"/>
      <c r="Z2" s="337"/>
      <c r="AA2" s="337"/>
      <c r="AB2" s="93"/>
      <c r="AC2" s="93"/>
      <c r="AD2" s="93"/>
      <c r="AE2" s="93"/>
    </row>
    <row r="3" spans="1:31" ht="16.5" customHeight="1" x14ac:dyDescent="0.2">
      <c r="A3" s="1928" t="s">
        <v>286</v>
      </c>
      <c r="B3" s="1929">
        <v>1000000</v>
      </c>
      <c r="C3" s="93"/>
      <c r="D3" s="327" t="str">
        <f>Ввод!F3</f>
        <v>РСБУ</v>
      </c>
      <c r="E3" s="93"/>
      <c r="F3" s="93"/>
      <c r="G3" s="93"/>
      <c r="H3" s="93"/>
      <c r="I3" s="93"/>
      <c r="J3" s="230"/>
      <c r="K3" s="337"/>
      <c r="L3" s="337"/>
      <c r="M3" s="337"/>
      <c r="N3" s="337"/>
      <c r="O3" s="337"/>
      <c r="P3" s="93"/>
      <c r="Q3" s="93"/>
      <c r="R3" s="93"/>
      <c r="S3" s="93"/>
      <c r="T3" s="93"/>
      <c r="U3" s="93"/>
      <c r="V3" s="337"/>
      <c r="W3" s="337"/>
      <c r="X3" s="337"/>
      <c r="Y3" s="337"/>
      <c r="Z3" s="337"/>
      <c r="AA3" s="337"/>
      <c r="AB3" s="93"/>
      <c r="AC3" s="93"/>
      <c r="AD3" s="93"/>
      <c r="AE3" s="93"/>
    </row>
    <row r="4" spans="1:31" ht="16.5" customHeight="1" x14ac:dyDescent="0.25">
      <c r="A4" s="93"/>
      <c r="B4" s="336"/>
      <c r="C4" s="93"/>
      <c r="D4" s="327" t="str">
        <f>Ввод!F4</f>
        <v>Индивидуальная (публикуемая)</v>
      </c>
      <c r="E4" s="93"/>
      <c r="F4" s="93"/>
      <c r="G4" s="93"/>
      <c r="H4" s="93"/>
      <c r="I4" s="93"/>
      <c r="J4" s="230"/>
      <c r="K4" s="337"/>
      <c r="L4" s="337"/>
      <c r="M4" s="337"/>
      <c r="N4" s="337"/>
      <c r="O4" s="337"/>
      <c r="P4" s="93"/>
      <c r="Q4" s="93"/>
      <c r="R4" s="93"/>
      <c r="S4" s="93"/>
      <c r="T4" s="93"/>
      <c r="U4" s="93"/>
      <c r="V4" s="337"/>
      <c r="W4" s="337"/>
      <c r="X4" s="337"/>
      <c r="Y4" s="337"/>
      <c r="Z4" s="337"/>
      <c r="AA4" s="337"/>
      <c r="AB4" s="93"/>
      <c r="AC4" s="93"/>
      <c r="AD4" s="93"/>
      <c r="AE4" s="93"/>
    </row>
    <row r="5" spans="1:31" ht="16.5" customHeight="1" x14ac:dyDescent="0.25">
      <c r="A5" s="21"/>
      <c r="B5" s="338"/>
      <c r="C5" s="21"/>
      <c r="D5" s="338" t="s">
        <v>476</v>
      </c>
      <c r="E5" s="21"/>
      <c r="F5" s="21"/>
      <c r="G5" s="21"/>
      <c r="H5" s="21"/>
      <c r="I5" s="21"/>
      <c r="J5" s="339"/>
      <c r="K5" s="340"/>
      <c r="L5" s="340"/>
      <c r="M5" s="340"/>
      <c r="N5" s="340"/>
      <c r="O5" s="340"/>
      <c r="P5" s="21"/>
      <c r="Q5" s="21"/>
      <c r="R5" s="21"/>
      <c r="S5" s="21"/>
      <c r="T5" s="21"/>
      <c r="U5" s="21"/>
      <c r="V5" s="340"/>
      <c r="W5" s="340"/>
      <c r="X5" s="340"/>
      <c r="Y5" s="340"/>
      <c r="Z5" s="340"/>
      <c r="AA5" s="340"/>
    </row>
    <row r="6" spans="1:31" ht="16.5" customHeight="1" thickBot="1" x14ac:dyDescent="0.3">
      <c r="A6" s="585" t="s">
        <v>3378</v>
      </c>
      <c r="B6" s="338"/>
      <c r="C6" s="21"/>
      <c r="D6" s="338"/>
      <c r="E6" s="21"/>
      <c r="F6" s="21"/>
      <c r="G6" s="387"/>
      <c r="H6" s="21"/>
      <c r="I6" s="21"/>
      <c r="J6" s="339"/>
      <c r="K6" s="340"/>
      <c r="L6" s="340"/>
      <c r="M6" s="340"/>
      <c r="N6" s="340"/>
      <c r="O6" s="340"/>
      <c r="P6" s="21"/>
      <c r="Q6" s="21"/>
      <c r="R6" s="21"/>
      <c r="S6" s="21"/>
      <c r="T6" s="21"/>
      <c r="U6" s="21"/>
      <c r="V6" s="340"/>
      <c r="W6" s="340"/>
      <c r="X6" s="340"/>
      <c r="Y6" s="340"/>
      <c r="Z6" s="340"/>
      <c r="AA6" s="340"/>
    </row>
    <row r="7" spans="1:31" ht="17.25" thickTop="1" thickBot="1" x14ac:dyDescent="0.3">
      <c r="A7" s="1696"/>
      <c r="B7" s="1697" t="s">
        <v>286</v>
      </c>
      <c r="C7" s="1698"/>
      <c r="E7" s="21" t="s">
        <v>348</v>
      </c>
      <c r="F7" s="21"/>
      <c r="G7" s="21"/>
      <c r="H7" s="21"/>
      <c r="I7" s="21"/>
      <c r="J7" s="21"/>
      <c r="K7" s="21"/>
      <c r="L7" s="21"/>
      <c r="M7" s="21"/>
      <c r="N7" s="21"/>
      <c r="O7" s="21"/>
      <c r="P7" s="21"/>
      <c r="Q7" s="21" t="s">
        <v>17</v>
      </c>
      <c r="R7" s="21"/>
      <c r="S7" s="21"/>
      <c r="T7" s="21"/>
      <c r="U7" s="21"/>
      <c r="V7" s="340"/>
      <c r="W7" s="340"/>
      <c r="X7" s="340"/>
      <c r="Y7" s="340"/>
      <c r="Z7" s="340"/>
      <c r="AA7" s="340"/>
    </row>
    <row r="8" spans="1:31" ht="15.75" thickTop="1" x14ac:dyDescent="0.2">
      <c r="A8" s="341"/>
      <c r="B8" s="341"/>
      <c r="C8" s="341"/>
      <c r="D8" s="341"/>
      <c r="E8" s="301"/>
      <c r="F8" s="301">
        <f>Ввод!G7</f>
        <v>2016</v>
      </c>
      <c r="G8" s="301">
        <f>Ввод!H7</f>
        <v>2017</v>
      </c>
      <c r="H8" s="301">
        <f>Ввод!I7</f>
        <v>2018</v>
      </c>
      <c r="I8" s="301">
        <f>Ввод!J7</f>
        <v>2019</v>
      </c>
      <c r="J8" s="301">
        <f>Ввод!K7</f>
        <v>2020</v>
      </c>
      <c r="K8" s="301">
        <f>Ввод!L7</f>
        <v>2021</v>
      </c>
      <c r="L8" s="301">
        <f>Ввод!M7</f>
        <v>2022</v>
      </c>
      <c r="M8" s="301">
        <f>Ввод!N7</f>
        <v>2023</v>
      </c>
      <c r="N8" s="301">
        <f>Ввод!O7</f>
        <v>2024</v>
      </c>
      <c r="O8" s="301">
        <f>Ввод!P7</f>
        <v>2025</v>
      </c>
      <c r="P8" s="342"/>
      <c r="Q8" s="301"/>
      <c r="R8" s="301">
        <f>Ввод!G7</f>
        <v>2016</v>
      </c>
      <c r="S8" s="301">
        <f>Ввод!H7</f>
        <v>2017</v>
      </c>
      <c r="T8" s="301">
        <f>Ввод!I7</f>
        <v>2018</v>
      </c>
      <c r="U8" s="301">
        <f>Ввод!J7</f>
        <v>2019</v>
      </c>
      <c r="V8" s="301">
        <f>Ввод!K7</f>
        <v>2020</v>
      </c>
      <c r="W8" s="301">
        <f>Ввод!L7</f>
        <v>2021</v>
      </c>
      <c r="X8" s="301">
        <f>Ввод!M7</f>
        <v>2022</v>
      </c>
      <c r="Y8" s="301">
        <f>Ввод!N7</f>
        <v>2023</v>
      </c>
      <c r="Z8" s="301">
        <f>Ввод!O7</f>
        <v>2024</v>
      </c>
      <c r="AA8" s="301">
        <f>Ввод!P7</f>
        <v>2025</v>
      </c>
    </row>
    <row r="9" spans="1:31" s="2" customFormat="1" ht="15.75" x14ac:dyDescent="0.25">
      <c r="A9" s="343" t="s">
        <v>2</v>
      </c>
      <c r="B9" s="343" t="s">
        <v>1</v>
      </c>
      <c r="C9" s="343"/>
      <c r="D9" s="344"/>
      <c r="E9" s="390"/>
      <c r="F9" s="390">
        <f t="shared" ref="F9" si="0">SUM(F10:F11,F13:F14)</f>
        <v>45.299115</v>
      </c>
      <c r="G9" s="390">
        <f t="shared" ref="G9:K9" si="1">SUM(G10:G11,G13:G14)</f>
        <v>69.642966999999999</v>
      </c>
      <c r="H9" s="390">
        <f t="shared" si="1"/>
        <v>142.81400400000001</v>
      </c>
      <c r="I9" s="390">
        <f t="shared" si="1"/>
        <v>127.44843900000001</v>
      </c>
      <c r="J9" s="390">
        <f t="shared" si="1"/>
        <v>139.32972799999999</v>
      </c>
      <c r="K9" s="390">
        <f t="shared" si="1"/>
        <v>118.561843</v>
      </c>
      <c r="L9" s="390">
        <f t="shared" ref="L9:O9" si="2">SUM(L10:L11,L13:L14)</f>
        <v>214.62636167631194</v>
      </c>
      <c r="M9" s="390">
        <f t="shared" si="2"/>
        <v>236.594989</v>
      </c>
      <c r="N9" s="390">
        <f t="shared" si="2"/>
        <v>151.230357</v>
      </c>
      <c r="O9" s="390">
        <f t="shared" si="2"/>
        <v>0</v>
      </c>
      <c r="P9" s="325"/>
      <c r="Q9" s="633"/>
      <c r="R9" s="633">
        <f t="shared" ref="R9:R22" si="3">F9/F$42</f>
        <v>9.8408079187421879E-2</v>
      </c>
      <c r="S9" s="633">
        <f t="shared" ref="S9:S22" si="4">G9/G$42</f>
        <v>0.15959087912452119</v>
      </c>
      <c r="T9" s="633">
        <f t="shared" ref="T9:T22" si="5">H9/H$42</f>
        <v>0.28658664376242504</v>
      </c>
      <c r="U9" s="633">
        <f t="shared" ref="U9:U22" si="6">I9/I$42</f>
        <v>0.22712224412427826</v>
      </c>
      <c r="V9" s="633">
        <f t="shared" ref="V9:V22" si="7">J9/J$42</f>
        <v>0.23455174552990554</v>
      </c>
      <c r="W9" s="633">
        <f t="shared" ref="W9:W22" si="8">K9/K$42</f>
        <v>0.18366823496325094</v>
      </c>
      <c r="X9" s="633">
        <f t="shared" ref="X9:AA22" si="9">L9/L$42</f>
        <v>0.26455707933410189</v>
      </c>
      <c r="Y9" s="633">
        <f t="shared" si="9"/>
        <v>0.28243914483079036</v>
      </c>
      <c r="Z9" s="633">
        <f t="shared" si="9"/>
        <v>0.16235027319510123</v>
      </c>
      <c r="AA9" s="633" t="e">
        <f t="shared" si="9"/>
        <v>#DIV/0!</v>
      </c>
      <c r="AB9" s="14"/>
    </row>
    <row r="10" spans="1:31" ht="15" x14ac:dyDescent="0.2">
      <c r="A10" s="345"/>
      <c r="B10" s="346" t="s">
        <v>4</v>
      </c>
      <c r="C10" s="345" t="s">
        <v>561</v>
      </c>
      <c r="D10" s="347"/>
      <c r="E10" s="373"/>
      <c r="F10" s="373">
        <f>Ввод!G9/VLOOKUP($B$7,$A$1:$B$3,2,0)</f>
        <v>10.866168</v>
      </c>
      <c r="G10" s="373">
        <f>Ввод!H9/VLOOKUP($B$7,$A$1:$B$3,2,0)</f>
        <v>10.371248</v>
      </c>
      <c r="H10" s="373">
        <f>Ввод!I9/VLOOKUP($B$7,$A$1:$B$3,2,0)</f>
        <v>9.6510960000000008</v>
      </c>
      <c r="I10" s="373">
        <f>Ввод!J9/VLOOKUP($B$7,$A$1:$B$3,2,0)</f>
        <v>8.786054</v>
      </c>
      <c r="J10" s="373">
        <f>Ввод!K9/VLOOKUP($B$7,$A$1:$B$3,2,0)</f>
        <v>14.699337</v>
      </c>
      <c r="K10" s="373">
        <f>Ввод!L9/VLOOKUP($B$7,$A$1:$B$3,2,0)</f>
        <v>13.125643</v>
      </c>
      <c r="L10" s="373">
        <f>Ввод!M9/VLOOKUP($B$7,$A$1:$B$3,2,0)</f>
        <v>12.124725</v>
      </c>
      <c r="M10" s="373">
        <f>Ввод!N9/VLOOKUP($B$7,$A$1:$B$3,2,0)</f>
        <v>29.701298000000001</v>
      </c>
      <c r="N10" s="373">
        <f>Ввод!O9/VLOOKUP($B$7,$A$1:$B$3,2,0)</f>
        <v>20.326091999999999</v>
      </c>
      <c r="O10" s="373">
        <f>Ввод!P9/VLOOKUP($B$7,$A$1:$B$3,2,0)</f>
        <v>0</v>
      </c>
      <c r="P10" s="302"/>
      <c r="Q10" s="634"/>
      <c r="R10" s="634">
        <f t="shared" si="3"/>
        <v>2.3605730950987225E-2</v>
      </c>
      <c r="S10" s="634">
        <f t="shared" si="4"/>
        <v>2.3766313487741442E-2</v>
      </c>
      <c r="T10" s="634">
        <f t="shared" si="5"/>
        <v>1.9366974762985885E-2</v>
      </c>
      <c r="U10" s="634">
        <f t="shared" si="6"/>
        <v>1.56573773451795E-2</v>
      </c>
      <c r="V10" s="634">
        <f t="shared" si="7"/>
        <v>2.4745294496536487E-2</v>
      </c>
      <c r="W10" s="634">
        <f t="shared" si="8"/>
        <v>2.0333385696169975E-2</v>
      </c>
      <c r="X10" s="634">
        <f t="shared" si="9"/>
        <v>1.4945423333256816E-2</v>
      </c>
      <c r="Y10" s="634">
        <f t="shared" si="9"/>
        <v>3.5456411156216262E-2</v>
      </c>
      <c r="Z10" s="634">
        <f t="shared" si="9"/>
        <v>2.1820662561741894E-2</v>
      </c>
      <c r="AA10" s="634" t="e">
        <f t="shared" si="9"/>
        <v>#DIV/0!</v>
      </c>
      <c r="AB10" s="7"/>
    </row>
    <row r="11" spans="1:31" ht="15" x14ac:dyDescent="0.2">
      <c r="A11" s="345"/>
      <c r="B11" s="346" t="s">
        <v>5</v>
      </c>
      <c r="C11" s="345" t="s">
        <v>962</v>
      </c>
      <c r="D11" s="347"/>
      <c r="E11" s="373"/>
      <c r="F11" s="373">
        <f>Ввод!G10/VLOOKUP($B$7,$A$1:$B$3,2,0)</f>
        <v>12.836368</v>
      </c>
      <c r="G11" s="373">
        <f>Ввод!H10/VLOOKUP($B$7,$A$1:$B$3,2,0)</f>
        <v>11.954846999999999</v>
      </c>
      <c r="H11" s="373">
        <f>Ввод!I10/VLOOKUP($B$7,$A$1:$B$3,2,0)</f>
        <v>12.086758</v>
      </c>
      <c r="I11" s="373">
        <f>Ввод!J10/VLOOKUP($B$7,$A$1:$B$3,2,0)</f>
        <v>18.630222</v>
      </c>
      <c r="J11" s="373">
        <f>Ввод!K10/VLOOKUP($B$7,$A$1:$B$3,2,0)</f>
        <v>17.545793</v>
      </c>
      <c r="K11" s="373">
        <f>Ввод!L10/VLOOKUP($B$7,$A$1:$B$3,2,0)</f>
        <v>16.963663</v>
      </c>
      <c r="L11" s="373">
        <f>Ввод!M10/VLOOKUP($B$7,$A$1:$B$3,2,0)</f>
        <v>17.255953000000002</v>
      </c>
      <c r="M11" s="373">
        <f>Ввод!N10/VLOOKUP($B$7,$A$1:$B$3,2,0)</f>
        <v>41.660710000000002</v>
      </c>
      <c r="N11" s="373">
        <f>Ввод!O10/VLOOKUP($B$7,$A$1:$B$3,2,0)</f>
        <v>41.078760000000003</v>
      </c>
      <c r="O11" s="373">
        <f>Ввод!P10/VLOOKUP($B$7,$A$1:$B$3,2,0)</f>
        <v>0</v>
      </c>
      <c r="P11" s="302"/>
      <c r="Q11" s="634"/>
      <c r="R11" s="634">
        <f t="shared" si="3"/>
        <v>2.7885805685671523E-2</v>
      </c>
      <c r="S11" s="634">
        <f t="shared" si="4"/>
        <v>2.7395222011852894E-2</v>
      </c>
      <c r="T11" s="634">
        <f t="shared" si="5"/>
        <v>2.4254648088913189E-2</v>
      </c>
      <c r="U11" s="634">
        <f t="shared" si="6"/>
        <v>3.3200389603622364E-2</v>
      </c>
      <c r="V11" s="634">
        <f t="shared" si="7"/>
        <v>2.9537101908764213E-2</v>
      </c>
      <c r="W11" s="634">
        <f t="shared" si="8"/>
        <v>2.6278994682306066E-2</v>
      </c>
      <c r="X11" s="634">
        <f t="shared" si="9"/>
        <v>2.1270381192462755E-2</v>
      </c>
      <c r="Y11" s="634">
        <f t="shared" si="9"/>
        <v>4.9733155191395685E-2</v>
      </c>
      <c r="Z11" s="634">
        <f t="shared" si="9"/>
        <v>4.4099267110213836E-2</v>
      </c>
      <c r="AA11" s="634" t="e">
        <f t="shared" si="9"/>
        <v>#DIV/0!</v>
      </c>
      <c r="AB11" s="7"/>
    </row>
    <row r="12" spans="1:31" s="71" customFormat="1" outlineLevel="1" x14ac:dyDescent="0.2">
      <c r="A12" s="369"/>
      <c r="B12" s="369"/>
      <c r="C12" s="370"/>
      <c r="D12" s="371" t="s">
        <v>562</v>
      </c>
      <c r="E12" s="405"/>
      <c r="F12" s="405">
        <f>Ввод!G11/VLOOKUP($B$7,$A$1:$B$3,2,0)</f>
        <v>4.2664340000000003</v>
      </c>
      <c r="G12" s="405">
        <f>Ввод!H11/VLOOKUP($B$7,$A$1:$B$3,2,0)</f>
        <v>3.83649</v>
      </c>
      <c r="H12" s="405">
        <f>Ввод!I11/VLOOKUP($B$7,$A$1:$B$3,2,0)</f>
        <v>2.848617</v>
      </c>
      <c r="I12" s="405">
        <f>Ввод!J11/VLOOKUP($B$7,$A$1:$B$3,2,0)</f>
        <v>3.360185</v>
      </c>
      <c r="J12" s="405">
        <f>Ввод!K11/VLOOKUP($B$7,$A$1:$B$3,2,0)</f>
        <v>3.454685</v>
      </c>
      <c r="K12" s="405">
        <f>Ввод!L11/VLOOKUP($B$7,$A$1:$B$3,2,0)</f>
        <v>3.8781690000000002</v>
      </c>
      <c r="L12" s="405">
        <f>Ввод!M11/VLOOKUP($B$7,$A$1:$B$3,2,0)</f>
        <v>0.92745</v>
      </c>
      <c r="M12" s="405">
        <f>Ввод!N11/VLOOKUP($B$7,$A$1:$B$3,2,0)</f>
        <v>2.047374</v>
      </c>
      <c r="N12" s="405">
        <f>Ввод!O11/VLOOKUP($B$7,$A$1:$B$3,2,0)</f>
        <v>2.8756620000000002</v>
      </c>
      <c r="O12" s="405">
        <f>Ввод!P11/VLOOKUP($B$7,$A$1:$B$3,2,0)</f>
        <v>0</v>
      </c>
      <c r="P12" s="372"/>
      <c r="Q12" s="635"/>
      <c r="R12" s="635">
        <f t="shared" si="3"/>
        <v>9.2684277589067492E-3</v>
      </c>
      <c r="S12" s="635">
        <f t="shared" si="4"/>
        <v>8.7915383021006897E-3</v>
      </c>
      <c r="T12" s="635">
        <f t="shared" si="5"/>
        <v>5.7163552769978199E-3</v>
      </c>
      <c r="U12" s="635">
        <f t="shared" si="6"/>
        <v>5.9880902729043074E-3</v>
      </c>
      <c r="V12" s="635">
        <f t="shared" si="7"/>
        <v>5.8157179278063463E-3</v>
      </c>
      <c r="W12" s="635">
        <f t="shared" si="8"/>
        <v>6.0078051850053988E-3</v>
      </c>
      <c r="X12" s="635">
        <f t="shared" si="9"/>
        <v>1.1432121446407265E-3</v>
      </c>
      <c r="Y12" s="635">
        <f t="shared" si="9"/>
        <v>2.4440862596155598E-3</v>
      </c>
      <c r="Z12" s="635">
        <f t="shared" si="9"/>
        <v>3.0871084389278484E-3</v>
      </c>
      <c r="AA12" s="635" t="e">
        <f t="shared" si="9"/>
        <v>#DIV/0!</v>
      </c>
      <c r="AB12" s="233"/>
    </row>
    <row r="13" spans="1:31" ht="15" x14ac:dyDescent="0.2">
      <c r="A13" s="345"/>
      <c r="B13" s="346" t="s">
        <v>14</v>
      </c>
      <c r="C13" s="345" t="s">
        <v>963</v>
      </c>
      <c r="D13" s="347"/>
      <c r="E13" s="373"/>
      <c r="F13" s="373">
        <f>Ввод!G12/VLOOKUP($B$7,$A$1:$B$3,2,0)</f>
        <v>3.6255000000000002</v>
      </c>
      <c r="G13" s="373">
        <f>Ввод!H12/VLOOKUP($B$7,$A$1:$B$3,2,0)</f>
        <v>2.8122929999999999</v>
      </c>
      <c r="H13" s="373">
        <f>Ввод!I12/VLOOKUP($B$7,$A$1:$B$3,2,0)</f>
        <v>2.8844650000000001</v>
      </c>
      <c r="I13" s="373">
        <f>Ввод!J12/VLOOKUP($B$7,$A$1:$B$3,2,0)</f>
        <v>5.2714150000000002</v>
      </c>
      <c r="J13" s="373">
        <f>Ввод!K12/VLOOKUP($B$7,$A$1:$B$3,2,0)</f>
        <v>6.7154280000000002</v>
      </c>
      <c r="K13" s="373">
        <f>Ввод!L12/VLOOKUP($B$7,$A$1:$B$3,2,0)</f>
        <v>6.8304539999999996</v>
      </c>
      <c r="L13" s="373">
        <f>Ввод!M12/VLOOKUP($B$7,$A$1:$B$3,2,0)</f>
        <v>83.365774999999999</v>
      </c>
      <c r="M13" s="373">
        <f>Ввод!N12/VLOOKUP($B$7,$A$1:$B$3,2,0)</f>
        <v>12.298870000000001</v>
      </c>
      <c r="N13" s="373">
        <f>Ввод!O12/VLOOKUP($B$7,$A$1:$B$3,2,0)</f>
        <v>2.803131</v>
      </c>
      <c r="O13" s="373">
        <f>Ввод!P12/VLOOKUP($B$7,$A$1:$B$3,2,0)</f>
        <v>0</v>
      </c>
      <c r="P13" s="302"/>
      <c r="Q13" s="634"/>
      <c r="R13" s="634">
        <f t="shared" si="3"/>
        <v>7.8760587506841589E-3</v>
      </c>
      <c r="S13" s="634">
        <f t="shared" si="4"/>
        <v>6.4445317533030596E-3</v>
      </c>
      <c r="T13" s="634">
        <f t="shared" si="5"/>
        <v>5.7882919058846868E-3</v>
      </c>
      <c r="U13" s="634">
        <f t="shared" si="6"/>
        <v>9.3940389847409766E-3</v>
      </c>
      <c r="V13" s="634">
        <f t="shared" si="7"/>
        <v>1.1304948211629343E-2</v>
      </c>
      <c r="W13" s="634">
        <f t="shared" si="8"/>
        <v>1.0581291572683104E-2</v>
      </c>
      <c r="X13" s="634">
        <f t="shared" si="9"/>
        <v>0.10276000477371962</v>
      </c>
      <c r="Y13" s="634">
        <f t="shared" si="9"/>
        <v>1.4681977584846746E-2</v>
      </c>
      <c r="Z13" s="634">
        <f t="shared" si="9"/>
        <v>3.0092442594158346E-3</v>
      </c>
      <c r="AA13" s="634" t="e">
        <f t="shared" si="9"/>
        <v>#DIV/0!</v>
      </c>
      <c r="AB13" s="7"/>
    </row>
    <row r="14" spans="1:31" ht="15" x14ac:dyDescent="0.2">
      <c r="A14" s="345"/>
      <c r="B14" s="346" t="s">
        <v>540</v>
      </c>
      <c r="C14" s="345" t="s">
        <v>1232</v>
      </c>
      <c r="D14" s="347"/>
      <c r="E14" s="376"/>
      <c r="F14" s="376">
        <f>Ввод!G476/VLOOKUP($B$7,$A$1:$B$3,2,0)</f>
        <v>17.971079</v>
      </c>
      <c r="G14" s="376">
        <f>Ввод!H476/VLOOKUP($B$7,$A$1:$B$3,2,0)</f>
        <v>44.504578999999993</v>
      </c>
      <c r="H14" s="376">
        <f>Ввод!I476/VLOOKUP($B$7,$A$1:$B$3,2,0)</f>
        <v>118.19168500000001</v>
      </c>
      <c r="I14" s="376">
        <f>Ввод!J476/VLOOKUP($B$7,$A$1:$B$3,2,0)</f>
        <v>94.760748000000007</v>
      </c>
      <c r="J14" s="376">
        <f>Ввод!K476/VLOOKUP($B$7,$A$1:$B$3,2,0)</f>
        <v>100.36917</v>
      </c>
      <c r="K14" s="376">
        <f>Ввод!L476/VLOOKUP($B$7,$A$1:$B$3,2,0)</f>
        <v>81.642083</v>
      </c>
      <c r="L14" s="376">
        <f>Ввод!M476/VLOOKUP($B$7,$A$1:$B$3,2,0)</f>
        <v>101.87990867631193</v>
      </c>
      <c r="M14" s="376">
        <f>Ввод!N476/VLOOKUP($B$7,$A$1:$B$3,2,0)</f>
        <v>152.934111</v>
      </c>
      <c r="N14" s="376">
        <f>Ввод!O476/VLOOKUP($B$7,$A$1:$B$3,2,0)</f>
        <v>87.022373999999999</v>
      </c>
      <c r="O14" s="376">
        <f>Ввод!P476/VLOOKUP($B$7,$A$1:$B$3,2,0)</f>
        <v>0</v>
      </c>
      <c r="P14" s="302"/>
      <c r="Q14" s="634"/>
      <c r="R14" s="634">
        <f t="shared" si="3"/>
        <v>3.9040483800078969E-2</v>
      </c>
      <c r="S14" s="634">
        <f t="shared" si="4"/>
        <v>0.10198481187162378</v>
      </c>
      <c r="T14" s="634">
        <f t="shared" si="5"/>
        <v>0.23717672900464126</v>
      </c>
      <c r="U14" s="634">
        <f t="shared" si="6"/>
        <v>0.16887043819073541</v>
      </c>
      <c r="V14" s="634">
        <f t="shared" si="7"/>
        <v>0.16896440091297552</v>
      </c>
      <c r="W14" s="634">
        <f t="shared" si="8"/>
        <v>0.12647456301209181</v>
      </c>
      <c r="X14" s="634">
        <f t="shared" si="9"/>
        <v>0.12558127003466271</v>
      </c>
      <c r="Y14" s="634">
        <f t="shared" si="9"/>
        <v>0.18256760089833166</v>
      </c>
      <c r="Z14" s="634">
        <f t="shared" si="9"/>
        <v>9.3421099263729657E-2</v>
      </c>
      <c r="AA14" s="634" t="e">
        <f t="shared" si="9"/>
        <v>#DIV/0!</v>
      </c>
      <c r="AB14" s="7"/>
    </row>
    <row r="15" spans="1:31" s="2" customFormat="1" ht="15.75" x14ac:dyDescent="0.25">
      <c r="A15" s="343" t="s">
        <v>15</v>
      </c>
      <c r="B15" s="343" t="s">
        <v>477</v>
      </c>
      <c r="C15" s="343"/>
      <c r="D15" s="344"/>
      <c r="E15" s="390"/>
      <c r="F15" s="390">
        <f t="shared" ref="F15" si="10">SUM(F16,F20,F25,F29)</f>
        <v>132.33569399999999</v>
      </c>
      <c r="G15" s="390">
        <f t="shared" ref="G15:K15" si="11">SUM(G16,G20,G25,G29)</f>
        <v>156.871365</v>
      </c>
      <c r="H15" s="390">
        <f t="shared" si="11"/>
        <v>126.154826</v>
      </c>
      <c r="I15" s="390">
        <f t="shared" si="11"/>
        <v>176.165852</v>
      </c>
      <c r="J15" s="390">
        <f t="shared" si="11"/>
        <v>187.51951299999999</v>
      </c>
      <c r="K15" s="390">
        <f t="shared" si="11"/>
        <v>195.928088</v>
      </c>
      <c r="L15" s="390">
        <f t="shared" ref="L15:O15" si="12">SUM(L16,L20,L25,L29)</f>
        <v>147.63675900000001</v>
      </c>
      <c r="M15" s="390">
        <f t="shared" si="12"/>
        <v>173.66217399999999</v>
      </c>
      <c r="N15" s="390">
        <f t="shared" si="12"/>
        <v>257.30823800000002</v>
      </c>
      <c r="O15" s="390">
        <f t="shared" si="12"/>
        <v>0</v>
      </c>
      <c r="P15" s="325"/>
      <c r="Q15" s="633"/>
      <c r="R15" s="633">
        <f t="shared" si="3"/>
        <v>0.28748688477632356</v>
      </c>
      <c r="S15" s="633">
        <f t="shared" si="4"/>
        <v>0.35947978853074491</v>
      </c>
      <c r="T15" s="633">
        <f t="shared" si="5"/>
        <v>0.25315646340797721</v>
      </c>
      <c r="U15" s="633">
        <f t="shared" si="6"/>
        <v>0.31394016245507311</v>
      </c>
      <c r="V15" s="633">
        <f t="shared" si="7"/>
        <v>0.31567584123230197</v>
      </c>
      <c r="W15" s="633">
        <f t="shared" si="8"/>
        <v>0.30351895004436213</v>
      </c>
      <c r="X15" s="633">
        <f t="shared" si="9"/>
        <v>0.1819830027324342</v>
      </c>
      <c r="Y15" s="633">
        <f t="shared" si="9"/>
        <v>0.20731206574293046</v>
      </c>
      <c r="Z15" s="633">
        <f t="shared" si="9"/>
        <v>0.27622802434203159</v>
      </c>
      <c r="AA15" s="633" t="e">
        <f t="shared" si="9"/>
        <v>#DIV/0!</v>
      </c>
      <c r="AB15" s="14"/>
    </row>
    <row r="16" spans="1:31" ht="33" customHeight="1" x14ac:dyDescent="0.2">
      <c r="A16" s="346"/>
      <c r="B16" s="346" t="s">
        <v>6</v>
      </c>
      <c r="C16" s="2208" t="s">
        <v>3</v>
      </c>
      <c r="D16" s="2208"/>
      <c r="E16" s="373"/>
      <c r="F16" s="373">
        <f>Ввод!G13/VLOOKUP($B$7,$A$1:$B$3,2,0)</f>
        <v>0.77442200000000005</v>
      </c>
      <c r="G16" s="373">
        <f>Ввод!H13/VLOOKUP($B$7,$A$1:$B$3,2,0)</f>
        <v>1.061566</v>
      </c>
      <c r="H16" s="373">
        <f>Ввод!I13/VLOOKUP($B$7,$A$1:$B$3,2,0)</f>
        <v>0.151584</v>
      </c>
      <c r="I16" s="373">
        <f>Ввод!J13/VLOOKUP($B$7,$A$1:$B$3,2,0)</f>
        <v>3.1659950000000001</v>
      </c>
      <c r="J16" s="373">
        <f>Ввод!K13/VLOOKUP($B$7,$A$1:$B$3,2,0)</f>
        <v>3.2617180000000001</v>
      </c>
      <c r="K16" s="373">
        <f>Ввод!L13/VLOOKUP($B$7,$A$1:$B$3,2,0)</f>
        <v>3.3100839999999998</v>
      </c>
      <c r="L16" s="373">
        <f>Ввод!M13/VLOOKUP($B$7,$A$1:$B$3,2,0)</f>
        <v>1.0818289999999999</v>
      </c>
      <c r="M16" s="373">
        <f>Ввод!N13/VLOOKUP($B$7,$A$1:$B$3,2,0)</f>
        <v>0.847302</v>
      </c>
      <c r="N16" s="373">
        <f>Ввод!O13/VLOOKUP($B$7,$A$1:$B$3,2,0)</f>
        <v>1.1482950000000001</v>
      </c>
      <c r="O16" s="373">
        <f>Ввод!P13/VLOOKUP($B$7,$A$1:$B$3,2,0)</f>
        <v>0</v>
      </c>
      <c r="P16" s="302"/>
      <c r="Q16" s="634"/>
      <c r="R16" s="634">
        <f t="shared" si="3"/>
        <v>1.6823591697206807E-3</v>
      </c>
      <c r="S16" s="634">
        <f t="shared" si="4"/>
        <v>2.432639769478826E-3</v>
      </c>
      <c r="T16" s="634">
        <f t="shared" si="5"/>
        <v>3.0418550416164673E-4</v>
      </c>
      <c r="U16" s="634">
        <f t="shared" si="6"/>
        <v>5.6420297881109738E-3</v>
      </c>
      <c r="V16" s="634">
        <f t="shared" si="7"/>
        <v>5.4908716273838745E-3</v>
      </c>
      <c r="W16" s="634">
        <f t="shared" si="8"/>
        <v>5.1277651432940149E-3</v>
      </c>
      <c r="X16" s="634">
        <f t="shared" si="9"/>
        <v>1.3335059046035178E-3</v>
      </c>
      <c r="Y16" s="634">
        <f t="shared" si="9"/>
        <v>1.0114806459126584E-3</v>
      </c>
      <c r="Z16" s="634">
        <f t="shared" si="9"/>
        <v>1.2327287368538631E-3</v>
      </c>
      <c r="AA16" s="634" t="e">
        <f t="shared" si="9"/>
        <v>#DIV/0!</v>
      </c>
      <c r="AB16" s="7"/>
    </row>
    <row r="17" spans="1:28" s="71" customFormat="1" outlineLevel="1" x14ac:dyDescent="0.2">
      <c r="A17" s="369"/>
      <c r="B17" s="369"/>
      <c r="C17" s="370"/>
      <c r="D17" s="371" t="s">
        <v>964</v>
      </c>
      <c r="E17" s="405"/>
      <c r="F17" s="405">
        <f>Ввод!G432/VLOOKUP($B$7,$A$1:$B$3,2,0)</f>
        <v>0</v>
      </c>
      <c r="G17" s="405">
        <f>Ввод!H432/VLOOKUP($B$7,$A$1:$B$3,2,0)</f>
        <v>0</v>
      </c>
      <c r="H17" s="405">
        <f>Ввод!I432/VLOOKUP($B$7,$A$1:$B$3,2,0)</f>
        <v>0</v>
      </c>
      <c r="I17" s="405">
        <f>Ввод!J432/VLOOKUP($B$7,$A$1:$B$3,2,0)</f>
        <v>0</v>
      </c>
      <c r="J17" s="405">
        <f>Ввод!K432/VLOOKUP($B$7,$A$1:$B$3,2,0)</f>
        <v>0</v>
      </c>
      <c r="K17" s="405">
        <f>Ввод!L432/VLOOKUP($B$7,$A$1:$B$3,2,0)</f>
        <v>0</v>
      </c>
      <c r="L17" s="405">
        <f>Ввод!M432/VLOOKUP($B$7,$A$1:$B$3,2,0)</f>
        <v>0</v>
      </c>
      <c r="M17" s="405">
        <f>Ввод!N432/VLOOKUP($B$7,$A$1:$B$3,2,0)</f>
        <v>0</v>
      </c>
      <c r="N17" s="405">
        <f>Ввод!O432/VLOOKUP($B$7,$A$1:$B$3,2,0)</f>
        <v>0</v>
      </c>
      <c r="O17" s="405">
        <f>Ввод!P432/VLOOKUP($B$7,$A$1:$B$3,2,0)</f>
        <v>0</v>
      </c>
      <c r="P17" s="372"/>
      <c r="Q17" s="635"/>
      <c r="R17" s="635">
        <f t="shared" si="3"/>
        <v>0</v>
      </c>
      <c r="S17" s="635">
        <f t="shared" si="4"/>
        <v>0</v>
      </c>
      <c r="T17" s="635">
        <f t="shared" si="5"/>
        <v>0</v>
      </c>
      <c r="U17" s="635">
        <f t="shared" si="6"/>
        <v>0</v>
      </c>
      <c r="V17" s="635">
        <f t="shared" si="7"/>
        <v>0</v>
      </c>
      <c r="W17" s="635">
        <f t="shared" si="8"/>
        <v>0</v>
      </c>
      <c r="X17" s="635">
        <f t="shared" si="9"/>
        <v>0</v>
      </c>
      <c r="Y17" s="635">
        <f t="shared" si="9"/>
        <v>0</v>
      </c>
      <c r="Z17" s="635">
        <f t="shared" si="9"/>
        <v>0</v>
      </c>
      <c r="AA17" s="635" t="e">
        <f t="shared" si="9"/>
        <v>#DIV/0!</v>
      </c>
      <c r="AB17" s="233"/>
    </row>
    <row r="18" spans="1:28" s="71" customFormat="1" outlineLevel="1" x14ac:dyDescent="0.2">
      <c r="A18" s="369"/>
      <c r="B18" s="369"/>
      <c r="C18" s="370"/>
      <c r="D18" s="371" t="s">
        <v>463</v>
      </c>
      <c r="E18" s="405"/>
      <c r="F18" s="405">
        <f>Ввод!G433/VLOOKUP($B$7,$A$1:$B$3,2,0)</f>
        <v>0</v>
      </c>
      <c r="G18" s="405">
        <f>Ввод!H433/VLOOKUP($B$7,$A$1:$B$3,2,0)</f>
        <v>0</v>
      </c>
      <c r="H18" s="405">
        <f>Ввод!I433/VLOOKUP($B$7,$A$1:$B$3,2,0)</f>
        <v>0</v>
      </c>
      <c r="I18" s="405">
        <f>Ввод!J433/VLOOKUP($B$7,$A$1:$B$3,2,0)</f>
        <v>0</v>
      </c>
      <c r="J18" s="405">
        <f>Ввод!K433/VLOOKUP($B$7,$A$1:$B$3,2,0)</f>
        <v>0</v>
      </c>
      <c r="K18" s="405">
        <f>Ввод!L433/VLOOKUP($B$7,$A$1:$B$3,2,0)</f>
        <v>0</v>
      </c>
      <c r="L18" s="405">
        <f>Ввод!M433/VLOOKUP($B$7,$A$1:$B$3,2,0)</f>
        <v>0</v>
      </c>
      <c r="M18" s="405">
        <f>Ввод!N433/VLOOKUP($B$7,$A$1:$B$3,2,0)</f>
        <v>0</v>
      </c>
      <c r="N18" s="405">
        <f>Ввод!O433/VLOOKUP($B$7,$A$1:$B$3,2,0)</f>
        <v>0</v>
      </c>
      <c r="O18" s="405">
        <f>Ввод!P433/VLOOKUP($B$7,$A$1:$B$3,2,0)</f>
        <v>0</v>
      </c>
      <c r="P18" s="372"/>
      <c r="Q18" s="635"/>
      <c r="R18" s="635">
        <f t="shared" si="3"/>
        <v>0</v>
      </c>
      <c r="S18" s="635">
        <f t="shared" si="4"/>
        <v>0</v>
      </c>
      <c r="T18" s="635">
        <f t="shared" si="5"/>
        <v>0</v>
      </c>
      <c r="U18" s="635">
        <f t="shared" si="6"/>
        <v>0</v>
      </c>
      <c r="V18" s="635">
        <f t="shared" si="7"/>
        <v>0</v>
      </c>
      <c r="W18" s="635">
        <f t="shared" si="8"/>
        <v>0</v>
      </c>
      <c r="X18" s="635">
        <f t="shared" si="9"/>
        <v>0</v>
      </c>
      <c r="Y18" s="635">
        <f t="shared" si="9"/>
        <v>0</v>
      </c>
      <c r="Z18" s="635">
        <f t="shared" si="9"/>
        <v>0</v>
      </c>
      <c r="AA18" s="635" t="e">
        <f t="shared" si="9"/>
        <v>#DIV/0!</v>
      </c>
      <c r="AB18" s="233"/>
    </row>
    <row r="19" spans="1:28" s="71" customFormat="1" outlineLevel="1" x14ac:dyDescent="0.2">
      <c r="A19" s="369"/>
      <c r="B19" s="369"/>
      <c r="C19" s="370"/>
      <c r="D19" s="371" t="s">
        <v>949</v>
      </c>
      <c r="E19" s="405"/>
      <c r="F19" s="405">
        <f>Ввод!G439/VLOOKUP($B$7,$A$1:$B$3,2,0)</f>
        <v>0</v>
      </c>
      <c r="G19" s="405">
        <f>Ввод!H439/VLOOKUP($B$7,$A$1:$B$3,2,0)</f>
        <v>0</v>
      </c>
      <c r="H19" s="405">
        <f>Ввод!I439/VLOOKUP($B$7,$A$1:$B$3,2,0)</f>
        <v>0</v>
      </c>
      <c r="I19" s="405">
        <f>Ввод!J439/VLOOKUP($B$7,$A$1:$B$3,2,0)</f>
        <v>0</v>
      </c>
      <c r="J19" s="405">
        <f>Ввод!K439/VLOOKUP($B$7,$A$1:$B$3,2,0)</f>
        <v>0</v>
      </c>
      <c r="K19" s="405">
        <f>Ввод!L439/VLOOKUP($B$7,$A$1:$B$3,2,0)</f>
        <v>0</v>
      </c>
      <c r="L19" s="405">
        <f>Ввод!M439/VLOOKUP($B$7,$A$1:$B$3,2,0)</f>
        <v>0</v>
      </c>
      <c r="M19" s="405">
        <f>Ввод!N439/VLOOKUP($B$7,$A$1:$B$3,2,0)</f>
        <v>0</v>
      </c>
      <c r="N19" s="405">
        <f>Ввод!O439/VLOOKUP($B$7,$A$1:$B$3,2,0)</f>
        <v>0</v>
      </c>
      <c r="O19" s="405">
        <f>Ввод!P439/VLOOKUP($B$7,$A$1:$B$3,2,0)</f>
        <v>0</v>
      </c>
      <c r="P19" s="372"/>
      <c r="Q19" s="635"/>
      <c r="R19" s="635">
        <f t="shared" si="3"/>
        <v>0</v>
      </c>
      <c r="S19" s="635">
        <f t="shared" si="4"/>
        <v>0</v>
      </c>
      <c r="T19" s="635">
        <f t="shared" si="5"/>
        <v>0</v>
      </c>
      <c r="U19" s="635">
        <f t="shared" si="6"/>
        <v>0</v>
      </c>
      <c r="V19" s="635">
        <f t="shared" si="7"/>
        <v>0</v>
      </c>
      <c r="W19" s="635">
        <f t="shared" si="8"/>
        <v>0</v>
      </c>
      <c r="X19" s="635">
        <f t="shared" si="9"/>
        <v>0</v>
      </c>
      <c r="Y19" s="635">
        <f t="shared" si="9"/>
        <v>0</v>
      </c>
      <c r="Z19" s="635">
        <f t="shared" si="9"/>
        <v>0</v>
      </c>
      <c r="AA19" s="635" t="e">
        <f t="shared" si="9"/>
        <v>#DIV/0!</v>
      </c>
      <c r="AB19" s="233"/>
    </row>
    <row r="20" spans="1:28" ht="34.5" customHeight="1" x14ac:dyDescent="0.2">
      <c r="A20" s="346"/>
      <c r="B20" s="346" t="s">
        <v>7</v>
      </c>
      <c r="C20" s="2208" t="s">
        <v>1227</v>
      </c>
      <c r="D20" s="2208"/>
      <c r="E20" s="373"/>
      <c r="F20" s="373">
        <f>Ввод!G15/VLOOKUP($B$7,$A$1:$B$3,2,0)</f>
        <v>112.519879</v>
      </c>
      <c r="G20" s="373">
        <f>Ввод!H15/VLOOKUP($B$7,$A$1:$B$3,2,0)</f>
        <v>146.55913899999999</v>
      </c>
      <c r="H20" s="373">
        <f>Ввод!I15/VLOOKUP($B$7,$A$1:$B$3,2,0)</f>
        <v>88.072946000000002</v>
      </c>
      <c r="I20" s="373">
        <f>Ввод!J15/VLOOKUP($B$7,$A$1:$B$3,2,0)</f>
        <v>78.267456999999993</v>
      </c>
      <c r="J20" s="373">
        <f>Ввод!K15/VLOOKUP($B$7,$A$1:$B$3,2,0)</f>
        <v>77.441935000000001</v>
      </c>
      <c r="K20" s="373">
        <f>Ввод!L15/VLOOKUP($B$7,$A$1:$B$3,2,0)</f>
        <v>70.842146</v>
      </c>
      <c r="L20" s="373">
        <f>Ввод!M15/VLOOKUP($B$7,$A$1:$B$3,2,0)</f>
        <v>30.563075000000001</v>
      </c>
      <c r="M20" s="373">
        <f>Ввод!N15/VLOOKUP($B$7,$A$1:$B$3,2,0)</f>
        <v>64.334445000000002</v>
      </c>
      <c r="N20" s="373">
        <f>Ввод!O15/VLOOKUP($B$7,$A$1:$B$3,2,0)</f>
        <v>78.910803000000001</v>
      </c>
      <c r="O20" s="373">
        <f>Ввод!P15/VLOOKUP($B$7,$A$1:$B$3,2,0)</f>
        <v>0</v>
      </c>
      <c r="P20" s="302"/>
      <c r="Q20" s="634"/>
      <c r="R20" s="634">
        <f t="shared" si="3"/>
        <v>0.24443888501554895</v>
      </c>
      <c r="S20" s="634">
        <f t="shared" si="4"/>
        <v>0.33584872736313631</v>
      </c>
      <c r="T20" s="634">
        <f t="shared" si="5"/>
        <v>0.17673707965228183</v>
      </c>
      <c r="U20" s="634">
        <f t="shared" si="6"/>
        <v>0.13947821264205873</v>
      </c>
      <c r="V20" s="634">
        <f t="shared" si="7"/>
        <v>0.13036802190171137</v>
      </c>
      <c r="W20" s="634">
        <f t="shared" si="8"/>
        <v>0.10974400859160842</v>
      </c>
      <c r="X20" s="634">
        <f t="shared" si="9"/>
        <v>3.7673274588997115E-2</v>
      </c>
      <c r="Y20" s="634">
        <f t="shared" si="9"/>
        <v>7.6800297866678469E-2</v>
      </c>
      <c r="Z20" s="634">
        <f t="shared" si="9"/>
        <v>8.4713087234825568E-2</v>
      </c>
      <c r="AA20" s="634" t="e">
        <f t="shared" si="9"/>
        <v>#DIV/0!</v>
      </c>
      <c r="AB20" s="7"/>
    </row>
    <row r="21" spans="1:28" s="71" customFormat="1" outlineLevel="1" x14ac:dyDescent="0.2">
      <c r="A21" s="369"/>
      <c r="B21" s="369"/>
      <c r="C21" s="370"/>
      <c r="D21" s="371" t="s">
        <v>964</v>
      </c>
      <c r="E21" s="405"/>
      <c r="F21" s="405">
        <f>Ввод!G584/VLOOKUP($B$7,$A$1:$B$3,2,0)</f>
        <v>3.7817449999999999</v>
      </c>
      <c r="G21" s="405">
        <f>Ввод!H584/VLOOKUP($B$7,$A$1:$B$3,2,0)</f>
        <v>22.980730000000001</v>
      </c>
      <c r="H21" s="405">
        <f>Ввод!I584/VLOOKUP($B$7,$A$1:$B$3,2,0)</f>
        <v>1.9560489999999999</v>
      </c>
      <c r="I21" s="405">
        <f>Ввод!J584/VLOOKUP($B$7,$A$1:$B$3,2,0)</f>
        <v>5.3477819999999996</v>
      </c>
      <c r="J21" s="405">
        <f>Ввод!K584/VLOOKUP($B$7,$A$1:$B$3,2,0)</f>
        <v>11.359935999999999</v>
      </c>
      <c r="K21" s="405">
        <f>Ввод!L584/VLOOKUP($B$7,$A$1:$B$3,2,0)</f>
        <v>0</v>
      </c>
      <c r="L21" s="405">
        <f>Ввод!M584/VLOOKUP($B$7,$A$1:$B$3,2,0)</f>
        <v>0</v>
      </c>
      <c r="M21" s="405">
        <f>Ввод!N584/VLOOKUP($B$7,$A$1:$B$3,2,0)</f>
        <v>0</v>
      </c>
      <c r="N21" s="405">
        <f>Ввод!O584/VLOOKUP($B$7,$A$1:$B$3,2,0)</f>
        <v>0</v>
      </c>
      <c r="O21" s="405">
        <f>Ввод!P584/VLOOKUP($B$7,$A$1:$B$3,2,0)</f>
        <v>0</v>
      </c>
      <c r="P21" s="372"/>
      <c r="Q21" s="635"/>
      <c r="R21" s="635">
        <f t="shared" si="3"/>
        <v>8.2154863605312534E-3</v>
      </c>
      <c r="S21" s="635">
        <f t="shared" si="4"/>
        <v>5.2661669391874964E-2</v>
      </c>
      <c r="T21" s="635">
        <f t="shared" si="5"/>
        <v>3.9252279345437834E-3</v>
      </c>
      <c r="U21" s="635">
        <f t="shared" si="6"/>
        <v>9.5301304469285891E-3</v>
      </c>
      <c r="V21" s="635">
        <f t="shared" si="7"/>
        <v>1.9123649031368331E-2</v>
      </c>
      <c r="W21" s="635">
        <f t="shared" si="8"/>
        <v>0</v>
      </c>
      <c r="X21" s="635">
        <f t="shared" si="9"/>
        <v>0</v>
      </c>
      <c r="Y21" s="635">
        <f t="shared" si="9"/>
        <v>0</v>
      </c>
      <c r="Z21" s="635">
        <f t="shared" si="9"/>
        <v>0</v>
      </c>
      <c r="AA21" s="635" t="e">
        <f t="shared" si="9"/>
        <v>#DIV/0!</v>
      </c>
      <c r="AB21" s="233"/>
    </row>
    <row r="22" spans="1:28" s="71" customFormat="1" outlineLevel="1" x14ac:dyDescent="0.2">
      <c r="A22" s="369"/>
      <c r="B22" s="369"/>
      <c r="C22" s="370"/>
      <c r="D22" s="371" t="s">
        <v>463</v>
      </c>
      <c r="E22" s="405"/>
      <c r="F22" s="405">
        <f>Ввод!G585/VLOOKUP($B$7,$A$1:$B$3,2,0)</f>
        <v>0</v>
      </c>
      <c r="G22" s="405">
        <f>Ввод!H585/VLOOKUP($B$7,$A$1:$B$3,2,0)</f>
        <v>1.2169190000000001</v>
      </c>
      <c r="H22" s="405">
        <f>Ввод!I585/VLOOKUP($B$7,$A$1:$B$3,2,0)</f>
        <v>0</v>
      </c>
      <c r="I22" s="405">
        <f>Ввод!J585/VLOOKUP($B$7,$A$1:$B$3,2,0)</f>
        <v>0</v>
      </c>
      <c r="J22" s="405">
        <f>Ввод!K585/VLOOKUP($B$7,$A$1:$B$3,2,0)</f>
        <v>0</v>
      </c>
      <c r="K22" s="405">
        <f>Ввод!L585/VLOOKUP($B$7,$A$1:$B$3,2,0)</f>
        <v>0</v>
      </c>
      <c r="L22" s="405">
        <f>Ввод!M585/VLOOKUP($B$7,$A$1:$B$3,2,0)</f>
        <v>0</v>
      </c>
      <c r="M22" s="405">
        <f>Ввод!N585/VLOOKUP($B$7,$A$1:$B$3,2,0)</f>
        <v>0</v>
      </c>
      <c r="N22" s="405">
        <f>Ввод!O585/VLOOKUP($B$7,$A$1:$B$3,2,0)</f>
        <v>0</v>
      </c>
      <c r="O22" s="405">
        <f>Ввод!P585/VLOOKUP($B$7,$A$1:$B$3,2,0)</f>
        <v>0</v>
      </c>
      <c r="P22" s="372"/>
      <c r="Q22" s="635"/>
      <c r="R22" s="635">
        <f t="shared" si="3"/>
        <v>0</v>
      </c>
      <c r="S22" s="635">
        <f t="shared" si="4"/>
        <v>2.7886401369621892E-3</v>
      </c>
      <c r="T22" s="635">
        <f t="shared" si="5"/>
        <v>0</v>
      </c>
      <c r="U22" s="635">
        <f t="shared" si="6"/>
        <v>0</v>
      </c>
      <c r="V22" s="635">
        <f t="shared" si="7"/>
        <v>0</v>
      </c>
      <c r="W22" s="635">
        <f t="shared" si="8"/>
        <v>0</v>
      </c>
      <c r="X22" s="635">
        <f t="shared" si="9"/>
        <v>0</v>
      </c>
      <c r="Y22" s="635">
        <f t="shared" si="9"/>
        <v>0</v>
      </c>
      <c r="Z22" s="635">
        <f t="shared" si="9"/>
        <v>0</v>
      </c>
      <c r="AA22" s="635" t="e">
        <f t="shared" si="9"/>
        <v>#DIV/0!</v>
      </c>
      <c r="AB22" s="233"/>
    </row>
    <row r="23" spans="1:28" s="71" customFormat="1" outlineLevel="1" x14ac:dyDescent="0.2">
      <c r="A23" s="369"/>
      <c r="B23" s="369"/>
      <c r="C23" s="370"/>
      <c r="D23" s="371" t="s">
        <v>8</v>
      </c>
      <c r="E23" s="405"/>
      <c r="F23" s="405">
        <f>IF(F8&lt;2019,Ввод!G16/VLOOKUP($B$7,$A$1:$B$3,2,0),"н/п")</f>
        <v>1.609029</v>
      </c>
      <c r="G23" s="405">
        <f>IF(G8&lt;2019,Ввод!H16/VLOOKUP($B$7,$A$1:$B$3,2,0),"н/п")</f>
        <v>1.6147819999999999</v>
      </c>
      <c r="H23" s="405">
        <f>IF(H8&lt;2019,Ввод!I16/VLOOKUP($B$7,$A$1:$B$3,2,0),"н/п")</f>
        <v>1.7495959999999999</v>
      </c>
      <c r="I23" s="405" t="str">
        <f>IF(I8&lt;2019,Ввод!J16/VLOOKUP($B$7,$A$1:$B$3,2,0),"н/п")</f>
        <v>н/п</v>
      </c>
      <c r="J23" s="405" t="str">
        <f>IF(J8&lt;2019,Ввод!K16/VLOOKUP($B$7,$A$1:$B$3,2,0),"н/п")</f>
        <v>н/п</v>
      </c>
      <c r="K23" s="405" t="str">
        <f>IF(K8&lt;2019,Ввод!L16/VLOOKUP($B$7,$A$1:$B$3,2,0),"н/п")</f>
        <v>н/п</v>
      </c>
      <c r="L23" s="405" t="str">
        <f>IF(L8&lt;2019,Ввод!M16/VLOOKUP($B$7,$A$1:$B$3,2,0),"н/п")</f>
        <v>н/п</v>
      </c>
      <c r="M23" s="405" t="str">
        <f>IF(M8&lt;2019,Ввод!N16/VLOOKUP($B$7,$A$1:$B$3,2,0),"н/п")</f>
        <v>н/п</v>
      </c>
      <c r="N23" s="405" t="str">
        <f>IF(N8&lt;2019,Ввод!O16/VLOOKUP($B$7,$A$1:$B$3,2,0),"н/п")</f>
        <v>н/п</v>
      </c>
      <c r="O23" s="405" t="str">
        <f>IF(O8&lt;2019,Ввод!P16/VLOOKUP($B$7,$A$1:$B$3,2,0),"н/п")</f>
        <v>н/п</v>
      </c>
      <c r="P23" s="372"/>
      <c r="Q23" s="635"/>
      <c r="R23" s="635">
        <f t="shared" ref="R23:W23" si="13">SUM(F23)/F$42</f>
        <v>3.495464607793292E-3</v>
      </c>
      <c r="S23" s="635">
        <f t="shared" si="13"/>
        <v>3.7003661686965833E-3</v>
      </c>
      <c r="T23" s="635">
        <f t="shared" si="13"/>
        <v>3.5109361234642207E-3</v>
      </c>
      <c r="U23" s="635">
        <f t="shared" si="13"/>
        <v>0</v>
      </c>
      <c r="V23" s="635">
        <f t="shared" si="13"/>
        <v>0</v>
      </c>
      <c r="W23" s="635">
        <f t="shared" si="13"/>
        <v>0</v>
      </c>
      <c r="X23" s="635">
        <f t="shared" ref="X23" si="14">SUM(L23)/L$42</f>
        <v>0</v>
      </c>
      <c r="Y23" s="635">
        <f t="shared" ref="Y23" si="15">SUM(M23)/M$42</f>
        <v>0</v>
      </c>
      <c r="Z23" s="635">
        <f t="shared" ref="Z23" si="16">SUM(N23)/N$42</f>
        <v>0</v>
      </c>
      <c r="AA23" s="635" t="e">
        <f t="shared" ref="AA23" si="17">SUM(O23)/O$42</f>
        <v>#DIV/0!</v>
      </c>
      <c r="AB23" s="233"/>
    </row>
    <row r="24" spans="1:28" s="71" customFormat="1" outlineLevel="1" x14ac:dyDescent="0.2">
      <c r="A24" s="369"/>
      <c r="B24" s="369"/>
      <c r="C24" s="370"/>
      <c r="D24" s="371" t="s">
        <v>949</v>
      </c>
      <c r="E24" s="405"/>
      <c r="F24" s="405">
        <f>Ввод!G591/VLOOKUP($B$7,$A$1:$B$3,2,0)</f>
        <v>0</v>
      </c>
      <c r="G24" s="405">
        <f>Ввод!H591/VLOOKUP($B$7,$A$1:$B$3,2,0)</f>
        <v>0</v>
      </c>
      <c r="H24" s="405">
        <f>Ввод!I591/VLOOKUP($B$7,$A$1:$B$3,2,0)</f>
        <v>0</v>
      </c>
      <c r="I24" s="405">
        <f>Ввод!J591/VLOOKUP($B$7,$A$1:$B$3,2,0)</f>
        <v>0</v>
      </c>
      <c r="J24" s="405">
        <f>Ввод!K591/VLOOKUP($B$7,$A$1:$B$3,2,0)</f>
        <v>0</v>
      </c>
      <c r="K24" s="405">
        <f>Ввод!L591/VLOOKUP($B$7,$A$1:$B$3,2,0)</f>
        <v>0</v>
      </c>
      <c r="L24" s="405">
        <f>Ввод!M591/VLOOKUP($B$7,$A$1:$B$3,2,0)</f>
        <v>0</v>
      </c>
      <c r="M24" s="405">
        <f>Ввод!N591/VLOOKUP($B$7,$A$1:$B$3,2,0)</f>
        <v>0</v>
      </c>
      <c r="N24" s="405">
        <f>Ввод!O591/VLOOKUP($B$7,$A$1:$B$3,2,0)</f>
        <v>0</v>
      </c>
      <c r="O24" s="405">
        <f>Ввод!P591/VLOOKUP($B$7,$A$1:$B$3,2,0)</f>
        <v>0</v>
      </c>
      <c r="P24" s="372"/>
      <c r="Q24" s="635"/>
      <c r="R24" s="635">
        <f t="shared" ref="R24:W28" si="18">F24/F$42</f>
        <v>0</v>
      </c>
      <c r="S24" s="635">
        <f t="shared" si="18"/>
        <v>0</v>
      </c>
      <c r="T24" s="635">
        <f t="shared" si="18"/>
        <v>0</v>
      </c>
      <c r="U24" s="635">
        <f t="shared" si="18"/>
        <v>0</v>
      </c>
      <c r="V24" s="635">
        <f t="shared" si="18"/>
        <v>0</v>
      </c>
      <c r="W24" s="635">
        <f t="shared" si="18"/>
        <v>0</v>
      </c>
      <c r="X24" s="635">
        <f t="shared" ref="X24:AA28" si="19">L24/L$42</f>
        <v>0</v>
      </c>
      <c r="Y24" s="635">
        <f t="shared" si="19"/>
        <v>0</v>
      </c>
      <c r="Z24" s="635">
        <f t="shared" si="19"/>
        <v>0</v>
      </c>
      <c r="AA24" s="635" t="e">
        <f t="shared" si="19"/>
        <v>#DIV/0!</v>
      </c>
      <c r="AB24" s="233"/>
    </row>
    <row r="25" spans="1:28" ht="33.75" customHeight="1" x14ac:dyDescent="0.2">
      <c r="A25" s="346"/>
      <c r="B25" s="346" t="s">
        <v>9</v>
      </c>
      <c r="C25" s="2208" t="s">
        <v>1228</v>
      </c>
      <c r="D25" s="2208"/>
      <c r="E25" s="373"/>
      <c r="F25" s="373">
        <f>Ввод!G17/VLOOKUP($B$7,$A$1:$B$3,2,0)</f>
        <v>19.041392999999999</v>
      </c>
      <c r="G25" s="373">
        <f>Ввод!H17/VLOOKUP($B$7,$A$1:$B$3,2,0)</f>
        <v>9.2506599999999999</v>
      </c>
      <c r="H25" s="373">
        <f>Ввод!I17/VLOOKUP($B$7,$A$1:$B$3,2,0)</f>
        <v>37.930295999999998</v>
      </c>
      <c r="I25" s="373">
        <f>Ввод!J17/VLOOKUP($B$7,$A$1:$B$3,2,0)</f>
        <v>92.865288000000007</v>
      </c>
      <c r="J25" s="373">
        <f>Ввод!K17/VLOOKUP($B$7,$A$1:$B$3,2,0)</f>
        <v>105.02979999999999</v>
      </c>
      <c r="K25" s="373">
        <f>Ввод!L17/VLOOKUP($B$7,$A$1:$B$3,2,0)</f>
        <v>121.775858</v>
      </c>
      <c r="L25" s="373">
        <f>Ввод!M17/VLOOKUP($B$7,$A$1:$B$3,2,0)</f>
        <v>115.991855</v>
      </c>
      <c r="M25" s="373">
        <f>Ввод!N17/VLOOKUP($B$7,$A$1:$B$3,2,0)</f>
        <v>108.48042700000001</v>
      </c>
      <c r="N25" s="373">
        <f>Ввод!O17/VLOOKUP($B$7,$A$1:$B$3,2,0)</f>
        <v>177.24914000000001</v>
      </c>
      <c r="O25" s="373">
        <f>Ввод!P17/VLOOKUP($B$7,$A$1:$B$3,2,0)</f>
        <v>0</v>
      </c>
      <c r="P25" s="302"/>
      <c r="Q25" s="634"/>
      <c r="R25" s="634">
        <f t="shared" si="18"/>
        <v>4.1365640591053944E-2</v>
      </c>
      <c r="S25" s="634">
        <f t="shared" si="18"/>
        <v>2.119842139812974E-2</v>
      </c>
      <c r="T25" s="634">
        <f t="shared" si="18"/>
        <v>7.6115198251533747E-2</v>
      </c>
      <c r="U25" s="634">
        <f t="shared" si="18"/>
        <v>0.16549259274809486</v>
      </c>
      <c r="V25" s="634">
        <f t="shared" si="18"/>
        <v>0.17681024197977963</v>
      </c>
      <c r="W25" s="634">
        <f t="shared" si="18"/>
        <v>0.18864717630945974</v>
      </c>
      <c r="X25" s="634">
        <f t="shared" si="19"/>
        <v>0.14297622223883355</v>
      </c>
      <c r="Y25" s="634">
        <f t="shared" si="19"/>
        <v>0.12950028723033935</v>
      </c>
      <c r="Z25" s="634">
        <f t="shared" si="19"/>
        <v>0.19028220837035217</v>
      </c>
      <c r="AA25" s="634" t="e">
        <f t="shared" si="19"/>
        <v>#DIV/0!</v>
      </c>
      <c r="AB25" s="7"/>
    </row>
    <row r="26" spans="1:28" s="71" customFormat="1" outlineLevel="1" x14ac:dyDescent="0.2">
      <c r="A26" s="369"/>
      <c r="B26" s="369"/>
      <c r="C26" s="370"/>
      <c r="D26" s="371" t="s">
        <v>964</v>
      </c>
      <c r="E26" s="405"/>
      <c r="F26" s="405">
        <f>Ввод!G604/VLOOKUP($B$7,$A$1:$B$3,2,0)</f>
        <v>16.980884799999998</v>
      </c>
      <c r="G26" s="405">
        <f>Ввод!H604/VLOOKUP($B$7,$A$1:$B$3,2,0)</f>
        <v>5.2943199999999999</v>
      </c>
      <c r="H26" s="405">
        <f>Ввод!I604/VLOOKUP($B$7,$A$1:$B$3,2,0)</f>
        <v>14.795095999999999</v>
      </c>
      <c r="I26" s="405">
        <f>Ввод!J604/VLOOKUP($B$7,$A$1:$B$3,2,0)</f>
        <v>0.79468899999999998</v>
      </c>
      <c r="J26" s="405">
        <f>Ввод!K604/VLOOKUP($B$7,$A$1:$B$3,2,0)</f>
        <v>0.78158000000000005</v>
      </c>
      <c r="K26" s="405">
        <f>Ввод!L604/VLOOKUP($B$7,$A$1:$B$3,2,0)</f>
        <v>0</v>
      </c>
      <c r="L26" s="405">
        <f>Ввод!M604/VLOOKUP($B$7,$A$1:$B$3,2,0)</f>
        <v>0</v>
      </c>
      <c r="M26" s="405">
        <f>Ввод!N604/VLOOKUP($B$7,$A$1:$B$3,2,0)</f>
        <v>0</v>
      </c>
      <c r="N26" s="405">
        <f>Ввод!O604/VLOOKUP($B$7,$A$1:$B$3,2,0)</f>
        <v>0</v>
      </c>
      <c r="O26" s="405">
        <f>Ввод!P604/VLOOKUP($B$7,$A$1:$B$3,2,0)</f>
        <v>0</v>
      </c>
      <c r="P26" s="372"/>
      <c r="Q26" s="635"/>
      <c r="R26" s="635">
        <f t="shared" si="18"/>
        <v>3.6889379760970793E-2</v>
      </c>
      <c r="S26" s="635">
        <f t="shared" si="18"/>
        <v>1.2132239902509253E-2</v>
      </c>
      <c r="T26" s="635">
        <f t="shared" si="18"/>
        <v>2.9689503746305433E-2</v>
      </c>
      <c r="U26" s="635">
        <f t="shared" si="18"/>
        <v>1.4161927009626108E-3</v>
      </c>
      <c r="V26" s="635">
        <f t="shared" si="18"/>
        <v>1.3157346669855237E-3</v>
      </c>
      <c r="W26" s="635">
        <f t="shared" si="18"/>
        <v>0</v>
      </c>
      <c r="X26" s="635">
        <f t="shared" si="19"/>
        <v>0</v>
      </c>
      <c r="Y26" s="635">
        <f t="shared" si="19"/>
        <v>0</v>
      </c>
      <c r="Z26" s="635">
        <f t="shared" si="19"/>
        <v>0</v>
      </c>
      <c r="AA26" s="635" t="e">
        <f t="shared" si="19"/>
        <v>#DIV/0!</v>
      </c>
      <c r="AB26" s="233"/>
    </row>
    <row r="27" spans="1:28" s="71" customFormat="1" outlineLevel="1" x14ac:dyDescent="0.2">
      <c r="A27" s="369"/>
      <c r="B27" s="369"/>
      <c r="C27" s="370"/>
      <c r="D27" s="371" t="s">
        <v>463</v>
      </c>
      <c r="E27" s="405"/>
      <c r="F27" s="405">
        <f>Ввод!G605/VLOOKUP($B$7,$A$1:$B$3,2,0)</f>
        <v>1.7949489999999999</v>
      </c>
      <c r="G27" s="405">
        <f>Ввод!H605/VLOOKUP($B$7,$A$1:$B$3,2,0)</f>
        <v>3.6944316000000001</v>
      </c>
      <c r="H27" s="405">
        <f>Ввод!I605/VLOOKUP($B$7,$A$1:$B$3,2,0)</f>
        <v>1.080622</v>
      </c>
      <c r="I27" s="405">
        <f>Ввод!J605/VLOOKUP($B$7,$A$1:$B$3,2,0)</f>
        <v>0</v>
      </c>
      <c r="J27" s="405">
        <f>Ввод!K605/VLOOKUP($B$7,$A$1:$B$3,2,0)</f>
        <v>0</v>
      </c>
      <c r="K27" s="405">
        <f>Ввод!L605/VLOOKUP($B$7,$A$1:$B$3,2,0)</f>
        <v>0</v>
      </c>
      <c r="L27" s="405">
        <f>Ввод!M605/VLOOKUP($B$7,$A$1:$B$3,2,0)</f>
        <v>0</v>
      </c>
      <c r="M27" s="405">
        <f>Ввод!N605/VLOOKUP($B$7,$A$1:$B$3,2,0)</f>
        <v>0</v>
      </c>
      <c r="N27" s="405">
        <f>Ввод!O605/VLOOKUP($B$7,$A$1:$B$3,2,0)</f>
        <v>0</v>
      </c>
      <c r="O27" s="405">
        <f>Ввод!P605/VLOOKUP($B$7,$A$1:$B$3,2,0)</f>
        <v>0</v>
      </c>
      <c r="P27" s="372"/>
      <c r="Q27" s="635"/>
      <c r="R27" s="635">
        <f t="shared" si="18"/>
        <v>3.8993583722194947E-3</v>
      </c>
      <c r="S27" s="635">
        <f t="shared" si="18"/>
        <v>8.4660032779679175E-3</v>
      </c>
      <c r="T27" s="635">
        <f t="shared" si="18"/>
        <v>2.1684976506634408E-3</v>
      </c>
      <c r="U27" s="635">
        <f t="shared" si="18"/>
        <v>0</v>
      </c>
      <c r="V27" s="635">
        <f t="shared" si="18"/>
        <v>0</v>
      </c>
      <c r="W27" s="635">
        <f t="shared" si="18"/>
        <v>0</v>
      </c>
      <c r="X27" s="635">
        <f t="shared" si="19"/>
        <v>0</v>
      </c>
      <c r="Y27" s="635">
        <f t="shared" si="19"/>
        <v>0</v>
      </c>
      <c r="Z27" s="635">
        <f t="shared" si="19"/>
        <v>0</v>
      </c>
      <c r="AA27" s="635" t="e">
        <f t="shared" si="19"/>
        <v>#DIV/0!</v>
      </c>
      <c r="AB27" s="233"/>
    </row>
    <row r="28" spans="1:28" s="71" customFormat="1" outlineLevel="1" x14ac:dyDescent="0.2">
      <c r="A28" s="369"/>
      <c r="B28" s="369"/>
      <c r="C28" s="370"/>
      <c r="D28" s="371" t="s">
        <v>949</v>
      </c>
      <c r="E28" s="405"/>
      <c r="F28" s="405">
        <f>Ввод!G611/VLOOKUP($B$7,$A$1:$B$3,2,0)</f>
        <v>0</v>
      </c>
      <c r="G28" s="405">
        <f>Ввод!H611/VLOOKUP($B$7,$A$1:$B$3,2,0)</f>
        <v>0</v>
      </c>
      <c r="H28" s="405">
        <f>Ввод!I611/VLOOKUP($B$7,$A$1:$B$3,2,0)</f>
        <v>0</v>
      </c>
      <c r="I28" s="405">
        <f>Ввод!J611/VLOOKUP($B$7,$A$1:$B$3,2,0)</f>
        <v>0</v>
      </c>
      <c r="J28" s="405">
        <f>Ввод!K611/VLOOKUP($B$7,$A$1:$B$3,2,0)</f>
        <v>0</v>
      </c>
      <c r="K28" s="405">
        <f>Ввод!L611/VLOOKUP($B$7,$A$1:$B$3,2,0)</f>
        <v>0</v>
      </c>
      <c r="L28" s="405">
        <f>Ввод!M611/VLOOKUP($B$7,$A$1:$B$3,2,0)</f>
        <v>0</v>
      </c>
      <c r="M28" s="405">
        <f>Ввод!N611/VLOOKUP($B$7,$A$1:$B$3,2,0)</f>
        <v>0</v>
      </c>
      <c r="N28" s="405">
        <f>Ввод!O611/VLOOKUP($B$7,$A$1:$B$3,2,0)</f>
        <v>0</v>
      </c>
      <c r="O28" s="405">
        <f>Ввод!P611/VLOOKUP($B$7,$A$1:$B$3,2,0)</f>
        <v>0</v>
      </c>
      <c r="P28" s="372"/>
      <c r="Q28" s="635"/>
      <c r="R28" s="635">
        <f t="shared" si="18"/>
        <v>0</v>
      </c>
      <c r="S28" s="635">
        <f t="shared" si="18"/>
        <v>0</v>
      </c>
      <c r="T28" s="635">
        <f t="shared" si="18"/>
        <v>0</v>
      </c>
      <c r="U28" s="635">
        <f t="shared" si="18"/>
        <v>0</v>
      </c>
      <c r="V28" s="635">
        <f t="shared" si="18"/>
        <v>0</v>
      </c>
      <c r="W28" s="635">
        <f t="shared" si="18"/>
        <v>0</v>
      </c>
      <c r="X28" s="635">
        <f t="shared" si="19"/>
        <v>0</v>
      </c>
      <c r="Y28" s="635">
        <f t="shared" si="19"/>
        <v>0</v>
      </c>
      <c r="Z28" s="635">
        <f t="shared" si="19"/>
        <v>0</v>
      </c>
      <c r="AA28" s="635" t="e">
        <f t="shared" si="19"/>
        <v>#DIV/0!</v>
      </c>
      <c r="AB28" s="233"/>
    </row>
    <row r="29" spans="1:28" ht="54.75" customHeight="1" x14ac:dyDescent="0.2">
      <c r="A29" s="346"/>
      <c r="B29" s="346" t="s">
        <v>1229</v>
      </c>
      <c r="C29" s="2208" t="s">
        <v>1230</v>
      </c>
      <c r="D29" s="2208"/>
      <c r="E29" s="373"/>
      <c r="F29" s="373" t="str">
        <f>IF(F8&lt;2019,"н/п",Ввод!G16/VLOOKUP($B$7,$A$1:$B$3,2,0))</f>
        <v>н/п</v>
      </c>
      <c r="G29" s="373" t="str">
        <f>IF(G8&lt;2019,"н/п",Ввод!H16/VLOOKUP($B$7,$A$1:$B$3,2,0))</f>
        <v>н/п</v>
      </c>
      <c r="H29" s="373" t="str">
        <f>IF(H8&lt;2019,"н/п",Ввод!I16/VLOOKUP($B$7,$A$1:$B$3,2,0))</f>
        <v>н/п</v>
      </c>
      <c r="I29" s="373">
        <f>IF(I8&lt;2019,"н/п",Ввод!J16/VLOOKUP($B$7,$A$1:$B$3,2,0))</f>
        <v>1.8671120000000001</v>
      </c>
      <c r="J29" s="373">
        <f>IF(J8&lt;2019,"н/п",Ввод!K16/VLOOKUP($B$7,$A$1:$B$3,2,0))</f>
        <v>1.78606</v>
      </c>
      <c r="K29" s="373">
        <f>IF(K8&lt;2019,"н/п",Ввод!L16/VLOOKUP($B$7,$A$1:$B$3,2,0))</f>
        <v>0</v>
      </c>
      <c r="L29" s="1528">
        <f>IF(L8&lt;2019,"н/п",Ввод!M16/VLOOKUP($B$7,$A$1:$B$3,2,0))</f>
        <v>0</v>
      </c>
      <c r="M29" s="1528">
        <f>IF(M8&lt;2019,"н/п",Ввод!N16/VLOOKUP($B$7,$A$1:$B$3,2,0))</f>
        <v>0</v>
      </c>
      <c r="N29" s="1528">
        <f>IF(N8&lt;2019,"н/п",Ввод!O16/VLOOKUP($B$7,$A$1:$B$3,2,0))</f>
        <v>0</v>
      </c>
      <c r="O29" s="1528">
        <f>IF(O8&lt;2019,"н/п",Ввод!P16/VLOOKUP($B$7,$A$1:$B$3,2,0))</f>
        <v>0</v>
      </c>
      <c r="P29" s="302"/>
      <c r="Q29" s="634"/>
      <c r="R29" s="634">
        <f t="shared" ref="R29:W29" si="20">SUM(F29)/F$42</f>
        <v>0</v>
      </c>
      <c r="S29" s="634">
        <f t="shared" si="20"/>
        <v>0</v>
      </c>
      <c r="T29" s="634">
        <f t="shared" si="20"/>
        <v>0</v>
      </c>
      <c r="U29" s="634">
        <f t="shared" si="20"/>
        <v>3.3273272768085411E-3</v>
      </c>
      <c r="V29" s="634">
        <f t="shared" si="20"/>
        <v>3.0067057234271148E-3</v>
      </c>
      <c r="W29" s="634">
        <f t="shared" si="20"/>
        <v>0</v>
      </c>
      <c r="X29" s="634">
        <f t="shared" ref="X29" si="21">SUM(L29)/L$42</f>
        <v>0</v>
      </c>
      <c r="Y29" s="634">
        <f t="shared" ref="Y29" si="22">SUM(M29)/M$42</f>
        <v>0</v>
      </c>
      <c r="Z29" s="634">
        <f t="shared" ref="Z29" si="23">SUM(N29)/N$42</f>
        <v>0</v>
      </c>
      <c r="AA29" s="634" t="e">
        <f t="shared" ref="AA29" si="24">SUM(O29)/O$42</f>
        <v>#DIV/0!</v>
      </c>
      <c r="AB29" s="7"/>
    </row>
    <row r="30" spans="1:28" s="2" customFormat="1" ht="15.75" x14ac:dyDescent="0.25">
      <c r="A30" s="348" t="s">
        <v>1231</v>
      </c>
      <c r="B30" s="348"/>
      <c r="C30" s="343"/>
      <c r="D30" s="344"/>
      <c r="E30" s="390"/>
      <c r="F30" s="390">
        <f>Ввод!G14/VLOOKUP($B$7,$A$1:$B$3,2,0)</f>
        <v>246.715767</v>
      </c>
      <c r="G30" s="390">
        <f>SUM(G31:G32)</f>
        <v>180.20313199999998</v>
      </c>
      <c r="H30" s="390">
        <f>SUM(H31:H32)</f>
        <v>197.72674699999999</v>
      </c>
      <c r="I30" s="390">
        <f>SUM(I31:I32)</f>
        <v>227.73067499999999</v>
      </c>
      <c r="J30" s="390">
        <f>SUM(J31:J32)</f>
        <v>234.408434</v>
      </c>
      <c r="K30" s="390">
        <f>SUM(K31:K32)</f>
        <v>293.24790586799998</v>
      </c>
      <c r="L30" s="1866">
        <f>(Ввод!M480-Ввод!M476)/VLOOKUP($B$7,$A$1:$B$3,2,0)</f>
        <v>372.1827653236881</v>
      </c>
      <c r="M30" s="1866">
        <f>(Ввод!N480-Ввод!N476)/VLOOKUP($B$7,$A$1:$B$3,2,0)</f>
        <v>374.71755999999999</v>
      </c>
      <c r="N30" s="1866">
        <f>(Ввод!O480-Ввод!O476)/VLOOKUP($B$7,$A$1:$B$3,2,0)</f>
        <v>459.12033100000002</v>
      </c>
      <c r="O30" s="1866">
        <f>(Ввод!P480-Ввод!P476)/VLOOKUP($B$7,$A$1:$B$3,2,0)</f>
        <v>0</v>
      </c>
      <c r="P30" s="325"/>
      <c r="Q30" s="633"/>
      <c r="R30" s="633">
        <f t="shared" ref="R30:W32" si="25">F30/F$42</f>
        <v>0.53596686680791716</v>
      </c>
      <c r="S30" s="633">
        <f t="shared" si="25"/>
        <v>0.41294587947225359</v>
      </c>
      <c r="T30" s="633">
        <f t="shared" si="25"/>
        <v>0.39678073030423638</v>
      </c>
      <c r="U30" s="633">
        <f t="shared" si="25"/>
        <v>0.4058323692919979</v>
      </c>
      <c r="V30" s="633">
        <f t="shared" si="25"/>
        <v>0.39461002437061865</v>
      </c>
      <c r="W30" s="633">
        <f t="shared" si="25"/>
        <v>0.45428043217449915</v>
      </c>
      <c r="X30" s="633">
        <f t="shared" ref="X30:AA32" si="26">L30/L$42</f>
        <v>0.45876743473395837</v>
      </c>
      <c r="Y30" s="633">
        <f t="shared" si="26"/>
        <v>0.44732522716058187</v>
      </c>
      <c r="Z30" s="633">
        <f t="shared" si="26"/>
        <v>0.49287929120788432</v>
      </c>
      <c r="AA30" s="633" t="e">
        <f t="shared" si="26"/>
        <v>#DIV/0!</v>
      </c>
      <c r="AB30" s="14"/>
    </row>
    <row r="31" spans="1:28" ht="15" outlineLevel="1" x14ac:dyDescent="0.2">
      <c r="A31" s="346"/>
      <c r="B31" s="346" t="s">
        <v>10</v>
      </c>
      <c r="C31" s="345" t="s">
        <v>421</v>
      </c>
      <c r="D31" s="347"/>
      <c r="E31" s="373"/>
      <c r="F31" s="373"/>
      <c r="G31" s="373">
        <f>Ввод!H458/VLOOKUP($B$7,$A$1:$B$3,2,0)</f>
        <v>121.00368297871199</v>
      </c>
      <c r="H31" s="373">
        <f>Ввод!I458/VLOOKUP($B$7,$A$1:$B$3,2,0)</f>
        <v>123.09319499999999</v>
      </c>
      <c r="I31" s="373">
        <f>Ввод!J458/VLOOKUP($B$7,$A$1:$B$3,2,0)</f>
        <v>142.53047599999999</v>
      </c>
      <c r="J31" s="373">
        <f>Ввод!K458/VLOOKUP($B$7,$A$1:$B$3,2,0)</f>
        <v>118.17612</v>
      </c>
      <c r="K31" s="373">
        <f>Ввод!L458/VLOOKUP($B$7,$A$1:$B$3,2,0)</f>
        <v>143.68074077691665</v>
      </c>
      <c r="L31" s="1528"/>
      <c r="M31" s="1528"/>
      <c r="N31" s="1528"/>
      <c r="O31" s="1528"/>
      <c r="P31" s="302"/>
      <c r="Q31" s="636"/>
      <c r="R31" s="636">
        <f t="shared" si="25"/>
        <v>0</v>
      </c>
      <c r="S31" s="636">
        <f t="shared" si="25"/>
        <v>0.27728692466358462</v>
      </c>
      <c r="T31" s="636">
        <f t="shared" si="25"/>
        <v>0.24701265027933614</v>
      </c>
      <c r="U31" s="634">
        <f t="shared" si="25"/>
        <v>0.25399951399343212</v>
      </c>
      <c r="V31" s="634">
        <f t="shared" si="25"/>
        <v>0.19894114216566608</v>
      </c>
      <c r="W31" s="634">
        <f t="shared" si="25"/>
        <v>0.22258078475305651</v>
      </c>
      <c r="X31" s="634">
        <f t="shared" si="26"/>
        <v>0</v>
      </c>
      <c r="Y31" s="634">
        <f t="shared" si="26"/>
        <v>0</v>
      </c>
      <c r="Z31" s="634">
        <f t="shared" si="26"/>
        <v>0</v>
      </c>
      <c r="AA31" s="634" t="e">
        <f t="shared" si="26"/>
        <v>#DIV/0!</v>
      </c>
      <c r="AB31" s="96"/>
    </row>
    <row r="32" spans="1:28" ht="15" outlineLevel="1" x14ac:dyDescent="0.2">
      <c r="A32" s="346"/>
      <c r="B32" s="346" t="s">
        <v>11</v>
      </c>
      <c r="C32" s="345" t="s">
        <v>129</v>
      </c>
      <c r="D32" s="347"/>
      <c r="E32" s="373"/>
      <c r="F32" s="373"/>
      <c r="G32" s="373">
        <f>Ввод!H468/VLOOKUP($B$7,$A$1:$B$3,2,0)</f>
        <v>59.199449021287997</v>
      </c>
      <c r="H32" s="373">
        <f>Ввод!I468/VLOOKUP($B$7,$A$1:$B$3,2,0)</f>
        <v>74.633551999999995</v>
      </c>
      <c r="I32" s="373">
        <f>Ввод!J468/VLOOKUP($B$7,$A$1:$B$3,2,0)</f>
        <v>85.200198999999998</v>
      </c>
      <c r="J32" s="373">
        <f>Ввод!K468/VLOOKUP($B$7,$A$1:$B$3,2,0)</f>
        <v>116.232314</v>
      </c>
      <c r="K32" s="373">
        <f>Ввод!L468/VLOOKUP($B$7,$A$1:$B$3,2,0)</f>
        <v>149.56716509108335</v>
      </c>
      <c r="L32" s="1528"/>
      <c r="M32" s="1528"/>
      <c r="N32" s="1528"/>
      <c r="O32" s="1528"/>
      <c r="P32" s="302"/>
      <c r="Q32" s="636"/>
      <c r="R32" s="636">
        <f t="shared" si="25"/>
        <v>0</v>
      </c>
      <c r="S32" s="636">
        <f t="shared" si="25"/>
        <v>0.13565895480866902</v>
      </c>
      <c r="T32" s="636">
        <f t="shared" si="25"/>
        <v>0.14976808002490022</v>
      </c>
      <c r="U32" s="634">
        <f t="shared" si="25"/>
        <v>0.15183285529856577</v>
      </c>
      <c r="V32" s="634">
        <f t="shared" si="25"/>
        <v>0.19566888220495257</v>
      </c>
      <c r="W32" s="634">
        <f t="shared" si="25"/>
        <v>0.23169964742144269</v>
      </c>
      <c r="X32" s="634">
        <f t="shared" si="26"/>
        <v>0</v>
      </c>
      <c r="Y32" s="634">
        <f t="shared" si="26"/>
        <v>0</v>
      </c>
      <c r="Z32" s="634">
        <f t="shared" si="26"/>
        <v>0</v>
      </c>
      <c r="AA32" s="634" t="e">
        <f t="shared" si="26"/>
        <v>#DIV/0!</v>
      </c>
      <c r="AB32" s="96"/>
    </row>
    <row r="33" spans="1:28" ht="15" outlineLevel="1" x14ac:dyDescent="0.2">
      <c r="A33" s="346"/>
      <c r="B33" s="346"/>
      <c r="C33" s="345"/>
      <c r="D33" s="347"/>
      <c r="E33" s="373"/>
      <c r="F33" s="373"/>
      <c r="G33" s="373"/>
      <c r="H33" s="376"/>
      <c r="I33" s="376"/>
      <c r="J33" s="376"/>
      <c r="K33" s="376"/>
      <c r="L33" s="376"/>
      <c r="M33" s="376"/>
      <c r="N33" s="376"/>
      <c r="O33" s="376"/>
      <c r="P33" s="302"/>
      <c r="Q33" s="636"/>
      <c r="R33" s="636"/>
      <c r="S33" s="636"/>
      <c r="T33" s="636"/>
      <c r="U33" s="634"/>
      <c r="V33" s="634"/>
      <c r="W33" s="634"/>
      <c r="X33" s="634"/>
      <c r="Y33" s="634"/>
      <c r="Z33" s="634"/>
      <c r="AA33" s="634"/>
      <c r="AB33" s="96"/>
    </row>
    <row r="34" spans="1:28" s="2" customFormat="1" ht="15.75" x14ac:dyDescent="0.25">
      <c r="A34" s="348" t="s">
        <v>12</v>
      </c>
      <c r="B34" s="348"/>
      <c r="C34" s="343"/>
      <c r="D34" s="344"/>
      <c r="E34" s="390"/>
      <c r="F34" s="390">
        <f t="shared" ref="F34" si="27">SUM(F35:F36)</f>
        <v>4.2490949999999996</v>
      </c>
      <c r="G34" s="390">
        <f t="shared" ref="G34:K34" si="28">SUM(G35:G36)</f>
        <v>4.2484060000000001</v>
      </c>
      <c r="H34" s="390">
        <f t="shared" si="28"/>
        <v>5.6914540000000002</v>
      </c>
      <c r="I34" s="390">
        <f t="shared" si="28"/>
        <v>6.8545129999999999</v>
      </c>
      <c r="J34" s="390">
        <f t="shared" si="28"/>
        <v>10.158757</v>
      </c>
      <c r="K34" s="390">
        <f t="shared" si="28"/>
        <v>10.494198000000001</v>
      </c>
      <c r="L34" s="390">
        <f t="shared" ref="L34:O34" si="29">SUM(L35:L36)</f>
        <v>15.135138</v>
      </c>
      <c r="M34" s="390">
        <f t="shared" si="29"/>
        <v>16.975560999999999</v>
      </c>
      <c r="N34" s="390">
        <f t="shared" si="29"/>
        <v>21.111263000000001</v>
      </c>
      <c r="O34" s="390">
        <f t="shared" si="29"/>
        <v>0</v>
      </c>
      <c r="P34" s="325"/>
      <c r="Q34" s="633"/>
      <c r="R34" s="633">
        <f t="shared" ref="R34:W41" si="30">F34/F$42</f>
        <v>9.2307604074578133E-3</v>
      </c>
      <c r="S34" s="633">
        <f t="shared" si="30"/>
        <v>9.7354675945654449E-3</v>
      </c>
      <c r="T34" s="633">
        <f t="shared" si="30"/>
        <v>1.1421111755876748E-2</v>
      </c>
      <c r="U34" s="633">
        <f t="shared" si="30"/>
        <v>1.2215232976992672E-2</v>
      </c>
      <c r="V34" s="633">
        <f t="shared" si="30"/>
        <v>1.7101549116382019E-2</v>
      </c>
      <c r="W34" s="633">
        <f t="shared" si="30"/>
        <v>1.6256923604121759E-2</v>
      </c>
      <c r="X34" s="633">
        <f t="shared" ref="X34:AA41" si="31">L34/L$42</f>
        <v>1.8656179386935527E-2</v>
      </c>
      <c r="Y34" s="633">
        <f t="shared" si="31"/>
        <v>2.0264854095717624E-2</v>
      </c>
      <c r="Z34" s="633">
        <f t="shared" si="31"/>
        <v>2.2663566915626817E-2</v>
      </c>
      <c r="AA34" s="633" t="e">
        <f t="shared" si="31"/>
        <v>#DIV/0!</v>
      </c>
      <c r="AB34" s="14"/>
    </row>
    <row r="35" spans="1:28" ht="15" outlineLevel="1" x14ac:dyDescent="0.2">
      <c r="A35" s="346"/>
      <c r="B35" s="346" t="s">
        <v>480</v>
      </c>
      <c r="C35" s="345" t="s">
        <v>965</v>
      </c>
      <c r="D35" s="347"/>
      <c r="E35" s="373"/>
      <c r="F35" s="373">
        <f>Ввод!G20/VLOOKUP($B$7,$A$1:$B$3,2,0)</f>
        <v>3.7123879999999998</v>
      </c>
      <c r="G35" s="373">
        <f>Ввод!H20/VLOOKUP($B$7,$A$1:$B$3,2,0)</f>
        <v>3.8908260000000001</v>
      </c>
      <c r="H35" s="373">
        <f>Ввод!I20/VLOOKUP($B$7,$A$1:$B$3,2,0)</f>
        <v>4.3816480000000002</v>
      </c>
      <c r="I35" s="373">
        <f>Ввод!J20/VLOOKUP($B$7,$A$1:$B$3,2,0)</f>
        <v>5.4533519999999998</v>
      </c>
      <c r="J35" s="373">
        <f>Ввод!K20/VLOOKUP($B$7,$A$1:$B$3,2,0)</f>
        <v>9.0199619999999996</v>
      </c>
      <c r="K35" s="373">
        <f>Ввод!L20/VLOOKUP($B$7,$A$1:$B$3,2,0)</f>
        <v>10.001922</v>
      </c>
      <c r="L35" s="373">
        <f>Ввод!M20/VLOOKUP($B$7,$A$1:$B$3,2,0)</f>
        <v>14.379514</v>
      </c>
      <c r="M35" s="373">
        <f>Ввод!N20/VLOOKUP($B$7,$A$1:$B$3,2,0)</f>
        <v>16.468962999999999</v>
      </c>
      <c r="N35" s="373">
        <f>Ввод!O20/VLOOKUP($B$7,$A$1:$B$3,2,0)</f>
        <v>20.647817</v>
      </c>
      <c r="O35" s="373">
        <f>Ввод!P20/VLOOKUP($B$7,$A$1:$B$3,2,0)</f>
        <v>0</v>
      </c>
      <c r="P35" s="302"/>
      <c r="Q35" s="636"/>
      <c r="R35" s="636">
        <f t="shared" si="30"/>
        <v>8.0648147823292951E-3</v>
      </c>
      <c r="S35" s="636">
        <f t="shared" si="30"/>
        <v>8.9160523827272378E-3</v>
      </c>
      <c r="T35" s="636">
        <f t="shared" si="30"/>
        <v>8.792707712811848E-3</v>
      </c>
      <c r="U35" s="634">
        <f t="shared" si="30"/>
        <v>9.7182637461697037E-3</v>
      </c>
      <c r="V35" s="634">
        <f t="shared" si="30"/>
        <v>1.518446825442319E-2</v>
      </c>
      <c r="W35" s="634">
        <f t="shared" si="30"/>
        <v>1.5494321895621249E-2</v>
      </c>
      <c r="X35" s="634">
        <f t="shared" si="31"/>
        <v>1.7724766875660523E-2</v>
      </c>
      <c r="Y35" s="634">
        <f t="shared" si="31"/>
        <v>1.9660094432388538E-2</v>
      </c>
      <c r="Z35" s="634">
        <f t="shared" si="31"/>
        <v>2.2166043890463442E-2</v>
      </c>
      <c r="AA35" s="634" t="e">
        <f t="shared" si="31"/>
        <v>#DIV/0!</v>
      </c>
      <c r="AB35" s="96"/>
    </row>
    <row r="36" spans="1:28" ht="15" outlineLevel="1" x14ac:dyDescent="0.2">
      <c r="A36" s="346"/>
      <c r="B36" s="346" t="s">
        <v>481</v>
      </c>
      <c r="C36" s="345" t="s">
        <v>1049</v>
      </c>
      <c r="D36" s="347"/>
      <c r="E36" s="373"/>
      <c r="F36" s="373">
        <f>Ввод!G21/VLOOKUP($B$7,$A$1:$B$3,2,0)</f>
        <v>0.53670700000000005</v>
      </c>
      <c r="G36" s="373">
        <f>Ввод!H21/VLOOKUP($B$7,$A$1:$B$3,2,0)</f>
        <v>0.35758000000000001</v>
      </c>
      <c r="H36" s="373">
        <f>Ввод!I21/VLOOKUP($B$7,$A$1:$B$3,2,0)</f>
        <v>1.309806</v>
      </c>
      <c r="I36" s="373">
        <f>Ввод!J21/VLOOKUP($B$7,$A$1:$B$3,2,0)</f>
        <v>1.4011610000000001</v>
      </c>
      <c r="J36" s="373">
        <f>Ввод!K21/VLOOKUP($B$7,$A$1:$B$3,2,0)</f>
        <v>1.138795</v>
      </c>
      <c r="K36" s="373">
        <f>Ввод!L21/VLOOKUP($B$7,$A$1:$B$3,2,0)</f>
        <v>0.49227599999999999</v>
      </c>
      <c r="L36" s="373">
        <f>Ввод!M21/VLOOKUP($B$7,$A$1:$B$3,2,0)</f>
        <v>0.75562399999999996</v>
      </c>
      <c r="M36" s="373">
        <f>Ввод!N21/VLOOKUP($B$7,$A$1:$B$3,2,0)</f>
        <v>0.50659799999999999</v>
      </c>
      <c r="N36" s="373">
        <f>Ввод!O21/VLOOKUP($B$7,$A$1:$B$3,2,0)</f>
        <v>0.46344600000000002</v>
      </c>
      <c r="O36" s="373">
        <f>Ввод!P21/VLOOKUP($B$7,$A$1:$B$3,2,0)</f>
        <v>0</v>
      </c>
      <c r="P36" s="302"/>
      <c r="Q36" s="636"/>
      <c r="R36" s="636">
        <f t="shared" si="30"/>
        <v>1.1659456251285182E-3</v>
      </c>
      <c r="S36" s="636">
        <f t="shared" si="30"/>
        <v>8.1941521183820744E-4</v>
      </c>
      <c r="T36" s="636">
        <f t="shared" si="30"/>
        <v>2.6284040430649002E-3</v>
      </c>
      <c r="U36" s="634">
        <f t="shared" si="30"/>
        <v>2.4969692308229674E-3</v>
      </c>
      <c r="V36" s="634">
        <f t="shared" si="30"/>
        <v>1.9170808619588264E-3</v>
      </c>
      <c r="W36" s="634">
        <f t="shared" si="30"/>
        <v>7.6260170850051077E-4</v>
      </c>
      <c r="X36" s="634">
        <f t="shared" si="31"/>
        <v>9.3141251127500601E-4</v>
      </c>
      <c r="Y36" s="634">
        <f t="shared" si="31"/>
        <v>6.0475966332908563E-4</v>
      </c>
      <c r="Z36" s="634">
        <f t="shared" si="31"/>
        <v>4.9752302516337305E-4</v>
      </c>
      <c r="AA36" s="634" t="e">
        <f t="shared" si="31"/>
        <v>#DIV/0!</v>
      </c>
      <c r="AB36" s="96"/>
    </row>
    <row r="37" spans="1:28" s="2" customFormat="1" ht="15.75" x14ac:dyDescent="0.25">
      <c r="A37" s="348" t="s">
        <v>13</v>
      </c>
      <c r="B37" s="348"/>
      <c r="C37" s="343"/>
      <c r="D37" s="344"/>
      <c r="E37" s="390"/>
      <c r="F37" s="390">
        <f>SUM(F38:F41)</f>
        <v>31.719394000000001</v>
      </c>
      <c r="G37" s="390">
        <f t="shared" ref="G37:K37" si="32">SUM(G38:G41)</f>
        <v>25.418510999999999</v>
      </c>
      <c r="H37" s="390">
        <f t="shared" si="32"/>
        <v>25.940463000000001</v>
      </c>
      <c r="I37" s="390">
        <f t="shared" si="32"/>
        <v>22.945201000000001</v>
      </c>
      <c r="J37" s="390">
        <f t="shared" si="32"/>
        <v>22.609110999999999</v>
      </c>
      <c r="K37" s="390">
        <f t="shared" si="32"/>
        <v>27.289729000000001</v>
      </c>
      <c r="L37" s="390">
        <f t="shared" ref="L37" si="33">SUM(L38:L41)</f>
        <v>61.685725000000005</v>
      </c>
      <c r="M37" s="390">
        <f t="shared" ref="M37" si="34">SUM(M38:M41)</f>
        <v>35.734553000000005</v>
      </c>
      <c r="N37" s="390">
        <f t="shared" ref="N37" si="35">SUM(N38:N41)</f>
        <v>42.736448000000003</v>
      </c>
      <c r="O37" s="390">
        <f t="shared" ref="O37" si="36">SUM(O38:O41)</f>
        <v>0</v>
      </c>
      <c r="P37" s="325"/>
      <c r="Q37" s="633"/>
      <c r="R37" s="633">
        <f t="shared" si="30"/>
        <v>6.8907408820879493E-2</v>
      </c>
      <c r="S37" s="633">
        <f t="shared" si="30"/>
        <v>5.8247985277914888E-2</v>
      </c>
      <c r="T37" s="633">
        <f t="shared" si="30"/>
        <v>5.205505076948453E-2</v>
      </c>
      <c r="U37" s="633">
        <f t="shared" si="30"/>
        <v>4.0889991151658076E-2</v>
      </c>
      <c r="V37" s="633">
        <f t="shared" si="30"/>
        <v>3.806083975079165E-2</v>
      </c>
      <c r="W37" s="633">
        <f t="shared" si="30"/>
        <v>4.2275459213766131E-2</v>
      </c>
      <c r="X37" s="633">
        <f t="shared" si="31"/>
        <v>7.6036303812570039E-2</v>
      </c>
      <c r="Y37" s="633">
        <f t="shared" si="31"/>
        <v>4.2658708169979687E-2</v>
      </c>
      <c r="Z37" s="633">
        <f t="shared" si="31"/>
        <v>4.5878844339356004E-2</v>
      </c>
      <c r="AA37" s="633" t="e">
        <f t="shared" si="31"/>
        <v>#DIV/0!</v>
      </c>
      <c r="AB37" s="14"/>
    </row>
    <row r="38" spans="1:28" ht="15" outlineLevel="1" x14ac:dyDescent="0.2">
      <c r="A38" s="346"/>
      <c r="B38" s="346" t="s">
        <v>483</v>
      </c>
      <c r="C38" s="345" t="s">
        <v>566</v>
      </c>
      <c r="D38" s="347"/>
      <c r="E38" s="373"/>
      <c r="F38" s="373">
        <f>Ввод!G18/VLOOKUP($B$7,$A$1:$B$3,2,0)</f>
        <v>0</v>
      </c>
      <c r="G38" s="373">
        <f>Ввод!H18/VLOOKUP($B$7,$A$1:$B$3,2,0)</f>
        <v>0</v>
      </c>
      <c r="H38" s="373">
        <f>Ввод!I18/VLOOKUP($B$7,$A$1:$B$3,2,0)</f>
        <v>9.2000000000000003E-4</v>
      </c>
      <c r="I38" s="373">
        <f>Ввод!J18/VLOOKUP($B$7,$A$1:$B$3,2,0)</f>
        <v>1.9508999999999999E-2</v>
      </c>
      <c r="J38" s="373">
        <f>Ввод!K18/VLOOKUP($B$7,$A$1:$B$3,2,0)</f>
        <v>8.5087999999999997E-2</v>
      </c>
      <c r="K38" s="373">
        <f>Ввод!L18/VLOOKUP($B$7,$A$1:$B$3,2,0)</f>
        <v>0</v>
      </c>
      <c r="L38" s="373">
        <f>Ввод!M18/VLOOKUP($B$7,$A$1:$B$3,2,0)</f>
        <v>0</v>
      </c>
      <c r="M38" s="373">
        <f>Ввод!N18/VLOOKUP($B$7,$A$1:$B$3,2,0)</f>
        <v>0.13511200000000001</v>
      </c>
      <c r="N38" s="373">
        <f>Ввод!O18/VLOOKUP($B$7,$A$1:$B$3,2,0)</f>
        <v>0</v>
      </c>
      <c r="O38" s="373">
        <f>Ввод!P18/VLOOKUP($B$7,$A$1:$B$3,2,0)</f>
        <v>0</v>
      </c>
      <c r="P38" s="302"/>
      <c r="Q38" s="636"/>
      <c r="R38" s="636">
        <f t="shared" si="30"/>
        <v>0</v>
      </c>
      <c r="S38" s="636">
        <f t="shared" si="30"/>
        <v>0</v>
      </c>
      <c r="T38" s="636">
        <f t="shared" si="30"/>
        <v>1.8461754791318014E-6</v>
      </c>
      <c r="U38" s="634">
        <f t="shared" si="30"/>
        <v>3.4766434923699179E-5</v>
      </c>
      <c r="V38" s="634">
        <f t="shared" si="30"/>
        <v>1.4323963170048394E-4</v>
      </c>
      <c r="W38" s="634">
        <f t="shared" si="30"/>
        <v>0</v>
      </c>
      <c r="X38" s="634">
        <f t="shared" si="31"/>
        <v>0</v>
      </c>
      <c r="Y38" s="634">
        <f t="shared" si="31"/>
        <v>1.6129216386902322E-4</v>
      </c>
      <c r="Z38" s="634">
        <f t="shared" si="31"/>
        <v>0</v>
      </c>
      <c r="AA38" s="634" t="e">
        <f t="shared" si="31"/>
        <v>#DIV/0!</v>
      </c>
      <c r="AB38" s="96"/>
    </row>
    <row r="39" spans="1:28" ht="15" outlineLevel="1" x14ac:dyDescent="0.2">
      <c r="A39" s="346"/>
      <c r="B39" s="346" t="s">
        <v>484</v>
      </c>
      <c r="C39" s="345" t="s">
        <v>567</v>
      </c>
      <c r="D39" s="347"/>
      <c r="E39" s="373"/>
      <c r="F39" s="373">
        <f>Ввод!G19/VLOOKUP($B$7,$A$1:$B$3,2,0)</f>
        <v>0</v>
      </c>
      <c r="G39" s="373">
        <f>Ввод!H19/VLOOKUP($B$7,$A$1:$B$3,2,0)</f>
        <v>0</v>
      </c>
      <c r="H39" s="373">
        <f>Ввод!I19/VLOOKUP($B$7,$A$1:$B$3,2,0)</f>
        <v>0</v>
      </c>
      <c r="I39" s="373">
        <f>Ввод!J19/VLOOKUP($B$7,$A$1:$B$3,2,0)</f>
        <v>0.70871399999999996</v>
      </c>
      <c r="J39" s="373">
        <f>Ввод!K19/VLOOKUP($B$7,$A$1:$B$3,2,0)</f>
        <v>1.988</v>
      </c>
      <c r="K39" s="373">
        <f>Ввод!L19/VLOOKUP($B$7,$A$1:$B$3,2,0)</f>
        <v>2.6954220000000002</v>
      </c>
      <c r="L39" s="373">
        <f>Ввод!M19/VLOOKUP($B$7,$A$1:$B$3,2,0)</f>
        <v>2.4584090000000001</v>
      </c>
      <c r="M39" s="373">
        <f>Ввод!N19/VLOOKUP($B$7,$A$1:$B$3,2,0)</f>
        <v>0.78969699999999998</v>
      </c>
      <c r="N39" s="373">
        <f>Ввод!O19/VLOOKUP($B$7,$A$1:$B$3,2,0)</f>
        <v>0</v>
      </c>
      <c r="O39" s="373">
        <f>Ввод!P19/VLOOKUP($B$7,$A$1:$B$3,2,0)</f>
        <v>0</v>
      </c>
      <c r="P39" s="302"/>
      <c r="Q39" s="636"/>
      <c r="R39" s="636">
        <f t="shared" si="30"/>
        <v>0</v>
      </c>
      <c r="S39" s="636">
        <f t="shared" si="30"/>
        <v>0</v>
      </c>
      <c r="T39" s="636">
        <f t="shared" si="30"/>
        <v>0</v>
      </c>
      <c r="U39" s="634">
        <f t="shared" si="30"/>
        <v>1.2629790948031441E-3</v>
      </c>
      <c r="V39" s="634">
        <f t="shared" si="30"/>
        <v>3.3466574348975423E-3</v>
      </c>
      <c r="W39" s="634">
        <f t="shared" si="30"/>
        <v>4.1755710664949418E-3</v>
      </c>
      <c r="X39" s="634">
        <f t="shared" si="31"/>
        <v>3.030333737984866E-3</v>
      </c>
      <c r="Y39" s="634">
        <f t="shared" si="31"/>
        <v>9.4271373327962005E-4</v>
      </c>
      <c r="Z39" s="634">
        <f t="shared" si="31"/>
        <v>0</v>
      </c>
      <c r="AA39" s="634" t="e">
        <f t="shared" si="31"/>
        <v>#DIV/0!</v>
      </c>
      <c r="AB39" s="96"/>
    </row>
    <row r="40" spans="1:28" ht="15" outlineLevel="1" x14ac:dyDescent="0.2">
      <c r="A40" s="346"/>
      <c r="B40" s="346" t="s">
        <v>485</v>
      </c>
      <c r="C40" s="345" t="s">
        <v>346</v>
      </c>
      <c r="D40" s="347"/>
      <c r="E40" s="373"/>
      <c r="F40" s="373">
        <f>Ввод!G22/VLOOKUP($B$7,$A$1:$B$3,2,0)</f>
        <v>31.719394000000001</v>
      </c>
      <c r="G40" s="373">
        <f>Ввод!H22/VLOOKUP($B$7,$A$1:$B$3,2,0)</f>
        <v>25.418510999999999</v>
      </c>
      <c r="H40" s="373">
        <f>Ввод!I22/VLOOKUP($B$7,$A$1:$B$3,2,0)</f>
        <v>25.939543</v>
      </c>
      <c r="I40" s="373">
        <f>Ввод!J22/VLOOKUP($B$7,$A$1:$B$3,2,0)</f>
        <v>22.216978000000001</v>
      </c>
      <c r="J40" s="373">
        <f>Ввод!K22/VLOOKUP($B$7,$A$1:$B$3,2,0)</f>
        <v>20.536023</v>
      </c>
      <c r="K40" s="373">
        <f>Ввод!L22/VLOOKUP($B$7,$A$1:$B$3,2,0)</f>
        <v>0</v>
      </c>
      <c r="L40" s="1528">
        <f>Ввод!M22/VLOOKUP($B$7,$A$1:$B$3,2,0)</f>
        <v>0</v>
      </c>
      <c r="M40" s="1528">
        <f>Ввод!N22/VLOOKUP($B$7,$A$1:$B$3,2,0)</f>
        <v>0</v>
      </c>
      <c r="N40" s="1528">
        <f>Ввод!O22/VLOOKUP($B$7,$A$1:$B$3,2,0)</f>
        <v>0</v>
      </c>
      <c r="O40" s="1528">
        <f>Ввод!P22/VLOOKUP($B$7,$A$1:$B$3,2,0)</f>
        <v>0</v>
      </c>
      <c r="P40" s="302"/>
      <c r="Q40" s="636"/>
      <c r="R40" s="636">
        <f t="shared" si="30"/>
        <v>6.8907408820879493E-2</v>
      </c>
      <c r="S40" s="636">
        <f t="shared" si="30"/>
        <v>5.8247985277914888E-2</v>
      </c>
      <c r="T40" s="636">
        <f t="shared" si="30"/>
        <v>5.2053204594005399E-2</v>
      </c>
      <c r="U40" s="634">
        <f t="shared" si="30"/>
        <v>3.9592245621931234E-2</v>
      </c>
      <c r="V40" s="634">
        <f t="shared" si="30"/>
        <v>3.4570942684193626E-2</v>
      </c>
      <c r="W40" s="634">
        <f t="shared" si="30"/>
        <v>0</v>
      </c>
      <c r="X40" s="634">
        <f t="shared" si="31"/>
        <v>0</v>
      </c>
      <c r="Y40" s="634">
        <f t="shared" si="31"/>
        <v>0</v>
      </c>
      <c r="Z40" s="634">
        <f t="shared" si="31"/>
        <v>0</v>
      </c>
      <c r="AA40" s="634" t="e">
        <f t="shared" si="31"/>
        <v>#DIV/0!</v>
      </c>
      <c r="AB40" s="96"/>
    </row>
    <row r="41" spans="1:28" ht="15.75" outlineLevel="1" x14ac:dyDescent="0.2">
      <c r="A41" s="346"/>
      <c r="B41" s="1862"/>
      <c r="C41" s="1863" t="s">
        <v>3338</v>
      </c>
      <c r="D41" s="1864"/>
      <c r="E41" s="373"/>
      <c r="F41" s="373">
        <f>Ввод!G23/VLOOKUP($B$7,$A$1:$B$3,2,0)</f>
        <v>0</v>
      </c>
      <c r="G41" s="373">
        <f>Ввод!H23/VLOOKUP($B$7,$A$1:$B$3,2,0)</f>
        <v>0</v>
      </c>
      <c r="H41" s="373">
        <f>Ввод!I23/VLOOKUP($B$7,$A$1:$B$3,2,0)</f>
        <v>0</v>
      </c>
      <c r="I41" s="373">
        <f>Ввод!J23/VLOOKUP($B$7,$A$1:$B$3,2,0)</f>
        <v>0</v>
      </c>
      <c r="J41" s="373">
        <f>Ввод!K23/VLOOKUP($B$7,$A$1:$B$3,2,0)</f>
        <v>0</v>
      </c>
      <c r="K41" s="373">
        <f>Ввод!L23/VLOOKUP($B$7,$A$1:$B$3,2,0)</f>
        <v>24.594307000000001</v>
      </c>
      <c r="L41" s="1865">
        <f>Ввод!M23/VLOOKUP($B$7,$A$1:$B$3,2,0)</f>
        <v>59.227316000000002</v>
      </c>
      <c r="M41" s="1865">
        <f>Ввод!N23/VLOOKUP($B$7,$A$1:$B$3,2,0)</f>
        <v>34.809744000000002</v>
      </c>
      <c r="N41" s="1865">
        <f>Ввод!O23/VLOOKUP($B$7,$A$1:$B$3,2,0)</f>
        <v>42.736448000000003</v>
      </c>
      <c r="O41" s="1865">
        <f>Ввод!P23/VLOOKUP($B$7,$A$1:$B$3,2,0)</f>
        <v>0</v>
      </c>
      <c r="P41" s="302"/>
      <c r="Q41" s="636"/>
      <c r="R41" s="636">
        <f t="shared" si="30"/>
        <v>0</v>
      </c>
      <c r="S41" s="636">
        <f t="shared" si="30"/>
        <v>0</v>
      </c>
      <c r="T41" s="636">
        <f t="shared" si="30"/>
        <v>0</v>
      </c>
      <c r="U41" s="634">
        <f t="shared" si="30"/>
        <v>0</v>
      </c>
      <c r="V41" s="634">
        <f t="shared" si="30"/>
        <v>0</v>
      </c>
      <c r="W41" s="634">
        <f t="shared" si="30"/>
        <v>3.8099888147271187E-2</v>
      </c>
      <c r="X41" s="634">
        <f t="shared" si="31"/>
        <v>7.3005970074585175E-2</v>
      </c>
      <c r="Y41" s="634">
        <f t="shared" si="31"/>
        <v>4.1554702272831041E-2</v>
      </c>
      <c r="Z41" s="634">
        <f t="shared" si="31"/>
        <v>4.5878844339356004E-2</v>
      </c>
      <c r="AA41" s="634" t="e">
        <f t="shared" si="31"/>
        <v>#DIV/0!</v>
      </c>
      <c r="AB41" s="96"/>
    </row>
    <row r="42" spans="1:28" s="367" customFormat="1" ht="26.25" customHeight="1" x14ac:dyDescent="0.25">
      <c r="A42" s="363"/>
      <c r="B42" s="364" t="s">
        <v>486</v>
      </c>
      <c r="C42" s="365"/>
      <c r="D42" s="366"/>
      <c r="E42" s="374"/>
      <c r="F42" s="374">
        <f t="shared" ref="F42:K42" si="37">SUM(F9,F15,F30,F34,F37)</f>
        <v>460.31906500000002</v>
      </c>
      <c r="G42" s="374">
        <f t="shared" si="37"/>
        <v>436.38438099999996</v>
      </c>
      <c r="H42" s="374">
        <f t="shared" si="37"/>
        <v>498.32749400000006</v>
      </c>
      <c r="I42" s="374">
        <f t="shared" si="37"/>
        <v>561.14467999999999</v>
      </c>
      <c r="J42" s="374">
        <f t="shared" si="37"/>
        <v>594.02554300000008</v>
      </c>
      <c r="K42" s="374">
        <f t="shared" si="37"/>
        <v>645.52176386799988</v>
      </c>
      <c r="L42" s="374">
        <f t="shared" ref="L42:O42" si="38">SUM(L9,L15,L30,L34,L37)</f>
        <v>811.266749</v>
      </c>
      <c r="M42" s="374">
        <f t="shared" si="38"/>
        <v>837.68483700000002</v>
      </c>
      <c r="N42" s="374">
        <f t="shared" si="38"/>
        <v>931.50663700000007</v>
      </c>
      <c r="O42" s="374">
        <f t="shared" si="38"/>
        <v>0</v>
      </c>
      <c r="P42" s="300"/>
      <c r="Q42" s="637"/>
      <c r="R42" s="637">
        <f t="shared" ref="R42:W42" si="39">SUM(R9,R15,R30,R34,R37)</f>
        <v>1</v>
      </c>
      <c r="S42" s="637">
        <f t="shared" si="39"/>
        <v>1</v>
      </c>
      <c r="T42" s="637">
        <f t="shared" si="39"/>
        <v>0.99999999999999989</v>
      </c>
      <c r="U42" s="637">
        <f t="shared" si="39"/>
        <v>1</v>
      </c>
      <c r="V42" s="638">
        <f t="shared" si="39"/>
        <v>0.99999999999999989</v>
      </c>
      <c r="W42" s="638">
        <f t="shared" si="39"/>
        <v>1</v>
      </c>
      <c r="X42" s="638">
        <f t="shared" ref="X42:AA42" si="40">SUM(X9,X15,X30,X34,X37)</f>
        <v>1</v>
      </c>
      <c r="Y42" s="638">
        <f t="shared" si="40"/>
        <v>1</v>
      </c>
      <c r="Z42" s="638">
        <f t="shared" si="40"/>
        <v>0.99999999999999989</v>
      </c>
      <c r="AA42" s="638" t="e">
        <f t="shared" si="40"/>
        <v>#DIV/0!</v>
      </c>
      <c r="AB42" s="368"/>
    </row>
    <row r="43" spans="1:28" s="305" customFormat="1" ht="15.75" x14ac:dyDescent="0.25">
      <c r="A43" s="359"/>
      <c r="B43" s="359" t="s">
        <v>488</v>
      </c>
      <c r="C43" s="360"/>
      <c r="D43" s="361"/>
      <c r="E43" s="406">
        <f>Ввод!F24/VLOOKUP($B$7,$A$1:$B$3,2,0)-E42</f>
        <v>0</v>
      </c>
      <c r="F43" s="406">
        <f>Ввод!G24/VLOOKUP($B$7,$A$1:$B$3,2,0)-F42</f>
        <v>-17.971079000000032</v>
      </c>
      <c r="G43" s="406">
        <f>Ввод!H24/VLOOKUP($B$7,$A$1:$B$3,2,0)-G42</f>
        <v>0</v>
      </c>
      <c r="H43" s="406">
        <f>Ввод!I24/VLOOKUP($B$7,$A$1:$B$3,2,0)-H42</f>
        <v>0</v>
      </c>
      <c r="I43" s="406">
        <f>Ввод!J24/VLOOKUP($B$7,$A$1:$B$3,2,0)-I42</f>
        <v>0</v>
      </c>
      <c r="J43" s="406">
        <f>Ввод!K24/VLOOKUP($B$7,$A$1:$B$3,2,0)-J42</f>
        <v>0</v>
      </c>
      <c r="K43" s="406">
        <f>Ввод!L24/VLOOKUP($B$7,$A$1:$B$3,2,0)-K42</f>
        <v>8.0526791320000939</v>
      </c>
      <c r="L43" s="406">
        <f>Ввод!M24/VLOOKUP($B$7,$A$1:$B$3,2,0)-L42</f>
        <v>0</v>
      </c>
      <c r="M43" s="406">
        <f>Ввод!N24/VLOOKUP($B$7,$A$1:$B$3,2,0)-M42</f>
        <v>0</v>
      </c>
      <c r="N43" s="406">
        <f>Ввод!O24/VLOOKUP($B$7,$A$1:$B$3,2,0)-N42</f>
        <v>0</v>
      </c>
      <c r="O43" s="406">
        <f>Ввод!P24/VLOOKUP($B$7,$A$1:$B$3,2,0)-O42</f>
        <v>0</v>
      </c>
      <c r="P43" s="358"/>
      <c r="Q43" s="639"/>
      <c r="R43" s="639"/>
      <c r="S43" s="639"/>
      <c r="T43" s="639"/>
      <c r="U43" s="640"/>
      <c r="V43" s="640"/>
      <c r="W43" s="640"/>
      <c r="X43" s="640"/>
      <c r="Y43" s="640"/>
      <c r="Z43" s="640"/>
      <c r="AA43" s="640"/>
    </row>
    <row r="44" spans="1:28" ht="15" x14ac:dyDescent="0.2">
      <c r="A44" s="349"/>
      <c r="B44" s="349"/>
      <c r="C44" s="350"/>
      <c r="D44" s="351"/>
      <c r="E44" s="373"/>
      <c r="F44" s="373"/>
      <c r="G44" s="373"/>
      <c r="H44" s="373"/>
      <c r="I44" s="373"/>
      <c r="J44" s="373"/>
      <c r="K44" s="373"/>
      <c r="L44" s="373"/>
      <c r="M44" s="373"/>
      <c r="N44" s="373"/>
      <c r="O44" s="373"/>
      <c r="P44" s="302"/>
      <c r="Q44" s="641"/>
      <c r="R44" s="641"/>
      <c r="S44" s="641"/>
      <c r="T44" s="641"/>
      <c r="U44" s="632"/>
      <c r="V44" s="642"/>
      <c r="W44" s="642"/>
      <c r="X44" s="642"/>
      <c r="Y44" s="642"/>
      <c r="Z44" s="642"/>
      <c r="AA44" s="642"/>
    </row>
    <row r="45" spans="1:28" ht="15" x14ac:dyDescent="0.2">
      <c r="A45" s="21"/>
      <c r="B45" s="21"/>
      <c r="C45" s="21"/>
      <c r="D45" s="21"/>
      <c r="E45" s="387" t="s">
        <v>348</v>
      </c>
      <c r="F45" s="387"/>
      <c r="G45" s="387"/>
      <c r="H45" s="387"/>
      <c r="I45" s="387"/>
      <c r="J45" s="387"/>
      <c r="K45" s="387"/>
      <c r="L45" s="387"/>
      <c r="M45" s="387"/>
      <c r="N45" s="387"/>
      <c r="O45" s="387"/>
      <c r="P45" s="21"/>
      <c r="Q45" s="643" t="s">
        <v>17</v>
      </c>
      <c r="R45" s="643"/>
      <c r="S45" s="643"/>
      <c r="T45" s="643"/>
      <c r="U45" s="643"/>
      <c r="V45" s="644"/>
      <c r="W45" s="644"/>
      <c r="X45" s="644"/>
      <c r="Y45" s="644"/>
      <c r="Z45" s="644"/>
      <c r="AA45" s="644"/>
    </row>
    <row r="46" spans="1:28" ht="15" x14ac:dyDescent="0.2">
      <c r="A46" s="341"/>
      <c r="B46" s="341"/>
      <c r="C46" s="341"/>
      <c r="D46" s="341"/>
      <c r="E46" s="301"/>
      <c r="F46" s="301">
        <f t="shared" ref="F46:O46" si="41">F8</f>
        <v>2016</v>
      </c>
      <c r="G46" s="301">
        <f t="shared" si="41"/>
        <v>2017</v>
      </c>
      <c r="H46" s="301">
        <f t="shared" si="41"/>
        <v>2018</v>
      </c>
      <c r="I46" s="301">
        <f t="shared" si="41"/>
        <v>2019</v>
      </c>
      <c r="J46" s="301">
        <f t="shared" si="41"/>
        <v>2020</v>
      </c>
      <c r="K46" s="301">
        <f t="shared" si="41"/>
        <v>2021</v>
      </c>
      <c r="L46" s="301">
        <f t="shared" si="41"/>
        <v>2022</v>
      </c>
      <c r="M46" s="301">
        <f t="shared" si="41"/>
        <v>2023</v>
      </c>
      <c r="N46" s="301">
        <f t="shared" si="41"/>
        <v>2024</v>
      </c>
      <c r="O46" s="301">
        <f t="shared" si="41"/>
        <v>2025</v>
      </c>
      <c r="P46" s="342"/>
      <c r="Q46" s="301"/>
      <c r="R46" s="301">
        <f t="shared" ref="R46:W46" si="42">R8</f>
        <v>2016</v>
      </c>
      <c r="S46" s="301">
        <f t="shared" si="42"/>
        <v>2017</v>
      </c>
      <c r="T46" s="301">
        <f t="shared" si="42"/>
        <v>2018</v>
      </c>
      <c r="U46" s="301">
        <f t="shared" si="42"/>
        <v>2019</v>
      </c>
      <c r="V46" s="301">
        <f t="shared" si="42"/>
        <v>2020</v>
      </c>
      <c r="W46" s="301">
        <f t="shared" si="42"/>
        <v>2021</v>
      </c>
      <c r="X46" s="301">
        <f t="shared" ref="X46:AA46" si="43">X8</f>
        <v>2022</v>
      </c>
      <c r="Y46" s="301">
        <f t="shared" si="43"/>
        <v>2023</v>
      </c>
      <c r="Z46" s="301">
        <f t="shared" si="43"/>
        <v>2024</v>
      </c>
      <c r="AA46" s="301">
        <f t="shared" si="43"/>
        <v>2025</v>
      </c>
    </row>
    <row r="47" spans="1:28" s="2" customFormat="1" ht="15.75" x14ac:dyDescent="0.25">
      <c r="A47" s="343" t="s">
        <v>2</v>
      </c>
      <c r="B47" s="343" t="s">
        <v>809</v>
      </c>
      <c r="C47" s="343"/>
      <c r="D47" s="344"/>
      <c r="E47" s="390"/>
      <c r="F47" s="390">
        <f>Ввод!G26/VLOOKUP($B$7,$A$1:$B$3,2,0)</f>
        <v>0</v>
      </c>
      <c r="G47" s="390">
        <f>Ввод!H26/VLOOKUP($B$7,$A$1:$B$3,2,0)</f>
        <v>0</v>
      </c>
      <c r="H47" s="390">
        <f>Ввод!I26/VLOOKUP($B$7,$A$1:$B$3,2,0)</f>
        <v>0.74206099999999997</v>
      </c>
      <c r="I47" s="390">
        <f>Ввод!J26/VLOOKUP($B$7,$A$1:$B$3,2,0)</f>
        <v>1.5234080000000001</v>
      </c>
      <c r="J47" s="390">
        <f>Ввод!K26/VLOOKUP($B$7,$A$1:$B$3,2,0)</f>
        <v>6.2073340000000004</v>
      </c>
      <c r="K47" s="390">
        <f>Ввод!L26/VLOOKUP($B$7,$A$1:$B$3,2,0)</f>
        <v>1.743193</v>
      </c>
      <c r="L47" s="390">
        <f>Ввод!M26/VLOOKUP($B$7,$A$1:$B$3,2,0)</f>
        <v>2.763779</v>
      </c>
      <c r="M47" s="390">
        <f>Ввод!N26/VLOOKUP($B$7,$A$1:$B$3,2,0)</f>
        <v>10.717397</v>
      </c>
      <c r="N47" s="390">
        <f>Ввод!O26/VLOOKUP($B$7,$A$1:$B$3,2,0)</f>
        <v>3.4438209999999998</v>
      </c>
      <c r="O47" s="390">
        <f>Ввод!P26/VLOOKUP($B$7,$A$1:$B$3,2,0)</f>
        <v>0</v>
      </c>
      <c r="P47" s="390"/>
      <c r="Q47" s="633"/>
      <c r="R47" s="633">
        <f t="shared" ref="R47:R57" si="44">F47/F$90</f>
        <v>0</v>
      </c>
      <c r="S47" s="633">
        <f t="shared" ref="S47:S57" si="45">G47/G$90</f>
        <v>0</v>
      </c>
      <c r="T47" s="633">
        <f t="shared" ref="T47:T57" si="46">H47/H$90</f>
        <v>1.4891030676304606E-3</v>
      </c>
      <c r="U47" s="633">
        <f t="shared" ref="U47:U57" si="47">I47/I$90</f>
        <v>2.7148221382050706E-3</v>
      </c>
      <c r="V47" s="633">
        <f t="shared" ref="V47:V57" si="48">J47/J$90</f>
        <v>1.044960788832611E-2</v>
      </c>
      <c r="W47" s="633">
        <f t="shared" ref="W47:W57" si="49">K47/K$90</f>
        <v>2.667168244826856E-3</v>
      </c>
      <c r="X47" s="633">
        <f t="shared" ref="X47:X57" si="50">L47/L$90</f>
        <v>3.4067450729451752E-3</v>
      </c>
      <c r="Y47" s="633">
        <f t="shared" ref="Y47:Y57" si="51">M47/M$90</f>
        <v>1.2794068277972184E-2</v>
      </c>
      <c r="Z47" s="633">
        <f t="shared" ref="Z47:Z57" si="52">N47/N$90</f>
        <v>3.6970439750071255E-3</v>
      </c>
      <c r="AA47" s="633" t="e">
        <f t="shared" ref="AA47:AA57" si="53">O47/O$90</f>
        <v>#DIV/0!</v>
      </c>
      <c r="AB47" s="14"/>
    </row>
    <row r="48" spans="1:28" ht="15" outlineLevel="1" x14ac:dyDescent="0.2">
      <c r="A48" s="346"/>
      <c r="B48" s="346" t="s">
        <v>4</v>
      </c>
      <c r="C48" s="2208" t="s">
        <v>948</v>
      </c>
      <c r="D48" s="2208"/>
      <c r="E48" s="373"/>
      <c r="F48" s="373">
        <f>Ввод!G624/VLOOKUP($B$7,$A$1:$B$3,2,0)</f>
        <v>0</v>
      </c>
      <c r="G48" s="373">
        <f>Ввод!H624/VLOOKUP($B$7,$A$1:$B$3,2,0)</f>
        <v>0</v>
      </c>
      <c r="H48" s="373">
        <f>Ввод!I624/VLOOKUP($B$7,$A$1:$B$3,2,0)</f>
        <v>0.74206099999999997</v>
      </c>
      <c r="I48" s="373">
        <f>Ввод!J624/VLOOKUP($B$7,$A$1:$B$3,2,0)</f>
        <v>1.5234080000000001</v>
      </c>
      <c r="J48" s="373">
        <f>Ввод!K624/VLOOKUP($B$7,$A$1:$B$3,2,0)</f>
        <v>6.2073340000000004</v>
      </c>
      <c r="K48" s="373">
        <f>Ввод!L624/VLOOKUP($B$7,$A$1:$B$3,2,0)</f>
        <v>1.743193</v>
      </c>
      <c r="L48" s="373">
        <f>Ввод!M624/VLOOKUP($B$7,$A$1:$B$3,2,0)</f>
        <v>2.763779</v>
      </c>
      <c r="M48" s="373">
        <f>Ввод!N624/VLOOKUP($B$7,$A$1:$B$3,2,0)</f>
        <v>10.717397</v>
      </c>
      <c r="N48" s="373">
        <f>Ввод!O624/VLOOKUP($B$7,$A$1:$B$3,2,0)</f>
        <v>3.4438209999999998</v>
      </c>
      <c r="O48" s="373">
        <f>Ввод!P624/VLOOKUP($B$7,$A$1:$B$3,2,0)</f>
        <v>0</v>
      </c>
      <c r="P48" s="373"/>
      <c r="Q48" s="634"/>
      <c r="R48" s="634">
        <f t="shared" si="44"/>
        <v>0</v>
      </c>
      <c r="S48" s="634">
        <f t="shared" si="45"/>
        <v>0</v>
      </c>
      <c r="T48" s="634">
        <f t="shared" si="46"/>
        <v>1.4891030676304606E-3</v>
      </c>
      <c r="U48" s="634">
        <f t="shared" si="47"/>
        <v>2.7148221382050706E-3</v>
      </c>
      <c r="V48" s="634">
        <f t="shared" si="48"/>
        <v>1.044960788832611E-2</v>
      </c>
      <c r="W48" s="634">
        <f t="shared" si="49"/>
        <v>2.667168244826856E-3</v>
      </c>
      <c r="X48" s="634">
        <f t="shared" si="50"/>
        <v>3.4067450729451752E-3</v>
      </c>
      <c r="Y48" s="634">
        <f t="shared" si="51"/>
        <v>1.2794068277972184E-2</v>
      </c>
      <c r="Z48" s="634">
        <f t="shared" si="52"/>
        <v>3.6970439750071255E-3</v>
      </c>
      <c r="AA48" s="634" t="e">
        <f t="shared" si="53"/>
        <v>#DIV/0!</v>
      </c>
      <c r="AB48" s="7"/>
    </row>
    <row r="49" spans="1:28" ht="15" outlineLevel="1" x14ac:dyDescent="0.2">
      <c r="A49" s="346"/>
      <c r="B49" s="346" t="s">
        <v>5</v>
      </c>
      <c r="C49" s="2209" t="s">
        <v>949</v>
      </c>
      <c r="D49" s="2209"/>
      <c r="E49" s="373"/>
      <c r="F49" s="373">
        <f>Ввод!G625/VLOOKUP($B$7,$A$1:$B$3,2,0)</f>
        <v>0</v>
      </c>
      <c r="G49" s="373">
        <f>Ввод!H625/VLOOKUP($B$7,$A$1:$B$3,2,0)</f>
        <v>0</v>
      </c>
      <c r="H49" s="373">
        <f>Ввод!I625/VLOOKUP($B$7,$A$1:$B$3,2,0)</f>
        <v>0</v>
      </c>
      <c r="I49" s="373">
        <f>Ввод!J625/VLOOKUP($B$7,$A$1:$B$3,2,0)</f>
        <v>0</v>
      </c>
      <c r="J49" s="373">
        <f>Ввод!K625/VLOOKUP($B$7,$A$1:$B$3,2,0)</f>
        <v>0</v>
      </c>
      <c r="K49" s="373">
        <f>Ввод!L625/VLOOKUP($B$7,$A$1:$B$3,2,0)</f>
        <v>0</v>
      </c>
      <c r="L49" s="373">
        <f>Ввод!M625/VLOOKUP($B$7,$A$1:$B$3,2,0)</f>
        <v>0</v>
      </c>
      <c r="M49" s="373">
        <f>Ввод!N625/VLOOKUP($B$7,$A$1:$B$3,2,0)</f>
        <v>0</v>
      </c>
      <c r="N49" s="373">
        <f>Ввод!O625/VLOOKUP($B$7,$A$1:$B$3,2,0)</f>
        <v>0</v>
      </c>
      <c r="O49" s="373">
        <f>Ввод!P625/VLOOKUP($B$7,$A$1:$B$3,2,0)</f>
        <v>0</v>
      </c>
      <c r="P49" s="373"/>
      <c r="Q49" s="634"/>
      <c r="R49" s="634">
        <f t="shared" si="44"/>
        <v>0</v>
      </c>
      <c r="S49" s="634">
        <f t="shared" si="45"/>
        <v>0</v>
      </c>
      <c r="T49" s="634">
        <f t="shared" si="46"/>
        <v>0</v>
      </c>
      <c r="U49" s="634">
        <f t="shared" si="47"/>
        <v>0</v>
      </c>
      <c r="V49" s="634">
        <f t="shared" si="48"/>
        <v>0</v>
      </c>
      <c r="W49" s="634">
        <f t="shared" si="49"/>
        <v>0</v>
      </c>
      <c r="X49" s="634">
        <f t="shared" si="50"/>
        <v>0</v>
      </c>
      <c r="Y49" s="634">
        <f t="shared" si="51"/>
        <v>0</v>
      </c>
      <c r="Z49" s="634">
        <f t="shared" si="52"/>
        <v>0</v>
      </c>
      <c r="AA49" s="634" t="e">
        <f t="shared" si="53"/>
        <v>#DIV/0!</v>
      </c>
      <c r="AB49" s="7"/>
    </row>
    <row r="50" spans="1:28" s="2" customFormat="1" ht="15.75" x14ac:dyDescent="0.25">
      <c r="A50" s="343" t="s">
        <v>15</v>
      </c>
      <c r="B50" s="343" t="str">
        <f>Ввод!E631</f>
        <v>Средства кредитных организаций</v>
      </c>
      <c r="C50" s="343"/>
      <c r="D50" s="344"/>
      <c r="E50" s="390"/>
      <c r="F50" s="390">
        <f>Ввод!G28/VLOOKUP($B$7,$A$1:$B$3,2,0)</f>
        <v>9.090401</v>
      </c>
      <c r="G50" s="390">
        <f>Ввод!H28/VLOOKUP($B$7,$A$1:$B$3,2,0)</f>
        <v>12.780993</v>
      </c>
      <c r="H50" s="390">
        <f>Ввод!I28/VLOOKUP($B$7,$A$1:$B$3,2,0)</f>
        <v>1.3406659999999999</v>
      </c>
      <c r="I50" s="390">
        <f>Ввод!J28/VLOOKUP($B$7,$A$1:$B$3,2,0)</f>
        <v>4.8497370000000002</v>
      </c>
      <c r="J50" s="390">
        <f>Ввод!K28/VLOOKUP($B$7,$A$1:$B$3,2,0)</f>
        <v>3.9120680000000001</v>
      </c>
      <c r="K50" s="390">
        <f>Ввод!L28/VLOOKUP($B$7,$A$1:$B$3,2,0)</f>
        <v>2.6534230000000001</v>
      </c>
      <c r="L50" s="390">
        <f>Ввод!M28/VLOOKUP($B$7,$A$1:$B$3,2,0)</f>
        <v>9.7802120000000006</v>
      </c>
      <c r="M50" s="390">
        <f>Ввод!N28/VLOOKUP($B$7,$A$1:$B$3,2,0)</f>
        <v>56.180218000000004</v>
      </c>
      <c r="N50" s="390">
        <f>Ввод!O28/VLOOKUP($B$7,$A$1:$B$3,2,0)</f>
        <v>123.148633</v>
      </c>
      <c r="O50" s="390">
        <f>Ввод!P28/VLOOKUP($B$7,$A$1:$B$3,2,0)</f>
        <v>0</v>
      </c>
      <c r="P50" s="390"/>
      <c r="Q50" s="633"/>
      <c r="R50" s="633">
        <f t="shared" si="44"/>
        <v>2.0550338845670701E-2</v>
      </c>
      <c r="S50" s="633">
        <f t="shared" si="45"/>
        <v>2.92883832613615E-2</v>
      </c>
      <c r="T50" s="633">
        <f t="shared" si="46"/>
        <v>2.6903311901149084E-3</v>
      </c>
      <c r="U50" s="633">
        <f t="shared" si="47"/>
        <v>8.6425785948821623E-3</v>
      </c>
      <c r="V50" s="633">
        <f t="shared" si="48"/>
        <v>6.5856898682217111E-3</v>
      </c>
      <c r="W50" s="633">
        <f t="shared" si="49"/>
        <v>4.0598634607259274E-3</v>
      </c>
      <c r="X50" s="633">
        <f t="shared" si="50"/>
        <v>1.205548238240441E-2</v>
      </c>
      <c r="Y50" s="633">
        <f t="shared" si="51"/>
        <v>6.7066055774864172E-2</v>
      </c>
      <c r="Z50" s="633">
        <f t="shared" si="52"/>
        <v>0.13220370967684258</v>
      </c>
      <c r="AA50" s="633" t="e">
        <f t="shared" si="53"/>
        <v>#DIV/0!</v>
      </c>
      <c r="AB50" s="14"/>
    </row>
    <row r="51" spans="1:28" ht="15" outlineLevel="1" x14ac:dyDescent="0.2">
      <c r="A51" s="346"/>
      <c r="B51" s="346" t="s">
        <v>6</v>
      </c>
      <c r="C51" s="2208" t="s">
        <v>950</v>
      </c>
      <c r="D51" s="2208"/>
      <c r="E51" s="373"/>
      <c r="F51" s="373">
        <f>Ввод!G633/VLOOKUP($B$7,$A$1:$B$3,2,0)</f>
        <v>8.1314999999999998E-2</v>
      </c>
      <c r="G51" s="373">
        <f>Ввод!H633/VLOOKUP($B$7,$A$1:$B$3,2,0)</f>
        <v>1.0998000000000001E-2</v>
      </c>
      <c r="H51" s="373">
        <f>Ввод!I633/VLOOKUP($B$7,$A$1:$B$3,2,0)</f>
        <v>7.8530000000000006E-3</v>
      </c>
      <c r="I51" s="373">
        <f>Ввод!J633/VLOOKUP($B$7,$A$1:$B$3,2,0)</f>
        <v>0.65812501190999995</v>
      </c>
      <c r="J51" s="373">
        <f>Ввод!K633/VLOOKUP($B$7,$A$1:$B$3,2,0)</f>
        <v>0.73048199999999996</v>
      </c>
      <c r="K51" s="373">
        <f>Ввод!L633/VLOOKUP($B$7,$A$1:$B$3,2,0)</f>
        <v>1.0396000000000001E-2</v>
      </c>
      <c r="L51" s="373">
        <f>Ввод!M633/VLOOKUP($B$7,$A$1:$B$3,2,0)</f>
        <v>3.8318499999999998E-2</v>
      </c>
      <c r="M51" s="373">
        <f>Ввод!N633/VLOOKUP($B$7,$A$1:$B$3,2,0)</f>
        <v>4.7937909999999997</v>
      </c>
      <c r="N51" s="373">
        <f>Ввод!O633/VLOOKUP($B$7,$A$1:$B$3,2,0)</f>
        <v>0.48249167744119448</v>
      </c>
      <c r="O51" s="373">
        <f>Ввод!P633/VLOOKUP($B$7,$A$1:$B$3,2,0)</f>
        <v>0</v>
      </c>
      <c r="P51" s="373"/>
      <c r="Q51" s="634"/>
      <c r="R51" s="634">
        <f t="shared" si="44"/>
        <v>1.8382586238337707E-4</v>
      </c>
      <c r="S51" s="634">
        <f t="shared" si="45"/>
        <v>2.5202551875934349E-5</v>
      </c>
      <c r="T51" s="634">
        <f t="shared" si="46"/>
        <v>1.5758713084371781E-5</v>
      </c>
      <c r="U51" s="634">
        <f t="shared" si="47"/>
        <v>1.1728258956495853E-3</v>
      </c>
      <c r="V51" s="634">
        <f t="shared" si="48"/>
        <v>1.2297147969611805E-3</v>
      </c>
      <c r="W51" s="634">
        <f t="shared" si="49"/>
        <v>1.5906374723406987E-5</v>
      </c>
      <c r="X51" s="634">
        <f t="shared" si="50"/>
        <v>4.7232923138083646E-5</v>
      </c>
      <c r="Y51" s="634">
        <f t="shared" si="51"/>
        <v>5.7226665546054279E-3</v>
      </c>
      <c r="Z51" s="634">
        <f t="shared" si="52"/>
        <v>5.179691247236862E-4</v>
      </c>
      <c r="AA51" s="634" t="e">
        <f t="shared" si="53"/>
        <v>#DIV/0!</v>
      </c>
      <c r="AB51" s="7"/>
    </row>
    <row r="52" spans="1:28" ht="15" outlineLevel="1" x14ac:dyDescent="0.2">
      <c r="A52" s="346"/>
      <c r="B52" s="346" t="s">
        <v>7</v>
      </c>
      <c r="C52" s="2208" t="s">
        <v>948</v>
      </c>
      <c r="D52" s="2208"/>
      <c r="E52" s="373"/>
      <c r="F52" s="373">
        <f>Ввод!G634/VLOOKUP($B$7,$A$1:$B$3,2,0)</f>
        <v>3.727595</v>
      </c>
      <c r="G52" s="373">
        <f>Ввод!H634/VLOOKUP($B$7,$A$1:$B$3,2,0)</f>
        <v>0.13170799999999999</v>
      </c>
      <c r="H52" s="373">
        <f>Ввод!I634/VLOOKUP($B$7,$A$1:$B$3,2,0)</f>
        <v>0.24862899999999999</v>
      </c>
      <c r="I52" s="373">
        <f>Ввод!J634/VLOOKUP($B$7,$A$1:$B$3,2,0)</f>
        <v>1.0999139880900002</v>
      </c>
      <c r="J52" s="373">
        <f>Ввод!K634/VLOOKUP($B$7,$A$1:$B$3,2,0)</f>
        <v>1.1071629999999999</v>
      </c>
      <c r="K52" s="373">
        <f>Ввод!L634/VLOOKUP($B$7,$A$1:$B$3,2,0)</f>
        <v>2.643027</v>
      </c>
      <c r="L52" s="373">
        <f>Ввод!M634/VLOOKUP($B$7,$A$1:$B$3,2,0)</f>
        <v>9.7418934999999998</v>
      </c>
      <c r="M52" s="373">
        <f>Ввод!N634/VLOOKUP($B$7,$A$1:$B$3,2,0)</f>
        <v>51.386426999999998</v>
      </c>
      <c r="N52" s="373">
        <f>Ввод!O634/VLOOKUP($B$7,$A$1:$B$3,2,0)</f>
        <v>122.6661413225588</v>
      </c>
      <c r="O52" s="373">
        <f>Ввод!P634/VLOOKUP($B$7,$A$1:$B$3,2,0)</f>
        <v>0</v>
      </c>
      <c r="P52" s="373"/>
      <c r="Q52" s="634"/>
      <c r="R52" s="634">
        <f t="shared" si="44"/>
        <v>8.4268384122359267E-3</v>
      </c>
      <c r="S52" s="634">
        <f t="shared" si="45"/>
        <v>3.0181648504051291E-4</v>
      </c>
      <c r="T52" s="634">
        <f t="shared" si="46"/>
        <v>4.989269165228921E-4</v>
      </c>
      <c r="U52" s="634">
        <f t="shared" si="47"/>
        <v>1.9601254850888012E-3</v>
      </c>
      <c r="V52" s="634">
        <f t="shared" si="48"/>
        <v>1.8638306265560704E-3</v>
      </c>
      <c r="W52" s="634">
        <f t="shared" si="49"/>
        <v>4.0439570860025201E-3</v>
      </c>
      <c r="X52" s="634">
        <f t="shared" si="50"/>
        <v>1.2008249459266325E-2</v>
      </c>
      <c r="Y52" s="634">
        <f t="shared" si="51"/>
        <v>6.1343389220258733E-2</v>
      </c>
      <c r="Z52" s="634">
        <f t="shared" si="52"/>
        <v>0.1316857405521189</v>
      </c>
      <c r="AA52" s="634" t="e">
        <f t="shared" si="53"/>
        <v>#DIV/0!</v>
      </c>
      <c r="AB52" s="7"/>
    </row>
    <row r="53" spans="1:28" ht="15" outlineLevel="1" x14ac:dyDescent="0.2">
      <c r="A53" s="346"/>
      <c r="B53" s="346" t="s">
        <v>9</v>
      </c>
      <c r="C53" s="2208" t="s">
        <v>949</v>
      </c>
      <c r="D53" s="2208"/>
      <c r="E53" s="373"/>
      <c r="F53" s="373">
        <f>Ввод!G635/VLOOKUP($B$7,$A$1:$B$3,2,0)</f>
        <v>5.2814909999999999</v>
      </c>
      <c r="G53" s="373">
        <f>Ввод!H635/VLOOKUP($B$7,$A$1:$B$3,2,0)</f>
        <v>12.638287</v>
      </c>
      <c r="H53" s="373">
        <f>Ввод!I635/VLOOKUP($B$7,$A$1:$B$3,2,0)</f>
        <v>1.084184</v>
      </c>
      <c r="I53" s="373">
        <f>Ввод!J635/VLOOKUP($B$7,$A$1:$B$3,2,0)</f>
        <v>3.0916980000000001</v>
      </c>
      <c r="J53" s="373">
        <f>Ввод!K635/VLOOKUP($B$7,$A$1:$B$3,2,0)</f>
        <v>2.0744229999999999</v>
      </c>
      <c r="K53" s="373">
        <f>Ввод!L635/VLOOKUP($B$7,$A$1:$B$3,2,0)</f>
        <v>0</v>
      </c>
      <c r="L53" s="373">
        <f>Ввод!M635/VLOOKUP($B$7,$A$1:$B$3,2,0)</f>
        <v>0</v>
      </c>
      <c r="M53" s="373">
        <f>Ввод!N635/VLOOKUP($B$7,$A$1:$B$3,2,0)</f>
        <v>0</v>
      </c>
      <c r="N53" s="373">
        <f>Ввод!O635/VLOOKUP($B$7,$A$1:$B$3,2,0)</f>
        <v>0</v>
      </c>
      <c r="O53" s="373">
        <f>Ввод!P635/VLOOKUP($B$7,$A$1:$B$3,2,0)</f>
        <v>0</v>
      </c>
      <c r="P53" s="373"/>
      <c r="Q53" s="634"/>
      <c r="R53" s="634">
        <f t="shared" si="44"/>
        <v>1.1939674571051398E-2</v>
      </c>
      <c r="S53" s="634">
        <f t="shared" si="45"/>
        <v>2.8961364224445053E-2</v>
      </c>
      <c r="T53" s="634">
        <f t="shared" si="46"/>
        <v>2.175645560507645E-3</v>
      </c>
      <c r="U53" s="634">
        <f t="shared" si="47"/>
        <v>5.5096272141437752E-3</v>
      </c>
      <c r="V53" s="634">
        <f t="shared" si="48"/>
        <v>3.4921444447044594E-3</v>
      </c>
      <c r="W53" s="634">
        <f t="shared" si="49"/>
        <v>0</v>
      </c>
      <c r="X53" s="634">
        <f t="shared" si="50"/>
        <v>0</v>
      </c>
      <c r="Y53" s="634">
        <f t="shared" si="51"/>
        <v>0</v>
      </c>
      <c r="Z53" s="634">
        <f t="shared" si="52"/>
        <v>0</v>
      </c>
      <c r="AA53" s="634" t="e">
        <f t="shared" si="53"/>
        <v>#DIV/0!</v>
      </c>
      <c r="AB53" s="7"/>
    </row>
    <row r="54" spans="1:28" s="2" customFormat="1" ht="15.75" x14ac:dyDescent="0.25">
      <c r="A54" s="343" t="s">
        <v>16</v>
      </c>
      <c r="B54" s="343" t="str">
        <f>МСФО_ввод!D29</f>
        <v>Средства клиентов</v>
      </c>
      <c r="C54" s="343"/>
      <c r="D54" s="344"/>
      <c r="E54" s="390"/>
      <c r="F54" s="390">
        <f>Ввод!G29/VLOOKUP($B$7,$A$1:$B$3,2,0)</f>
        <v>321.09646700000002</v>
      </c>
      <c r="G54" s="390">
        <f>Ввод!H29/VLOOKUP($B$7,$A$1:$B$3,2,0)</f>
        <v>346.024092</v>
      </c>
      <c r="H54" s="390">
        <f>Ввод!I29/VLOOKUP($B$7,$A$1:$B$3,2,0)</f>
        <v>402.94397800000002</v>
      </c>
      <c r="I54" s="390">
        <f>Ввод!J29/VLOOKUP($B$7,$A$1:$B$3,2,0)</f>
        <v>476.48193199999997</v>
      </c>
      <c r="J54" s="390">
        <f>Ввод!K29/VLOOKUP($B$7,$A$1:$B$3,2,0)</f>
        <v>501.68336799999997</v>
      </c>
      <c r="K54" s="390">
        <f>Ввод!L29/VLOOKUP($B$7,$A$1:$B$3,2,0)</f>
        <v>562.02718300000004</v>
      </c>
      <c r="L54" s="390">
        <f>Ввод!M29/VLOOKUP($B$7,$A$1:$B$3,2,0)</f>
        <v>706.47825699999999</v>
      </c>
      <c r="M54" s="390">
        <f>Ввод!N29/VLOOKUP($B$7,$A$1:$B$3,2,0)</f>
        <v>661.59622899999999</v>
      </c>
      <c r="N54" s="390">
        <f>Ввод!O29/VLOOKUP($B$7,$A$1:$B$3,2,0)</f>
        <v>665.39997800000003</v>
      </c>
      <c r="O54" s="390">
        <f>Ввод!P29/VLOOKUP($B$7,$A$1:$B$3,2,0)</f>
        <v>0</v>
      </c>
      <c r="P54" s="390"/>
      <c r="Q54" s="633"/>
      <c r="R54" s="633">
        <f t="shared" si="44"/>
        <v>0.72589110194343698</v>
      </c>
      <c r="S54" s="633">
        <f t="shared" si="45"/>
        <v>0.79293418157420259</v>
      </c>
      <c r="T54" s="633">
        <f t="shared" si="46"/>
        <v>0.80859270831241759</v>
      </c>
      <c r="U54" s="633">
        <f t="shared" si="47"/>
        <v>0.84912492086711033</v>
      </c>
      <c r="V54" s="633">
        <f t="shared" si="48"/>
        <v>0.84454847760645879</v>
      </c>
      <c r="W54" s="633">
        <f t="shared" si="49"/>
        <v>0.85992833566168081</v>
      </c>
      <c r="X54" s="633">
        <f t="shared" si="50"/>
        <v>0.87083349326326198</v>
      </c>
      <c r="Y54" s="633">
        <f t="shared" si="51"/>
        <v>0.78979133891139064</v>
      </c>
      <c r="Z54" s="633">
        <f t="shared" si="52"/>
        <v>0.71432660978453122</v>
      </c>
      <c r="AA54" s="633" t="e">
        <f t="shared" si="53"/>
        <v>#DIV/0!</v>
      </c>
      <c r="AB54" s="14"/>
    </row>
    <row r="55" spans="1:28" ht="15" x14ac:dyDescent="0.2">
      <c r="A55" s="346"/>
      <c r="B55" s="346" t="s">
        <v>10</v>
      </c>
      <c r="C55" s="2208" t="s">
        <v>61</v>
      </c>
      <c r="D55" s="2208"/>
      <c r="E55" s="373"/>
      <c r="F55" s="373">
        <f>SUM(F56:F58)</f>
        <v>215.10463900000002</v>
      </c>
      <c r="G55" s="373">
        <f t="shared" ref="G55:O55" si="54">SUM(G56:G58)</f>
        <v>237.77631299999999</v>
      </c>
      <c r="H55" s="373">
        <f t="shared" si="54"/>
        <v>290.41149300000001</v>
      </c>
      <c r="I55" s="373">
        <f t="shared" si="54"/>
        <v>352.97402400000004</v>
      </c>
      <c r="J55" s="373">
        <f t="shared" si="54"/>
        <v>377.24368300000003</v>
      </c>
      <c r="K55" s="373">
        <f t="shared" si="54"/>
        <v>442.96951100000001</v>
      </c>
      <c r="L55" s="373">
        <f t="shared" si="54"/>
        <v>554.05636199999992</v>
      </c>
      <c r="M55" s="373">
        <f t="shared" si="54"/>
        <v>508.63369699999998</v>
      </c>
      <c r="N55" s="373">
        <f t="shared" si="54"/>
        <v>516.45298400000001</v>
      </c>
      <c r="O55" s="373">
        <f t="shared" si="54"/>
        <v>0</v>
      </c>
      <c r="P55" s="373"/>
      <c r="Q55" s="634"/>
      <c r="R55" s="634">
        <f t="shared" si="44"/>
        <v>0.48627923220611208</v>
      </c>
      <c r="S55" s="634">
        <f t="shared" si="45"/>
        <v>0.54487814723139683</v>
      </c>
      <c r="T55" s="634">
        <f t="shared" si="46"/>
        <v>0.58277236655940967</v>
      </c>
      <c r="U55" s="634">
        <f t="shared" si="47"/>
        <v>0.62902498514286909</v>
      </c>
      <c r="V55" s="634">
        <f t="shared" si="48"/>
        <v>0.63506306663988021</v>
      </c>
      <c r="W55" s="634">
        <f t="shared" si="49"/>
        <v>0.67776443180168844</v>
      </c>
      <c r="X55" s="634">
        <f t="shared" si="50"/>
        <v>0.68295213958041801</v>
      </c>
      <c r="Y55" s="634">
        <f t="shared" si="51"/>
        <v>0.60718980997861849</v>
      </c>
      <c r="Z55" s="634">
        <f t="shared" si="52"/>
        <v>0.5544275944863718</v>
      </c>
      <c r="AA55" s="634" t="e">
        <f t="shared" si="53"/>
        <v>#DIV/0!</v>
      </c>
      <c r="AB55" s="7"/>
    </row>
    <row r="56" spans="1:28" s="71" customFormat="1" outlineLevel="1" x14ac:dyDescent="0.2">
      <c r="A56" s="369"/>
      <c r="B56" s="369"/>
      <c r="C56" s="370"/>
      <c r="D56" s="371" t="s">
        <v>501</v>
      </c>
      <c r="E56" s="405"/>
      <c r="F56" s="405">
        <f>Ввод!G645/VLOOKUP($B$7,$A$1:$B$3,2,0)</f>
        <v>48.905540000000002</v>
      </c>
      <c r="G56" s="405">
        <f>Ввод!H645/VLOOKUP($B$7,$A$1:$B$3,2,0)</f>
        <v>48.537858999999997</v>
      </c>
      <c r="H56" s="405">
        <f>Ввод!I645/VLOOKUP($B$7,$A$1:$B$3,2,0)</f>
        <v>53.547758999999999</v>
      </c>
      <c r="I56" s="405">
        <f>Ввод!J645/VLOOKUP($B$7,$A$1:$B$3,2,0)</f>
        <v>58.969372999999997</v>
      </c>
      <c r="J56" s="405">
        <f>Ввод!K645/VLOOKUP($B$7,$A$1:$B$3,2,0)</f>
        <v>76.929614000000001</v>
      </c>
      <c r="K56" s="405">
        <f>Ввод!L645/VLOOKUP($B$7,$A$1:$B$3,2,0)</f>
        <v>61.113154000000002</v>
      </c>
      <c r="L56" s="405">
        <f>Ввод!M645/VLOOKUP($B$7,$A$1:$B$3,2,0)</f>
        <v>102.50042696999999</v>
      </c>
      <c r="M56" s="405">
        <f>Ввод!N645/VLOOKUP($B$7,$A$1:$B$3,2,0)</f>
        <v>117.45781700000001</v>
      </c>
      <c r="N56" s="405">
        <f>Ввод!O645/VLOOKUP($B$7,$A$1:$B$3,2,0)</f>
        <v>129.113246</v>
      </c>
      <c r="O56" s="405">
        <f>Ввод!P645/VLOOKUP($B$7,$A$1:$B$3,2,0)</f>
        <v>0</v>
      </c>
      <c r="P56" s="405"/>
      <c r="Q56" s="635"/>
      <c r="R56" s="635">
        <f t="shared" si="44"/>
        <v>0.11055897516847743</v>
      </c>
      <c r="S56" s="635">
        <f t="shared" si="45"/>
        <v>0.1112273058187204</v>
      </c>
      <c r="T56" s="635">
        <f t="shared" si="46"/>
        <v>0.10745495611767308</v>
      </c>
      <c r="U56" s="635">
        <f t="shared" si="47"/>
        <v>0.10508764513280247</v>
      </c>
      <c r="V56" s="635">
        <f t="shared" si="48"/>
        <v>0.12950556572278576</v>
      </c>
      <c r="W56" s="635">
        <f t="shared" si="49"/>
        <v>9.3506033864301522E-2</v>
      </c>
      <c r="X56" s="635">
        <f t="shared" si="50"/>
        <v>0.12634614582237733</v>
      </c>
      <c r="Y56" s="635">
        <f t="shared" si="51"/>
        <v>0.14021719364128826</v>
      </c>
      <c r="Z56" s="635">
        <f t="shared" si="52"/>
        <v>0.13860689862159295</v>
      </c>
      <c r="AA56" s="635" t="e">
        <f t="shared" si="53"/>
        <v>#DIV/0!</v>
      </c>
      <c r="AB56" s="233"/>
    </row>
    <row r="57" spans="1:28" s="71" customFormat="1" outlineLevel="1" x14ac:dyDescent="0.2">
      <c r="A57" s="369"/>
      <c r="B57" s="369"/>
      <c r="C57" s="370"/>
      <c r="D57" s="371" t="s">
        <v>502</v>
      </c>
      <c r="E57" s="405"/>
      <c r="F57" s="405">
        <f>Ввод!G646/VLOOKUP($B$7,$A$1:$B$3,2,0)</f>
        <v>161.95261600000001</v>
      </c>
      <c r="G57" s="405">
        <f>Ввод!H646/VLOOKUP($B$7,$A$1:$B$3,2,0)</f>
        <v>189.23845399999999</v>
      </c>
      <c r="H57" s="405">
        <f>Ввод!I646/VLOOKUP($B$7,$A$1:$B$3,2,0)</f>
        <v>236.86373399999999</v>
      </c>
      <c r="I57" s="405">
        <f>Ввод!J646/VLOOKUP($B$7,$A$1:$B$3,2,0)</f>
        <v>294.00465100000002</v>
      </c>
      <c r="J57" s="405">
        <f>Ввод!K646/VLOOKUP($B$7,$A$1:$B$3,2,0)</f>
        <v>300.31406900000002</v>
      </c>
      <c r="K57" s="405">
        <f>Ввод!L646/VLOOKUP($B$7,$A$1:$B$3,2,0)</f>
        <v>381.856357</v>
      </c>
      <c r="L57" s="405">
        <f>Ввод!M646/VLOOKUP($B$7,$A$1:$B$3,2,0)</f>
        <v>451.55593502999994</v>
      </c>
      <c r="M57" s="405">
        <f>Ввод!N646/VLOOKUP($B$7,$A$1:$B$3,2,0)</f>
        <v>391.17588000000001</v>
      </c>
      <c r="N57" s="405">
        <f>Ввод!O646/VLOOKUP($B$7,$A$1:$B$3,2,0)</f>
        <v>387.33973800000001</v>
      </c>
      <c r="O57" s="405">
        <f>Ввод!P646/VLOOKUP($B$7,$A$1:$B$3,2,0)</f>
        <v>0</v>
      </c>
      <c r="P57" s="405"/>
      <c r="Q57" s="635"/>
      <c r="R57" s="635">
        <f t="shared" si="44"/>
        <v>0.36612038740015879</v>
      </c>
      <c r="S57" s="635">
        <f t="shared" si="45"/>
        <v>0.43365084141267646</v>
      </c>
      <c r="T57" s="635">
        <f t="shared" si="46"/>
        <v>0.47531741044173653</v>
      </c>
      <c r="U57" s="635">
        <f t="shared" si="47"/>
        <v>0.52393734001006664</v>
      </c>
      <c r="V57" s="635">
        <f t="shared" si="48"/>
        <v>0.5055575009170945</v>
      </c>
      <c r="W57" s="635">
        <f t="shared" si="49"/>
        <v>0.58425839793738699</v>
      </c>
      <c r="X57" s="635">
        <f t="shared" si="50"/>
        <v>0.55660599375804065</v>
      </c>
      <c r="Y57" s="635">
        <f t="shared" si="51"/>
        <v>0.46697261633733023</v>
      </c>
      <c r="Z57" s="635">
        <f t="shared" si="52"/>
        <v>0.41582069586477888</v>
      </c>
      <c r="AA57" s="635" t="e">
        <f t="shared" si="53"/>
        <v>#DIV/0!</v>
      </c>
      <c r="AB57" s="233"/>
    </row>
    <row r="58" spans="1:28" s="71" customFormat="1" outlineLevel="1" x14ac:dyDescent="0.2">
      <c r="A58" s="369"/>
      <c r="B58" s="369"/>
      <c r="C58" s="370"/>
      <c r="D58" s="371" t="s">
        <v>949</v>
      </c>
      <c r="E58" s="405"/>
      <c r="F58" s="405">
        <f>Ввод!G647/VLOOKUP($B$7,$A$1:$B$3,2,0)</f>
        <v>4.2464829999999996</v>
      </c>
      <c r="G58" s="405">
        <f>Ввод!H647/VLOOKUP($B$7,$A$1:$B$3,2,0)</f>
        <v>0</v>
      </c>
      <c r="H58" s="405">
        <f>Ввод!I647/VLOOKUP($B$7,$A$1:$B$3,2,0)</f>
        <v>0</v>
      </c>
      <c r="I58" s="405">
        <f>Ввод!J647/VLOOKUP($B$7,$A$1:$B$3,2,0)</f>
        <v>0</v>
      </c>
      <c r="J58" s="405">
        <f>Ввод!K647/VLOOKUP($B$7,$A$1:$B$3,2,0)</f>
        <v>0</v>
      </c>
      <c r="K58" s="405">
        <f>Ввод!L647/VLOOKUP($B$7,$A$1:$B$3,2,0)</f>
        <v>0</v>
      </c>
      <c r="L58" s="405">
        <f>Ввод!M647/VLOOKUP($B$7,$A$1:$B$3,2,0)</f>
        <v>0</v>
      </c>
      <c r="M58" s="405">
        <f>Ввод!N647/VLOOKUP($B$7,$A$1:$B$3,2,0)</f>
        <v>0</v>
      </c>
      <c r="N58" s="405">
        <f>Ввод!O647/VLOOKUP($B$7,$A$1:$B$3,2,0)</f>
        <v>0</v>
      </c>
      <c r="O58" s="405">
        <f>Ввод!P647/VLOOKUP($B$7,$A$1:$B$3,2,0)</f>
        <v>0</v>
      </c>
      <c r="P58" s="405"/>
      <c r="Q58" s="635"/>
      <c r="R58" s="635"/>
      <c r="S58" s="635"/>
      <c r="T58" s="635"/>
      <c r="U58" s="635"/>
      <c r="V58" s="635"/>
      <c r="W58" s="635"/>
      <c r="X58" s="635"/>
      <c r="Y58" s="635"/>
      <c r="Z58" s="635"/>
      <c r="AA58" s="635"/>
      <c r="AB58" s="233"/>
    </row>
    <row r="59" spans="1:28" ht="15" x14ac:dyDescent="0.2">
      <c r="A59" s="346"/>
      <c r="B59" s="346" t="s">
        <v>11</v>
      </c>
      <c r="C59" s="2208" t="s">
        <v>62</v>
      </c>
      <c r="D59" s="2208"/>
      <c r="E59" s="373"/>
      <c r="F59" s="373">
        <f>Ввод!G30/VLOOKUP($B$7,$A$1:$B$3,2,0)</f>
        <v>107.992639</v>
      </c>
      <c r="G59" s="373">
        <f>Ввод!H30/VLOOKUP($B$7,$A$1:$B$3,2,0)</f>
        <v>110.02883300000001</v>
      </c>
      <c r="H59" s="373">
        <f>Ввод!I30/VLOOKUP($B$7,$A$1:$B$3,2,0)</f>
        <v>114.448382</v>
      </c>
      <c r="I59" s="373">
        <f>Ввод!J30/VLOOKUP($B$7,$A$1:$B$3,2,0)</f>
        <v>124.289828</v>
      </c>
      <c r="J59" s="373">
        <f>Ввод!K30/VLOOKUP($B$7,$A$1:$B$3,2,0)</f>
        <v>127.642669</v>
      </c>
      <c r="K59" s="373">
        <f>Ввод!L30/VLOOKUP($B$7,$A$1:$B$3,2,0)</f>
        <v>119.057672</v>
      </c>
      <c r="L59" s="373">
        <f>Ввод!M30/VLOOKUP($B$7,$A$1:$B$3,2,0)</f>
        <v>152.42189500000001</v>
      </c>
      <c r="M59" s="373">
        <f>Ввод!N30/VLOOKUP($B$7,$A$1:$B$3,2,0)</f>
        <v>152.96253200000001</v>
      </c>
      <c r="N59" s="373">
        <f>Ввод!O30/VLOOKUP($B$7,$A$1:$B$3,2,0)</f>
        <v>148.94699399999999</v>
      </c>
      <c r="O59" s="373">
        <f>Ввод!P30/VLOOKUP($B$7,$A$1:$B$3,2,0)</f>
        <v>0</v>
      </c>
      <c r="P59" s="373"/>
      <c r="Q59" s="634"/>
      <c r="R59" s="634">
        <f t="shared" ref="R59:R89" si="55">F59/F$90</f>
        <v>0.24413503037854908</v>
      </c>
      <c r="S59" s="634">
        <f t="shared" ref="S59:S89" si="56">G59/G$90</f>
        <v>0.25213742239780118</v>
      </c>
      <c r="T59" s="634">
        <f t="shared" ref="T59:T89" si="57">H59/H$90</f>
        <v>0.22966499616816244</v>
      </c>
      <c r="U59" s="634">
        <f t="shared" ref="U59:U89" si="58">I59/I$90</f>
        <v>0.22149337315289169</v>
      </c>
      <c r="V59" s="634">
        <f t="shared" ref="V59:V89" si="59">J59/J$90</f>
        <v>0.21487740805785518</v>
      </c>
      <c r="W59" s="634">
        <f t="shared" ref="W59:W89" si="60">K59/K$90</f>
        <v>0.18216390385999229</v>
      </c>
      <c r="X59" s="634">
        <f t="shared" ref="X59:X89" si="61">L59/L$90</f>
        <v>0.18788135368284398</v>
      </c>
      <c r="Y59" s="634">
        <f t="shared" ref="Y59:Y89" si="62">M59/M$90</f>
        <v>0.18260152893277212</v>
      </c>
      <c r="Z59" s="634">
        <f t="shared" ref="Z59:Z89" si="63">N59/N$90</f>
        <v>0.15989901529815936</v>
      </c>
      <c r="AA59" s="634" t="e">
        <f t="shared" ref="AA59:AA89" si="64">O59/O$90</f>
        <v>#DIV/0!</v>
      </c>
      <c r="AB59" s="7"/>
    </row>
    <row r="60" spans="1:28" s="71" customFormat="1" outlineLevel="1" x14ac:dyDescent="0.2">
      <c r="A60" s="369"/>
      <c r="B60" s="369"/>
      <c r="C60" s="370"/>
      <c r="D60" s="371" t="s">
        <v>501</v>
      </c>
      <c r="E60" s="405"/>
      <c r="F60" s="405"/>
      <c r="G60" s="405">
        <f>Ввод!H649/VLOOKUP($B$7,$A$1:$B$3,2,0)</f>
        <v>15.21144</v>
      </c>
      <c r="H60" s="405">
        <f>Ввод!I649/VLOOKUP($B$7,$A$1:$B$3,2,0)</f>
        <v>17.719175</v>
      </c>
      <c r="I60" s="405">
        <f>Ввод!J649/VLOOKUP($B$7,$A$1:$B$3,2,0)</f>
        <v>20.471841000000001</v>
      </c>
      <c r="J60" s="405">
        <f>Ввод!K649/VLOOKUP($B$7,$A$1:$B$3,2,0)</f>
        <v>29.492332999999999</v>
      </c>
      <c r="K60" s="405">
        <f>Ввод!L649/VLOOKUP($B$7,$A$1:$B$3,2,0)</f>
        <v>41.501187999999999</v>
      </c>
      <c r="L60" s="405">
        <f>Ввод!M649/VLOOKUP($B$7,$A$1:$B$3,2,0)</f>
        <v>53.347663249999997</v>
      </c>
      <c r="M60" s="405">
        <f>Ввод!N649/VLOOKUP($B$7,$A$1:$B$3,2,0)</f>
        <v>53.319762522217104</v>
      </c>
      <c r="N60" s="405">
        <f>Ввод!O649/VLOOKUP($B$7,$A$1:$B$3,2,0)</f>
        <v>52.131447899999998</v>
      </c>
      <c r="O60" s="405">
        <f>Ввод!P649/VLOOKUP($B$7,$A$1:$B$3,2,0)</f>
        <v>0</v>
      </c>
      <c r="P60" s="405"/>
      <c r="Q60" s="635"/>
      <c r="R60" s="635">
        <f t="shared" si="55"/>
        <v>0</v>
      </c>
      <c r="S60" s="635">
        <f t="shared" si="56"/>
        <v>3.4857892863035353E-2</v>
      </c>
      <c r="T60" s="635">
        <f t="shared" si="57"/>
        <v>3.5557289560266568E-2</v>
      </c>
      <c r="U60" s="635">
        <f t="shared" si="58"/>
        <v>3.648228652902849E-2</v>
      </c>
      <c r="V60" s="635">
        <f t="shared" si="59"/>
        <v>4.9648257297245549E-2</v>
      </c>
      <c r="W60" s="635">
        <f t="shared" si="60"/>
        <v>6.3498792592781975E-2</v>
      </c>
      <c r="X60" s="635">
        <f t="shared" si="61"/>
        <v>6.5758473788995381E-2</v>
      </c>
      <c r="Y60" s="635">
        <f t="shared" si="62"/>
        <v>6.3651340178450797E-2</v>
      </c>
      <c r="Z60" s="635">
        <f t="shared" si="63"/>
        <v>5.5964655354355776E-2</v>
      </c>
      <c r="AA60" s="635" t="e">
        <f t="shared" si="64"/>
        <v>#DIV/0!</v>
      </c>
      <c r="AB60" s="233"/>
    </row>
    <row r="61" spans="1:28" s="71" customFormat="1" outlineLevel="1" x14ac:dyDescent="0.2">
      <c r="A61" s="369"/>
      <c r="B61" s="369"/>
      <c r="C61" s="370"/>
      <c r="D61" s="371" t="s">
        <v>502</v>
      </c>
      <c r="E61" s="405"/>
      <c r="F61" s="405"/>
      <c r="G61" s="405">
        <f>Ввод!H650/VLOOKUP($B$7,$A$1:$B$3,2,0)</f>
        <v>93.036338999999998</v>
      </c>
      <c r="H61" s="405">
        <f>Ввод!I650/VLOOKUP($B$7,$A$1:$B$3,2,0)</f>
        <v>94.813310000000001</v>
      </c>
      <c r="I61" s="405">
        <f>Ввод!J650/VLOOKUP($B$7,$A$1:$B$3,2,0)</f>
        <v>103.036067</v>
      </c>
      <c r="J61" s="405">
        <f>Ввод!K650/VLOOKUP($B$7,$A$1:$B$3,2,0)</f>
        <v>94.947351999999995</v>
      </c>
      <c r="K61" s="405">
        <f>Ввод!L650/VLOOKUP($B$7,$A$1:$B$3,2,0)</f>
        <v>77.556483999999998</v>
      </c>
      <c r="L61" s="405">
        <f>Ввод!M650/VLOOKUP($B$7,$A$1:$B$3,2,0)</f>
        <v>99.074231749999996</v>
      </c>
      <c r="M61" s="405">
        <f>Ввод!N650/VLOOKUP($B$7,$A$1:$B$3,2,0)</f>
        <v>99.642769477782906</v>
      </c>
      <c r="N61" s="405">
        <f>Ввод!O650/VLOOKUP($B$7,$A$1:$B$3,2,0)</f>
        <v>96.815546100000006</v>
      </c>
      <c r="O61" s="405">
        <f>Ввод!P650/VLOOKUP($B$7,$A$1:$B$3,2,0)</f>
        <v>0</v>
      </c>
      <c r="P61" s="405"/>
      <c r="Q61" s="635"/>
      <c r="R61" s="635">
        <f t="shared" si="55"/>
        <v>0</v>
      </c>
      <c r="S61" s="635">
        <f t="shared" si="56"/>
        <v>0.21319814147977031</v>
      </c>
      <c r="T61" s="635">
        <f t="shared" si="57"/>
        <v>0.19026305219274134</v>
      </c>
      <c r="U61" s="635">
        <f t="shared" si="58"/>
        <v>0.1836176491952129</v>
      </c>
      <c r="V61" s="635">
        <f t="shared" si="59"/>
        <v>0.15983715366933304</v>
      </c>
      <c r="W61" s="635">
        <f t="shared" si="60"/>
        <v>0.11866511126721031</v>
      </c>
      <c r="X61" s="635">
        <f t="shared" si="61"/>
        <v>0.12212287989384857</v>
      </c>
      <c r="Y61" s="635">
        <f t="shared" si="62"/>
        <v>0.11895018875432134</v>
      </c>
      <c r="Z61" s="635">
        <f t="shared" si="63"/>
        <v>0.10393435994380359</v>
      </c>
      <c r="AA61" s="635" t="e">
        <f t="shared" si="64"/>
        <v>#DIV/0!</v>
      </c>
      <c r="AB61" s="233"/>
    </row>
    <row r="62" spans="1:28" s="2" customFormat="1" ht="15.75" x14ac:dyDescent="0.25">
      <c r="A62" s="343" t="s">
        <v>25</v>
      </c>
      <c r="B62" s="343" t="s">
        <v>24</v>
      </c>
      <c r="C62" s="343"/>
      <c r="D62" s="344"/>
      <c r="E62" s="390"/>
      <c r="F62" s="390">
        <f t="shared" ref="F62" si="65">SUM(F63:F64)</f>
        <v>50.154203000000003</v>
      </c>
      <c r="G62" s="390">
        <f t="shared" ref="G62:O62" si="66">SUM(G63:G64)</f>
        <v>3.526052</v>
      </c>
      <c r="H62" s="390">
        <f t="shared" si="66"/>
        <v>17.109656000000001</v>
      </c>
      <c r="I62" s="390">
        <f t="shared" si="66"/>
        <v>1.9884279999999999</v>
      </c>
      <c r="J62" s="390">
        <f t="shared" si="66"/>
        <v>3.219849</v>
      </c>
      <c r="K62" s="390">
        <f t="shared" si="66"/>
        <v>1.585294</v>
      </c>
      <c r="L62" s="390">
        <f t="shared" si="66"/>
        <v>2.5544979999999997</v>
      </c>
      <c r="M62" s="390">
        <f t="shared" si="66"/>
        <v>7.5589300000000001</v>
      </c>
      <c r="N62" s="390">
        <f t="shared" si="66"/>
        <v>7.8321569999999996</v>
      </c>
      <c r="O62" s="390">
        <f t="shared" si="66"/>
        <v>0</v>
      </c>
      <c r="P62" s="390"/>
      <c r="Q62" s="633"/>
      <c r="R62" s="633">
        <f t="shared" si="55"/>
        <v>0.11338178218810745</v>
      </c>
      <c r="S62" s="633">
        <f t="shared" si="56"/>
        <v>8.0801517046046618E-3</v>
      </c>
      <c r="T62" s="633">
        <f t="shared" si="57"/>
        <v>3.4334160177804683E-2</v>
      </c>
      <c r="U62" s="633">
        <f t="shared" si="58"/>
        <v>3.5435210755272594E-3</v>
      </c>
      <c r="V62" s="633">
        <f t="shared" si="59"/>
        <v>5.4203881263065485E-3</v>
      </c>
      <c r="W62" s="633">
        <f t="shared" si="60"/>
        <v>2.4255752607511309E-3</v>
      </c>
      <c r="X62" s="633">
        <f t="shared" si="61"/>
        <v>3.1487769012458313E-3</v>
      </c>
      <c r="Y62" s="633">
        <f t="shared" si="62"/>
        <v>9.0235965438634283E-3</v>
      </c>
      <c r="Z62" s="633">
        <f t="shared" si="63"/>
        <v>8.4080528134766255E-3</v>
      </c>
      <c r="AA62" s="633" t="e">
        <f t="shared" si="64"/>
        <v>#DIV/0!</v>
      </c>
      <c r="AB62" s="14"/>
    </row>
    <row r="63" spans="1:28" ht="15" x14ac:dyDescent="0.2">
      <c r="A63" s="346"/>
      <c r="B63" s="346" t="s">
        <v>480</v>
      </c>
      <c r="C63" s="2208" t="s">
        <v>21</v>
      </c>
      <c r="D63" s="2208"/>
      <c r="E63" s="373"/>
      <c r="F63" s="373">
        <f>Ввод!G31/VLOOKUP($B$7,$A$1:$B$3,2,0)</f>
        <v>0</v>
      </c>
      <c r="G63" s="373">
        <f>Ввод!H31/VLOOKUP($B$7,$A$1:$B$3,2,0)</f>
        <v>7.0481000000000002E-2</v>
      </c>
      <c r="H63" s="373">
        <f>Ввод!I31/VLOOKUP($B$7,$A$1:$B$3,2,0)</f>
        <v>15.833674</v>
      </c>
      <c r="I63" s="373">
        <f>Ввод!J31/VLOOKUP($B$7,$A$1:$B$3,2,0)</f>
        <v>0.59486799999999995</v>
      </c>
      <c r="J63" s="373">
        <f>Ввод!K31/VLOOKUP($B$7,$A$1:$B$3,2,0)</f>
        <v>3.0346310000000001</v>
      </c>
      <c r="K63" s="373">
        <f>Ввод!L31/VLOOKUP($B$7,$A$1:$B$3,2,0)</f>
        <v>1.356231</v>
      </c>
      <c r="L63" s="373">
        <f>Ввод!M31/VLOOKUP($B$7,$A$1:$B$3,2,0)</f>
        <v>1.4539219999999999</v>
      </c>
      <c r="M63" s="373">
        <f>Ввод!N31/VLOOKUP($B$7,$A$1:$B$3,2,0)</f>
        <v>7.5000340000000003</v>
      </c>
      <c r="N63" s="373">
        <f>Ввод!O31/VLOOKUP($B$7,$A$1:$B$3,2,0)</f>
        <v>7.7542179999999998</v>
      </c>
      <c r="O63" s="373">
        <f>Ввод!P31/VLOOKUP($B$7,$A$1:$B$3,2,0)</f>
        <v>0</v>
      </c>
      <c r="P63" s="373"/>
      <c r="Q63" s="634"/>
      <c r="R63" s="634">
        <f t="shared" si="55"/>
        <v>0</v>
      </c>
      <c r="S63" s="634">
        <f t="shared" si="56"/>
        <v>1.6151128012072458E-4</v>
      </c>
      <c r="T63" s="634">
        <f t="shared" si="57"/>
        <v>3.1773631177572557E-2</v>
      </c>
      <c r="U63" s="634">
        <f t="shared" si="58"/>
        <v>1.0600973709667888E-3</v>
      </c>
      <c r="V63" s="634">
        <f t="shared" si="59"/>
        <v>5.1085867194771454E-3</v>
      </c>
      <c r="W63" s="634">
        <f t="shared" si="60"/>
        <v>2.0750979701328375E-3</v>
      </c>
      <c r="X63" s="634">
        <f t="shared" si="61"/>
        <v>1.7921626909917887E-3</v>
      </c>
      <c r="Y63" s="634">
        <f t="shared" si="62"/>
        <v>8.9532884788267927E-3</v>
      </c>
      <c r="Z63" s="634">
        <f t="shared" si="63"/>
        <v>8.324382985582527E-3</v>
      </c>
      <c r="AA63" s="634" t="e">
        <f t="shared" si="64"/>
        <v>#DIV/0!</v>
      </c>
      <c r="AB63" s="7"/>
    </row>
    <row r="64" spans="1:28" ht="15" x14ac:dyDescent="0.2">
      <c r="A64" s="346"/>
      <c r="B64" s="346" t="s">
        <v>481</v>
      </c>
      <c r="C64" s="2208" t="s">
        <v>569</v>
      </c>
      <c r="D64" s="2208"/>
      <c r="E64" s="373"/>
      <c r="F64" s="373">
        <f>Ввод!G33/VLOOKUP($B$7,$A$1:$B$3,2,0)</f>
        <v>50.154203000000003</v>
      </c>
      <c r="G64" s="373">
        <f>Ввод!H33/VLOOKUP($B$7,$A$1:$B$3,2,0)</f>
        <v>3.4555709999999999</v>
      </c>
      <c r="H64" s="373">
        <f>Ввод!I33/VLOOKUP($B$7,$A$1:$B$3,2,0)</f>
        <v>1.2759819999999999</v>
      </c>
      <c r="I64" s="373">
        <f>Ввод!J33/VLOOKUP($B$7,$A$1:$B$3,2,0)</f>
        <v>1.3935599999999999</v>
      </c>
      <c r="J64" s="373">
        <f>Ввод!K33/VLOOKUP($B$7,$A$1:$B$3,2,0)</f>
        <v>0.18521799999999999</v>
      </c>
      <c r="K64" s="373">
        <f>Ввод!L33/VLOOKUP($B$7,$A$1:$B$3,2,0)</f>
        <v>0.22906299999999999</v>
      </c>
      <c r="L64" s="373">
        <f>Ввод!M33/VLOOKUP($B$7,$A$1:$B$3,2,0)</f>
        <v>1.100576</v>
      </c>
      <c r="M64" s="373">
        <f>Ввод!N33/VLOOKUP($B$7,$A$1:$B$3,2,0)</f>
        <v>5.8895999999999997E-2</v>
      </c>
      <c r="N64" s="373">
        <f>Ввод!O33/VLOOKUP($B$7,$A$1:$B$3,2,0)</f>
        <v>7.7938999999999994E-2</v>
      </c>
      <c r="O64" s="373">
        <f>Ввод!P33/VLOOKUP($B$7,$A$1:$B$3,2,0)</f>
        <v>0</v>
      </c>
      <c r="P64" s="373"/>
      <c r="Q64" s="634"/>
      <c r="R64" s="634">
        <f t="shared" si="55"/>
        <v>0.11338178218810745</v>
      </c>
      <c r="S64" s="634">
        <f t="shared" si="56"/>
        <v>7.9186404244839369E-3</v>
      </c>
      <c r="T64" s="634">
        <f t="shared" si="57"/>
        <v>2.5605290002321244E-3</v>
      </c>
      <c r="U64" s="634">
        <f t="shared" si="58"/>
        <v>2.483423704560471E-3</v>
      </c>
      <c r="V64" s="634">
        <f t="shared" si="59"/>
        <v>3.1180140682940296E-4</v>
      </c>
      <c r="W64" s="634">
        <f t="shared" si="60"/>
        <v>3.5047729061829302E-4</v>
      </c>
      <c r="X64" s="634">
        <f t="shared" si="61"/>
        <v>1.356614210254043E-3</v>
      </c>
      <c r="Y64" s="634">
        <f t="shared" si="62"/>
        <v>7.0308065036636197E-5</v>
      </c>
      <c r="Z64" s="634">
        <f t="shared" si="63"/>
        <v>8.3669827894097964E-5</v>
      </c>
      <c r="AA64" s="634" t="e">
        <f t="shared" si="64"/>
        <v>#DIV/0!</v>
      </c>
      <c r="AB64" s="7"/>
    </row>
    <row r="65" spans="1:28" s="71" customFormat="1" outlineLevel="1" x14ac:dyDescent="0.2">
      <c r="A65" s="369"/>
      <c r="B65" s="369"/>
      <c r="C65" s="370"/>
      <c r="D65" s="371" t="s">
        <v>511</v>
      </c>
      <c r="E65" s="405"/>
      <c r="F65" s="405">
        <f>Ввод!G682/VLOOKUP($B$7,$A$1:$B$3,2,0)</f>
        <v>46.909733000000003</v>
      </c>
      <c r="G65" s="405">
        <f>Ввод!H682/VLOOKUP($B$7,$A$1:$B$3,2,0)</f>
        <v>1.8094030000000001</v>
      </c>
      <c r="H65" s="405">
        <f>Ввод!I682/VLOOKUP($B$7,$A$1:$B$3,2,0)</f>
        <v>0.13592499999999999</v>
      </c>
      <c r="I65" s="405">
        <f>Ввод!J682/VLOOKUP($B$7,$A$1:$B$3,2,0)</f>
        <v>1.2105109999999999</v>
      </c>
      <c r="J65" s="405">
        <f>Ввод!K682/VLOOKUP($B$7,$A$1:$B$3,2,0)</f>
        <v>8.5183999999999996E-2</v>
      </c>
      <c r="K65" s="405">
        <f>Ввод!L682/VLOOKUP($B$7,$A$1:$B$3,2,0)</f>
        <v>0.12906300000000001</v>
      </c>
      <c r="L65" s="405">
        <f>Ввод!M682/VLOOKUP($B$7,$A$1:$B$3,2,0)</f>
        <v>1.0005759999999999</v>
      </c>
      <c r="M65" s="405">
        <f>Ввод!N682/VLOOKUP($B$7,$A$1:$B$3,2,0)</f>
        <v>5.8864E-2</v>
      </c>
      <c r="N65" s="405">
        <f>Ввод!O682/VLOOKUP($B$7,$A$1:$B$3,2,0)</f>
        <v>3.7939000000000001E-2</v>
      </c>
      <c r="O65" s="405">
        <f>Ввод!P682/VLOOKUP($B$7,$A$1:$B$3,2,0)</f>
        <v>0</v>
      </c>
      <c r="P65" s="405"/>
      <c r="Q65" s="635"/>
      <c r="R65" s="635">
        <f t="shared" si="55"/>
        <v>0.10604712688801528</v>
      </c>
      <c r="S65" s="635">
        <f t="shared" si="56"/>
        <v>4.1463514249837465E-3</v>
      </c>
      <c r="T65" s="635">
        <f t="shared" si="57"/>
        <v>2.7276239347933707E-4</v>
      </c>
      <c r="U65" s="635">
        <f t="shared" si="58"/>
        <v>2.1572172795080225E-3</v>
      </c>
      <c r="V65" s="635">
        <f t="shared" si="59"/>
        <v>1.4340124091263194E-4</v>
      </c>
      <c r="W65" s="635">
        <f t="shared" si="60"/>
        <v>1.9747253183215429E-4</v>
      </c>
      <c r="X65" s="635">
        <f t="shared" si="61"/>
        <v>1.2333501912081941E-3</v>
      </c>
      <c r="Y65" s="635">
        <f t="shared" si="62"/>
        <v>7.0269864512302255E-5</v>
      </c>
      <c r="Z65" s="635">
        <f t="shared" si="63"/>
        <v>4.0728641636076716E-5</v>
      </c>
      <c r="AA65" s="635" t="e">
        <f t="shared" si="64"/>
        <v>#DIV/0!</v>
      </c>
      <c r="AB65" s="233"/>
    </row>
    <row r="66" spans="1:28" s="71" customFormat="1" outlineLevel="1" x14ac:dyDescent="0.2">
      <c r="A66" s="369"/>
      <c r="B66" s="369"/>
      <c r="C66" s="370"/>
      <c r="D66" s="371" t="s">
        <v>510</v>
      </c>
      <c r="E66" s="405"/>
      <c r="F66" s="405">
        <f>Ввод!G683/VLOOKUP($B$7,$A$1:$B$3,2,0)</f>
        <v>2.1097600000000001</v>
      </c>
      <c r="G66" s="405">
        <f>Ввод!H683/VLOOKUP($B$7,$A$1:$B$3,2,0)</f>
        <v>1.6461680000000001</v>
      </c>
      <c r="H66" s="405">
        <f>Ввод!I683/VLOOKUP($B$7,$A$1:$B$3,2,0)</f>
        <v>1.1400570000000001</v>
      </c>
      <c r="I66" s="405">
        <f>Ввод!J683/VLOOKUP($B$7,$A$1:$B$3,2,0)</f>
        <v>0.10513699999999999</v>
      </c>
      <c r="J66" s="405">
        <f>Ввод!K683/VLOOKUP($B$7,$A$1:$B$3,2,0)</f>
        <v>3.0000000000000001E-5</v>
      </c>
      <c r="K66" s="405">
        <f>Ввод!L683/VLOOKUP($B$7,$A$1:$B$3,2,0)</f>
        <v>0</v>
      </c>
      <c r="L66" s="405">
        <f>Ввод!M683/VLOOKUP($B$7,$A$1:$B$3,2,0)</f>
        <v>0</v>
      </c>
      <c r="M66" s="405">
        <f>Ввод!N683/VLOOKUP($B$7,$A$1:$B$3,2,0)</f>
        <v>0</v>
      </c>
      <c r="N66" s="405">
        <f>Ввод!O683/VLOOKUP($B$7,$A$1:$B$3,2,0)</f>
        <v>0</v>
      </c>
      <c r="O66" s="405">
        <f>Ввод!P683/VLOOKUP($B$7,$A$1:$B$3,2,0)</f>
        <v>0</v>
      </c>
      <c r="P66" s="405"/>
      <c r="Q66" s="635"/>
      <c r="R66" s="635">
        <f t="shared" si="55"/>
        <v>4.7694576821244988E-3</v>
      </c>
      <c r="S66" s="635">
        <f t="shared" si="56"/>
        <v>3.7722889995001905E-3</v>
      </c>
      <c r="T66" s="635">
        <f t="shared" si="57"/>
        <v>2.2877666067527874E-3</v>
      </c>
      <c r="U66" s="635">
        <f t="shared" si="58"/>
        <v>1.8736166223655545E-4</v>
      </c>
      <c r="V66" s="635">
        <f t="shared" si="59"/>
        <v>5.050287879624059E-8</v>
      </c>
      <c r="W66" s="635">
        <f t="shared" si="60"/>
        <v>0</v>
      </c>
      <c r="X66" s="635">
        <f t="shared" si="61"/>
        <v>0</v>
      </c>
      <c r="Y66" s="635">
        <f t="shared" si="62"/>
        <v>0</v>
      </c>
      <c r="Z66" s="635">
        <f t="shared" si="63"/>
        <v>0</v>
      </c>
      <c r="AA66" s="635" t="e">
        <f t="shared" si="64"/>
        <v>#DIV/0!</v>
      </c>
      <c r="AB66" s="233"/>
    </row>
    <row r="67" spans="1:28" s="71" customFormat="1" outlineLevel="1" x14ac:dyDescent="0.2">
      <c r="A67" s="369"/>
      <c r="B67" s="369"/>
      <c r="C67" s="370"/>
      <c r="D67" s="371" t="s">
        <v>509</v>
      </c>
      <c r="E67" s="405"/>
      <c r="F67" s="405">
        <f>Ввод!G684/VLOOKUP($B$7,$A$1:$B$3,2,0)</f>
        <v>1.1347100000000001</v>
      </c>
      <c r="G67" s="405">
        <f>Ввод!H684/VLOOKUP($B$7,$A$1:$B$3,2,0)</f>
        <v>0</v>
      </c>
      <c r="H67" s="405">
        <f>Ввод!I684/VLOOKUP($B$7,$A$1:$B$3,2,0)</f>
        <v>0</v>
      </c>
      <c r="I67" s="405">
        <f>Ввод!J684/VLOOKUP($B$7,$A$1:$B$3,2,0)</f>
        <v>0</v>
      </c>
      <c r="J67" s="405">
        <f>Ввод!K684/VLOOKUP($B$7,$A$1:$B$3,2,0)</f>
        <v>0.1</v>
      </c>
      <c r="K67" s="405">
        <f>Ввод!L684/VLOOKUP($B$7,$A$1:$B$3,2,0)</f>
        <v>0.1</v>
      </c>
      <c r="L67" s="405">
        <f>Ввод!M684/VLOOKUP($B$7,$A$1:$B$3,2,0)</f>
        <v>0.1</v>
      </c>
      <c r="M67" s="405">
        <f>Ввод!N684/VLOOKUP($B$7,$A$1:$B$3,2,0)</f>
        <v>3.1999999999999999E-5</v>
      </c>
      <c r="N67" s="405">
        <f>Ввод!O684/VLOOKUP($B$7,$A$1:$B$3,2,0)</f>
        <v>0.04</v>
      </c>
      <c r="O67" s="405">
        <f>Ввод!P684/VLOOKUP($B$7,$A$1:$B$3,2,0)</f>
        <v>0</v>
      </c>
      <c r="P67" s="405"/>
      <c r="Q67" s="635"/>
      <c r="R67" s="635">
        <f t="shared" si="55"/>
        <v>2.5651976179676787E-3</v>
      </c>
      <c r="S67" s="635">
        <f t="shared" si="56"/>
        <v>0</v>
      </c>
      <c r="T67" s="635">
        <f t="shared" si="57"/>
        <v>0</v>
      </c>
      <c r="U67" s="635">
        <f t="shared" si="58"/>
        <v>0</v>
      </c>
      <c r="V67" s="635">
        <f t="shared" si="59"/>
        <v>1.6834292932080196E-4</v>
      </c>
      <c r="W67" s="635">
        <f t="shared" si="60"/>
        <v>1.5300475878613878E-4</v>
      </c>
      <c r="X67" s="635">
        <f t="shared" si="61"/>
        <v>1.2326401904584901E-4</v>
      </c>
      <c r="Y67" s="635">
        <f t="shared" si="62"/>
        <v>3.8200524333950667E-8</v>
      </c>
      <c r="Z67" s="635">
        <f t="shared" si="63"/>
        <v>4.2941186258021262E-5</v>
      </c>
      <c r="AA67" s="635" t="e">
        <f t="shared" si="64"/>
        <v>#DIV/0!</v>
      </c>
      <c r="AB67" s="233"/>
    </row>
    <row r="68" spans="1:28" s="71" customFormat="1" ht="18" customHeight="1" outlineLevel="1" x14ac:dyDescent="0.2">
      <c r="A68" s="369"/>
      <c r="B68" s="369"/>
      <c r="C68" s="370"/>
      <c r="D68" s="371" t="s">
        <v>952</v>
      </c>
      <c r="E68" s="405"/>
      <c r="F68" s="405">
        <f>Ввод!G685/VLOOKUP($B$7,$A$1:$B$3,2,0)</f>
        <v>0</v>
      </c>
      <c r="G68" s="405">
        <f>Ввод!H685/VLOOKUP($B$7,$A$1:$B$3,2,0)</f>
        <v>0</v>
      </c>
      <c r="H68" s="405">
        <f>Ввод!I685/VLOOKUP($B$7,$A$1:$B$3,2,0)</f>
        <v>0</v>
      </c>
      <c r="I68" s="405">
        <f>Ввод!J685/VLOOKUP($B$7,$A$1:$B$3,2,0)</f>
        <v>7.7911999999999995E-2</v>
      </c>
      <c r="J68" s="405">
        <f>Ввод!K685/VLOOKUP($B$7,$A$1:$B$3,2,0)</f>
        <v>3.9999999999999998E-6</v>
      </c>
      <c r="K68" s="405">
        <f>Ввод!L685/VLOOKUP($B$7,$A$1:$B$3,2,0)</f>
        <v>0</v>
      </c>
      <c r="L68" s="405">
        <f>Ввод!M685/VLOOKUP($B$7,$A$1:$B$3,2,0)</f>
        <v>0</v>
      </c>
      <c r="M68" s="405">
        <f>Ввод!N685/VLOOKUP($B$7,$A$1:$B$3,2,0)</f>
        <v>0</v>
      </c>
      <c r="N68" s="405">
        <f>Ввод!O685/VLOOKUP($B$7,$A$1:$B$3,2,0)</f>
        <v>0</v>
      </c>
      <c r="O68" s="405">
        <f>Ввод!P685/VLOOKUP($B$7,$A$1:$B$3,2,0)</f>
        <v>0</v>
      </c>
      <c r="P68" s="405"/>
      <c r="Q68" s="635"/>
      <c r="R68" s="635">
        <f t="shared" si="55"/>
        <v>0</v>
      </c>
      <c r="S68" s="635">
        <f t="shared" si="56"/>
        <v>0</v>
      </c>
      <c r="T68" s="635">
        <f t="shared" si="57"/>
        <v>0</v>
      </c>
      <c r="U68" s="635">
        <f t="shared" si="58"/>
        <v>1.3884476281589267E-4</v>
      </c>
      <c r="V68" s="635">
        <f t="shared" si="59"/>
        <v>6.7337171728320784E-9</v>
      </c>
      <c r="W68" s="635">
        <f t="shared" si="60"/>
        <v>0</v>
      </c>
      <c r="X68" s="635">
        <f t="shared" si="61"/>
        <v>0</v>
      </c>
      <c r="Y68" s="635">
        <f t="shared" si="62"/>
        <v>0</v>
      </c>
      <c r="Z68" s="635">
        <f t="shared" si="63"/>
        <v>0</v>
      </c>
      <c r="AA68" s="635" t="e">
        <f t="shared" si="64"/>
        <v>#DIV/0!</v>
      </c>
      <c r="AB68" s="233"/>
    </row>
    <row r="69" spans="1:28" ht="15" x14ac:dyDescent="0.2">
      <c r="A69" s="346"/>
      <c r="B69" s="346" t="s">
        <v>482</v>
      </c>
      <c r="C69" s="2208" t="s">
        <v>293</v>
      </c>
      <c r="D69" s="2208"/>
      <c r="E69" s="373"/>
      <c r="F69" s="373">
        <f>Ввод!G36/VLOOKUP($B$7,$A$1:$B$3,2,0)</f>
        <v>0</v>
      </c>
      <c r="G69" s="373">
        <f>Ввод!H36/VLOOKUP($B$7,$A$1:$B$3,2,0)</f>
        <v>0</v>
      </c>
      <c r="H69" s="373">
        <f>Ввод!I36/VLOOKUP($B$7,$A$1:$B$3,2,0)</f>
        <v>0</v>
      </c>
      <c r="I69" s="373">
        <f>Ввод!J36/VLOOKUP($B$7,$A$1:$B$3,2,0)</f>
        <v>0</v>
      </c>
      <c r="J69" s="373">
        <f>Ввод!K36/VLOOKUP($B$7,$A$1:$B$3,2,0)</f>
        <v>0</v>
      </c>
      <c r="K69" s="373">
        <f>Ввод!L36/VLOOKUP($B$7,$A$1:$B$3,2,0)</f>
        <v>0</v>
      </c>
      <c r="L69" s="373">
        <f>Ввод!M36/VLOOKUP($B$7,$A$1:$B$3,2,0)</f>
        <v>0</v>
      </c>
      <c r="M69" s="373">
        <f>Ввод!N36/VLOOKUP($B$7,$A$1:$B$3,2,0)</f>
        <v>0</v>
      </c>
      <c r="N69" s="373">
        <f>Ввод!O36/VLOOKUP($B$7,$A$1:$B$3,2,0)</f>
        <v>0</v>
      </c>
      <c r="O69" s="373">
        <f>Ввод!P36/VLOOKUP($B$7,$A$1:$B$3,2,0)</f>
        <v>0</v>
      </c>
      <c r="P69" s="373"/>
      <c r="Q69" s="634"/>
      <c r="R69" s="634">
        <f t="shared" si="55"/>
        <v>0</v>
      </c>
      <c r="S69" s="634">
        <f t="shared" si="56"/>
        <v>0</v>
      </c>
      <c r="T69" s="634">
        <f t="shared" si="57"/>
        <v>0</v>
      </c>
      <c r="U69" s="634">
        <f t="shared" si="58"/>
        <v>0</v>
      </c>
      <c r="V69" s="634">
        <f t="shared" si="59"/>
        <v>0</v>
      </c>
      <c r="W69" s="634">
        <f t="shared" si="60"/>
        <v>0</v>
      </c>
      <c r="X69" s="634">
        <f t="shared" si="61"/>
        <v>0</v>
      </c>
      <c r="Y69" s="634">
        <f t="shared" si="62"/>
        <v>0</v>
      </c>
      <c r="Z69" s="634">
        <f t="shared" si="63"/>
        <v>0</v>
      </c>
      <c r="AA69" s="634" t="e">
        <f t="shared" si="64"/>
        <v>#DIV/0!</v>
      </c>
      <c r="AB69" s="7"/>
    </row>
    <row r="70" spans="1:28" s="2" customFormat="1" ht="15.75" x14ac:dyDescent="0.25">
      <c r="A70" s="348" t="s">
        <v>26</v>
      </c>
      <c r="B70" s="348" t="s">
        <v>22</v>
      </c>
      <c r="C70" s="343"/>
      <c r="D70" s="344"/>
      <c r="E70" s="390"/>
      <c r="F70" s="390">
        <f t="shared" ref="F70" si="67">SUM(F71:F75)</f>
        <v>12.136571</v>
      </c>
      <c r="G70" s="390">
        <f t="shared" ref="G70:K70" si="68">SUM(G71:G75)</f>
        <v>10.176998000000001</v>
      </c>
      <c r="H70" s="390">
        <f t="shared" si="68"/>
        <v>10.711723000000001</v>
      </c>
      <c r="I70" s="390">
        <f t="shared" si="68"/>
        <v>3.137696</v>
      </c>
      <c r="J70" s="390">
        <f t="shared" si="68"/>
        <v>6.2754970000000005</v>
      </c>
      <c r="K70" s="390">
        <f t="shared" si="68"/>
        <v>7.3680330000000005</v>
      </c>
      <c r="L70" s="390">
        <f t="shared" ref="L70:O70" si="69">SUM(L71:L75)</f>
        <v>13.041732</v>
      </c>
      <c r="M70" s="390">
        <f t="shared" si="69"/>
        <v>8.9936559999999997</v>
      </c>
      <c r="N70" s="390">
        <f t="shared" si="69"/>
        <v>26.583088</v>
      </c>
      <c r="O70" s="390">
        <f t="shared" si="69"/>
        <v>0</v>
      </c>
      <c r="P70" s="390"/>
      <c r="Q70" s="633"/>
      <c r="R70" s="633">
        <f t="shared" si="55"/>
        <v>2.7436704549616737E-2</v>
      </c>
      <c r="S70" s="633">
        <f t="shared" si="56"/>
        <v>2.3321178399370809E-2</v>
      </c>
      <c r="T70" s="633">
        <f t="shared" si="57"/>
        <v>2.1495348197665371E-2</v>
      </c>
      <c r="U70" s="633">
        <f t="shared" si="58"/>
        <v>5.5915989437875452E-3</v>
      </c>
      <c r="V70" s="633">
        <f t="shared" si="59"/>
        <v>1.0564355479239049E-2</v>
      </c>
      <c r="W70" s="633">
        <f t="shared" si="60"/>
        <v>1.1273441118933105E-2</v>
      </c>
      <c r="X70" s="633">
        <f t="shared" si="61"/>
        <v>1.6075763016388585E-2</v>
      </c>
      <c r="Y70" s="633">
        <f t="shared" si="62"/>
        <v>1.0736324214974419E-2</v>
      </c>
      <c r="Z70" s="633">
        <f t="shared" si="63"/>
        <v>2.8537733328034245E-2</v>
      </c>
      <c r="AA70" s="633" t="e">
        <f t="shared" si="64"/>
        <v>#DIV/0!</v>
      </c>
      <c r="AB70" s="14"/>
    </row>
    <row r="71" spans="1:28" ht="15" x14ac:dyDescent="0.2">
      <c r="A71" s="346"/>
      <c r="B71" s="346" t="s">
        <v>483</v>
      </c>
      <c r="C71" s="2208" t="str">
        <f>Ввод!E37</f>
        <v>Обязательства по текущему налогу на прибыль</v>
      </c>
      <c r="D71" s="2208"/>
      <c r="E71" s="373"/>
      <c r="F71" s="373">
        <f>Ввод!G37/VLOOKUP($B$7,$A$1:$B$3,2,0)</f>
        <v>0</v>
      </c>
      <c r="G71" s="373">
        <f>Ввод!H37/VLOOKUP($B$7,$A$1:$B$3,2,0)</f>
        <v>0</v>
      </c>
      <c r="H71" s="373">
        <f>Ввод!I37/VLOOKUP($B$7,$A$1:$B$3,2,0)</f>
        <v>0</v>
      </c>
      <c r="I71" s="373">
        <f>Ввод!J37/VLOOKUP($B$7,$A$1:$B$3,2,0)</f>
        <v>0</v>
      </c>
      <c r="J71" s="373">
        <f>Ввод!K37/VLOOKUP($B$7,$A$1:$B$3,2,0)</f>
        <v>0</v>
      </c>
      <c r="K71" s="373">
        <f>Ввод!L37/VLOOKUP($B$7,$A$1:$B$3,2,0)</f>
        <v>0</v>
      </c>
      <c r="L71" s="373">
        <f>Ввод!M37/VLOOKUP($B$7,$A$1:$B$3,2,0)</f>
        <v>0</v>
      </c>
      <c r="M71" s="373">
        <f>Ввод!N37/VLOOKUP($B$7,$A$1:$B$3,2,0)</f>
        <v>0</v>
      </c>
      <c r="N71" s="373">
        <f>Ввод!O37/VLOOKUP($B$7,$A$1:$B$3,2,0)</f>
        <v>0</v>
      </c>
      <c r="O71" s="373">
        <f>Ввод!P37/VLOOKUP($B$7,$A$1:$B$3,2,0)</f>
        <v>0</v>
      </c>
      <c r="P71" s="373"/>
      <c r="Q71" s="634"/>
      <c r="R71" s="634">
        <f t="shared" si="55"/>
        <v>0</v>
      </c>
      <c r="S71" s="634">
        <f t="shared" si="56"/>
        <v>0</v>
      </c>
      <c r="T71" s="634">
        <f t="shared" si="57"/>
        <v>0</v>
      </c>
      <c r="U71" s="634">
        <f t="shared" si="58"/>
        <v>0</v>
      </c>
      <c r="V71" s="634">
        <f t="shared" si="59"/>
        <v>0</v>
      </c>
      <c r="W71" s="634">
        <f t="shared" si="60"/>
        <v>0</v>
      </c>
      <c r="X71" s="634">
        <f t="shared" si="61"/>
        <v>0</v>
      </c>
      <c r="Y71" s="634">
        <f t="shared" si="62"/>
        <v>0</v>
      </c>
      <c r="Z71" s="634">
        <f t="shared" si="63"/>
        <v>0</v>
      </c>
      <c r="AA71" s="634" t="e">
        <f t="shared" si="64"/>
        <v>#DIV/0!</v>
      </c>
      <c r="AB71" s="7"/>
    </row>
    <row r="72" spans="1:28" ht="15" x14ac:dyDescent="0.2">
      <c r="A72" s="346"/>
      <c r="B72" s="346" t="s">
        <v>484</v>
      </c>
      <c r="C72" s="2208" t="str">
        <f>Ввод!E38</f>
        <v>Отложенные налоговые обязательства</v>
      </c>
      <c r="D72" s="2208"/>
      <c r="E72" s="373"/>
      <c r="F72" s="373">
        <f>Ввод!G38/VLOOKUP($B$7,$A$1:$B$3,2,0)</f>
        <v>1.0670489999999999</v>
      </c>
      <c r="G72" s="373">
        <f>Ввод!H38/VLOOKUP($B$7,$A$1:$B$3,2,0)</f>
        <v>0.68968600000000002</v>
      </c>
      <c r="H72" s="373">
        <f>Ввод!I38/VLOOKUP($B$7,$A$1:$B$3,2,0)</f>
        <v>0.48947800000000002</v>
      </c>
      <c r="I72" s="373">
        <f>Ввод!J38/VLOOKUP($B$7,$A$1:$B$3,2,0)</f>
        <v>0.81024200000000002</v>
      </c>
      <c r="J72" s="373">
        <f>Ввод!K38/VLOOKUP($B$7,$A$1:$B$3,2,0)</f>
        <v>1.1049260000000001</v>
      </c>
      <c r="K72" s="373">
        <f>Ввод!L38/VLOOKUP($B$7,$A$1:$B$3,2,0)</f>
        <v>1.773576</v>
      </c>
      <c r="L72" s="373">
        <f>Ввод!M38/VLOOKUP($B$7,$A$1:$B$3,2,0)</f>
        <v>0</v>
      </c>
      <c r="M72" s="373">
        <f>Ввод!N38/VLOOKUP($B$7,$A$1:$B$3,2,0)</f>
        <v>1.5793950000000001</v>
      </c>
      <c r="N72" s="373">
        <f>Ввод!O38/VLOOKUP($B$7,$A$1:$B$3,2,0)</f>
        <v>1.8458779999999999</v>
      </c>
      <c r="O72" s="373">
        <f>Ввод!P38/VLOOKUP($B$7,$A$1:$B$3,2,0)</f>
        <v>0</v>
      </c>
      <c r="P72" s="373"/>
      <c r="Q72" s="634"/>
      <c r="R72" s="634">
        <f t="shared" si="55"/>
        <v>2.412238856672448E-3</v>
      </c>
      <c r="S72" s="634">
        <f t="shared" si="56"/>
        <v>1.5804552821518146E-3</v>
      </c>
      <c r="T72" s="634">
        <f t="shared" si="57"/>
        <v>9.8224160997225653E-4</v>
      </c>
      <c r="U72" s="634">
        <f t="shared" si="58"/>
        <v>1.4439092606206301E-3</v>
      </c>
      <c r="V72" s="634">
        <f t="shared" si="59"/>
        <v>1.8600647952271643E-3</v>
      </c>
      <c r="W72" s="634">
        <f t="shared" si="60"/>
        <v>2.7136556806888487E-3</v>
      </c>
      <c r="X72" s="634">
        <f t="shared" si="61"/>
        <v>0</v>
      </c>
      <c r="Y72" s="634">
        <f t="shared" si="62"/>
        <v>1.8854286603256255E-3</v>
      </c>
      <c r="Z72" s="634">
        <f t="shared" si="63"/>
        <v>1.981604775189594E-3</v>
      </c>
      <c r="AA72" s="634" t="e">
        <f t="shared" si="64"/>
        <v>#DIV/0!</v>
      </c>
      <c r="AB72" s="7"/>
    </row>
    <row r="73" spans="1:28" ht="15" x14ac:dyDescent="0.2">
      <c r="A73" s="346"/>
      <c r="B73" s="346" t="s">
        <v>485</v>
      </c>
      <c r="C73" s="2208" t="str">
        <f>Ввод!E39</f>
        <v>Прочие обязательства</v>
      </c>
      <c r="D73" s="2208"/>
      <c r="E73" s="373"/>
      <c r="F73" s="373">
        <f>Ввод!G39/VLOOKUP($B$7,$A$1:$B$3,2,0)</f>
        <v>5.4814299999999996</v>
      </c>
      <c r="G73" s="373">
        <f>Ввод!H39/VLOOKUP($B$7,$A$1:$B$3,2,0)</f>
        <v>5.4948930000000002</v>
      </c>
      <c r="H73" s="373">
        <f>Ввод!I39/VLOOKUP($B$7,$A$1:$B$3,2,0)</f>
        <v>6.7295870000000004</v>
      </c>
      <c r="I73" s="373">
        <f>Ввод!J39/VLOOKUP($B$7,$A$1:$B$3,2,0)</f>
        <v>1.8887929999999999</v>
      </c>
      <c r="J73" s="373">
        <f>Ввод!K39/VLOOKUP($B$7,$A$1:$B$3,2,0)</f>
        <v>4.0730700000000004</v>
      </c>
      <c r="K73" s="373">
        <f>Ввод!L39/VLOOKUP($B$7,$A$1:$B$3,2,0)</f>
        <v>0</v>
      </c>
      <c r="L73" s="1528">
        <f>Ввод!M39/VLOOKUP($B$7,$A$1:$B$3,2,0)</f>
        <v>0</v>
      </c>
      <c r="M73" s="1528">
        <f>Ввод!N39/VLOOKUP($B$7,$A$1:$B$3,2,0)</f>
        <v>0</v>
      </c>
      <c r="N73" s="1528">
        <f>Ввод!O39/VLOOKUP($B$7,$A$1:$B$3,2,0)</f>
        <v>0</v>
      </c>
      <c r="O73" s="1528">
        <f>Ввод!P39/VLOOKUP($B$7,$A$1:$B$3,2,0)</f>
        <v>0</v>
      </c>
      <c r="P73" s="373"/>
      <c r="Q73" s="634"/>
      <c r="R73" s="634">
        <f t="shared" si="55"/>
        <v>1.2391669394873203E-2</v>
      </c>
      <c r="S73" s="634">
        <f t="shared" si="56"/>
        <v>1.2591864510384481E-2</v>
      </c>
      <c r="T73" s="634">
        <f t="shared" si="57"/>
        <v>1.3504346200091461E-2</v>
      </c>
      <c r="U73" s="634">
        <f t="shared" si="58"/>
        <v>3.3659643712562683E-3</v>
      </c>
      <c r="V73" s="634">
        <f t="shared" si="59"/>
        <v>6.8567253512867889E-3</v>
      </c>
      <c r="W73" s="634">
        <f t="shared" si="60"/>
        <v>0</v>
      </c>
      <c r="X73" s="634">
        <f t="shared" si="61"/>
        <v>0</v>
      </c>
      <c r="Y73" s="634">
        <f t="shared" si="62"/>
        <v>0</v>
      </c>
      <c r="Z73" s="634">
        <f t="shared" si="63"/>
        <v>0</v>
      </c>
      <c r="AA73" s="634" t="e">
        <f t="shared" si="64"/>
        <v>#DIV/0!</v>
      </c>
      <c r="AB73" s="7"/>
    </row>
    <row r="74" spans="1:28" ht="15.75" x14ac:dyDescent="0.2">
      <c r="A74" s="346"/>
      <c r="B74" s="1862"/>
      <c r="C74" s="1863" t="s">
        <v>3338</v>
      </c>
      <c r="D74" s="1864"/>
      <c r="E74" s="373"/>
      <c r="F74" s="373">
        <f>Ввод!G40/VLOOKUP($B$7,$A$1:$B$3,2,0)</f>
        <v>0</v>
      </c>
      <c r="G74" s="373">
        <f>Ввод!H40/VLOOKUP($B$7,$A$1:$B$3,2,0)</f>
        <v>0</v>
      </c>
      <c r="H74" s="373">
        <f>Ввод!I40/VLOOKUP($B$7,$A$1:$B$3,2,0)</f>
        <v>0</v>
      </c>
      <c r="I74" s="373">
        <f>Ввод!J40/VLOOKUP($B$7,$A$1:$B$3,2,0)</f>
        <v>0</v>
      </c>
      <c r="J74" s="373">
        <f>Ввод!K40/VLOOKUP($B$7,$A$1:$B$3,2,0)</f>
        <v>0</v>
      </c>
      <c r="K74" s="373">
        <f>Ввод!L40/VLOOKUP($B$7,$A$1:$B$3,2,0)</f>
        <v>5.5944570000000002</v>
      </c>
      <c r="L74" s="1865">
        <f>Ввод!M40/VLOOKUP($B$7,$A$1:$B$3,2,0)</f>
        <v>13.041732</v>
      </c>
      <c r="M74" s="1865">
        <f>Ввод!N40/VLOOKUP($B$7,$A$1:$B$3,2,0)</f>
        <v>7.4142609999999998</v>
      </c>
      <c r="N74" s="1865">
        <f>Ввод!O40/VLOOKUP($B$7,$A$1:$B$3,2,0)</f>
        <v>24.737210000000001</v>
      </c>
      <c r="O74" s="1865">
        <f>Ввод!P40/VLOOKUP($B$7,$A$1:$B$3,2,0)</f>
        <v>0</v>
      </c>
      <c r="P74" s="373"/>
      <c r="Q74" s="634"/>
      <c r="R74" s="634">
        <f t="shared" si="55"/>
        <v>0</v>
      </c>
      <c r="S74" s="634">
        <f t="shared" si="56"/>
        <v>0</v>
      </c>
      <c r="T74" s="634">
        <f t="shared" si="57"/>
        <v>0</v>
      </c>
      <c r="U74" s="634">
        <f t="shared" si="58"/>
        <v>0</v>
      </c>
      <c r="V74" s="634">
        <f t="shared" si="59"/>
        <v>0</v>
      </c>
      <c r="W74" s="634">
        <f t="shared" si="60"/>
        <v>8.5597854382442554E-3</v>
      </c>
      <c r="X74" s="634">
        <f t="shared" si="61"/>
        <v>1.6075763016388585E-2</v>
      </c>
      <c r="Y74" s="634">
        <f t="shared" si="62"/>
        <v>8.8508955546487949E-3</v>
      </c>
      <c r="Z74" s="634">
        <f t="shared" si="63"/>
        <v>2.6556128552844654E-2</v>
      </c>
      <c r="AA74" s="634" t="e">
        <f t="shared" si="64"/>
        <v>#DIV/0!</v>
      </c>
      <c r="AB74" s="7"/>
    </row>
    <row r="75" spans="1:28" ht="15" x14ac:dyDescent="0.2">
      <c r="A75" s="346"/>
      <c r="B75" s="346" t="s">
        <v>529</v>
      </c>
      <c r="C75" s="2208" t="str">
        <f>Ввод!E41</f>
        <v>Резервы на возможные потери по условным обязательствам кредитного характера, прочим возможным потерям и операциям с резидентами офшорных зон</v>
      </c>
      <c r="D75" s="2208"/>
      <c r="E75" s="373"/>
      <c r="F75" s="373">
        <f>Ввод!G41/VLOOKUP($B$7,$A$1:$B$3,2,0)</f>
        <v>5.5880919999999996</v>
      </c>
      <c r="G75" s="373">
        <f>Ввод!H41/VLOOKUP($B$7,$A$1:$B$3,2,0)</f>
        <v>3.9924189999999999</v>
      </c>
      <c r="H75" s="373">
        <f>Ввод!I41/VLOOKUP($B$7,$A$1:$B$3,2,0)</f>
        <v>3.492658</v>
      </c>
      <c r="I75" s="373">
        <f>Ввод!J41/VLOOKUP($B$7,$A$1:$B$3,2,0)</f>
        <v>0.43866100000000002</v>
      </c>
      <c r="J75" s="373">
        <f>Ввод!K41/VLOOKUP($B$7,$A$1:$B$3,2,0)</f>
        <v>1.0975010000000001</v>
      </c>
      <c r="K75" s="373">
        <f>Ввод!L41/VLOOKUP($B$7,$A$1:$B$3,2,0)</f>
        <v>0</v>
      </c>
      <c r="L75" s="373">
        <f>Ввод!M41/VLOOKUP($B$7,$A$1:$B$3,2,0)</f>
        <v>0</v>
      </c>
      <c r="M75" s="373">
        <f>Ввод!N41/VLOOKUP($B$7,$A$1:$B$3,2,0)</f>
        <v>0</v>
      </c>
      <c r="N75" s="373">
        <f>Ввод!O41/VLOOKUP($B$7,$A$1:$B$3,2,0)</f>
        <v>0</v>
      </c>
      <c r="O75" s="373">
        <f>Ввод!P41/VLOOKUP($B$7,$A$1:$B$3,2,0)</f>
        <v>0</v>
      </c>
      <c r="P75" s="373"/>
      <c r="Q75" s="634"/>
      <c r="R75" s="634">
        <f t="shared" si="55"/>
        <v>1.2632796298071083E-2</v>
      </c>
      <c r="S75" s="634">
        <f t="shared" si="56"/>
        <v>9.148858606834509E-3</v>
      </c>
      <c r="T75" s="634">
        <f t="shared" si="57"/>
        <v>7.0087603876016523E-3</v>
      </c>
      <c r="U75" s="634">
        <f t="shared" si="58"/>
        <v>7.8172531191064666E-4</v>
      </c>
      <c r="V75" s="634">
        <f t="shared" si="59"/>
        <v>1.8475653327250949E-3</v>
      </c>
      <c r="W75" s="634">
        <f t="shared" si="60"/>
        <v>0</v>
      </c>
      <c r="X75" s="634">
        <f t="shared" si="61"/>
        <v>0</v>
      </c>
      <c r="Y75" s="634">
        <f t="shared" si="62"/>
        <v>0</v>
      </c>
      <c r="Z75" s="634">
        <f t="shared" si="63"/>
        <v>0</v>
      </c>
      <c r="AA75" s="634" t="e">
        <f t="shared" si="64"/>
        <v>#DIV/0!</v>
      </c>
      <c r="AB75" s="7"/>
    </row>
    <row r="76" spans="1:28" s="2" customFormat="1" ht="15.75" customHeight="1" x14ac:dyDescent="0.25">
      <c r="A76" s="343" t="s">
        <v>531</v>
      </c>
      <c r="B76" s="343" t="s">
        <v>28</v>
      </c>
      <c r="C76" s="343"/>
      <c r="D76" s="344"/>
      <c r="E76" s="390"/>
      <c r="F76" s="390">
        <f>SUM(F77:F89)</f>
        <v>49.870344000000003</v>
      </c>
      <c r="G76" s="390">
        <f t="shared" ref="G76:O76" si="70">SUM(G77:G89)</f>
        <v>63.876245999999995</v>
      </c>
      <c r="H76" s="390">
        <f t="shared" si="70"/>
        <v>65.479410000000001</v>
      </c>
      <c r="I76" s="390">
        <f t="shared" si="70"/>
        <v>73.163478999999995</v>
      </c>
      <c r="J76" s="390">
        <f t="shared" si="70"/>
        <v>72.727427000000006</v>
      </c>
      <c r="K76" s="390">
        <f t="shared" si="70"/>
        <v>78.197317000000012</v>
      </c>
      <c r="L76" s="390">
        <f t="shared" si="70"/>
        <v>76.648270999999994</v>
      </c>
      <c r="M76" s="390">
        <f t="shared" si="70"/>
        <v>92.638407000000001</v>
      </c>
      <c r="N76" s="390">
        <f t="shared" si="70"/>
        <v>105.09895999999999</v>
      </c>
      <c r="O76" s="390">
        <f t="shared" si="70"/>
        <v>0</v>
      </c>
      <c r="P76" s="390"/>
      <c r="Q76" s="633"/>
      <c r="R76" s="633">
        <f t="shared" si="55"/>
        <v>0.11274007247316822</v>
      </c>
      <c r="S76" s="633">
        <f t="shared" si="56"/>
        <v>0.14637610506046042</v>
      </c>
      <c r="T76" s="633">
        <f t="shared" si="57"/>
        <v>0.13139834905436704</v>
      </c>
      <c r="U76" s="633">
        <f t="shared" si="58"/>
        <v>0.13038255838048754</v>
      </c>
      <c r="V76" s="633">
        <f t="shared" si="59"/>
        <v>0.12243148103144785</v>
      </c>
      <c r="W76" s="633">
        <f t="shared" si="60"/>
        <v>0.1196456162530823</v>
      </c>
      <c r="X76" s="633">
        <f t="shared" si="61"/>
        <v>9.4479739363753951E-2</v>
      </c>
      <c r="Y76" s="633">
        <f t="shared" si="62"/>
        <v>0.11058861627693518</v>
      </c>
      <c r="Z76" s="633">
        <f t="shared" si="63"/>
        <v>0.11282685042210813</v>
      </c>
      <c r="AA76" s="633" t="e">
        <f t="shared" si="64"/>
        <v>#DIV/0!</v>
      </c>
      <c r="AB76" s="14"/>
    </row>
    <row r="77" spans="1:28" ht="15" outlineLevel="1" x14ac:dyDescent="0.2">
      <c r="A77" s="346"/>
      <c r="B77" s="346" t="s">
        <v>532</v>
      </c>
      <c r="C77" s="2208" t="s">
        <v>571</v>
      </c>
      <c r="D77" s="2208"/>
      <c r="E77" s="373"/>
      <c r="F77" s="373">
        <f>Ввод!G44/VLOOKUP($B$7,$A$1:$B$3,2,0)</f>
        <v>38.015396000000003</v>
      </c>
      <c r="G77" s="373">
        <f>Ввод!H44/VLOOKUP($B$7,$A$1:$B$3,2,0)</f>
        <v>48.015396000000003</v>
      </c>
      <c r="H77" s="373">
        <f>Ввод!I44/VLOOKUP($B$7,$A$1:$B$3,2,0)</f>
        <v>48.015396000000003</v>
      </c>
      <c r="I77" s="373">
        <f>Ввод!J44/VLOOKUP($B$7,$A$1:$B$3,2,0)</f>
        <v>48.015396000000003</v>
      </c>
      <c r="J77" s="373">
        <f>Ввод!K44/VLOOKUP($B$7,$A$1:$B$3,2,0)</f>
        <v>48.015396000000003</v>
      </c>
      <c r="K77" s="373">
        <f>Ввод!L44/VLOOKUP($B$7,$A$1:$B$3,2,0)</f>
        <v>48.015396000000003</v>
      </c>
      <c r="L77" s="373">
        <f>Ввод!M44/VLOOKUP($B$7,$A$1:$B$3,2,0)</f>
        <v>48.015396000000003</v>
      </c>
      <c r="M77" s="373">
        <f>Ввод!N44/VLOOKUP($B$7,$A$1:$B$3,2,0)</f>
        <v>48.015396000000003</v>
      </c>
      <c r="N77" s="373">
        <f>Ввод!O44/VLOOKUP($B$7,$A$1:$B$3,2,0)</f>
        <v>48.015396000000003</v>
      </c>
      <c r="O77" s="373">
        <f>Ввод!P44/VLOOKUP($B$7,$A$1:$B$3,2,0)</f>
        <v>0</v>
      </c>
      <c r="P77" s="373"/>
      <c r="Q77" s="634"/>
      <c r="R77" s="634">
        <f t="shared" si="55"/>
        <v>8.5940022794633003E-2</v>
      </c>
      <c r="S77" s="634">
        <f t="shared" si="56"/>
        <v>0.11003005169426539</v>
      </c>
      <c r="T77" s="634">
        <f t="shared" si="57"/>
        <v>9.6353094256525218E-2</v>
      </c>
      <c r="U77" s="634">
        <f t="shared" si="58"/>
        <v>8.5566873769524113E-2</v>
      </c>
      <c r="V77" s="634">
        <f t="shared" si="59"/>
        <v>8.0830524151383171E-2</v>
      </c>
      <c r="W77" s="634">
        <f t="shared" si="60"/>
        <v>7.346584083000933E-2</v>
      </c>
      <c r="X77" s="634">
        <f t="shared" si="61"/>
        <v>5.9185706870379821E-2</v>
      </c>
      <c r="Y77" s="634">
        <f t="shared" si="62"/>
        <v>5.7319165728196175E-2</v>
      </c>
      <c r="Z77" s="634">
        <f t="shared" si="63"/>
        <v>5.1545951572216225E-2</v>
      </c>
      <c r="AA77" s="634" t="e">
        <f t="shared" si="64"/>
        <v>#DIV/0!</v>
      </c>
      <c r="AB77" s="7"/>
    </row>
    <row r="78" spans="1:28" ht="15" outlineLevel="1" x14ac:dyDescent="0.2">
      <c r="A78" s="346"/>
      <c r="B78" s="346" t="s">
        <v>533</v>
      </c>
      <c r="C78" s="2208" t="s">
        <v>572</v>
      </c>
      <c r="D78" s="2208"/>
      <c r="E78" s="373"/>
      <c r="F78" s="373">
        <f>Ввод!G45/VLOOKUP($B$7,$A$1:$B$3,2,0)</f>
        <v>0</v>
      </c>
      <c r="G78" s="373">
        <f>Ввод!H45/VLOOKUP($B$7,$A$1:$B$3,2,0)</f>
        <v>0</v>
      </c>
      <c r="H78" s="373">
        <f>Ввод!I45/VLOOKUP($B$7,$A$1:$B$3,2,0)</f>
        <v>0</v>
      </c>
      <c r="I78" s="373">
        <f>Ввод!J45/VLOOKUP($B$7,$A$1:$B$3,2,0)</f>
        <v>0</v>
      </c>
      <c r="J78" s="373">
        <f>Ввод!K45/VLOOKUP($B$7,$A$1:$B$3,2,0)</f>
        <v>0</v>
      </c>
      <c r="K78" s="373">
        <f>Ввод!L45/VLOOKUP($B$7,$A$1:$B$3,2,0)</f>
        <v>0</v>
      </c>
      <c r="L78" s="373">
        <f>Ввод!M45/VLOOKUP($B$7,$A$1:$B$3,2,0)</f>
        <v>0</v>
      </c>
      <c r="M78" s="373">
        <f>Ввод!N45/VLOOKUP($B$7,$A$1:$B$3,2,0)</f>
        <v>0</v>
      </c>
      <c r="N78" s="373">
        <f>Ввод!O45/VLOOKUP($B$7,$A$1:$B$3,2,0)</f>
        <v>0</v>
      </c>
      <c r="O78" s="373">
        <f>Ввод!P45/VLOOKUP($B$7,$A$1:$B$3,2,0)</f>
        <v>0</v>
      </c>
      <c r="P78" s="373"/>
      <c r="Q78" s="634"/>
      <c r="R78" s="634">
        <f t="shared" si="55"/>
        <v>0</v>
      </c>
      <c r="S78" s="634">
        <f t="shared" si="56"/>
        <v>0</v>
      </c>
      <c r="T78" s="634">
        <f t="shared" si="57"/>
        <v>0</v>
      </c>
      <c r="U78" s="634">
        <f t="shared" si="58"/>
        <v>0</v>
      </c>
      <c r="V78" s="634">
        <f t="shared" si="59"/>
        <v>0</v>
      </c>
      <c r="W78" s="634">
        <f t="shared" si="60"/>
        <v>0</v>
      </c>
      <c r="X78" s="634">
        <f t="shared" si="61"/>
        <v>0</v>
      </c>
      <c r="Y78" s="634">
        <f t="shared" si="62"/>
        <v>0</v>
      </c>
      <c r="Z78" s="634">
        <f t="shared" si="63"/>
        <v>0</v>
      </c>
      <c r="AA78" s="634" t="e">
        <f t="shared" si="64"/>
        <v>#DIV/0!</v>
      </c>
      <c r="AB78" s="7"/>
    </row>
    <row r="79" spans="1:28" ht="15" outlineLevel="1" x14ac:dyDescent="0.2">
      <c r="A79" s="346"/>
      <c r="B79" s="346" t="s">
        <v>534</v>
      </c>
      <c r="C79" s="2208" t="s">
        <v>32</v>
      </c>
      <c r="D79" s="2208"/>
      <c r="E79" s="373"/>
      <c r="F79" s="373">
        <f>Ввод!G46/VLOOKUP($B$7,$A$1:$B$3,2,0)</f>
        <v>0</v>
      </c>
      <c r="G79" s="373">
        <f>Ввод!H46/VLOOKUP($B$7,$A$1:$B$3,2,0)</f>
        <v>0</v>
      </c>
      <c r="H79" s="373">
        <f>Ввод!I46/VLOOKUP($B$7,$A$1:$B$3,2,0)</f>
        <v>0</v>
      </c>
      <c r="I79" s="373">
        <f>Ввод!J46/VLOOKUP($B$7,$A$1:$B$3,2,0)</f>
        <v>0</v>
      </c>
      <c r="J79" s="373">
        <f>Ввод!K46/VLOOKUP($B$7,$A$1:$B$3,2,0)</f>
        <v>0</v>
      </c>
      <c r="K79" s="373">
        <f>Ввод!L46/VLOOKUP($B$7,$A$1:$B$3,2,0)</f>
        <v>0</v>
      </c>
      <c r="L79" s="373">
        <f>Ввод!M46/VLOOKUP($B$7,$A$1:$B$3,2,0)</f>
        <v>0</v>
      </c>
      <c r="M79" s="373">
        <f>Ввод!N46/VLOOKUP($B$7,$A$1:$B$3,2,0)</f>
        <v>0</v>
      </c>
      <c r="N79" s="373">
        <f>Ввод!O46/VLOOKUP($B$7,$A$1:$B$3,2,0)</f>
        <v>0</v>
      </c>
      <c r="O79" s="373">
        <f>Ввод!P46/VLOOKUP($B$7,$A$1:$B$3,2,0)</f>
        <v>0</v>
      </c>
      <c r="P79" s="373"/>
      <c r="Q79" s="634"/>
      <c r="R79" s="634">
        <f t="shared" si="55"/>
        <v>0</v>
      </c>
      <c r="S79" s="634">
        <f t="shared" si="56"/>
        <v>0</v>
      </c>
      <c r="T79" s="634">
        <f t="shared" si="57"/>
        <v>0</v>
      </c>
      <c r="U79" s="634">
        <f t="shared" si="58"/>
        <v>0</v>
      </c>
      <c r="V79" s="634">
        <f t="shared" si="59"/>
        <v>0</v>
      </c>
      <c r="W79" s="634">
        <f t="shared" si="60"/>
        <v>0</v>
      </c>
      <c r="X79" s="634">
        <f t="shared" si="61"/>
        <v>0</v>
      </c>
      <c r="Y79" s="634">
        <f t="shared" si="62"/>
        <v>0</v>
      </c>
      <c r="Z79" s="634">
        <f t="shared" si="63"/>
        <v>0</v>
      </c>
      <c r="AA79" s="634" t="e">
        <f t="shared" si="64"/>
        <v>#DIV/0!</v>
      </c>
      <c r="AB79" s="7"/>
    </row>
    <row r="80" spans="1:28" ht="15" outlineLevel="1" x14ac:dyDescent="0.2">
      <c r="A80" s="346"/>
      <c r="B80" s="346" t="s">
        <v>535</v>
      </c>
      <c r="C80" s="2208" t="s">
        <v>33</v>
      </c>
      <c r="D80" s="2208"/>
      <c r="E80" s="373"/>
      <c r="F80" s="373">
        <f>Ввод!G47/VLOOKUP($B$7,$A$1:$B$3,2,0)</f>
        <v>0</v>
      </c>
      <c r="G80" s="373">
        <f>Ввод!H47/VLOOKUP($B$7,$A$1:$B$3,2,0)</f>
        <v>3.2534E-2</v>
      </c>
      <c r="H80" s="373">
        <f>Ввод!I47/VLOOKUP($B$7,$A$1:$B$3,2,0)</f>
        <v>7.2363999999999998E-2</v>
      </c>
      <c r="I80" s="373">
        <f>Ввод!J47/VLOOKUP($B$7,$A$1:$B$3,2,0)</f>
        <v>0.207894</v>
      </c>
      <c r="J80" s="373">
        <f>Ввод!K47/VLOOKUP($B$7,$A$1:$B$3,2,0)</f>
        <v>0.52053499999999997</v>
      </c>
      <c r="K80" s="373">
        <f>Ввод!L47/VLOOKUP($B$7,$A$1:$B$3,2,0)</f>
        <v>0.73840700000000004</v>
      </c>
      <c r="L80" s="373">
        <f>Ввод!M47/VLOOKUP($B$7,$A$1:$B$3,2,0)</f>
        <v>1.053596</v>
      </c>
      <c r="M80" s="373">
        <f>Ввод!N47/VLOOKUP($B$7,$A$1:$B$3,2,0)</f>
        <v>1.131454</v>
      </c>
      <c r="N80" s="373">
        <f>Ввод!O47/VLOOKUP($B$7,$A$1:$B$3,2,0)</f>
        <v>1.451972</v>
      </c>
      <c r="O80" s="373">
        <f>Ввод!P47/VLOOKUP($B$7,$A$1:$B$3,2,0)</f>
        <v>0</v>
      </c>
      <c r="P80" s="373"/>
      <c r="Q80" s="634"/>
      <c r="R80" s="634">
        <f t="shared" si="55"/>
        <v>0</v>
      </c>
      <c r="S80" s="634">
        <f t="shared" si="56"/>
        <v>7.4553539073617765E-5</v>
      </c>
      <c r="T80" s="634">
        <f t="shared" si="57"/>
        <v>1.452137417085801E-4</v>
      </c>
      <c r="U80" s="634">
        <f t="shared" si="58"/>
        <v>3.7048199405543685E-4</v>
      </c>
      <c r="V80" s="634">
        <f t="shared" si="59"/>
        <v>8.7628386714003648E-4</v>
      </c>
      <c r="W80" s="634">
        <f t="shared" si="60"/>
        <v>1.1297978492099637E-3</v>
      </c>
      <c r="X80" s="634">
        <f t="shared" si="61"/>
        <v>1.2987047741063033E-3</v>
      </c>
      <c r="Y80" s="634">
        <f t="shared" si="62"/>
        <v>1.3506917518670569E-3</v>
      </c>
      <c r="Z80" s="634">
        <f t="shared" si="63"/>
        <v>1.5587350023357912E-3</v>
      </c>
      <c r="AA80" s="634" t="e">
        <f t="shared" si="64"/>
        <v>#DIV/0!</v>
      </c>
      <c r="AB80" s="7"/>
    </row>
    <row r="81" spans="1:28" ht="15" outlineLevel="1" x14ac:dyDescent="0.2">
      <c r="A81" s="346"/>
      <c r="B81" s="346" t="s">
        <v>536</v>
      </c>
      <c r="C81" s="2208" t="s">
        <v>573</v>
      </c>
      <c r="D81" s="2208"/>
      <c r="E81" s="373"/>
      <c r="F81" s="373">
        <f>Ввод!G48/VLOOKUP($B$7,$A$1:$B$3,2,0)</f>
        <v>6.1833030000000004</v>
      </c>
      <c r="G81" s="373">
        <f>Ввод!H48/VLOOKUP($B$7,$A$1:$B$3,2,0)</f>
        <v>9.392614</v>
      </c>
      <c r="H81" s="373">
        <f>Ввод!I48/VLOOKUP($B$7,$A$1:$B$3,2,0)</f>
        <v>8.2853860000000008</v>
      </c>
      <c r="I81" s="373">
        <f>Ввод!J48/VLOOKUP($B$7,$A$1:$B$3,2,0)</f>
        <v>6.3541270000000001</v>
      </c>
      <c r="J81" s="373">
        <f>Ввод!K48/VLOOKUP($B$7,$A$1:$B$3,2,0)</f>
        <v>1.646306</v>
      </c>
      <c r="K81" s="373">
        <f>Ввод!L48/VLOOKUP($B$7,$A$1:$B$3,2,0)</f>
        <v>0.79329000000000005</v>
      </c>
      <c r="L81" s="373">
        <f>Ввод!M48/VLOOKUP($B$7,$A$1:$B$3,2,0)</f>
        <v>-3.7894999999999999</v>
      </c>
      <c r="M81" s="373">
        <f>Ввод!N48/VLOOKUP($B$7,$A$1:$B$3,2,0)</f>
        <v>5.5952060000000001</v>
      </c>
      <c r="N81" s="373">
        <f>Ввод!O48/VLOOKUP($B$7,$A$1:$B$3,2,0)</f>
        <v>2.0174910000000001</v>
      </c>
      <c r="O81" s="373">
        <f>Ввод!P48/VLOOKUP($B$7,$A$1:$B$3,2,0)</f>
        <v>0</v>
      </c>
      <c r="P81" s="373"/>
      <c r="Q81" s="634"/>
      <c r="R81" s="634">
        <f t="shared" si="55"/>
        <v>1.3978368152895807E-2</v>
      </c>
      <c r="S81" s="634">
        <f t="shared" si="56"/>
        <v>2.1523717183635865E-2</v>
      </c>
      <c r="T81" s="634">
        <f t="shared" si="57"/>
        <v>1.6626387465589046E-2</v>
      </c>
      <c r="U81" s="634">
        <f t="shared" si="58"/>
        <v>1.1323509295321129E-2</v>
      </c>
      <c r="V81" s="634">
        <f t="shared" si="59"/>
        <v>2.7714397459841218E-3</v>
      </c>
      <c r="W81" s="634">
        <f t="shared" si="60"/>
        <v>1.2137714509745604E-3</v>
      </c>
      <c r="X81" s="634">
        <f t="shared" si="61"/>
        <v>-4.6710900017424475E-3</v>
      </c>
      <c r="Y81" s="634">
        <f t="shared" si="62"/>
        <v>6.6793688423895875E-3</v>
      </c>
      <c r="Z81" s="634">
        <f t="shared" si="63"/>
        <v>2.1658364201220391E-3</v>
      </c>
      <c r="AA81" s="634" t="e">
        <f t="shared" si="64"/>
        <v>#DIV/0!</v>
      </c>
      <c r="AB81" s="7"/>
    </row>
    <row r="82" spans="1:28" ht="15" outlineLevel="1" x14ac:dyDescent="0.2">
      <c r="A82" s="346"/>
      <c r="B82" s="346" t="s">
        <v>537</v>
      </c>
      <c r="C82" s="2208" t="s">
        <v>574</v>
      </c>
      <c r="D82" s="2208"/>
      <c r="E82" s="373"/>
      <c r="F82" s="373">
        <f>Ввод!G49/VLOOKUP($B$7,$A$1:$B$3,2,0)</f>
        <v>4.4130000000000003E-3</v>
      </c>
      <c r="G82" s="373">
        <f>Ввод!H49/VLOOKUP($B$7,$A$1:$B$3,2,0)</f>
        <v>4.3860000000000001E-3</v>
      </c>
      <c r="H82" s="373">
        <f>Ввод!I49/VLOOKUP($B$7,$A$1:$B$3,2,0)</f>
        <v>4.163E-3</v>
      </c>
      <c r="I82" s="373">
        <f>Ввод!J49/VLOOKUP($B$7,$A$1:$B$3,2,0)</f>
        <v>4.163E-3</v>
      </c>
      <c r="J82" s="373">
        <f>Ввод!K49/VLOOKUP($B$7,$A$1:$B$3,2,0)</f>
        <v>3.725E-3</v>
      </c>
      <c r="K82" s="373">
        <f>Ввод!L49/VLOOKUP($B$7,$A$1:$B$3,2,0)</f>
        <v>3.725E-3</v>
      </c>
      <c r="L82" s="373">
        <f>Ввод!M49/VLOOKUP($B$7,$A$1:$B$3,2,0)</f>
        <v>1.4982690000000001</v>
      </c>
      <c r="M82" s="373">
        <f>Ввод!N49/VLOOKUP($B$7,$A$1:$B$3,2,0)</f>
        <v>1.6196619999999999</v>
      </c>
      <c r="N82" s="373">
        <f>Ввод!O49/VLOOKUP($B$7,$A$1:$B$3,2,0)</f>
        <v>1.8551009999999999</v>
      </c>
      <c r="O82" s="373">
        <f>Ввод!P49/VLOOKUP($B$7,$A$1:$B$3,2,0)</f>
        <v>0</v>
      </c>
      <c r="P82" s="373"/>
      <c r="Q82" s="634"/>
      <c r="R82" s="634">
        <f t="shared" si="55"/>
        <v>9.9763085617394451E-6</v>
      </c>
      <c r="S82" s="634">
        <f t="shared" si="56"/>
        <v>1.0050772188384075E-5</v>
      </c>
      <c r="T82" s="634">
        <f t="shared" si="57"/>
        <v>8.3539440430714019E-6</v>
      </c>
      <c r="U82" s="634">
        <f t="shared" si="58"/>
        <v>7.4187640877215483E-6</v>
      </c>
      <c r="V82" s="634">
        <f t="shared" si="59"/>
        <v>6.2707741171998729E-6</v>
      </c>
      <c r="W82" s="634">
        <f t="shared" si="60"/>
        <v>5.6994272647836696E-6</v>
      </c>
      <c r="X82" s="634">
        <f t="shared" si="61"/>
        <v>1.8468265855180513E-3</v>
      </c>
      <c r="Y82" s="634">
        <f t="shared" si="62"/>
        <v>1.9334980513679753E-3</v>
      </c>
      <c r="Z82" s="634">
        <f t="shared" si="63"/>
        <v>1.9915059392110373E-3</v>
      </c>
      <c r="AA82" s="634" t="e">
        <f t="shared" si="64"/>
        <v>#DIV/0!</v>
      </c>
      <c r="AB82" s="7"/>
    </row>
    <row r="83" spans="1:28" ht="15" outlineLevel="1" x14ac:dyDescent="0.2">
      <c r="A83" s="346"/>
      <c r="B83" s="346" t="s">
        <v>538</v>
      </c>
      <c r="C83" s="2208" t="s">
        <v>1050</v>
      </c>
      <c r="D83" s="2208"/>
      <c r="E83" s="373"/>
      <c r="F83" s="373">
        <f>Ввод!G50/VLOOKUP($B$7,$A$1:$B$3,2,0)</f>
        <v>0</v>
      </c>
      <c r="G83" s="373">
        <f>Ввод!H50/VLOOKUP($B$7,$A$1:$B$3,2,0)</f>
        <v>0</v>
      </c>
      <c r="H83" s="373">
        <f>Ввод!I50/VLOOKUP($B$7,$A$1:$B$3,2,0)</f>
        <v>0</v>
      </c>
      <c r="I83" s="373">
        <f>Ввод!J50/VLOOKUP($B$7,$A$1:$B$3,2,0)</f>
        <v>0</v>
      </c>
      <c r="J83" s="373">
        <f>Ввод!K50/VLOOKUP($B$7,$A$1:$B$3,2,0)</f>
        <v>0</v>
      </c>
      <c r="K83" s="373">
        <f>Ввод!L50/VLOOKUP($B$7,$A$1:$B$3,2,0)</f>
        <v>0</v>
      </c>
      <c r="L83" s="373">
        <f>Ввод!M50/VLOOKUP($B$7,$A$1:$B$3,2,0)</f>
        <v>0</v>
      </c>
      <c r="M83" s="373">
        <f>Ввод!N50/VLOOKUP($B$7,$A$1:$B$3,2,0)</f>
        <v>0</v>
      </c>
      <c r="N83" s="373">
        <f>Ввод!O50/VLOOKUP($B$7,$A$1:$B$3,2,0)</f>
        <v>0</v>
      </c>
      <c r="O83" s="373">
        <f>Ввод!P50/VLOOKUP($B$7,$A$1:$B$3,2,0)</f>
        <v>0</v>
      </c>
      <c r="P83" s="373"/>
      <c r="Q83" s="634"/>
      <c r="R83" s="634">
        <f t="shared" si="55"/>
        <v>0</v>
      </c>
      <c r="S83" s="634">
        <f t="shared" si="56"/>
        <v>0</v>
      </c>
      <c r="T83" s="634">
        <f t="shared" si="57"/>
        <v>0</v>
      </c>
      <c r="U83" s="634">
        <f t="shared" si="58"/>
        <v>0</v>
      </c>
      <c r="V83" s="634">
        <f t="shared" si="59"/>
        <v>0</v>
      </c>
      <c r="W83" s="634">
        <f t="shared" si="60"/>
        <v>0</v>
      </c>
      <c r="X83" s="634">
        <f t="shared" si="61"/>
        <v>0</v>
      </c>
      <c r="Y83" s="634">
        <f t="shared" si="62"/>
        <v>0</v>
      </c>
      <c r="Z83" s="634">
        <f t="shared" si="63"/>
        <v>0</v>
      </c>
      <c r="AA83" s="634" t="e">
        <f t="shared" si="64"/>
        <v>#DIV/0!</v>
      </c>
      <c r="AB83" s="7"/>
    </row>
    <row r="84" spans="1:28" ht="15" outlineLevel="1" x14ac:dyDescent="0.2">
      <c r="A84" s="346"/>
      <c r="B84" s="346" t="s">
        <v>539</v>
      </c>
      <c r="C84" s="2208" t="s">
        <v>1051</v>
      </c>
      <c r="D84" s="2208"/>
      <c r="E84" s="373"/>
      <c r="F84" s="373">
        <f>Ввод!G51/VLOOKUP($B$7,$A$1:$B$3,2,0)</f>
        <v>0</v>
      </c>
      <c r="G84" s="373">
        <f>Ввод!H51/VLOOKUP($B$7,$A$1:$B$3,2,0)</f>
        <v>0</v>
      </c>
      <c r="H84" s="373">
        <f>Ввод!I51/VLOOKUP($B$7,$A$1:$B$3,2,0)</f>
        <v>0</v>
      </c>
      <c r="I84" s="373">
        <f>Ввод!J51/VLOOKUP($B$7,$A$1:$B$3,2,0)</f>
        <v>0</v>
      </c>
      <c r="J84" s="373">
        <f>Ввод!K51/VLOOKUP($B$7,$A$1:$B$3,2,0)</f>
        <v>0</v>
      </c>
      <c r="K84" s="373">
        <f>Ввод!L51/VLOOKUP($B$7,$A$1:$B$3,2,0)</f>
        <v>0</v>
      </c>
      <c r="L84" s="373">
        <f>Ввод!M51/VLOOKUP($B$7,$A$1:$B$3,2,0)</f>
        <v>0</v>
      </c>
      <c r="M84" s="373">
        <f>Ввод!N51/VLOOKUP($B$7,$A$1:$B$3,2,0)</f>
        <v>0</v>
      </c>
      <c r="N84" s="373">
        <f>Ввод!O51/VLOOKUP($B$7,$A$1:$B$3,2,0)</f>
        <v>0</v>
      </c>
      <c r="O84" s="373">
        <f>Ввод!P51/VLOOKUP($B$7,$A$1:$B$3,2,0)</f>
        <v>0</v>
      </c>
      <c r="P84" s="373"/>
      <c r="Q84" s="634"/>
      <c r="R84" s="634">
        <f t="shared" si="55"/>
        <v>0</v>
      </c>
      <c r="S84" s="634">
        <f t="shared" si="56"/>
        <v>0</v>
      </c>
      <c r="T84" s="634">
        <f t="shared" si="57"/>
        <v>0</v>
      </c>
      <c r="U84" s="634">
        <f t="shared" si="58"/>
        <v>0</v>
      </c>
      <c r="V84" s="634">
        <f t="shared" si="59"/>
        <v>0</v>
      </c>
      <c r="W84" s="634">
        <f t="shared" si="60"/>
        <v>0</v>
      </c>
      <c r="X84" s="634">
        <f t="shared" si="61"/>
        <v>0</v>
      </c>
      <c r="Y84" s="634">
        <f t="shared" si="62"/>
        <v>0</v>
      </c>
      <c r="Z84" s="634">
        <f t="shared" si="63"/>
        <v>0</v>
      </c>
      <c r="AA84" s="634" t="e">
        <f t="shared" si="64"/>
        <v>#DIV/0!</v>
      </c>
      <c r="AB84" s="7"/>
    </row>
    <row r="85" spans="1:28" ht="15" outlineLevel="1" x14ac:dyDescent="0.2">
      <c r="A85" s="346"/>
      <c r="B85" s="346" t="s">
        <v>1057</v>
      </c>
      <c r="C85" s="2208" t="s">
        <v>1060</v>
      </c>
      <c r="D85" s="2208"/>
      <c r="E85" s="373"/>
      <c r="F85" s="373">
        <f>Ввод!G52/VLOOKUP($B$7,$A$1:$B$3,2,0)</f>
        <v>4.2108369999999997</v>
      </c>
      <c r="G85" s="373">
        <f>Ввод!H52/VLOOKUP($B$7,$A$1:$B$3,2,0)</f>
        <v>4.2108369999999997</v>
      </c>
      <c r="H85" s="373">
        <f>Ввод!I52/VLOOKUP($B$7,$A$1:$B$3,2,0)</f>
        <v>4.2108369999999997</v>
      </c>
      <c r="I85" s="373">
        <f>Ввод!J52/VLOOKUP($B$7,$A$1:$B$3,2,0)</f>
        <v>4.2108369999999997</v>
      </c>
      <c r="J85" s="373">
        <f>Ввод!K52/VLOOKUP($B$7,$A$1:$B$3,2,0)</f>
        <v>4.2108369999999997</v>
      </c>
      <c r="K85" s="373">
        <f>Ввод!L52/VLOOKUP($B$7,$A$1:$B$3,2,0)</f>
        <v>4.2108369999999997</v>
      </c>
      <c r="L85" s="373">
        <f>Ввод!M52/VLOOKUP($B$7,$A$1:$B$3,2,0)</f>
        <v>4.2108369999999997</v>
      </c>
      <c r="M85" s="373">
        <f>Ввод!N52/VLOOKUP($B$7,$A$1:$B$3,2,0)</f>
        <v>4.2108369999999997</v>
      </c>
      <c r="N85" s="373">
        <f>Ввод!O52/VLOOKUP($B$7,$A$1:$B$3,2,0)</f>
        <v>4.2108369999999997</v>
      </c>
      <c r="O85" s="373">
        <f>Ввод!P52/VLOOKUP($B$7,$A$1:$B$3,2,0)</f>
        <v>0</v>
      </c>
      <c r="P85" s="373"/>
      <c r="Q85" s="634"/>
      <c r="R85" s="634">
        <f t="shared" si="55"/>
        <v>9.5192860220233936E-3</v>
      </c>
      <c r="S85" s="634">
        <f t="shared" si="56"/>
        <v>9.6493760623389494E-3</v>
      </c>
      <c r="T85" s="634">
        <f t="shared" si="57"/>
        <v>8.4499391478488235E-3</v>
      </c>
      <c r="U85" s="634">
        <f t="shared" si="58"/>
        <v>7.5040130470451927E-3</v>
      </c>
      <c r="V85" s="634">
        <f t="shared" si="59"/>
        <v>7.0886463547241768E-3</v>
      </c>
      <c r="W85" s="634">
        <f t="shared" si="60"/>
        <v>6.4427809947274822E-3</v>
      </c>
      <c r="X85" s="634">
        <f t="shared" si="61"/>
        <v>5.190446921669656E-3</v>
      </c>
      <c r="Y85" s="634">
        <f t="shared" si="62"/>
        <v>5.026755665149994E-3</v>
      </c>
      <c r="Z85" s="634">
        <f t="shared" si="63"/>
        <v>4.5204583979791867E-3</v>
      </c>
      <c r="AA85" s="634" t="e">
        <f t="shared" si="64"/>
        <v>#DIV/0!</v>
      </c>
      <c r="AB85" s="7"/>
    </row>
    <row r="86" spans="1:28" ht="15" outlineLevel="1" x14ac:dyDescent="0.2">
      <c r="A86" s="346"/>
      <c r="B86" s="346" t="s">
        <v>1058</v>
      </c>
      <c r="C86" s="2208" t="s">
        <v>1398</v>
      </c>
      <c r="D86" s="2208"/>
      <c r="E86" s="373"/>
      <c r="F86" s="373">
        <f>Ввод!G53/VLOOKUP($B$7,$A$1:$B$3,2,0)</f>
        <v>0</v>
      </c>
      <c r="G86" s="373">
        <f>Ввод!H53/VLOOKUP($B$7,$A$1:$B$3,2,0)</f>
        <v>0</v>
      </c>
      <c r="H86" s="373">
        <f>Ввод!I53/VLOOKUP($B$7,$A$1:$B$3,2,0)</f>
        <v>0</v>
      </c>
      <c r="I86" s="373">
        <f>Ввод!J53/VLOOKUP($B$7,$A$1:$B$3,2,0)</f>
        <v>0</v>
      </c>
      <c r="J86" s="373">
        <f>Ввод!K53/VLOOKUP($B$7,$A$1:$B$3,2,0)</f>
        <v>0</v>
      </c>
      <c r="K86" s="373">
        <f>Ввод!L53/VLOOKUP($B$7,$A$1:$B$3,2,0)</f>
        <v>0</v>
      </c>
      <c r="L86" s="373">
        <f>Ввод!M53/VLOOKUP($B$7,$A$1:$B$3,2,0)</f>
        <v>0</v>
      </c>
      <c r="M86" s="373">
        <f>Ввод!N53/VLOOKUP($B$7,$A$1:$B$3,2,0)</f>
        <v>0</v>
      </c>
      <c r="N86" s="373">
        <f>Ввод!O53/VLOOKUP($B$7,$A$1:$B$3,2,0)</f>
        <v>0</v>
      </c>
      <c r="O86" s="373">
        <f>Ввод!P53/VLOOKUP($B$7,$A$1:$B$3,2,0)</f>
        <v>0</v>
      </c>
      <c r="P86" s="373"/>
      <c r="Q86" s="634"/>
      <c r="R86" s="634">
        <f t="shared" si="55"/>
        <v>0</v>
      </c>
      <c r="S86" s="634">
        <f t="shared" si="56"/>
        <v>0</v>
      </c>
      <c r="T86" s="634">
        <f t="shared" si="57"/>
        <v>0</v>
      </c>
      <c r="U86" s="634">
        <f t="shared" si="58"/>
        <v>0</v>
      </c>
      <c r="V86" s="634">
        <f t="shared" si="59"/>
        <v>0</v>
      </c>
      <c r="W86" s="634">
        <f t="shared" si="60"/>
        <v>0</v>
      </c>
      <c r="X86" s="634">
        <f t="shared" si="61"/>
        <v>0</v>
      </c>
      <c r="Y86" s="634">
        <f t="shared" si="62"/>
        <v>0</v>
      </c>
      <c r="Z86" s="634">
        <f t="shared" si="63"/>
        <v>0</v>
      </c>
      <c r="AA86" s="634" t="e">
        <f t="shared" si="64"/>
        <v>#DIV/0!</v>
      </c>
      <c r="AB86" s="7"/>
    </row>
    <row r="87" spans="1:28" ht="15" outlineLevel="1" x14ac:dyDescent="0.2">
      <c r="A87" s="346"/>
      <c r="B87" s="346" t="s">
        <v>1059</v>
      </c>
      <c r="C87" s="2208" t="s">
        <v>1399</v>
      </c>
      <c r="D87" s="2208"/>
      <c r="E87" s="373"/>
      <c r="F87" s="373">
        <f>Ввод!G55/VLOOKUP($B$7,$A$1:$B$3,2,0)</f>
        <v>0</v>
      </c>
      <c r="G87" s="373">
        <f>Ввод!H55/VLOOKUP($B$7,$A$1:$B$3,2,0)</f>
        <v>0</v>
      </c>
      <c r="H87" s="373">
        <f>Ввод!I55/VLOOKUP($B$7,$A$1:$B$3,2,0)</f>
        <v>0</v>
      </c>
      <c r="I87" s="373">
        <f>Ввод!J55/VLOOKUP($B$7,$A$1:$B$3,2,0)</f>
        <v>0.120902</v>
      </c>
      <c r="J87" s="373">
        <f>Ввод!K55/VLOOKUP($B$7,$A$1:$B$3,2,0)</f>
        <v>3.5233E-2</v>
      </c>
      <c r="K87" s="373">
        <f>Ввод!L55/VLOOKUP($B$7,$A$1:$B$3,2,0)</f>
        <v>5.4359999999999999E-2</v>
      </c>
      <c r="L87" s="373">
        <f>Ввод!M55/VLOOKUP($B$7,$A$1:$B$3,2,0)</f>
        <v>3.6257999999999999E-2</v>
      </c>
      <c r="M87" s="373">
        <f>Ввод!N55/VLOOKUP($B$7,$A$1:$B$3,2,0)</f>
        <v>9.2026999999999998E-2</v>
      </c>
      <c r="N87" s="373">
        <f>Ввод!O55/VLOOKUP($B$7,$A$1:$B$3,2,0)</f>
        <v>0.474163</v>
      </c>
      <c r="O87" s="373">
        <f>Ввод!P55/VLOOKUP($B$7,$A$1:$B$3,2,0)</f>
        <v>0</v>
      </c>
      <c r="P87" s="373"/>
      <c r="Q87" s="634"/>
      <c r="R87" s="634">
        <f t="shared" si="55"/>
        <v>0</v>
      </c>
      <c r="S87" s="634">
        <f t="shared" si="56"/>
        <v>0</v>
      </c>
      <c r="T87" s="634">
        <f t="shared" si="57"/>
        <v>0</v>
      </c>
      <c r="U87" s="634">
        <f t="shared" si="58"/>
        <v>2.1545602107463622E-4</v>
      </c>
      <c r="V87" s="634">
        <f t="shared" si="59"/>
        <v>5.9312264287598158E-5</v>
      </c>
      <c r="W87" s="634">
        <f t="shared" si="60"/>
        <v>8.3173386876145037E-5</v>
      </c>
      <c r="X87" s="634">
        <f t="shared" si="61"/>
        <v>4.4693068025643929E-5</v>
      </c>
      <c r="Y87" s="634">
        <f t="shared" si="62"/>
        <v>1.0985873915251494E-4</v>
      </c>
      <c r="Z87" s="634">
        <f t="shared" si="63"/>
        <v>5.0902804249155337E-4</v>
      </c>
      <c r="AA87" s="634" t="e">
        <f t="shared" si="64"/>
        <v>#DIV/0!</v>
      </c>
      <c r="AB87" s="7"/>
    </row>
    <row r="88" spans="1:28" ht="15" outlineLevel="1" x14ac:dyDescent="0.2">
      <c r="A88" s="346"/>
      <c r="B88" s="346" t="s">
        <v>1400</v>
      </c>
      <c r="C88" s="2208" t="s">
        <v>1538</v>
      </c>
      <c r="D88" s="2208"/>
      <c r="E88" s="373"/>
      <c r="F88" s="373">
        <f>IF(F8&lt;2019,Ввод!G56+Ввод!G57,Ввод!G58)/VLOOKUP($B$7,$A$1:$B$3,2,0)</f>
        <v>1.4563950000000001</v>
      </c>
      <c r="G88" s="373">
        <f>IF(G8&lt;2019,Ввод!H56+Ввод!H57,Ввод!H58)/VLOOKUP($B$7,$A$1:$B$3,2,0)</f>
        <v>2.2204790000000001</v>
      </c>
      <c r="H88" s="373">
        <f>IF(H8&lt;2019,Ввод!I56+Ввод!I57,Ввод!I58)/VLOOKUP($B$7,$A$1:$B$3,2,0)</f>
        <v>4.8912639999999996</v>
      </c>
      <c r="I88" s="373">
        <f>IF(I8&lt;2019,Ввод!J56+Ввод!J57,Ввод!J58)/VLOOKUP($B$7,$A$1:$B$3,2,0)</f>
        <v>14.250159999999999</v>
      </c>
      <c r="J88" s="373">
        <f>IF(J8&lt;2019,Ввод!K56+Ввод!K57,Ввод!K58)/VLOOKUP($B$7,$A$1:$B$3,2,0)</f>
        <v>18.295394999999999</v>
      </c>
      <c r="K88" s="373">
        <f>IF(K8&lt;2019,Ввод!L56+Ввод!L57,Ввод!L58)/VLOOKUP($B$7,$A$1:$B$3,2,0)</f>
        <v>24.381302000000002</v>
      </c>
      <c r="L88" s="373">
        <f>IF(L8&lt;2019,Ввод!M56+Ввод!M57,Ввод!M58)/VLOOKUP($B$7,$A$1:$B$3,2,0)</f>
        <v>25.623415000000001</v>
      </c>
      <c r="M88" s="373">
        <f>IF(M8&lt;2019,Ввод!N56+Ввод!N57,Ввод!N58)/VLOOKUP($B$7,$A$1:$B$3,2,0)</f>
        <v>31.973825000000001</v>
      </c>
      <c r="N88" s="373">
        <f>IF(N8&lt;2019,Ввод!O56+Ввод!O57,Ввод!O58)/VLOOKUP($B$7,$A$1:$B$3,2,0)</f>
        <v>47.073999999999998</v>
      </c>
      <c r="O88" s="373">
        <f>IF(O8&lt;2019,Ввод!P56+Ввод!P57,Ввод!P58)/VLOOKUP($B$7,$A$1:$B$3,2,0)</f>
        <v>0</v>
      </c>
      <c r="P88" s="373"/>
      <c r="Q88" s="634"/>
      <c r="R88" s="634">
        <f t="shared" si="55"/>
        <v>3.2924191950542761E-3</v>
      </c>
      <c r="S88" s="634">
        <f t="shared" si="56"/>
        <v>5.0883558089582495E-3</v>
      </c>
      <c r="T88" s="634">
        <f t="shared" si="57"/>
        <v>9.8153604986523178E-3</v>
      </c>
      <c r="U88" s="634">
        <f t="shared" si="58"/>
        <v>2.5394805489379314E-2</v>
      </c>
      <c r="V88" s="634">
        <f t="shared" si="59"/>
        <v>3.0799003873811535E-2</v>
      </c>
      <c r="W88" s="634">
        <f t="shared" si="60"/>
        <v>3.730455231402003E-2</v>
      </c>
      <c r="X88" s="634">
        <f t="shared" si="61"/>
        <v>3.158445114579693E-2</v>
      </c>
      <c r="Y88" s="634">
        <f t="shared" si="62"/>
        <v>3.8169277498811882E-2</v>
      </c>
      <c r="Z88" s="634">
        <f t="shared" si="63"/>
        <v>5.0535335047752317E-2</v>
      </c>
      <c r="AA88" s="634" t="e">
        <f t="shared" si="64"/>
        <v>#DIV/0!</v>
      </c>
      <c r="AB88" s="7"/>
    </row>
    <row r="89" spans="1:28" ht="15.75" outlineLevel="1" x14ac:dyDescent="0.2">
      <c r="A89" s="346"/>
      <c r="B89" s="1862"/>
      <c r="C89" s="1863" t="s">
        <v>3338</v>
      </c>
      <c r="D89" s="1864"/>
      <c r="E89" s="373"/>
      <c r="F89" s="373">
        <f>Ввод!G59/VLOOKUP($B$7,$A$1:$B$3,2,0)</f>
        <v>0</v>
      </c>
      <c r="G89" s="373">
        <f>Ввод!H59/VLOOKUP($B$7,$A$1:$B$3,2,0)</f>
        <v>0</v>
      </c>
      <c r="H89" s="373">
        <f>Ввод!I59/VLOOKUP($B$7,$A$1:$B$3,2,0)</f>
        <v>0</v>
      </c>
      <c r="I89" s="373">
        <f>Ввод!J59/VLOOKUP($B$7,$A$1:$B$3,2,0)</f>
        <v>0</v>
      </c>
      <c r="J89" s="373">
        <f>Ввод!K59/VLOOKUP($B$7,$A$1:$B$3,2,0)</f>
        <v>0</v>
      </c>
      <c r="K89" s="373">
        <f>Ввод!L59/VLOOKUP($B$7,$A$1:$B$3,2,0)</f>
        <v>0</v>
      </c>
      <c r="L89" s="1865">
        <f>Ввод!M59/VLOOKUP($B$7,$A$1:$B$3,2,0)</f>
        <v>0</v>
      </c>
      <c r="M89" s="1865">
        <f>Ввод!N59/VLOOKUP($B$7,$A$1:$B$3,2,0)</f>
        <v>0</v>
      </c>
      <c r="N89" s="1865">
        <f>Ввод!O59/VLOOKUP($B$7,$A$1:$B$3,2,0)</f>
        <v>0</v>
      </c>
      <c r="O89" s="1865">
        <f>Ввод!P59/VLOOKUP($B$7,$A$1:$B$3,2,0)</f>
        <v>0</v>
      </c>
      <c r="P89" s="373"/>
      <c r="Q89" s="634"/>
      <c r="R89" s="634">
        <f t="shared" si="55"/>
        <v>0</v>
      </c>
      <c r="S89" s="634">
        <f t="shared" si="56"/>
        <v>0</v>
      </c>
      <c r="T89" s="634">
        <f t="shared" si="57"/>
        <v>0</v>
      </c>
      <c r="U89" s="634">
        <f t="shared" si="58"/>
        <v>0</v>
      </c>
      <c r="V89" s="634">
        <f t="shared" si="59"/>
        <v>0</v>
      </c>
      <c r="W89" s="634">
        <f t="shared" si="60"/>
        <v>0</v>
      </c>
      <c r="X89" s="634">
        <f t="shared" si="61"/>
        <v>0</v>
      </c>
      <c r="Y89" s="634">
        <f t="shared" si="62"/>
        <v>0</v>
      </c>
      <c r="Z89" s="634">
        <f t="shared" si="63"/>
        <v>0</v>
      </c>
      <c r="AA89" s="634" t="e">
        <f t="shared" si="64"/>
        <v>#DIV/0!</v>
      </c>
      <c r="AB89" s="7"/>
    </row>
    <row r="90" spans="1:28" s="367" customFormat="1" ht="26.25" customHeight="1" x14ac:dyDescent="0.25">
      <c r="A90" s="363"/>
      <c r="B90" s="364" t="s">
        <v>365</v>
      </c>
      <c r="C90" s="365"/>
      <c r="D90" s="366"/>
      <c r="E90" s="374"/>
      <c r="F90" s="374">
        <f t="shared" ref="F90" si="71">SUM(F47,F50,F54,F62,F70,F76:F76)</f>
        <v>442.34798599999999</v>
      </c>
      <c r="G90" s="374">
        <f t="shared" ref="G90:K90" si="72">SUM(G47,G50,G54,G62,G70,G76:G76)</f>
        <v>436.38438100000002</v>
      </c>
      <c r="H90" s="374">
        <f t="shared" si="72"/>
        <v>498.327494</v>
      </c>
      <c r="I90" s="374">
        <f t="shared" si="72"/>
        <v>561.14467999999999</v>
      </c>
      <c r="J90" s="374">
        <f t="shared" si="72"/>
        <v>594.02554299999997</v>
      </c>
      <c r="K90" s="374">
        <f t="shared" si="72"/>
        <v>653.57444299999997</v>
      </c>
      <c r="L90" s="374">
        <f t="shared" ref="L90:O90" si="73">SUM(L47,L50,L54,L62,L70,L76:L76)</f>
        <v>811.266749</v>
      </c>
      <c r="M90" s="374">
        <f t="shared" si="73"/>
        <v>837.68483700000002</v>
      </c>
      <c r="N90" s="374">
        <f t="shared" si="73"/>
        <v>931.50663700000007</v>
      </c>
      <c r="O90" s="374">
        <f t="shared" si="73"/>
        <v>0</v>
      </c>
      <c r="P90" s="374"/>
      <c r="Q90" s="637"/>
      <c r="R90" s="637">
        <f t="shared" ref="R90:W90" si="74">SUM(R47,R50,R54,R62,R70,R76:R76)</f>
        <v>1.0000000000000002</v>
      </c>
      <c r="S90" s="637">
        <f t="shared" si="74"/>
        <v>0.99999999999999989</v>
      </c>
      <c r="T90" s="637">
        <f t="shared" si="74"/>
        <v>1</v>
      </c>
      <c r="U90" s="637">
        <f t="shared" si="74"/>
        <v>0.99999999999999989</v>
      </c>
      <c r="V90" s="638">
        <f t="shared" si="74"/>
        <v>1</v>
      </c>
      <c r="W90" s="638">
        <f t="shared" si="74"/>
        <v>1.0000000000000002</v>
      </c>
      <c r="X90" s="638">
        <f t="shared" ref="X90:AA90" si="75">SUM(X47,X50,X54,X62,X70,X76:X76)</f>
        <v>0.99999999999999989</v>
      </c>
      <c r="Y90" s="638">
        <f t="shared" si="75"/>
        <v>1</v>
      </c>
      <c r="Z90" s="638">
        <f t="shared" si="75"/>
        <v>1</v>
      </c>
      <c r="AA90" s="638" t="e">
        <f t="shared" si="75"/>
        <v>#DIV/0!</v>
      </c>
      <c r="AB90" s="368"/>
    </row>
    <row r="91" spans="1:28" s="305" customFormat="1" ht="15.75" x14ac:dyDescent="0.25">
      <c r="A91" s="359"/>
      <c r="B91" s="359" t="s">
        <v>488</v>
      </c>
      <c r="C91" s="360"/>
      <c r="D91" s="361"/>
      <c r="E91" s="406"/>
      <c r="F91" s="406">
        <f>Ввод!G24/VLOOKUP($B$7,$A$1:$B$3,2,0)-F90</f>
        <v>0</v>
      </c>
      <c r="G91" s="406">
        <f>Ввод!H24/VLOOKUP($B$7,$A$1:$B$3,2,0)-G90</f>
        <v>0</v>
      </c>
      <c r="H91" s="406">
        <f>Ввод!I24/VLOOKUP($B$7,$A$1:$B$3,2,0)-H90</f>
        <v>0</v>
      </c>
      <c r="I91" s="406">
        <f>Ввод!J24/VLOOKUP($B$7,$A$1:$B$3,2,0)-I90</f>
        <v>0</v>
      </c>
      <c r="J91" s="406">
        <f>Ввод!K24/VLOOKUP($B$7,$A$1:$B$3,2,0)-J90</f>
        <v>0</v>
      </c>
      <c r="K91" s="406">
        <f>Ввод!L24/VLOOKUP($B$7,$A$1:$B$3,2,0)-K90</f>
        <v>0</v>
      </c>
      <c r="L91" s="406">
        <f>Ввод!M24/VLOOKUP($B$7,$A$1:$B$3,2,0)-L90</f>
        <v>0</v>
      </c>
      <c r="M91" s="406">
        <f>Ввод!N24/VLOOKUP($B$7,$A$1:$B$3,2,0)-M90</f>
        <v>0</v>
      </c>
      <c r="N91" s="406">
        <f>Ввод!O24/VLOOKUP($B$7,$A$1:$B$3,2,0)-N90</f>
        <v>0</v>
      </c>
      <c r="O91" s="406">
        <f>Ввод!P24/VLOOKUP($B$7,$A$1:$B$3,2,0)-O90</f>
        <v>0</v>
      </c>
      <c r="P91" s="406"/>
      <c r="Q91" s="362"/>
      <c r="R91" s="362"/>
      <c r="S91" s="362"/>
      <c r="T91" s="362"/>
      <c r="U91" s="304"/>
      <c r="V91" s="304"/>
      <c r="W91" s="304"/>
      <c r="X91" s="304"/>
      <c r="Y91" s="304"/>
      <c r="Z91" s="304"/>
      <c r="AA91" s="304"/>
    </row>
    <row r="92" spans="1:28" s="239" customFormat="1" x14ac:dyDescent="0.2">
      <c r="A92" s="352"/>
      <c r="B92" s="352"/>
      <c r="C92" s="353"/>
      <c r="D92" s="354"/>
      <c r="E92" s="407"/>
      <c r="F92" s="407"/>
      <c r="G92" s="407"/>
      <c r="H92" s="407"/>
      <c r="I92" s="407"/>
      <c r="J92" s="407"/>
      <c r="K92" s="407"/>
      <c r="L92" s="407"/>
      <c r="M92" s="407"/>
      <c r="N92" s="407"/>
      <c r="O92" s="407"/>
      <c r="P92" s="407"/>
      <c r="Q92" s="238"/>
      <c r="R92" s="238"/>
      <c r="S92" s="238"/>
      <c r="T92" s="238"/>
      <c r="U92" s="238"/>
      <c r="V92" s="238"/>
      <c r="W92" s="238"/>
      <c r="X92" s="238"/>
      <c r="Y92" s="238"/>
      <c r="Z92" s="238"/>
      <c r="AA92" s="238"/>
    </row>
    <row r="93" spans="1:28" x14ac:dyDescent="0.2">
      <c r="A93" s="349"/>
      <c r="B93" s="349"/>
      <c r="C93" s="350"/>
      <c r="D93" s="351"/>
      <c r="E93" s="5"/>
      <c r="F93" s="5"/>
      <c r="G93" s="5"/>
      <c r="H93" s="5"/>
      <c r="I93" s="5"/>
      <c r="J93" s="225"/>
      <c r="K93" s="228"/>
      <c r="L93" s="228"/>
      <c r="M93" s="228"/>
      <c r="N93" s="228"/>
      <c r="O93" s="228"/>
      <c r="P93" s="6"/>
      <c r="Q93" s="6"/>
      <c r="R93" s="6"/>
      <c r="S93" s="6"/>
      <c r="T93" s="6"/>
      <c r="U93" s="4"/>
      <c r="V93" s="71"/>
      <c r="W93" s="71"/>
      <c r="X93" s="71"/>
      <c r="Y93" s="71"/>
      <c r="Z93" s="71"/>
      <c r="AA93" s="71"/>
    </row>
    <row r="94" spans="1:28" x14ac:dyDescent="0.2">
      <c r="A94" s="349"/>
      <c r="B94" s="349"/>
      <c r="C94" s="350"/>
      <c r="D94" s="351"/>
      <c r="E94" s="5"/>
      <c r="F94" s="5"/>
      <c r="G94" s="5"/>
      <c r="H94" s="5"/>
      <c r="I94" s="5"/>
      <c r="J94" s="225"/>
      <c r="K94" s="228"/>
      <c r="L94" s="228"/>
      <c r="M94" s="228"/>
      <c r="N94" s="228"/>
      <c r="O94" s="228"/>
      <c r="P94" s="6"/>
      <c r="Q94" s="6"/>
      <c r="R94" s="6"/>
      <c r="S94" s="6"/>
      <c r="T94" s="6"/>
      <c r="U94" s="4"/>
      <c r="V94" s="71"/>
      <c r="W94" s="71"/>
      <c r="X94" s="71"/>
      <c r="Y94" s="71"/>
      <c r="Z94" s="71"/>
      <c r="AA94" s="71"/>
    </row>
    <row r="95" spans="1:28" s="409" customFormat="1" ht="15.75" x14ac:dyDescent="0.2">
      <c r="A95" s="408"/>
      <c r="B95" s="412" t="s">
        <v>542</v>
      </c>
      <c r="C95" s="408"/>
      <c r="D95" s="408"/>
      <c r="J95" s="410"/>
      <c r="K95" s="411"/>
      <c r="L95" s="411"/>
      <c r="M95" s="411"/>
      <c r="N95" s="411"/>
      <c r="O95" s="411"/>
      <c r="V95" s="411"/>
      <c r="W95" s="411"/>
      <c r="X95" s="411"/>
      <c r="Y95" s="411"/>
      <c r="Z95" s="411"/>
      <c r="AA95" s="411"/>
    </row>
    <row r="96" spans="1:28" s="4" customFormat="1" ht="15.75" outlineLevel="1" x14ac:dyDescent="0.2">
      <c r="A96" s="350"/>
      <c r="B96" s="343"/>
      <c r="C96" s="345"/>
      <c r="D96" s="345"/>
      <c r="E96" s="21" t="s">
        <v>348</v>
      </c>
      <c r="F96" s="21"/>
      <c r="G96" s="21"/>
      <c r="H96" s="21"/>
      <c r="I96" s="21"/>
      <c r="J96" s="21"/>
      <c r="K96" s="21"/>
      <c r="L96" s="21"/>
      <c r="M96" s="21"/>
      <c r="N96" s="21"/>
      <c r="O96" s="21"/>
      <c r="V96" s="71"/>
      <c r="W96" s="71"/>
      <c r="X96" s="71"/>
      <c r="Y96" s="71"/>
      <c r="Z96" s="71"/>
      <c r="AA96" s="71"/>
    </row>
    <row r="97" spans="1:27" ht="16.5" outlineLevel="1" thickBot="1" x14ac:dyDescent="0.25">
      <c r="A97" s="350"/>
      <c r="B97" s="414" t="str">
        <f>B7</f>
        <v>млрд руб.</v>
      </c>
      <c r="C97" s="415"/>
      <c r="D97" s="415"/>
      <c r="E97" s="413"/>
      <c r="F97" s="413" t="str">
        <f>TEXT(F8,0)</f>
        <v>2016</v>
      </c>
      <c r="G97" s="413" t="str">
        <f t="shared" ref="G97:O97" si="76">TEXT(G8,0)</f>
        <v>2017</v>
      </c>
      <c r="H97" s="413" t="str">
        <f t="shared" si="76"/>
        <v>2018</v>
      </c>
      <c r="I97" s="413" t="str">
        <f t="shared" si="76"/>
        <v>2019</v>
      </c>
      <c r="J97" s="413" t="str">
        <f t="shared" si="76"/>
        <v>2020</v>
      </c>
      <c r="K97" s="413" t="str">
        <f t="shared" si="76"/>
        <v>2021</v>
      </c>
      <c r="L97" s="413" t="str">
        <f t="shared" si="76"/>
        <v>2022</v>
      </c>
      <c r="M97" s="413" t="str">
        <f t="shared" si="76"/>
        <v>2023</v>
      </c>
      <c r="N97" s="413" t="str">
        <f t="shared" si="76"/>
        <v>2024</v>
      </c>
      <c r="O97" s="413" t="str">
        <f t="shared" si="76"/>
        <v>2025</v>
      </c>
      <c r="P97" s="4"/>
      <c r="Q97" s="4"/>
      <c r="R97" s="4"/>
      <c r="S97" s="4"/>
      <c r="T97" s="4"/>
      <c r="U97" s="4"/>
      <c r="V97" s="71"/>
      <c r="W97" s="71"/>
      <c r="X97" s="71"/>
      <c r="Y97" s="71"/>
      <c r="Z97" s="71"/>
      <c r="AA97" s="71"/>
    </row>
    <row r="98" spans="1:27" ht="15.75" outlineLevel="1" x14ac:dyDescent="0.2">
      <c r="A98" s="350"/>
      <c r="B98" s="420" t="s">
        <v>968</v>
      </c>
      <c r="C98" s="416"/>
      <c r="D98" s="416"/>
      <c r="E98" s="1695"/>
      <c r="F98" s="1695"/>
      <c r="G98" s="1695"/>
      <c r="H98" s="1695"/>
      <c r="I98" s="1695"/>
      <c r="J98" s="1695"/>
      <c r="K98" s="1695"/>
      <c r="L98" s="1695"/>
      <c r="M98" s="1695"/>
      <c r="N98" s="1695"/>
      <c r="O98" s="1695"/>
      <c r="P98" s="4"/>
      <c r="Q98" s="4"/>
      <c r="R98" s="4"/>
      <c r="S98" s="4"/>
      <c r="T98" s="4"/>
      <c r="U98" s="4"/>
      <c r="V98" s="71"/>
      <c r="W98" s="71"/>
      <c r="X98" s="71"/>
      <c r="Y98" s="71"/>
      <c r="Z98" s="71"/>
      <c r="AA98" s="71"/>
    </row>
    <row r="99" spans="1:27" ht="15" outlineLevel="1" x14ac:dyDescent="0.2">
      <c r="A99" s="350"/>
      <c r="B99" s="416"/>
      <c r="C99" s="421" t="str">
        <f>B42</f>
        <v>Итого портфель активов</v>
      </c>
      <c r="D99" s="416"/>
      <c r="E99" s="1695"/>
      <c r="F99" s="1695"/>
      <c r="G99" s="1695">
        <f>AVERAGE(Ввод!G24:H24)/VLOOKUP($B$7,$A$1:$B$3,2,0)</f>
        <v>439.36618349999998</v>
      </c>
      <c r="H99" s="1695">
        <f>AVERAGE(Ввод!H24:I24)/VLOOKUP($B$7,$A$1:$B$3,2,0)</f>
        <v>467.35593749999998</v>
      </c>
      <c r="I99" s="1695">
        <f>AVERAGE(Ввод!I24:J24)/VLOOKUP($B$7,$A$1:$B$3,2,0)</f>
        <v>529.736087</v>
      </c>
      <c r="J99" s="1695">
        <f>AVERAGE(Ввод!J24:K24)/VLOOKUP($B$7,$A$1:$B$3,2,0)</f>
        <v>577.58511150000004</v>
      </c>
      <c r="K99" s="1695">
        <f>AVERAGE(Ввод!K24:L24)/VLOOKUP($B$7,$A$1:$B$3,2,0)</f>
        <v>623.79999299999997</v>
      </c>
      <c r="L99" s="1695">
        <f>AVERAGE(Ввод!L24:M24)/VLOOKUP($B$7,$A$1:$B$3,2,0)</f>
        <v>732.42059600000005</v>
      </c>
      <c r="M99" s="1695">
        <f>AVERAGE(Ввод!M24:N24)/VLOOKUP($B$7,$A$1:$B$3,2,0)</f>
        <v>824.47579299999995</v>
      </c>
      <c r="N99" s="1695">
        <f>AVERAGE(Ввод!N24:O24)/VLOOKUP($B$7,$A$1:$B$3,2,0)</f>
        <v>884.59573699999999</v>
      </c>
      <c r="O99" s="1695"/>
      <c r="P99" s="4"/>
      <c r="Q99" s="4"/>
      <c r="R99" s="4"/>
      <c r="S99" s="4"/>
      <c r="T99" s="4"/>
      <c r="U99" s="4"/>
      <c r="V99" s="71"/>
      <c r="W99" s="71"/>
      <c r="X99" s="71"/>
      <c r="Y99" s="71"/>
      <c r="Z99" s="71"/>
      <c r="AA99" s="71"/>
    </row>
    <row r="100" spans="1:27" ht="15" outlineLevel="1" x14ac:dyDescent="0.2">
      <c r="A100" s="350"/>
      <c r="B100" s="416"/>
      <c r="C100" s="416" t="s">
        <v>966</v>
      </c>
      <c r="D100" s="416"/>
      <c r="E100" s="1695"/>
      <c r="F100" s="1695"/>
      <c r="G100" s="1695">
        <f>IF(OR(Ввод!G456=0,Ввод!G466=0),0,AVERAGE(Ввод!G456:H456)+AVERAGE(Ввод!G466:H466))/VLOOKUP($B$7,$A$1:$B$3,2,0)</f>
        <v>234.88718299999999</v>
      </c>
      <c r="H100" s="1695">
        <f>IF(OR(Ввод!H456=0,Ввод!H466=0),0,AVERAGE(Ввод!H456:I456)+AVERAGE(Ввод!H466:I466))/VLOOKUP($B$7,$A$1:$B$3,2,0)</f>
        <v>228.3965805</v>
      </c>
      <c r="I100" s="1695">
        <f>IF(OR(Ввод!I456=0,Ввод!I466=0),0,AVERAGE(Ввод!I456:J456)+AVERAGE(Ввод!I466:J466))/VLOOKUP($B$7,$A$1:$B$3,2,0)</f>
        <v>261.24907450000001</v>
      </c>
      <c r="J100" s="1695">
        <f>IF(OR(Ввод!J456=0,Ввод!J466=0),0,AVERAGE(Ввод!J456:K456)+AVERAGE(Ввод!J466:K466))/VLOOKUP($B$7,$A$1:$B$3,2,0)</f>
        <v>285.04098149999999</v>
      </c>
      <c r="K100" s="1695">
        <f>IF(OR(Ввод!K456=0,Ввод!K466=0),0,AVERAGE(Ввод!K456:L456)+AVERAGE(Ввод!K466:L466))/VLOOKUP($B$7,$A$1:$B$3,2,0)</f>
        <v>310.90508749999998</v>
      </c>
      <c r="L100" s="1695">
        <f>IF(OR(Ввод!L456=0,Ввод!L466=0),0,AVERAGE(Ввод!L456:M456)+AVERAGE(Ввод!L466:M466))/VLOOKUP($B$7,$A$1:$B$3,2,0)</f>
        <v>372.13393976760506</v>
      </c>
      <c r="M100" s="1695">
        <f>IF(OR(Ввод!M456=0,Ввод!M466=0),0,AVERAGE(Ввод!M456:N456)+AVERAGE(Ввод!M466:N466))/VLOOKUP($B$7,$A$1:$B$3,2,0)</f>
        <v>414.20942326760508</v>
      </c>
      <c r="N100" s="1695">
        <f>IF(OR(Ввод!N456=0,Ввод!N466=0),0,AVERAGE(Ввод!N456:O456)+AVERAGE(Ввод!N466:O466))/VLOOKUP($B$7,$A$1:$B$3,2,0)</f>
        <v>459.58429011000004</v>
      </c>
      <c r="O100" s="1695"/>
      <c r="P100" s="4"/>
      <c r="Q100" s="4"/>
      <c r="R100" s="4"/>
      <c r="S100" s="4"/>
      <c r="T100" s="4"/>
      <c r="U100" s="4"/>
      <c r="V100" s="71"/>
      <c r="W100" s="71"/>
      <c r="X100" s="71"/>
      <c r="Y100" s="71"/>
      <c r="Z100" s="71"/>
      <c r="AA100" s="71"/>
    </row>
    <row r="101" spans="1:27" ht="15" outlineLevel="1" x14ac:dyDescent="0.2">
      <c r="A101" s="350"/>
      <c r="B101" s="416"/>
      <c r="C101" s="416" t="s">
        <v>967</v>
      </c>
      <c r="D101" s="416"/>
      <c r="E101" s="1695"/>
      <c r="F101" s="1695"/>
      <c r="G101" s="1695">
        <f>IF(OR(Ввод!G458=0,Ввод!G468=0),0,AVERAGE(Ввод!G458:H458)+AVERAGE(Ввод!G468:H468))/VLOOKUP($B$7,$A$1:$B$3,2,0)</f>
        <v>204.47390999999999</v>
      </c>
      <c r="H101" s="1695">
        <f>IF(OR(Ввод!H458=0,Ввод!H468=0),0,AVERAGE(Ввод!H458:I458)+AVERAGE(Ввод!H468:I468))/VLOOKUP($B$7,$A$1:$B$3,2,0)</f>
        <v>188.96493950000001</v>
      </c>
      <c r="I101" s="1695">
        <f>IF(OR(Ввод!I458=0,Ввод!I468=0),0,AVERAGE(Ввод!I458:J458)+AVERAGE(Ввод!I468:J468))/VLOOKUP($B$7,$A$1:$B$3,2,0)</f>
        <v>212.728711</v>
      </c>
      <c r="J101" s="1695">
        <f>IF(OR(Ввод!J458=0,Ввод!J468=0),0,AVERAGE(Ввод!J458:K458)+AVERAGE(Ввод!J468:K468))/VLOOKUP($B$7,$A$1:$B$3,2,0)</f>
        <v>231.06955450000001</v>
      </c>
      <c r="K101" s="1695">
        <f>IF(OR(Ввод!K458=0,Ввод!K468=0),0,AVERAGE(Ввод!K458:L458)+AVERAGE(Ввод!K468:L468))/VLOOKUP($B$7,$A$1:$B$3,2,0)</f>
        <v>263.82816993400002</v>
      </c>
      <c r="L101" s="1695">
        <f>IF(OR(Ввод!L458=0,Ввод!L468=0),0,AVERAGE(Ввод!L458:M458)+AVERAGE(Ввод!L468:M468))/VLOOKUP($B$7,$A$1:$B$3,2,0)</f>
        <v>329.95082174490381</v>
      </c>
      <c r="M101" s="1873">
        <f>IF(OR(Ввод!M458=0,Ввод!M468=0),0,AVERAGE(Ввод!M458:N458)+AVERAGE(Ввод!M468:N468))/VLOOKUP($B$7,$A$1:$B$3,2,0)</f>
        <v>368.31181600115383</v>
      </c>
      <c r="N101" s="1873">
        <f>IF(OR(Ввод!N458=0,Ввод!N468=0),0,AVERAGE(Ввод!N458:O458)+AVERAGE(Ввод!N468:O468))/VLOOKUP($B$7,$A$1:$B$3,2,0)</f>
        <v>414.54511269025005</v>
      </c>
      <c r="O101" s="1873"/>
      <c r="P101" s="4"/>
      <c r="Q101" s="4"/>
      <c r="R101" s="4"/>
      <c r="S101" s="4"/>
      <c r="T101" s="4"/>
      <c r="U101" s="4"/>
      <c r="V101" s="71"/>
      <c r="W101" s="71"/>
      <c r="X101" s="71"/>
      <c r="Y101" s="71"/>
      <c r="Z101" s="71"/>
      <c r="AA101" s="71"/>
    </row>
    <row r="102" spans="1:27" ht="15" outlineLevel="1" x14ac:dyDescent="0.2">
      <c r="A102" s="350"/>
      <c r="B102" s="416"/>
      <c r="C102" s="416" t="str">
        <f>C14</f>
        <v>Кредиты и депозиты в кредитных организациях (МБК выданные)</v>
      </c>
      <c r="D102" s="416"/>
      <c r="E102" s="1695"/>
      <c r="F102" s="1695"/>
      <c r="G102" s="1695">
        <f>IF(F14=0,0,AVERAGE(F14:G14))</f>
        <v>31.237828999999998</v>
      </c>
      <c r="H102" s="1695">
        <f>IF(G14=0,0,AVERAGE(G14:H14))</f>
        <v>81.348131999999993</v>
      </c>
      <c r="I102" s="1695">
        <f t="shared" ref="I102:L102" si="77">IF(H14=0,0,AVERAGE(H14:I14))</f>
        <v>106.47621650000001</v>
      </c>
      <c r="J102" s="1695">
        <f t="shared" si="77"/>
        <v>97.564959000000002</v>
      </c>
      <c r="K102" s="1695">
        <f t="shared" si="77"/>
        <v>91.005626500000005</v>
      </c>
      <c r="L102" s="1695">
        <f t="shared" si="77"/>
        <v>91.760995838155964</v>
      </c>
      <c r="M102" s="1873"/>
      <c r="N102" s="1873">
        <f>IF(M14=0,0,AVERAGE(M14:N14))</f>
        <v>119.97824249999999</v>
      </c>
      <c r="O102" s="1873"/>
      <c r="P102" s="4"/>
      <c r="Q102" s="4"/>
      <c r="R102" s="4"/>
      <c r="S102" s="4"/>
      <c r="T102" s="4"/>
      <c r="U102" s="4"/>
      <c r="V102" s="71"/>
      <c r="W102" s="71"/>
      <c r="X102" s="71"/>
      <c r="Y102" s="71"/>
      <c r="Z102" s="71"/>
      <c r="AA102" s="71"/>
    </row>
    <row r="103" spans="1:27" ht="15" outlineLevel="1" x14ac:dyDescent="0.2">
      <c r="A103" s="350"/>
      <c r="B103" s="416"/>
      <c r="C103" s="416" t="str">
        <f>C16</f>
        <v>Финансовые активы, оцениваемые по справедливой стоимости через прибыль или убыток</v>
      </c>
      <c r="D103" s="416"/>
      <c r="E103" s="1695"/>
      <c r="F103" s="1695"/>
      <c r="G103" s="1695">
        <f>AVERAGE(F16:G16)</f>
        <v>0.91799399999999998</v>
      </c>
      <c r="H103" s="1695">
        <f>AVERAGE(G16:H16)</f>
        <v>0.60657499999999998</v>
      </c>
      <c r="I103" s="1695">
        <f t="shared" ref="I103:L103" si="78">AVERAGE(H16:I16)</f>
        <v>1.6587895000000001</v>
      </c>
      <c r="J103" s="1695">
        <f t="shared" si="78"/>
        <v>3.2138565000000003</v>
      </c>
      <c r="K103" s="1695">
        <f t="shared" si="78"/>
        <v>3.285901</v>
      </c>
      <c r="L103" s="1695">
        <f t="shared" si="78"/>
        <v>2.1959564999999999</v>
      </c>
      <c r="M103" s="1695">
        <f t="shared" ref="M103:N103" si="79">AVERAGE(L16:M16)</f>
        <v>0.96456549999999996</v>
      </c>
      <c r="N103" s="1695">
        <f t="shared" si="79"/>
        <v>0.99779850000000003</v>
      </c>
      <c r="O103" s="1695"/>
      <c r="P103" s="4"/>
      <c r="Q103" s="4"/>
      <c r="R103" s="4"/>
      <c r="S103" s="4"/>
      <c r="T103" s="4"/>
      <c r="U103" s="4"/>
      <c r="V103" s="71"/>
      <c r="W103" s="71"/>
      <c r="X103" s="71"/>
      <c r="Y103" s="71"/>
      <c r="Z103" s="71"/>
      <c r="AA103" s="71"/>
    </row>
    <row r="104" spans="1:27" ht="15" outlineLevel="1" x14ac:dyDescent="0.2">
      <c r="A104" s="350"/>
      <c r="B104" s="416"/>
      <c r="C104" s="416" t="str">
        <f>C20</f>
        <v>Чистые вложения в финансовые активы, оцениваемые по справедливой стоимости через прочий совокупный доход</v>
      </c>
      <c r="D104" s="416"/>
      <c r="E104" s="1695"/>
      <c r="F104" s="1695"/>
      <c r="G104" s="1695">
        <f>AVERAGE(F20:G20)</f>
        <v>129.53950900000001</v>
      </c>
      <c r="H104" s="1695">
        <f>AVERAGE(G20:H20)</f>
        <v>117.31604249999999</v>
      </c>
      <c r="I104" s="1695">
        <f t="shared" ref="I104:L104" si="80">AVERAGE(H20:I20)</f>
        <v>83.17020149999999</v>
      </c>
      <c r="J104" s="1695">
        <f t="shared" si="80"/>
        <v>77.85469599999999</v>
      </c>
      <c r="K104" s="1695">
        <f t="shared" si="80"/>
        <v>74.142040500000007</v>
      </c>
      <c r="L104" s="1695">
        <f t="shared" si="80"/>
        <v>50.702610499999999</v>
      </c>
      <c r="M104" s="1695">
        <f t="shared" ref="M104:N104" si="81">AVERAGE(L20:M20)</f>
        <v>47.44876</v>
      </c>
      <c r="N104" s="1695">
        <f t="shared" si="81"/>
        <v>71.622624000000002</v>
      </c>
      <c r="O104" s="1695"/>
      <c r="P104" s="4"/>
      <c r="Q104" s="4"/>
      <c r="R104" s="4"/>
      <c r="S104" s="4"/>
      <c r="T104" s="4"/>
      <c r="U104" s="4"/>
      <c r="V104" s="71"/>
      <c r="W104" s="71"/>
      <c r="X104" s="71"/>
      <c r="Y104" s="71"/>
      <c r="Z104" s="71"/>
      <c r="AA104" s="71"/>
    </row>
    <row r="105" spans="1:27" ht="15" outlineLevel="1" x14ac:dyDescent="0.2">
      <c r="A105" s="350"/>
      <c r="B105" s="416"/>
      <c r="C105" s="416" t="str">
        <f>C25</f>
        <v>Чистые вложения в ценные бумаги и иные финансовые активы, оцениваемые по амортизированной стоимости</v>
      </c>
      <c r="D105" s="416"/>
      <c r="E105" s="1695"/>
      <c r="F105" s="1695"/>
      <c r="G105" s="1695">
        <f>AVERAGE(F25:G25)</f>
        <v>14.1460265</v>
      </c>
      <c r="H105" s="1695">
        <f>AVERAGE(G25:H25)</f>
        <v>23.590477999999997</v>
      </c>
      <c r="I105" s="1695">
        <f t="shared" ref="I105:L105" si="82">AVERAGE(H25:I25)</f>
        <v>65.39779200000001</v>
      </c>
      <c r="J105" s="1695">
        <f t="shared" si="82"/>
        <v>98.947543999999994</v>
      </c>
      <c r="K105" s="1695">
        <f t="shared" si="82"/>
        <v>113.402829</v>
      </c>
      <c r="L105" s="1695">
        <f t="shared" si="82"/>
        <v>118.88385650000001</v>
      </c>
      <c r="M105" s="1695">
        <f t="shared" ref="M105:N105" si="83">AVERAGE(L25:M25)</f>
        <v>112.236141</v>
      </c>
      <c r="N105" s="1695">
        <f t="shared" si="83"/>
        <v>142.86478350000002</v>
      </c>
      <c r="O105" s="1695"/>
      <c r="P105" s="4"/>
      <c r="Q105" s="4"/>
      <c r="R105" s="4"/>
      <c r="S105" s="4"/>
      <c r="T105" s="4"/>
      <c r="U105" s="4"/>
      <c r="V105" s="71"/>
      <c r="W105" s="71"/>
      <c r="X105" s="71"/>
      <c r="Y105" s="71"/>
      <c r="Z105" s="71"/>
      <c r="AA105" s="71"/>
    </row>
    <row r="106" spans="1:27" ht="15" outlineLevel="1" x14ac:dyDescent="0.2">
      <c r="A106" s="350"/>
      <c r="B106" s="416"/>
      <c r="C106" s="416" t="s">
        <v>969</v>
      </c>
      <c r="D106" s="416"/>
      <c r="E106" s="1695"/>
      <c r="F106" s="1695"/>
      <c r="G106" s="1695"/>
      <c r="H106" s="1695"/>
      <c r="I106" s="1695"/>
      <c r="J106" s="1695"/>
      <c r="K106" s="1695"/>
      <c r="L106" s="1695"/>
      <c r="M106" s="1695">
        <f t="shared" ref="M106:N106" si="84">AVERAGE(L19:M19)+AVERAGE(L24:M24)+AVERAGE(L28:M28)</f>
        <v>0</v>
      </c>
      <c r="N106" s="1695">
        <f t="shared" si="84"/>
        <v>0</v>
      </c>
      <c r="O106" s="1695"/>
      <c r="P106" s="4"/>
      <c r="Q106" s="4"/>
      <c r="R106" s="4"/>
      <c r="S106" s="4"/>
      <c r="T106" s="4"/>
      <c r="U106" s="4"/>
      <c r="V106" s="71"/>
      <c r="W106" s="71"/>
      <c r="X106" s="71"/>
      <c r="Y106" s="71"/>
      <c r="Z106" s="71"/>
      <c r="AA106" s="71"/>
    </row>
    <row r="107" spans="1:27" ht="15" outlineLevel="1" x14ac:dyDescent="0.2">
      <c r="A107" s="350"/>
      <c r="B107" s="416"/>
      <c r="C107" s="416" t="s">
        <v>1101</v>
      </c>
      <c r="D107" s="416"/>
      <c r="E107" s="1695"/>
      <c r="F107" s="1695"/>
      <c r="G107" s="1695"/>
      <c r="H107" s="1695">
        <f>IF(H97&lt;2021,AVERAGE(Ввод!H442:I442)-AVERAGE(Ввод!H440:I440)+AVERAGE(Ввод!H478:I478)+AVERAGE(Ввод!H596:I596)-AVERAGE(Ввод!H593:I593)+AVERAGE(Ввод!H616:I616),AVERAGE(Ввод!H14:I14)+AVERAGE(Ввод!H15:I15)+AVERAGE(Ввод!H17:I17))/VLOOKUP($B$7,$A$1:$B$3,2,0)</f>
        <v>411.21959199999998</v>
      </c>
      <c r="I107" s="1695">
        <f>IF(I97&lt;2021,AVERAGE(Ввод!I442:J442)-AVERAGE(Ввод!I440:J440)+AVERAGE(Ввод!I478:J478)+AVERAGE(Ввод!I596:J596)-AVERAGE(Ввод!I593:J593)+AVERAGE(Ввод!I616:J616),AVERAGE(Ввод!I14:J14)+AVERAGE(Ввод!I15:J15)+AVERAGE(Ввод!I17:J17))/VLOOKUP($B$7,$A$1:$B$3,2,0)</f>
        <v>467.772921</v>
      </c>
      <c r="J107" s="1695">
        <f>IF(J97&lt;2021,AVERAGE(Ввод!J442:K442)-AVERAGE(Ввод!J440:K440)+AVERAGE(Ввод!J478:K478)+AVERAGE(Ввод!J596:K596)-AVERAGE(Ввод!J593:K593)+AVERAGE(Ввод!J616:K616),AVERAGE(Ввод!J14:K14)+AVERAGE(Ввод!J15:K15)+AVERAGE(Ввод!J17:K17))/VLOOKUP($B$7,$A$1:$B$3,2,0)</f>
        <v>505.43675350000001</v>
      </c>
      <c r="K107" s="1695">
        <f>IF(K97&lt;2021,AVERAGE(Ввод!K442:L442)-AVERAGE(Ввод!K440:L440)+AVERAGE(Ввод!K478:L478)+AVERAGE(Ввод!K596:L596)-AVERAGE(Ввод!K593:L593)+AVERAGE(Ввод!K616:L616),AVERAGE(Ввод!K14:L14)+AVERAGE(Ввод!K15:L15)+AVERAGE(Ввод!K17:L17))/VLOOKUP($B$7,$A$1:$B$3,2,0)</f>
        <v>546.40500550000002</v>
      </c>
      <c r="L107" s="1695">
        <f>IF(L97&lt;2021,AVERAGE(Ввод!L442:M442)-AVERAGE(Ввод!L440:M440)+AVERAGE(Ввод!L478:M478)+AVERAGE(Ввод!L596:M596)-AVERAGE(Ввод!L593:M593)+AVERAGE(Ввод!L616:M616),AVERAGE(Ввод!L14:M14)+AVERAGE(Ввод!L15:M15)+AVERAGE(Ввод!L17:M17))/VLOOKUP($B$7,$A$1:$B$3,2,0)</f>
        <v>598.08913800000005</v>
      </c>
      <c r="M107" s="1695">
        <f>IF(M97&lt;2021,AVERAGE(Ввод!M442:N442)-AVERAGE(Ввод!M440:N440)+AVERAGE(Ввод!M478:N478)+AVERAGE(Ввод!M596:N596)-AVERAGE(Ввод!M593:N593)+AVERAGE(Ввод!M616:N616),AVERAGE(Ввод!M14:N14)+AVERAGE(Ввод!M15:N15)+AVERAGE(Ввод!M17:N17))/VLOOKUP($B$7,$A$1:$B$3,2,0)</f>
        <v>660.54207350000001</v>
      </c>
      <c r="N107" s="1695">
        <f>IF(N97&lt;2021,AVERAGE(Ввод!N442:O442)-AVERAGE(Ввод!N440:O440)+AVERAGE(Ввод!N478:O478)+AVERAGE(Ввод!N596:O596)-AVERAGE(Ввод!N593:O593)+AVERAGE(Ввод!N616:O616),AVERAGE(Ввод!N14:O14)+AVERAGE(Ввод!N15:O15)+AVERAGE(Ввод!N17:O17))/VLOOKUP($B$7,$A$1:$B$3,2,0)</f>
        <v>751.38459550000005</v>
      </c>
      <c r="O107" s="1695"/>
      <c r="P107" s="4"/>
      <c r="Q107" s="4"/>
      <c r="R107" s="4"/>
      <c r="S107" s="4"/>
      <c r="T107" s="4"/>
      <c r="U107" s="4"/>
      <c r="V107" s="71"/>
      <c r="W107" s="71"/>
      <c r="X107" s="71"/>
      <c r="Y107" s="71"/>
      <c r="Z107" s="71"/>
      <c r="AA107" s="71"/>
    </row>
    <row r="108" spans="1:27" ht="15" outlineLevel="1" x14ac:dyDescent="0.2">
      <c r="A108" s="350"/>
      <c r="B108" s="416"/>
      <c r="C108" s="416"/>
      <c r="D108" s="416"/>
      <c r="E108" s="1695"/>
      <c r="F108" s="1695"/>
      <c r="G108" s="1695"/>
      <c r="H108" s="1695"/>
      <c r="I108" s="1695"/>
      <c r="J108" s="1695"/>
      <c r="K108" s="1695"/>
      <c r="L108" s="1695"/>
      <c r="M108" s="1695"/>
      <c r="N108" s="1695"/>
      <c r="O108" s="1695"/>
      <c r="P108" s="4"/>
      <c r="Q108" s="4"/>
      <c r="R108" s="4"/>
      <c r="S108" s="4"/>
      <c r="T108" s="4"/>
      <c r="U108" s="4"/>
      <c r="V108" s="71"/>
      <c r="W108" s="71"/>
      <c r="X108" s="71"/>
      <c r="Y108" s="71"/>
      <c r="Z108" s="71"/>
      <c r="AA108" s="71"/>
    </row>
    <row r="109" spans="1:27" ht="15" outlineLevel="1" x14ac:dyDescent="0.2">
      <c r="A109" s="350"/>
      <c r="B109" s="416"/>
      <c r="C109" s="416" t="str">
        <f>B47</f>
        <v>Средства, привлеченные от Банка России</v>
      </c>
      <c r="D109" s="416"/>
      <c r="E109" s="1695"/>
      <c r="F109" s="1695"/>
      <c r="G109" s="1695">
        <f>AVERAGE(F47:G47)</f>
        <v>0</v>
      </c>
      <c r="H109" s="1695">
        <f>AVERAGE(G47:H47)</f>
        <v>0.37103049999999999</v>
      </c>
      <c r="I109" s="1695">
        <f>AVERAGE(H47:I47)</f>
        <v>1.1327345</v>
      </c>
      <c r="J109" s="1695">
        <f>AVERAGE(I47:J47)</f>
        <v>3.8653710000000001</v>
      </c>
      <c r="K109" s="1695">
        <f>AVERAGE(J47:K47)</f>
        <v>3.9752635000000001</v>
      </c>
      <c r="L109" s="1695">
        <f t="shared" ref="L109:N109" si="85">AVERAGE(K47:L47)</f>
        <v>2.2534860000000001</v>
      </c>
      <c r="M109" s="1695">
        <f t="shared" si="85"/>
        <v>6.7405879999999998</v>
      </c>
      <c r="N109" s="1695">
        <f t="shared" si="85"/>
        <v>7.0806089999999999</v>
      </c>
      <c r="O109" s="1695"/>
      <c r="P109" s="4"/>
      <c r="Q109" s="4"/>
      <c r="R109" s="4"/>
      <c r="S109" s="4"/>
      <c r="T109" s="4"/>
      <c r="U109" s="4"/>
      <c r="V109" s="71"/>
      <c r="W109" s="71"/>
      <c r="X109" s="71"/>
      <c r="Y109" s="71"/>
      <c r="Z109" s="71"/>
      <c r="AA109" s="71"/>
    </row>
    <row r="110" spans="1:27" ht="15" outlineLevel="1" x14ac:dyDescent="0.2">
      <c r="A110" s="350"/>
      <c r="B110" s="416"/>
      <c r="C110" s="416" t="str">
        <f>B50</f>
        <v>Средства кредитных организаций</v>
      </c>
      <c r="D110" s="416"/>
      <c r="E110" s="1695"/>
      <c r="F110" s="1695"/>
      <c r="G110" s="1695">
        <f>AVERAGE(F50:G50)</f>
        <v>10.935697000000001</v>
      </c>
      <c r="H110" s="1695">
        <f>AVERAGE(G50:H50)</f>
        <v>7.0608295000000005</v>
      </c>
      <c r="I110" s="1695">
        <f>AVERAGE(H50:I50)</f>
        <v>3.0952014999999999</v>
      </c>
      <c r="J110" s="1695">
        <f>AVERAGE(I50:J50)</f>
        <v>4.3809025000000004</v>
      </c>
      <c r="K110" s="1695">
        <f>AVERAGE(J50:K50)</f>
        <v>3.2827454999999999</v>
      </c>
      <c r="L110" s="1695">
        <f t="shared" ref="L110:N110" si="86">AVERAGE(K50:L50)</f>
        <v>6.2168175000000003</v>
      </c>
      <c r="M110" s="1695">
        <f t="shared" si="86"/>
        <v>32.980215000000001</v>
      </c>
      <c r="N110" s="1695">
        <f t="shared" si="86"/>
        <v>89.664425500000007</v>
      </c>
      <c r="O110" s="1695"/>
      <c r="P110" s="4"/>
      <c r="Q110" s="4"/>
      <c r="R110" s="4"/>
      <c r="S110" s="4"/>
      <c r="T110" s="4"/>
      <c r="U110" s="4"/>
      <c r="V110" s="71"/>
      <c r="W110" s="71"/>
      <c r="X110" s="71"/>
      <c r="Y110" s="71"/>
      <c r="Z110" s="71"/>
      <c r="AA110" s="71"/>
    </row>
    <row r="111" spans="1:27" ht="15" outlineLevel="1" x14ac:dyDescent="0.2">
      <c r="A111" s="350"/>
      <c r="B111" s="416"/>
      <c r="C111" s="416" t="str">
        <f>B54</f>
        <v>Средства клиентов</v>
      </c>
      <c r="D111" s="416"/>
      <c r="E111" s="1695"/>
      <c r="F111" s="1695"/>
      <c r="G111" s="1695">
        <f>AVERAGE(F54:G54)</f>
        <v>333.56027949999998</v>
      </c>
      <c r="H111" s="1695">
        <f>AVERAGE(G54:H54)</f>
        <v>374.48403500000001</v>
      </c>
      <c r="I111" s="1695">
        <f>AVERAGE(H54:I54)</f>
        <v>439.71295499999997</v>
      </c>
      <c r="J111" s="1695">
        <f>AVERAGE(I54:J54)</f>
        <v>489.08264999999994</v>
      </c>
      <c r="K111" s="1695">
        <f>AVERAGE(J54:K54)</f>
        <v>531.85527550000006</v>
      </c>
      <c r="L111" s="1695">
        <f t="shared" ref="L111:N111" si="87">AVERAGE(K54:L54)</f>
        <v>634.25271999999995</v>
      </c>
      <c r="M111" s="1695">
        <f t="shared" si="87"/>
        <v>684.03724299999999</v>
      </c>
      <c r="N111" s="1695">
        <f t="shared" si="87"/>
        <v>663.49810350000007</v>
      </c>
      <c r="O111" s="1695"/>
      <c r="P111" s="4"/>
      <c r="Q111" s="4"/>
      <c r="R111" s="4"/>
      <c r="S111" s="4"/>
      <c r="T111" s="4"/>
      <c r="U111" s="4"/>
      <c r="V111" s="71"/>
      <c r="W111" s="71"/>
      <c r="X111" s="71"/>
      <c r="Y111" s="71"/>
      <c r="Z111" s="71"/>
      <c r="AA111" s="71"/>
    </row>
    <row r="112" spans="1:27" ht="15" outlineLevel="1" x14ac:dyDescent="0.2">
      <c r="A112" s="350"/>
      <c r="B112" s="416"/>
      <c r="C112" s="416" t="str">
        <f>C64</f>
        <v>Выпущенные долговые обязательства</v>
      </c>
      <c r="D112" s="416"/>
      <c r="E112" s="1695"/>
      <c r="F112" s="1695"/>
      <c r="G112" s="1695">
        <f>AVERAGE(F64:G64)</f>
        <v>26.804887000000001</v>
      </c>
      <c r="H112" s="1695">
        <f>AVERAGE(G64:H64)</f>
        <v>2.3657764999999999</v>
      </c>
      <c r="I112" s="1695">
        <f>AVERAGE(H64:I64)</f>
        <v>1.3347709999999999</v>
      </c>
      <c r="J112" s="1695">
        <f>AVERAGE(I64:J64)</f>
        <v>0.7893889999999999</v>
      </c>
      <c r="K112" s="1695">
        <f>AVERAGE(J64:K64)</f>
        <v>0.20714050000000001</v>
      </c>
      <c r="L112" s="1695">
        <f t="shared" ref="L112:N112" si="88">AVERAGE(K64:L64)</f>
        <v>0.66481950000000001</v>
      </c>
      <c r="M112" s="1695">
        <f t="shared" si="88"/>
        <v>0.57973600000000003</v>
      </c>
      <c r="N112" s="1695">
        <f t="shared" si="88"/>
        <v>6.8417499999999992E-2</v>
      </c>
      <c r="O112" s="1695"/>
      <c r="P112" s="4"/>
      <c r="Q112" s="4"/>
      <c r="R112" s="4"/>
      <c r="S112" s="4"/>
      <c r="T112" s="4"/>
      <c r="U112" s="4"/>
      <c r="V112" s="71"/>
      <c r="W112" s="71"/>
      <c r="X112" s="71"/>
      <c r="Y112" s="71"/>
      <c r="Z112" s="71"/>
      <c r="AA112" s="71"/>
    </row>
    <row r="113" spans="1:27" ht="15" outlineLevel="1" x14ac:dyDescent="0.2">
      <c r="A113" s="350"/>
      <c r="B113" s="416"/>
      <c r="C113" s="416" t="s">
        <v>293</v>
      </c>
      <c r="D113" s="416"/>
      <c r="E113" s="1695"/>
      <c r="F113" s="1695"/>
      <c r="G113" s="1695">
        <f>AVERAGE(F69:G69)</f>
        <v>0</v>
      </c>
      <c r="H113" s="1695">
        <f t="shared" ref="H113:N113" si="89">AVERAGE(G69:H69)</f>
        <v>0</v>
      </c>
      <c r="I113" s="1695">
        <f t="shared" si="89"/>
        <v>0</v>
      </c>
      <c r="J113" s="1695">
        <f t="shared" si="89"/>
        <v>0</v>
      </c>
      <c r="K113" s="1695">
        <f t="shared" si="89"/>
        <v>0</v>
      </c>
      <c r="L113" s="1695">
        <f t="shared" si="89"/>
        <v>0</v>
      </c>
      <c r="M113" s="1695">
        <f t="shared" si="89"/>
        <v>0</v>
      </c>
      <c r="N113" s="1695">
        <f t="shared" si="89"/>
        <v>0</v>
      </c>
      <c r="O113" s="1695"/>
      <c r="P113" s="4"/>
      <c r="Q113" s="4"/>
      <c r="R113" s="4"/>
      <c r="S113" s="4"/>
      <c r="T113" s="4"/>
      <c r="U113" s="4"/>
      <c r="V113" s="71"/>
      <c r="W113" s="71"/>
      <c r="X113" s="71"/>
      <c r="Y113" s="71"/>
      <c r="Z113" s="71"/>
      <c r="AA113" s="71"/>
    </row>
    <row r="114" spans="1:27" ht="15" outlineLevel="1" x14ac:dyDescent="0.2">
      <c r="A114" s="350"/>
      <c r="B114" s="416"/>
      <c r="C114" s="416" t="str">
        <f>B76</f>
        <v>Собственные средства</v>
      </c>
      <c r="D114" s="416"/>
      <c r="E114" s="1695"/>
      <c r="F114" s="1695"/>
      <c r="G114" s="1695">
        <f>AVERAGE(Ввод!G60:H60)/VLOOKUP($B$7,$A$1:$B$3,2,0)</f>
        <v>56.873294999999999</v>
      </c>
      <c r="H114" s="1695">
        <f>AVERAGE(Ввод!H60:I60)/VLOOKUP($B$7,$A$1:$B$3,2,0)</f>
        <v>64.677828000000005</v>
      </c>
      <c r="I114" s="1695">
        <f>AVERAGE(Ввод!I60:J60)/VLOOKUP($B$7,$A$1:$B$3,2,0)</f>
        <v>69.321444499999998</v>
      </c>
      <c r="J114" s="1695">
        <f>AVERAGE(Ввод!J60:K60)/VLOOKUP($B$7,$A$1:$B$3,2,0)</f>
        <v>72.945453000000001</v>
      </c>
      <c r="K114" s="1695">
        <f>AVERAGE(Ввод!K60:L60)/VLOOKUP($B$7,$A$1:$B$3,2,0)</f>
        <v>75.462372000000002</v>
      </c>
      <c r="L114" s="1695">
        <f>AVERAGE(Ввод!L60:M60)/VLOOKUP($B$7,$A$1:$B$3,2,0)</f>
        <v>77.422793999999996</v>
      </c>
      <c r="M114" s="1695">
        <f>AVERAGE(Ввод!M60:N60)/VLOOKUP($B$7,$A$1:$B$3,2,0)</f>
        <v>84.643338999999997</v>
      </c>
      <c r="N114" s="1695">
        <f>AVERAGE(Ввод!N60:O60)/VLOOKUP($B$7,$A$1:$B$3,2,0)</f>
        <v>98.868683500000003</v>
      </c>
      <c r="O114" s="1695"/>
      <c r="P114" s="4"/>
      <c r="Q114" s="4"/>
      <c r="R114" s="4"/>
      <c r="S114" s="4"/>
      <c r="T114" s="4"/>
      <c r="U114" s="4"/>
      <c r="V114" s="71"/>
      <c r="W114" s="71"/>
      <c r="X114" s="71"/>
      <c r="Y114" s="71"/>
      <c r="Z114" s="71"/>
      <c r="AA114" s="71"/>
    </row>
    <row r="115" spans="1:27" ht="15" outlineLevel="1" x14ac:dyDescent="0.2">
      <c r="A115" s="350"/>
      <c r="B115" s="416"/>
      <c r="C115" s="416" t="s">
        <v>845</v>
      </c>
      <c r="D115" s="416"/>
      <c r="E115" s="1695"/>
      <c r="F115" s="1695"/>
      <c r="G115" s="1695">
        <f>G109+G110+G111+G112</f>
        <v>371.30086349999999</v>
      </c>
      <c r="H115" s="1695">
        <f>H109+H110+H111+H112</f>
        <v>384.28167149999996</v>
      </c>
      <c r="I115" s="1695">
        <f>I109+I110+I111+I112</f>
        <v>445.27566199999995</v>
      </c>
      <c r="J115" s="1695">
        <f>J109+J110+J111+J112</f>
        <v>498.1183125</v>
      </c>
      <c r="K115" s="1695">
        <f>K109+K110+K111+K112</f>
        <v>539.32042500000011</v>
      </c>
      <c r="L115" s="1695">
        <f t="shared" ref="L115:N115" si="90">L109+L110+L111+L112</f>
        <v>643.38784299999998</v>
      </c>
      <c r="M115" s="1695">
        <f t="shared" si="90"/>
        <v>724.33778200000006</v>
      </c>
      <c r="N115" s="1695">
        <f t="shared" si="90"/>
        <v>760.31155550000005</v>
      </c>
      <c r="O115" s="1695"/>
      <c r="P115" s="4"/>
      <c r="Q115" s="4"/>
      <c r="R115" s="4"/>
      <c r="S115" s="4"/>
      <c r="T115" s="4"/>
      <c r="U115" s="4"/>
      <c r="V115" s="71"/>
      <c r="W115" s="71"/>
      <c r="X115" s="71"/>
      <c r="Y115" s="71"/>
      <c r="Z115" s="71"/>
      <c r="AA115" s="71"/>
    </row>
    <row r="116" spans="1:27" ht="15" outlineLevel="1" x14ac:dyDescent="0.2">
      <c r="A116" s="350"/>
      <c r="B116" s="416"/>
      <c r="C116" s="416"/>
      <c r="D116" s="416"/>
      <c r="E116" s="1695"/>
      <c r="F116" s="1695"/>
      <c r="G116" s="1695"/>
      <c r="H116" s="1695"/>
      <c r="I116" s="1695"/>
      <c r="J116" s="1695"/>
      <c r="K116" s="1695"/>
      <c r="L116" s="1695"/>
      <c r="M116" s="1695"/>
      <c r="N116" s="1695"/>
      <c r="O116" s="1695"/>
      <c r="P116" s="4"/>
      <c r="Q116" s="4"/>
      <c r="R116" s="4"/>
      <c r="S116" s="4"/>
      <c r="T116" s="4"/>
      <c r="U116" s="4"/>
      <c r="V116" s="71"/>
      <c r="W116" s="71"/>
      <c r="X116" s="71"/>
      <c r="Y116" s="71"/>
      <c r="Z116" s="71"/>
      <c r="AA116" s="71"/>
    </row>
    <row r="117" spans="1:27" ht="15" outlineLevel="1" x14ac:dyDescent="0.2">
      <c r="A117" s="350"/>
      <c r="B117" s="416"/>
      <c r="C117" s="416"/>
      <c r="D117" s="416"/>
      <c r="E117" s="1695"/>
      <c r="F117" s="1695"/>
      <c r="G117" s="1695"/>
      <c r="H117" s="1695"/>
      <c r="I117" s="1695"/>
      <c r="J117" s="1695"/>
      <c r="K117" s="1695"/>
      <c r="L117" s="1695"/>
      <c r="M117" s="1695"/>
      <c r="N117" s="1695"/>
      <c r="O117" s="1695"/>
      <c r="P117" s="4"/>
      <c r="Q117" s="4"/>
      <c r="R117" s="4"/>
      <c r="S117" s="4"/>
      <c r="T117" s="4"/>
      <c r="U117" s="4"/>
      <c r="V117" s="71"/>
      <c r="W117" s="71"/>
      <c r="X117" s="71"/>
      <c r="Y117" s="71"/>
      <c r="Z117" s="71"/>
      <c r="AA117" s="71"/>
    </row>
    <row r="118" spans="1:27" ht="15.75" outlineLevel="1" x14ac:dyDescent="0.2">
      <c r="A118" s="350"/>
      <c r="B118" s="420" t="s">
        <v>971</v>
      </c>
      <c r="C118" s="416"/>
      <c r="D118" s="416"/>
      <c r="E118" s="1695"/>
      <c r="F118" s="1695"/>
      <c r="G118" s="1695"/>
      <c r="H118" s="1695"/>
      <c r="I118" s="1695"/>
      <c r="J118" s="1695"/>
      <c r="K118" s="1695"/>
      <c r="L118" s="1695"/>
      <c r="M118" s="1695"/>
      <c r="N118" s="1695"/>
      <c r="O118" s="1695"/>
      <c r="P118" s="4"/>
      <c r="Q118" s="4"/>
      <c r="R118" s="4"/>
      <c r="S118" s="4"/>
      <c r="T118" s="4"/>
      <c r="U118" s="4"/>
      <c r="V118" s="71"/>
      <c r="W118" s="71"/>
      <c r="X118" s="71"/>
      <c r="Y118" s="71"/>
      <c r="Z118" s="71"/>
      <c r="AA118" s="71"/>
    </row>
    <row r="119" spans="1:27" ht="15" outlineLevel="1" x14ac:dyDescent="0.2">
      <c r="A119" s="350"/>
      <c r="B119" s="416"/>
      <c r="C119" s="416" t="s">
        <v>875</v>
      </c>
      <c r="D119" s="416"/>
      <c r="E119" s="1695"/>
      <c r="F119" s="1695">
        <f>Ввод!G24/VLOOKUP($B$7,$A$1:$B$3,2,0)</f>
        <v>442.34798599999999</v>
      </c>
      <c r="G119" s="1695">
        <f>Ввод!H24/VLOOKUP($B$7,$A$1:$B$3,2,0)</f>
        <v>436.38438100000002</v>
      </c>
      <c r="H119" s="1695">
        <f>Ввод!I24/VLOOKUP($B$7,$A$1:$B$3,2,0)</f>
        <v>498.327494</v>
      </c>
      <c r="I119" s="1695">
        <f>Ввод!J24/VLOOKUP($B$7,$A$1:$B$3,2,0)</f>
        <v>561.14467999999999</v>
      </c>
      <c r="J119" s="1695">
        <f>Ввод!K24/VLOOKUP($B$7,$A$1:$B$3,2,0)</f>
        <v>594.02554299999997</v>
      </c>
      <c r="K119" s="1695">
        <f>Ввод!L24/VLOOKUP($B$7,$A$1:$B$3,2,0)</f>
        <v>653.57444299999997</v>
      </c>
      <c r="L119" s="1695">
        <f>Ввод!M24/VLOOKUP($B$7,$A$1:$B$3,2,0)</f>
        <v>811.266749</v>
      </c>
      <c r="M119" s="1695">
        <f>Ввод!N24/VLOOKUP($B$7,$A$1:$B$3,2,0)</f>
        <v>837.68483700000002</v>
      </c>
      <c r="N119" s="1695">
        <f>Ввод!O24/VLOOKUP($B$7,$A$1:$B$3,2,0)</f>
        <v>931.50663699999996</v>
      </c>
      <c r="O119" s="1695">
        <f>Ввод!P24/VLOOKUP($B$7,$A$1:$B$3,2,0)</f>
        <v>0</v>
      </c>
      <c r="P119" s="4"/>
      <c r="Q119" s="4"/>
      <c r="R119" s="4"/>
      <c r="S119" s="4"/>
      <c r="T119" s="4"/>
      <c r="U119" s="4"/>
      <c r="V119" s="71"/>
      <c r="W119" s="71"/>
      <c r="X119" s="71"/>
      <c r="Y119" s="71"/>
      <c r="Z119" s="71"/>
      <c r="AA119" s="71"/>
    </row>
    <row r="120" spans="1:27" ht="15" outlineLevel="1" x14ac:dyDescent="0.2">
      <c r="A120" s="350"/>
      <c r="B120" s="416"/>
      <c r="C120" s="416" t="s">
        <v>222</v>
      </c>
      <c r="D120" s="416"/>
      <c r="E120" s="1695">
        <f>(Ввод!F13+Ввод!F14+Ввод!F15+Ввод!F17)/VLOOKUP($B$7,$A$1:$B$3,2,0)</f>
        <v>0</v>
      </c>
      <c r="F120" s="1695">
        <f>(Ввод!G13+Ввод!G14+Ввод!G15+Ввод!G17)/VLOOKUP($B$7,$A$1:$B$3,2,0)</f>
        <v>379.05146100000002</v>
      </c>
      <c r="G120" s="1695">
        <f>(Ввод!H13+Ввод!H14+Ввод!H15+Ввод!H17)/VLOOKUP($B$7,$A$1:$B$3,2,0)</f>
        <v>381.57907599999999</v>
      </c>
      <c r="H120" s="1695">
        <f>(Ввод!I13+Ввод!I14+Ввод!I15+Ввод!I17)/VLOOKUP($B$7,$A$1:$B$3,2,0)</f>
        <v>442.07325800000001</v>
      </c>
      <c r="I120" s="1695">
        <f>(Ввод!J13+Ввод!J14+Ввод!J15+Ввод!J17)/VLOOKUP($B$7,$A$1:$B$3,2,0)</f>
        <v>496.79016300000001</v>
      </c>
      <c r="J120" s="1695">
        <f>(Ввод!K13+Ввод!K14+Ввод!K15+Ввод!K17)/VLOOKUP($B$7,$A$1:$B$3,2,0)</f>
        <v>520.51105700000005</v>
      </c>
      <c r="K120" s="1695">
        <f>(Ввод!L13+Ввод!L14+Ввод!L15+Ввод!L17)/VLOOKUP($B$7,$A$1:$B$3,2,0)</f>
        <v>578.87075600000003</v>
      </c>
      <c r="L120" s="1695">
        <f>(Ввод!M13+Ввод!M14+Ввод!M15+Ввод!M17)/VLOOKUP($B$7,$A$1:$B$3,2,0)</f>
        <v>621.699433</v>
      </c>
      <c r="M120" s="1695">
        <f>(Ввод!N13+Ввод!N14+Ввод!N15+Ввод!N17)/VLOOKUP($B$7,$A$1:$B$3,2,0)</f>
        <v>701.31384500000001</v>
      </c>
      <c r="N120" s="1695">
        <f>(Ввод!O13+Ввод!O14+Ввод!O15+Ввод!O17)/VLOOKUP($B$7,$A$1:$B$3,2,0)</f>
        <v>803.45094300000005</v>
      </c>
      <c r="O120" s="1695"/>
      <c r="P120" s="4"/>
      <c r="Q120" s="4"/>
      <c r="R120" s="4"/>
      <c r="S120" s="4"/>
      <c r="T120" s="4"/>
      <c r="U120" s="4"/>
      <c r="V120" s="71"/>
      <c r="W120" s="71"/>
      <c r="X120" s="71"/>
      <c r="Y120" s="71"/>
      <c r="Z120" s="71"/>
      <c r="AA120" s="71"/>
    </row>
    <row r="121" spans="1:27" ht="15" outlineLevel="1" x14ac:dyDescent="0.2">
      <c r="A121" s="350"/>
      <c r="B121" s="416"/>
      <c r="C121" s="416" t="s">
        <v>1249</v>
      </c>
      <c r="D121" s="416"/>
      <c r="E121" s="1695">
        <f>(Ввод!F456+Ввод!F466)/VLOOKUP($B$7,$A$1:$B$3,2,0)</f>
        <v>0</v>
      </c>
      <c r="F121" s="1695">
        <f>(Ввод!G456+Ввод!G466)/VLOOKUP($B$7,$A$1:$B$3,2,0)</f>
        <v>256.12946599999998</v>
      </c>
      <c r="G121" s="1695">
        <f>(Ввод!H456+Ввод!H466)/VLOOKUP($B$7,$A$1:$B$3,2,0)</f>
        <v>213.64490000000001</v>
      </c>
      <c r="H121" s="1695">
        <f>(Ввод!I456+Ввод!I466)/VLOOKUP($B$7,$A$1:$B$3,2,0)</f>
        <v>243.14826099999999</v>
      </c>
      <c r="I121" s="1695">
        <f>(Ввод!J456+Ввод!J466)/VLOOKUP($B$7,$A$1:$B$3,2,0)</f>
        <v>279.34988800000002</v>
      </c>
      <c r="J121" s="1695">
        <f>(Ввод!K456+Ввод!K466)/VLOOKUP($B$7,$A$1:$B$3,2,0)</f>
        <v>290.73207500000001</v>
      </c>
      <c r="K121" s="1695">
        <f>(Ввод!L456+Ввод!L466)/VLOOKUP($B$7,$A$1:$B$3,2,0)</f>
        <v>331.07810000000001</v>
      </c>
      <c r="L121" s="1695">
        <f>(Ввод!M456+Ввод!M466)/VLOOKUP($B$7,$A$1:$B$3,2,0)</f>
        <v>413.18977953521011</v>
      </c>
      <c r="M121" s="1695">
        <f>(Ввод!N456+Ввод!N466)/VLOOKUP($B$7,$A$1:$B$3,2,0)</f>
        <v>415.22906699999999</v>
      </c>
      <c r="N121" s="1695">
        <f>(Ввод!O456+Ввод!O466)/VLOOKUP($B$7,$A$1:$B$3,2,0)</f>
        <v>503.93951322000004</v>
      </c>
      <c r="O121" s="1695"/>
      <c r="P121" s="4"/>
      <c r="Q121" s="4"/>
      <c r="R121" s="4"/>
      <c r="S121" s="4"/>
      <c r="T121" s="4"/>
      <c r="U121" s="4"/>
      <c r="V121" s="71"/>
      <c r="W121" s="71"/>
      <c r="X121" s="71"/>
      <c r="Y121" s="71"/>
      <c r="Z121" s="71"/>
      <c r="AA121" s="71"/>
    </row>
    <row r="122" spans="1:27" ht="15" outlineLevel="1" x14ac:dyDescent="0.2">
      <c r="A122" s="350"/>
      <c r="B122" s="416"/>
      <c r="C122" s="416" t="s">
        <v>547</v>
      </c>
      <c r="D122" s="416"/>
      <c r="E122" s="1695">
        <f t="shared" ref="E122" si="91">SUM(E51,E56,E60)</f>
        <v>0</v>
      </c>
      <c r="F122" s="1695">
        <f t="shared" ref="F122" si="92">SUM(F51,F56,F60)</f>
        <v>48.986854999999998</v>
      </c>
      <c r="G122" s="1695">
        <f t="shared" ref="G122:N122" si="93">SUM(G51,G56,G60)</f>
        <v>63.760296999999994</v>
      </c>
      <c r="H122" s="1695">
        <f t="shared" si="93"/>
        <v>71.274787000000003</v>
      </c>
      <c r="I122" s="1695">
        <f t="shared" si="93"/>
        <v>80.099339011910004</v>
      </c>
      <c r="J122" s="1695">
        <f t="shared" si="93"/>
        <v>107.152429</v>
      </c>
      <c r="K122" s="1695">
        <f t="shared" si="93"/>
        <v>102.62473800000001</v>
      </c>
      <c r="L122" s="1695">
        <f t="shared" si="93"/>
        <v>155.88640871999999</v>
      </c>
      <c r="M122" s="1695">
        <f t="shared" si="93"/>
        <v>175.57137052221711</v>
      </c>
      <c r="N122" s="1695">
        <f t="shared" si="93"/>
        <v>181.72718557744122</v>
      </c>
      <c r="O122" s="1695"/>
      <c r="P122" s="4"/>
      <c r="Q122" s="4"/>
      <c r="R122" s="4"/>
      <c r="S122" s="4"/>
      <c r="T122" s="4"/>
      <c r="U122" s="4"/>
      <c r="V122" s="71"/>
      <c r="W122" s="71"/>
      <c r="X122" s="71"/>
      <c r="Y122" s="71"/>
      <c r="Z122" s="71"/>
      <c r="AA122" s="71"/>
    </row>
    <row r="123" spans="1:27" ht="15" outlineLevel="1" x14ac:dyDescent="0.2">
      <c r="A123" s="350"/>
      <c r="B123" s="416"/>
      <c r="C123" s="416" t="s">
        <v>548</v>
      </c>
      <c r="D123" s="416"/>
      <c r="E123" s="1695">
        <f t="shared" ref="E123" si="94">SUM(E47,E50)-E51</f>
        <v>0</v>
      </c>
      <c r="F123" s="1695">
        <f t="shared" ref="F123" si="95">SUM(F47,F50)-F51</f>
        <v>9.0090859999999999</v>
      </c>
      <c r="G123" s="1695">
        <f t="shared" ref="G123:N123" si="96">SUM(G47,G50)-G51</f>
        <v>12.769995</v>
      </c>
      <c r="H123" s="1695">
        <f t="shared" si="96"/>
        <v>2.0748739999999999</v>
      </c>
      <c r="I123" s="1695">
        <f t="shared" si="96"/>
        <v>5.7150199880899999</v>
      </c>
      <c r="J123" s="1695">
        <f t="shared" si="96"/>
        <v>9.3889200000000006</v>
      </c>
      <c r="K123" s="1695">
        <f t="shared" si="96"/>
        <v>4.3862199999999998</v>
      </c>
      <c r="L123" s="1695">
        <f t="shared" si="96"/>
        <v>12.505672499999999</v>
      </c>
      <c r="M123" s="1695">
        <f t="shared" si="96"/>
        <v>62.103824000000003</v>
      </c>
      <c r="N123" s="1695">
        <f t="shared" si="96"/>
        <v>126.10996232255881</v>
      </c>
      <c r="O123" s="1695"/>
      <c r="P123" s="4"/>
      <c r="Q123" s="4"/>
      <c r="R123" s="4"/>
      <c r="S123" s="4"/>
      <c r="T123" s="4"/>
      <c r="U123" s="4"/>
      <c r="V123" s="71"/>
      <c r="W123" s="71"/>
      <c r="X123" s="71"/>
      <c r="Y123" s="71"/>
      <c r="Z123" s="71"/>
      <c r="AA123" s="71"/>
    </row>
    <row r="124" spans="1:27" ht="15" outlineLevel="1" x14ac:dyDescent="0.2">
      <c r="A124" s="350"/>
      <c r="B124" s="416"/>
      <c r="C124" s="416" t="s">
        <v>549</v>
      </c>
      <c r="D124" s="416"/>
      <c r="E124" s="1695">
        <f t="shared" ref="E124" si="97">E90-E76</f>
        <v>0</v>
      </c>
      <c r="F124" s="1695">
        <f t="shared" ref="F124" si="98">F90-F76</f>
        <v>392.477642</v>
      </c>
      <c r="G124" s="1695">
        <f t="shared" ref="G124:N124" si="99">G90-G76</f>
        <v>372.50813500000004</v>
      </c>
      <c r="H124" s="1695">
        <f t="shared" si="99"/>
        <v>432.84808399999997</v>
      </c>
      <c r="I124" s="1695">
        <f t="shared" si="99"/>
        <v>487.981201</v>
      </c>
      <c r="J124" s="1695">
        <f t="shared" si="99"/>
        <v>521.29811599999994</v>
      </c>
      <c r="K124" s="1695">
        <f t="shared" si="99"/>
        <v>575.37712599999998</v>
      </c>
      <c r="L124" s="1695">
        <f t="shared" si="99"/>
        <v>734.61847799999998</v>
      </c>
      <c r="M124" s="1695">
        <f t="shared" si="99"/>
        <v>745.04642999999999</v>
      </c>
      <c r="N124" s="1695">
        <f t="shared" si="99"/>
        <v>826.40767700000004</v>
      </c>
      <c r="O124" s="1695"/>
      <c r="P124" s="4"/>
      <c r="Q124" s="4"/>
      <c r="R124" s="4"/>
      <c r="S124" s="4"/>
      <c r="T124" s="4"/>
      <c r="U124" s="4"/>
      <c r="V124" s="71"/>
      <c r="W124" s="71"/>
      <c r="X124" s="71"/>
      <c r="Y124" s="71"/>
      <c r="Z124" s="71"/>
      <c r="AA124" s="71"/>
    </row>
    <row r="125" spans="1:27" ht="15" outlineLevel="1" x14ac:dyDescent="0.2">
      <c r="A125" s="350"/>
      <c r="B125" s="416"/>
      <c r="C125" s="416"/>
      <c r="D125" s="416"/>
      <c r="E125" s="1695"/>
      <c r="F125" s="1695"/>
      <c r="G125" s="1695"/>
      <c r="H125" s="1695"/>
      <c r="I125" s="1695"/>
      <c r="J125" s="1695"/>
      <c r="K125" s="1695"/>
      <c r="L125" s="1695"/>
      <c r="M125" s="1695"/>
      <c r="N125" s="1695"/>
      <c r="O125" s="1695"/>
      <c r="P125" s="4"/>
      <c r="Q125" s="4"/>
      <c r="R125" s="4"/>
      <c r="S125" s="4"/>
      <c r="T125" s="4"/>
      <c r="U125" s="4"/>
      <c r="V125" s="71"/>
      <c r="W125" s="71"/>
      <c r="X125" s="71"/>
      <c r="Y125" s="71"/>
      <c r="Z125" s="71"/>
      <c r="AA125" s="71"/>
    </row>
    <row r="126" spans="1:27" ht="15.75" outlineLevel="1" x14ac:dyDescent="0.2">
      <c r="A126" s="350"/>
      <c r="B126" s="420" t="s">
        <v>870</v>
      </c>
      <c r="C126" s="416"/>
      <c r="D126" s="416"/>
      <c r="E126" s="1695"/>
      <c r="F126" s="1695"/>
      <c r="G126" s="1695"/>
      <c r="H126" s="1695"/>
      <c r="I126" s="1695"/>
      <c r="J126" s="1695"/>
      <c r="K126" s="1695"/>
      <c r="L126" s="1695"/>
      <c r="M126" s="1695"/>
      <c r="N126" s="1695"/>
      <c r="O126" s="1695"/>
      <c r="P126" s="4"/>
      <c r="Q126" s="4"/>
      <c r="R126" s="4"/>
      <c r="S126" s="4"/>
      <c r="T126" s="4"/>
      <c r="U126" s="4"/>
      <c r="V126" s="71"/>
      <c r="W126" s="71"/>
      <c r="X126" s="71"/>
      <c r="Y126" s="71"/>
      <c r="Z126" s="71"/>
      <c r="AA126" s="71"/>
    </row>
    <row r="127" spans="1:27" ht="15" outlineLevel="1" x14ac:dyDescent="0.2">
      <c r="A127" s="350"/>
      <c r="B127" s="416"/>
      <c r="C127" s="416" t="s">
        <v>219</v>
      </c>
      <c r="D127" s="416"/>
      <c r="E127" s="1695">
        <f>(Ввод!F74+Ввод!F95)/VLOOKUP($B$7,$A$1:$B$3,2,0)</f>
        <v>0</v>
      </c>
      <c r="F127" s="1695">
        <f>(Ввод!G74+Ввод!G95)/VLOOKUP($B$7,$A$1:$B$3,2,0)</f>
        <v>43.072870000000002</v>
      </c>
      <c r="G127" s="1695">
        <f>(Ввод!H74+Ввод!H95)/VLOOKUP($B$7,$A$1:$B$3,2,0)</f>
        <v>36.746875000000003</v>
      </c>
      <c r="H127" s="1695">
        <f>(Ввод!I74+Ввод!I95)/VLOOKUP($B$7,$A$1:$B$3,2,0)</f>
        <v>38.276983999999999</v>
      </c>
      <c r="I127" s="1695">
        <f>(Ввод!J74+Ввод!J95)/VLOOKUP($B$7,$A$1:$B$3,2,0)</f>
        <v>41.884867999999997</v>
      </c>
      <c r="J127" s="1695">
        <f>(Ввод!K74+Ввод!K95)/VLOOKUP($B$7,$A$1:$B$3,2,0)</f>
        <v>42.982433999999998</v>
      </c>
      <c r="K127" s="1695">
        <f>(Ввод!L74+Ввод!L95)/VLOOKUP($B$7,$A$1:$B$3,2,0)</f>
        <v>43.312643000000001</v>
      </c>
      <c r="L127" s="1695">
        <f>(Ввод!M74+Ввод!M95)/VLOOKUP($B$7,$A$1:$B$3,2,0)</f>
        <v>61.443278999999997</v>
      </c>
      <c r="M127" s="1695">
        <f>(Ввод!N74+Ввод!N95)/VLOOKUP($B$7,$A$1:$B$3,2,0)</f>
        <v>81.531267999999997</v>
      </c>
      <c r="N127" s="1695">
        <f>(Ввод!O74+Ввод!O95)/VLOOKUP($B$7,$A$1:$B$3,2,0)</f>
        <v>131.342896</v>
      </c>
      <c r="O127" s="1695"/>
      <c r="P127" s="4"/>
      <c r="Q127" s="4"/>
      <c r="R127" s="4"/>
      <c r="S127" s="4"/>
      <c r="T127" s="4"/>
      <c r="U127" s="4"/>
      <c r="V127" s="71"/>
      <c r="W127" s="71"/>
      <c r="X127" s="71"/>
      <c r="Y127" s="71"/>
      <c r="Z127" s="71"/>
      <c r="AA127" s="71"/>
    </row>
    <row r="128" spans="1:27" ht="15" outlineLevel="1" x14ac:dyDescent="0.2">
      <c r="A128" s="350"/>
      <c r="B128" s="416"/>
      <c r="C128" s="416" t="s">
        <v>35</v>
      </c>
      <c r="D128" s="416"/>
      <c r="E128" s="1695">
        <f>Ввод!F74/VLOOKUP($B$7,$A$1:$B$3,2,0)</f>
        <v>0</v>
      </c>
      <c r="F128" s="1695">
        <f>Ввод!G74/VLOOKUP($B$7,$A$1:$B$3,2,0)</f>
        <v>39.406965999999997</v>
      </c>
      <c r="G128" s="1695">
        <f>Ввод!H74/VLOOKUP($B$7,$A$1:$B$3,2,0)</f>
        <v>32.277374000000002</v>
      </c>
      <c r="H128" s="1695">
        <f>Ввод!I74/VLOOKUP($B$7,$A$1:$B$3,2,0)</f>
        <v>32.696102000000003</v>
      </c>
      <c r="I128" s="1695">
        <f>Ввод!J74/VLOOKUP($B$7,$A$1:$B$3,2,0)</f>
        <v>34.890129000000002</v>
      </c>
      <c r="J128" s="1695">
        <f>Ввод!K74/VLOOKUP($B$7,$A$1:$B$3,2,0)</f>
        <v>35.064278999999999</v>
      </c>
      <c r="K128" s="1695">
        <f>Ввод!L74/VLOOKUP($B$7,$A$1:$B$3,2,0)</f>
        <v>34.478938999999997</v>
      </c>
      <c r="L128" s="1695">
        <f>Ввод!M74/VLOOKUP($B$7,$A$1:$B$3,2,0)</f>
        <v>52.116860000000003</v>
      </c>
      <c r="M128" s="1695">
        <f>Ввод!N74/VLOOKUP($B$7,$A$1:$B$3,2,0)</f>
        <v>70.353319999999997</v>
      </c>
      <c r="N128" s="1695">
        <f>Ввод!O74/VLOOKUP($B$7,$A$1:$B$3,2,0)</f>
        <v>119.578613</v>
      </c>
      <c r="O128" s="1695"/>
      <c r="P128" s="4"/>
      <c r="Q128" s="4"/>
      <c r="R128" s="4"/>
      <c r="S128" s="4"/>
      <c r="T128" s="4"/>
      <c r="U128" s="4"/>
      <c r="V128" s="71"/>
      <c r="W128" s="71"/>
      <c r="X128" s="71"/>
      <c r="Y128" s="71"/>
      <c r="Z128" s="71"/>
      <c r="AA128" s="71"/>
    </row>
    <row r="129" spans="1:27" ht="15" outlineLevel="1" x14ac:dyDescent="0.2">
      <c r="A129" s="350"/>
      <c r="B129" s="416"/>
      <c r="C129" s="416" t="s">
        <v>221</v>
      </c>
      <c r="D129" s="416"/>
      <c r="E129" s="1695">
        <f>-Ввод!F79/VLOOKUP($B$7,$A$1:$B$3,2,0)</f>
        <v>0</v>
      </c>
      <c r="F129" s="1695">
        <f>-Ввод!G79/VLOOKUP($B$7,$A$1:$B$3,2,0)</f>
        <v>-28.438040999999998</v>
      </c>
      <c r="G129" s="1695">
        <f>-Ввод!H79/VLOOKUP($B$7,$A$1:$B$3,2,0)</f>
        <v>-23.507935</v>
      </c>
      <c r="H129" s="1695">
        <f>-Ввод!I79/VLOOKUP($B$7,$A$1:$B$3,2,0)</f>
        <v>-21.830036</v>
      </c>
      <c r="I129" s="1695">
        <f>-Ввод!J79/VLOOKUP($B$7,$A$1:$B$3,2,0)</f>
        <v>-23.983878000000001</v>
      </c>
      <c r="J129" s="1695">
        <f>-Ввод!K79/VLOOKUP($B$7,$A$1:$B$3,2,0)</f>
        <v>-21.867588999999999</v>
      </c>
      <c r="K129" s="1695">
        <f>-Ввод!L79/VLOOKUP($B$7,$A$1:$B$3,2,0)</f>
        <v>-20.186164999999999</v>
      </c>
      <c r="L129" s="1695">
        <f>-Ввод!M79/VLOOKUP($B$7,$A$1:$B$3,2,0)</f>
        <v>-37.110655000000001</v>
      </c>
      <c r="M129" s="1695">
        <f>-Ввод!N79/VLOOKUP($B$7,$A$1:$B$3,2,0)</f>
        <v>-39.533602999999999</v>
      </c>
      <c r="N129" s="1695">
        <f>-Ввод!O79/VLOOKUP($B$7,$A$1:$B$3,2,0)</f>
        <v>-75.149106000000003</v>
      </c>
      <c r="O129" s="1695"/>
      <c r="P129" s="4"/>
      <c r="Q129" s="4"/>
      <c r="R129" s="4"/>
      <c r="S129" s="4"/>
      <c r="T129" s="4"/>
      <c r="U129" s="4"/>
      <c r="V129" s="71"/>
      <c r="W129" s="71"/>
      <c r="X129" s="71"/>
      <c r="Y129" s="71"/>
      <c r="Z129" s="71"/>
      <c r="AA129" s="71"/>
    </row>
    <row r="130" spans="1:27" ht="15" outlineLevel="1" x14ac:dyDescent="0.2">
      <c r="A130" s="350"/>
      <c r="B130" s="416"/>
      <c r="C130" s="416" t="s">
        <v>36</v>
      </c>
      <c r="D130" s="416"/>
      <c r="E130" s="1695">
        <f>Ввод!F83/VLOOKUP($B$7,$A$1:$B$3,2,0)</f>
        <v>0</v>
      </c>
      <c r="F130" s="1695">
        <f>Ввод!G83/VLOOKUP($B$7,$A$1:$B$3,2,0)</f>
        <v>10.968925</v>
      </c>
      <c r="G130" s="1695">
        <f>Ввод!H83/VLOOKUP($B$7,$A$1:$B$3,2,0)</f>
        <v>8.7694390000000002</v>
      </c>
      <c r="H130" s="1695">
        <f>Ввод!I83/VLOOKUP($B$7,$A$1:$B$3,2,0)</f>
        <v>10.866066</v>
      </c>
      <c r="I130" s="1695">
        <f>Ввод!J83/VLOOKUP($B$7,$A$1:$B$3,2,0)</f>
        <v>10.906250999999999</v>
      </c>
      <c r="J130" s="1695">
        <f>Ввод!K83/VLOOKUP($B$7,$A$1:$B$3,2,0)</f>
        <v>13.19669</v>
      </c>
      <c r="K130" s="1695">
        <f>Ввод!L83/VLOOKUP($B$7,$A$1:$B$3,2,0)</f>
        <v>14.292774</v>
      </c>
      <c r="L130" s="1695">
        <f>Ввод!M83/VLOOKUP($B$7,$A$1:$B$3,2,0)</f>
        <v>15.006205</v>
      </c>
      <c r="M130" s="1695">
        <f>Ввод!N83/VLOOKUP($B$7,$A$1:$B$3,2,0)</f>
        <v>30.819717000000001</v>
      </c>
      <c r="N130" s="1695">
        <f>Ввод!O83/VLOOKUP($B$7,$A$1:$B$3,2,0)</f>
        <v>44.429507000000001</v>
      </c>
      <c r="O130" s="1695"/>
      <c r="P130" s="4"/>
      <c r="Q130" s="4"/>
      <c r="R130" s="4"/>
      <c r="S130" s="4"/>
      <c r="T130" s="4"/>
      <c r="U130" s="4"/>
      <c r="V130" s="71"/>
      <c r="W130" s="71"/>
      <c r="X130" s="71"/>
      <c r="Y130" s="71"/>
      <c r="Z130" s="71"/>
      <c r="AA130" s="71"/>
    </row>
    <row r="131" spans="1:27" ht="15" outlineLevel="1" x14ac:dyDescent="0.2">
      <c r="A131" s="350"/>
      <c r="B131" s="416"/>
      <c r="C131" s="416" t="s">
        <v>152</v>
      </c>
      <c r="D131" s="416"/>
      <c r="E131" s="1695">
        <f>Ввод!F107/VLOOKUP($B$7,$A$1:$B$3,2,0)</f>
        <v>0</v>
      </c>
      <c r="F131" s="1695">
        <f>Ввод!G107/VLOOKUP($B$7,$A$1:$B$3,2,0)</f>
        <v>0.65068199999999998</v>
      </c>
      <c r="G131" s="1695">
        <f>Ввод!H107/VLOOKUP($B$7,$A$1:$B$3,2,0)</f>
        <v>0.79659000000000002</v>
      </c>
      <c r="H131" s="1695">
        <f>Ввод!I107/VLOOKUP($B$7,$A$1:$B$3,2,0)</f>
        <v>2.7106150000000002</v>
      </c>
      <c r="I131" s="1695">
        <f>Ввод!J107/VLOOKUP($B$7,$A$1:$B$3,2,0)</f>
        <v>6.252821</v>
      </c>
      <c r="J131" s="1695">
        <f>Ввод!K107/VLOOKUP($B$7,$A$1:$B$3,2,0)</f>
        <v>4.3574380000000001</v>
      </c>
      <c r="K131" s="1695">
        <f>Ввод!L107/VLOOKUP($B$7,$A$1:$B$3,2,0)</f>
        <v>6.3037789999999996</v>
      </c>
      <c r="L131" s="1695">
        <f>Ввод!M107/VLOOKUP($B$7,$A$1:$B$3,2,0)</f>
        <v>1.557148</v>
      </c>
      <c r="M131" s="1695">
        <f>Ввод!N107/VLOOKUP($B$7,$A$1:$B$3,2,0)</f>
        <v>6.4103579999999996</v>
      </c>
      <c r="N131" s="1695">
        <f>Ввод!O107/VLOOKUP($B$7,$A$1:$B$3,2,0)</f>
        <v>15.401554000000001</v>
      </c>
      <c r="O131" s="1695"/>
      <c r="P131" s="4"/>
      <c r="Q131" s="4"/>
      <c r="R131" s="4"/>
      <c r="S131" s="4"/>
      <c r="T131" s="4"/>
      <c r="U131" s="4"/>
      <c r="V131" s="71"/>
      <c r="W131" s="71"/>
      <c r="X131" s="71"/>
      <c r="Y131" s="71"/>
      <c r="Z131" s="71"/>
      <c r="AA131" s="71"/>
    </row>
    <row r="132" spans="1:27" ht="15" x14ac:dyDescent="0.2">
      <c r="A132" s="350"/>
      <c r="B132" s="416"/>
      <c r="C132" s="416"/>
      <c r="D132" s="416"/>
      <c r="E132" s="417"/>
      <c r="F132" s="417"/>
      <c r="G132" s="417"/>
      <c r="H132" s="417"/>
      <c r="I132" s="417"/>
      <c r="J132" s="417"/>
      <c r="K132" s="417"/>
      <c r="L132" s="417"/>
      <c r="M132" s="417"/>
      <c r="N132" s="417"/>
      <c r="O132" s="417"/>
      <c r="P132" s="4"/>
      <c r="Q132" s="4"/>
      <c r="R132" s="4"/>
      <c r="S132" s="4"/>
      <c r="T132" s="4"/>
      <c r="U132" s="4"/>
      <c r="V132" s="71"/>
      <c r="W132" s="71"/>
      <c r="X132" s="71"/>
      <c r="Y132" s="71"/>
      <c r="Z132" s="71"/>
      <c r="AA132" s="71"/>
    </row>
    <row r="133" spans="1:27" ht="15.75" x14ac:dyDescent="0.25">
      <c r="A133" s="672"/>
      <c r="B133" s="672" t="s">
        <v>1233</v>
      </c>
      <c r="C133" s="672"/>
      <c r="D133" s="672"/>
      <c r="E133" s="672"/>
      <c r="F133" s="672"/>
      <c r="G133" s="672"/>
      <c r="H133" s="672"/>
      <c r="I133" s="672"/>
      <c r="J133" s="672"/>
      <c r="K133" s="672"/>
      <c r="L133" s="672"/>
      <c r="M133" s="672"/>
      <c r="N133" s="672"/>
      <c r="O133" s="672"/>
      <c r="P133" s="672"/>
      <c r="Q133" s="672"/>
      <c r="R133" s="672"/>
      <c r="S133" s="672"/>
      <c r="T133" s="672"/>
      <c r="U133" s="672"/>
      <c r="V133" s="672"/>
      <c r="W133" s="672"/>
      <c r="X133" s="672"/>
      <c r="Y133" s="672"/>
      <c r="Z133" s="672"/>
      <c r="AA133" s="672"/>
    </row>
    <row r="134" spans="1:27" s="22" customFormat="1" ht="15" x14ac:dyDescent="0.2">
      <c r="A134" s="4"/>
      <c r="B134" s="4"/>
      <c r="C134" s="4"/>
      <c r="D134" s="4"/>
      <c r="E134" s="4" t="s">
        <v>348</v>
      </c>
      <c r="F134" s="4"/>
      <c r="G134" s="4"/>
      <c r="H134" s="4"/>
      <c r="I134" s="4"/>
      <c r="J134" s="4"/>
      <c r="K134" s="4"/>
      <c r="L134" s="4"/>
      <c r="M134" s="4"/>
      <c r="N134" s="4"/>
      <c r="O134" s="4"/>
      <c r="P134" s="4"/>
      <c r="Q134" s="4"/>
      <c r="R134" s="4"/>
      <c r="S134" s="4"/>
      <c r="T134" s="4"/>
      <c r="U134" s="4"/>
      <c r="V134" s="71"/>
      <c r="W134" s="71"/>
      <c r="X134" s="71"/>
      <c r="Y134" s="71"/>
      <c r="Z134" s="71"/>
      <c r="AA134" s="71"/>
    </row>
    <row r="135" spans="1:27" s="22" customFormat="1" ht="15.75" x14ac:dyDescent="0.25">
      <c r="A135" s="15"/>
      <c r="B135" s="15"/>
      <c r="C135" s="15"/>
      <c r="D135" s="15"/>
      <c r="E135" s="539"/>
      <c r="F135" s="539">
        <f t="shared" ref="F135:O135" si="100">F8</f>
        <v>2016</v>
      </c>
      <c r="G135" s="539">
        <f t="shared" si="100"/>
        <v>2017</v>
      </c>
      <c r="H135" s="539">
        <f t="shared" si="100"/>
        <v>2018</v>
      </c>
      <c r="I135" s="539">
        <f t="shared" si="100"/>
        <v>2019</v>
      </c>
      <c r="J135" s="539">
        <f t="shared" si="100"/>
        <v>2020</v>
      </c>
      <c r="K135" s="539">
        <f t="shared" si="100"/>
        <v>2021</v>
      </c>
      <c r="L135" s="539">
        <f t="shared" si="100"/>
        <v>2022</v>
      </c>
      <c r="M135" s="539">
        <f t="shared" si="100"/>
        <v>2023</v>
      </c>
      <c r="N135" s="539">
        <f t="shared" si="100"/>
        <v>2024</v>
      </c>
      <c r="O135" s="539">
        <f t="shared" si="100"/>
        <v>2025</v>
      </c>
      <c r="P135" s="4"/>
      <c r="Q135" s="95" t="s">
        <v>1234</v>
      </c>
      <c r="R135" s="4"/>
      <c r="S135" s="4"/>
      <c r="T135" s="4"/>
      <c r="U135" s="4"/>
      <c r="V135" s="71"/>
      <c r="W135" s="71"/>
      <c r="X135" s="71"/>
      <c r="Y135" s="71"/>
      <c r="Z135" s="71"/>
      <c r="AA135" s="71"/>
    </row>
    <row r="136" spans="1:27" s="22" customFormat="1" ht="15.75" x14ac:dyDescent="0.25">
      <c r="A136" s="4"/>
      <c r="B136" s="93" t="s">
        <v>1235</v>
      </c>
      <c r="C136" s="336"/>
      <c r="D136" s="336"/>
      <c r="E136" s="674"/>
      <c r="F136" s="674">
        <f t="shared" ref="F136:J136" si="101">(F10+F11-F12+F13)/F42</f>
        <v>5.0099167628436157E-2</v>
      </c>
      <c r="G136" s="674">
        <f t="shared" si="101"/>
        <v>4.8814528950796708E-2</v>
      </c>
      <c r="H136" s="674">
        <f t="shared" si="101"/>
        <v>4.3693559480785932E-2</v>
      </c>
      <c r="I136" s="674">
        <f t="shared" si="101"/>
        <v>5.2263715660638539E-2</v>
      </c>
      <c r="J136" s="674">
        <f t="shared" si="101"/>
        <v>5.9771626689123697E-2</v>
      </c>
      <c r="K136" s="674">
        <f>(K10+K11-K12+K13)/K42</f>
        <v>5.1185866766153741E-2</v>
      </c>
      <c r="L136" s="674">
        <f t="shared" ref="L136:O136" si="102">(L10+L11-L12+L13)/L42</f>
        <v>0.13783259715479848</v>
      </c>
      <c r="M136" s="674">
        <f t="shared" si="102"/>
        <v>9.7427457672843137E-2</v>
      </c>
      <c r="N136" s="674">
        <f t="shared" si="102"/>
        <v>6.584206549244373E-2</v>
      </c>
      <c r="O136" s="674" t="e">
        <f t="shared" si="102"/>
        <v>#DIV/0!</v>
      </c>
      <c r="P136" s="4"/>
      <c r="Q136" s="95" t="s">
        <v>973</v>
      </c>
      <c r="R136" s="4"/>
      <c r="S136" s="4"/>
      <c r="T136" s="4"/>
      <c r="U136" s="4"/>
      <c r="V136" s="71"/>
      <c r="W136" s="71"/>
      <c r="X136" s="71"/>
      <c r="Y136" s="71"/>
      <c r="Z136" s="71"/>
      <c r="AA136" s="71"/>
    </row>
    <row r="137" spans="1:27" s="22" customFormat="1" ht="15.75" x14ac:dyDescent="0.25">
      <c r="A137" s="4"/>
      <c r="B137" s="4" t="s">
        <v>1236</v>
      </c>
      <c r="C137" s="95"/>
      <c r="D137" s="95"/>
      <c r="E137" s="673"/>
      <c r="F137" s="673">
        <f t="shared" ref="F137:K137" si="103">(F10+F11-F12+F13+F17+F21+F26)/F42</f>
        <v>9.5204033749938202E-2</v>
      </c>
      <c r="G137" s="673">
        <f t="shared" si="103"/>
        <v>0.11360843824518092</v>
      </c>
      <c r="H137" s="673">
        <f t="shared" si="103"/>
        <v>7.7308291161635137E-2</v>
      </c>
      <c r="I137" s="673">
        <f t="shared" si="103"/>
        <v>6.3210038808529739E-2</v>
      </c>
      <c r="J137" s="673">
        <f t="shared" si="103"/>
        <v>8.0211010387477549E-2</v>
      </c>
      <c r="K137" s="673">
        <f t="shared" si="103"/>
        <v>5.1185866766153741E-2</v>
      </c>
      <c r="L137" s="673">
        <f t="shared" ref="L137:O137" si="104">(L10+L11-L12+L13+L17+L21+L26)/L42</f>
        <v>0.13783259715479848</v>
      </c>
      <c r="M137" s="673">
        <f t="shared" si="104"/>
        <v>9.7427457672843137E-2</v>
      </c>
      <c r="N137" s="673">
        <f t="shared" si="104"/>
        <v>6.584206549244373E-2</v>
      </c>
      <c r="O137" s="673" t="e">
        <f t="shared" si="104"/>
        <v>#DIV/0!</v>
      </c>
      <c r="P137" s="4"/>
      <c r="Q137" s="95" t="s">
        <v>974</v>
      </c>
      <c r="R137" s="4"/>
      <c r="S137" s="4"/>
      <c r="T137" s="4"/>
      <c r="U137" s="4"/>
      <c r="V137" s="71"/>
      <c r="W137" s="71"/>
      <c r="X137" s="71"/>
      <c r="Y137" s="71"/>
      <c r="Z137" s="71"/>
      <c r="AA137" s="71"/>
    </row>
    <row r="138" spans="1:27" s="22" customFormat="1" ht="15.75" x14ac:dyDescent="0.25">
      <c r="A138" s="4"/>
      <c r="B138" s="93" t="s">
        <v>1237</v>
      </c>
      <c r="C138" s="336"/>
      <c r="D138" s="336"/>
      <c r="E138" s="674"/>
      <c r="F138" s="674">
        <f>(F30+F34+IFERROR(F23/1,0))/F42</f>
        <v>0.54869309182316828</v>
      </c>
      <c r="G138" s="674">
        <f t="shared" ref="G138:N138" si="105">(G30+G34+IFERROR(G23/1,0))/G42</f>
        <v>0.4263817132355156</v>
      </c>
      <c r="H138" s="674">
        <f t="shared" si="105"/>
        <v>0.41171277818357732</v>
      </c>
      <c r="I138" s="674">
        <f t="shared" si="105"/>
        <v>0.41804760226899057</v>
      </c>
      <c r="J138" s="674">
        <f t="shared" si="105"/>
        <v>0.41171157348700066</v>
      </c>
      <c r="K138" s="674">
        <f t="shared" si="105"/>
        <v>0.47053735577862088</v>
      </c>
      <c r="L138" s="674">
        <f t="shared" si="105"/>
        <v>0.4774236141208939</v>
      </c>
      <c r="M138" s="674">
        <f t="shared" si="105"/>
        <v>0.46759008125629953</v>
      </c>
      <c r="N138" s="674">
        <f t="shared" si="105"/>
        <v>0.51554285812351119</v>
      </c>
      <c r="O138" s="674" t="e">
        <f t="shared" ref="O138" si="106">(O30+O34)/O42</f>
        <v>#DIV/0!</v>
      </c>
      <c r="P138" s="4"/>
      <c r="Q138" s="95" t="s">
        <v>1238</v>
      </c>
      <c r="R138" s="4"/>
      <c r="S138" s="4"/>
      <c r="T138" s="4"/>
      <c r="U138" s="4"/>
      <c r="V138" s="71"/>
      <c r="W138" s="71"/>
      <c r="X138" s="71"/>
      <c r="Y138" s="71"/>
      <c r="Z138" s="71"/>
      <c r="AA138" s="71"/>
    </row>
    <row r="139" spans="1:27" s="22" customFormat="1" ht="15.75" x14ac:dyDescent="0.25">
      <c r="A139" s="4"/>
      <c r="B139" s="4" t="s">
        <v>977</v>
      </c>
      <c r="C139" s="95"/>
      <c r="D139" s="95"/>
      <c r="E139" s="673"/>
      <c r="F139" s="673">
        <f>SUM(F19,F24,F28)/(SUM(F16,F20,F25,-Ввод!G440/VLOOKUP($B$7,$A$1:$B$3,2,0),-Ввод!G441/VLOOKUP($B$7,$A$1:$B$3,2,0),-Ввод!G593/VLOOKUP($B$7,$A$1:$B$3,2,0),-Ввод!G595/VLOOKUP($B$7,$A$1:$B$3,2,0))-SUM(F23))</f>
        <v>0</v>
      </c>
      <c r="G139" s="673">
        <f>SUM(G19,G24,G28)/(SUM(G16,G20,G25,-Ввод!H440/VLOOKUP($B$7,$A$1:$B$3,2,0),-Ввод!H441/VLOOKUP($B$7,$A$1:$B$3,2,0),-Ввод!H593/VLOOKUP($B$7,$A$1:$B$3,2,0),-Ввод!H595/VLOOKUP($B$7,$A$1:$B$3,2,0))-SUM(G23))</f>
        <v>0</v>
      </c>
      <c r="H139" s="673">
        <f>SUM(H19,H24,H28)/(SUM(H16,H20,H25,-Ввод!I440/VLOOKUP($B$7,$A$1:$B$3,2,0),-Ввод!I441/VLOOKUP($B$7,$A$1:$B$3,2,0),-Ввод!I593/VLOOKUP($B$7,$A$1:$B$3,2,0),-Ввод!I595/VLOOKUP($B$7,$A$1:$B$3,2,0))-SUM(H23))</f>
        <v>0</v>
      </c>
      <c r="I139" s="673">
        <f>SUM(I19,I24,I28)/(SUM(I16,I20,I25,-Ввод!J440/VLOOKUP($B$7,$A$1:$B$3,2,0),-Ввод!J441/VLOOKUP($B$7,$A$1:$B$3,2,0),-Ввод!J593/VLOOKUP($B$7,$A$1:$B$3,2,0),-Ввод!J595/VLOOKUP($B$7,$A$1:$B$3,2,0))-SUM(I23))</f>
        <v>0</v>
      </c>
      <c r="J139" s="673">
        <f>SUM(J19,J24,J28)/(SUM(J16,J20,J25,-Ввод!K440/VLOOKUP($B$7,$A$1:$B$3,2,0),-Ввод!K441/VLOOKUP($B$7,$A$1:$B$3,2,0),-Ввод!K593/VLOOKUP($B$7,$A$1:$B$3,2,0),-Ввод!K595/VLOOKUP($B$7,$A$1:$B$3,2,0))-SUM(J23))</f>
        <v>0</v>
      </c>
      <c r="K139" s="673">
        <f>SUM(K19,K24,K28)/(SUM(K16,K20,K25,-Ввод!L440/VLOOKUP($B$7,$A$1:$B$3,2,0),-Ввод!L441/VLOOKUP($B$7,$A$1:$B$3,2,0),-Ввод!L593/VLOOKUP($B$7,$A$1:$B$3,2,0),-Ввод!L595/VLOOKUP($B$7,$A$1:$B$3,2,0))-SUM(K23))</f>
        <v>0</v>
      </c>
      <c r="L139" s="673">
        <f>SUM(L19,L24,L28)/(SUM(L16,L20,L25,-Ввод!M440/VLOOKUP($B$7,$A$1:$B$3,2,0),-Ввод!M441/VLOOKUP($B$7,$A$1:$B$3,2,0),-Ввод!M593/VLOOKUP($B$7,$A$1:$B$3,2,0),-Ввод!M595/VLOOKUP($B$7,$A$1:$B$3,2,0))-SUM(L23))</f>
        <v>0</v>
      </c>
      <c r="M139" s="673">
        <f>SUM(M19,M24,M28)/(SUM(M16,M20,M25,-Ввод!N440/VLOOKUP($B$7,$A$1:$B$3,2,0),-Ввод!N441/VLOOKUP($B$7,$A$1:$B$3,2,0),-Ввод!N593/VLOOKUP($B$7,$A$1:$B$3,2,0),-Ввод!N595/VLOOKUP($B$7,$A$1:$B$3,2,0))-SUM(M23))</f>
        <v>0</v>
      </c>
      <c r="N139" s="673">
        <f>SUM(N19,N24,N28)/(SUM(N16,N20,N25,-Ввод!O440/VLOOKUP($B$7,$A$1:$B$3,2,0),-Ввод!O441/VLOOKUP($B$7,$A$1:$B$3,2,0),-Ввод!O593/VLOOKUP($B$7,$A$1:$B$3,2,0),-Ввод!O595/VLOOKUP($B$7,$A$1:$B$3,2,0))-SUM(N23))</f>
        <v>0</v>
      </c>
      <c r="O139" s="673" t="e">
        <f>SUM(O19,O24,O28)/(SUM(O16,O20,O25,-Ввод!P440/VLOOKUP($B$7,$A$1:$B$3,2,0),-Ввод!P441/VLOOKUP($B$7,$A$1:$B$3,2,0),-Ввод!P593/VLOOKUP($B$7,$A$1:$B$3,2,0),-Ввод!P595/VLOOKUP($B$7,$A$1:$B$3,2,0))-SUM(O23))</f>
        <v>#DIV/0!</v>
      </c>
      <c r="P139" s="4"/>
      <c r="Q139" s="95" t="s">
        <v>1123</v>
      </c>
      <c r="R139" s="4"/>
      <c r="S139" s="4"/>
      <c r="T139" s="4"/>
      <c r="U139" s="4"/>
      <c r="V139" s="71"/>
      <c r="W139" s="71"/>
      <c r="X139" s="71"/>
      <c r="Y139" s="71"/>
      <c r="Z139" s="71"/>
      <c r="AA139" s="71"/>
    </row>
    <row r="140" spans="1:27" s="22" customFormat="1" ht="15.75" x14ac:dyDescent="0.25">
      <c r="A140" s="4"/>
      <c r="B140" s="4"/>
      <c r="C140" s="95"/>
      <c r="D140" s="95"/>
      <c r="E140" s="673"/>
      <c r="F140" s="673"/>
      <c r="G140" s="673"/>
      <c r="H140" s="673"/>
      <c r="I140" s="673"/>
      <c r="J140" s="673"/>
      <c r="K140" s="673"/>
      <c r="L140" s="673"/>
      <c r="M140" s="673"/>
      <c r="N140" s="673"/>
      <c r="O140" s="673"/>
      <c r="P140" s="4"/>
      <c r="Q140" s="95"/>
      <c r="R140" s="4"/>
      <c r="S140" s="4"/>
      <c r="T140" s="4"/>
      <c r="U140" s="4"/>
      <c r="V140" s="71"/>
      <c r="W140" s="71"/>
      <c r="X140" s="71"/>
      <c r="Y140" s="71"/>
      <c r="Z140" s="71"/>
      <c r="AA140" s="71"/>
    </row>
    <row r="141" spans="1:27" s="22" customFormat="1" ht="15.75" x14ac:dyDescent="0.25">
      <c r="A141" s="4"/>
      <c r="B141" s="93" t="s">
        <v>1239</v>
      </c>
      <c r="C141" s="336"/>
      <c r="D141" s="336"/>
      <c r="E141" s="674"/>
      <c r="F141" s="674">
        <f t="shared" ref="F141:K141" si="107">(F10+F11-F12+F13)/(F51+F56+F60)</f>
        <v>0.47077123036373741</v>
      </c>
      <c r="G141" s="674">
        <f t="shared" si="107"/>
        <v>0.33409345630871196</v>
      </c>
      <c r="H141" s="674">
        <f t="shared" si="107"/>
        <v>0.30548954148400326</v>
      </c>
      <c r="I141" s="674">
        <f t="shared" si="107"/>
        <v>0.36613917620018416</v>
      </c>
      <c r="J141" s="674">
        <f t="shared" si="107"/>
        <v>0.33135854531118469</v>
      </c>
      <c r="K141" s="674">
        <f t="shared" si="107"/>
        <v>0.32196516789158569</v>
      </c>
      <c r="L141" s="674">
        <f t="shared" ref="L141:O141" si="108">(L10+L11-L12+L13)/(L51+L56+L60)</f>
        <v>0.71731079006924225</v>
      </c>
      <c r="M141" s="674">
        <f t="shared" si="108"/>
        <v>0.46484517240624085</v>
      </c>
      <c r="N141" s="674">
        <f t="shared" si="108"/>
        <v>0.33749667560808538</v>
      </c>
      <c r="O141" s="674" t="e">
        <f t="shared" si="108"/>
        <v>#DIV/0!</v>
      </c>
      <c r="P141" s="4"/>
      <c r="Q141" s="95" t="s">
        <v>1240</v>
      </c>
      <c r="R141" s="4"/>
      <c r="S141" s="4"/>
      <c r="T141" s="4"/>
      <c r="U141" s="4"/>
      <c r="V141" s="71"/>
      <c r="W141" s="71"/>
      <c r="X141" s="71"/>
      <c r="Y141" s="71"/>
      <c r="Z141" s="71"/>
      <c r="AA141" s="71"/>
    </row>
    <row r="142" spans="1:27" s="22" customFormat="1" ht="15.75" x14ac:dyDescent="0.25">
      <c r="A142" s="4"/>
      <c r="B142" s="4" t="s">
        <v>1241</v>
      </c>
      <c r="C142" s="95"/>
      <c r="D142" s="95"/>
      <c r="E142" s="673"/>
      <c r="F142" s="673">
        <f t="shared" ref="F142:K142" si="109">F16/(F47+F52+F53+F67)</f>
        <v>7.6344398093179319E-2</v>
      </c>
      <c r="G142" s="673">
        <f t="shared" si="109"/>
        <v>8.3129711483833787E-2</v>
      </c>
      <c r="H142" s="673">
        <f t="shared" si="109"/>
        <v>7.3056966350727809E-2</v>
      </c>
      <c r="I142" s="673">
        <f t="shared" si="109"/>
        <v>0.55397793998933986</v>
      </c>
      <c r="J142" s="673">
        <f t="shared" si="109"/>
        <v>0.34373964581849148</v>
      </c>
      <c r="K142" s="673">
        <f t="shared" si="109"/>
        <v>0.73783363276878977</v>
      </c>
      <c r="L142" s="673">
        <f t="shared" ref="L142:O142" si="110">L16/(L47+L52+L53+L67)</f>
        <v>8.5820808052882544E-2</v>
      </c>
      <c r="M142" s="673">
        <f t="shared" si="110"/>
        <v>1.3643307430057162E-2</v>
      </c>
      <c r="N142" s="673">
        <f t="shared" si="110"/>
        <v>9.102618652107642E-3</v>
      </c>
      <c r="O142" s="673" t="e">
        <f t="shared" si="110"/>
        <v>#DIV/0!</v>
      </c>
      <c r="P142" s="4"/>
      <c r="Q142" s="95" t="s">
        <v>1242</v>
      </c>
      <c r="R142" s="4"/>
      <c r="S142" s="4"/>
      <c r="T142" s="4"/>
      <c r="U142" s="4"/>
      <c r="V142" s="71"/>
      <c r="W142" s="71"/>
      <c r="X142" s="71"/>
      <c r="Y142" s="71"/>
      <c r="Z142" s="71"/>
      <c r="AA142" s="71"/>
    </row>
    <row r="143" spans="1:27" s="22" customFormat="1" ht="15.75" x14ac:dyDescent="0.25">
      <c r="A143" s="4"/>
      <c r="B143" s="93" t="s">
        <v>1243</v>
      </c>
      <c r="C143" s="336"/>
      <c r="D143" s="336"/>
      <c r="E143" s="674"/>
      <c r="F143" s="674">
        <f t="shared" ref="F143:K143" si="111">F121/F54</f>
        <v>0.79767139262855846</v>
      </c>
      <c r="G143" s="674">
        <f t="shared" si="111"/>
        <v>0.61742781771391808</v>
      </c>
      <c r="H143" s="674">
        <f t="shared" si="111"/>
        <v>0.60342944497361362</v>
      </c>
      <c r="I143" s="674">
        <f t="shared" si="111"/>
        <v>0.58627593039561476</v>
      </c>
      <c r="J143" s="674">
        <f t="shared" si="111"/>
        <v>0.5795130824428687</v>
      </c>
      <c r="K143" s="674">
        <f t="shared" si="111"/>
        <v>0.58907844676260079</v>
      </c>
      <c r="L143" s="674">
        <f t="shared" ref="L143:O143" si="112">L121/L54</f>
        <v>0.58485845168085637</v>
      </c>
      <c r="M143" s="674">
        <f t="shared" si="112"/>
        <v>0.62761704012070474</v>
      </c>
      <c r="N143" s="674">
        <f t="shared" si="112"/>
        <v>0.75734825650986126</v>
      </c>
      <c r="O143" s="674" t="e">
        <f t="shared" si="112"/>
        <v>#DIV/0!</v>
      </c>
      <c r="P143" s="4"/>
      <c r="Q143" s="95" t="s">
        <v>1244</v>
      </c>
      <c r="R143" s="4"/>
      <c r="S143" s="4"/>
      <c r="T143" s="4"/>
      <c r="U143" s="4"/>
      <c r="V143" s="71"/>
      <c r="W143" s="71"/>
      <c r="X143" s="71"/>
      <c r="Y143" s="71"/>
      <c r="Z143" s="71"/>
      <c r="AA143" s="71"/>
    </row>
    <row r="144" spans="1:27" s="22" customFormat="1" ht="15.75" x14ac:dyDescent="0.25">
      <c r="A144" s="4"/>
      <c r="B144" s="4"/>
      <c r="C144" s="4"/>
      <c r="D144" s="4"/>
      <c r="E144" s="97"/>
      <c r="F144" s="97"/>
      <c r="G144" s="97"/>
      <c r="H144" s="97"/>
      <c r="I144" s="97"/>
      <c r="J144" s="97"/>
      <c r="K144" s="97"/>
      <c r="L144" s="97"/>
      <c r="M144" s="97"/>
      <c r="N144" s="97"/>
      <c r="O144" s="97"/>
      <c r="P144" s="4"/>
      <c r="Q144" s="95"/>
      <c r="R144" s="4"/>
      <c r="S144" s="4"/>
      <c r="T144" s="4"/>
      <c r="U144" s="4"/>
      <c r="V144" s="71"/>
      <c r="W144" s="71"/>
      <c r="X144" s="71"/>
      <c r="Y144" s="71"/>
      <c r="Z144" s="71"/>
      <c r="AA144" s="71"/>
    </row>
    <row r="145" spans="1:27" s="22" customFormat="1" ht="15.75" x14ac:dyDescent="0.25">
      <c r="A145" s="4"/>
      <c r="B145" s="93" t="s">
        <v>1261</v>
      </c>
      <c r="C145" s="93"/>
      <c r="D145" s="93"/>
      <c r="E145" s="661"/>
      <c r="F145" s="661">
        <f t="shared" ref="F145:K145" si="113">(F9-F12-F14)/F54</f>
        <v>7.1821413095772224E-2</v>
      </c>
      <c r="G145" s="661">
        <f t="shared" si="113"/>
        <v>6.1561892632608972E-2</v>
      </c>
      <c r="H145" s="661">
        <f t="shared" si="113"/>
        <v>5.4036548971579404E-2</v>
      </c>
      <c r="I145" s="661">
        <f t="shared" si="113"/>
        <v>6.1550090423995348E-2</v>
      </c>
      <c r="J145" s="661">
        <f t="shared" si="113"/>
        <v>7.0773470409327938E-2</v>
      </c>
      <c r="K145" s="661">
        <f t="shared" si="113"/>
        <v>5.8790022972963561E-2</v>
      </c>
      <c r="L145" s="661">
        <f t="shared" ref="L145:O145" si="114">(L9-L12-L14)/L54</f>
        <v>0.15827663752148571</v>
      </c>
      <c r="M145" s="661">
        <f t="shared" si="114"/>
        <v>0.12335847821164048</v>
      </c>
      <c r="N145" s="661">
        <f t="shared" si="114"/>
        <v>9.2173614409106569E-2</v>
      </c>
      <c r="O145" s="661" t="e">
        <f t="shared" si="114"/>
        <v>#DIV/0!</v>
      </c>
      <c r="P145" s="4"/>
      <c r="Q145" s="95" t="s">
        <v>973</v>
      </c>
      <c r="R145" s="4"/>
      <c r="S145" s="4"/>
      <c r="T145" s="4"/>
      <c r="U145" s="4"/>
      <c r="V145" s="71"/>
      <c r="W145" s="71"/>
      <c r="X145" s="71"/>
      <c r="Y145" s="71"/>
      <c r="Z145" s="71"/>
      <c r="AA145" s="71"/>
    </row>
    <row r="146" spans="1:27" s="22" customFormat="1" ht="15.75" x14ac:dyDescent="0.25">
      <c r="A146" s="4"/>
      <c r="B146" s="4" t="s">
        <v>1262</v>
      </c>
      <c r="C146" s="4"/>
      <c r="D146" s="4"/>
      <c r="E146" s="656"/>
      <c r="F146" s="656">
        <f t="shared" ref="F146:K146" si="115">SUM(F9,F17,F21,F26,-F12,-F14)/F54</f>
        <v>0.13648307067794674</v>
      </c>
      <c r="G146" s="656">
        <f t="shared" si="115"/>
        <v>0.14327600056241172</v>
      </c>
      <c r="H146" s="656">
        <f t="shared" si="115"/>
        <v>9.5608444606163148E-2</v>
      </c>
      <c r="I146" s="656">
        <f t="shared" si="115"/>
        <v>7.4441389311693779E-2</v>
      </c>
      <c r="J146" s="656">
        <f t="shared" si="115"/>
        <v>9.4975022173746801E-2</v>
      </c>
      <c r="K146" s="656">
        <f t="shared" si="115"/>
        <v>5.8790022972963561E-2</v>
      </c>
      <c r="L146" s="656">
        <f t="shared" ref="L146:O146" si="116">SUM(L9,L17,L21,L26,-L12,-L14)/L54</f>
        <v>0.15827663752148571</v>
      </c>
      <c r="M146" s="656">
        <f t="shared" si="116"/>
        <v>0.12335847821164048</v>
      </c>
      <c r="N146" s="656">
        <f t="shared" si="116"/>
        <v>9.2173614409106569E-2</v>
      </c>
      <c r="O146" s="656" t="e">
        <f t="shared" si="116"/>
        <v>#DIV/0!</v>
      </c>
      <c r="P146" s="4"/>
      <c r="Q146" s="95" t="s">
        <v>974</v>
      </c>
      <c r="R146" s="4"/>
      <c r="S146" s="4"/>
      <c r="T146" s="4"/>
      <c r="U146" s="4"/>
      <c r="V146" s="71"/>
      <c r="W146" s="71"/>
      <c r="X146" s="71"/>
      <c r="Y146" s="71"/>
      <c r="Z146" s="71"/>
      <c r="AA146" s="71"/>
    </row>
    <row r="147" spans="1:27" s="22" customFormat="1" ht="15.75" x14ac:dyDescent="0.25">
      <c r="A147" s="21"/>
      <c r="B147" s="4"/>
      <c r="C147" s="21"/>
      <c r="D147" s="21"/>
      <c r="E147" s="656"/>
      <c r="F147" s="656"/>
      <c r="G147" s="656"/>
      <c r="H147" s="656"/>
      <c r="I147" s="656"/>
      <c r="J147" s="656"/>
      <c r="K147" s="656"/>
      <c r="L147" s="656"/>
      <c r="M147" s="656"/>
      <c r="N147" s="656"/>
      <c r="O147" s="656"/>
      <c r="P147" s="21"/>
      <c r="Q147" s="850"/>
      <c r="R147" s="21"/>
      <c r="S147" s="4"/>
      <c r="T147" s="4"/>
      <c r="U147" s="4"/>
      <c r="V147" s="71"/>
      <c r="W147" s="71"/>
      <c r="X147" s="71"/>
      <c r="Y147" s="71"/>
      <c r="Z147" s="71"/>
      <c r="AA147" s="71"/>
    </row>
    <row r="148" spans="1:27" s="22" customFormat="1" ht="15.75" x14ac:dyDescent="0.25">
      <c r="A148" s="4"/>
      <c r="B148" s="93" t="s">
        <v>917</v>
      </c>
      <c r="C148" s="336"/>
      <c r="D148" s="336"/>
      <c r="E148" s="674"/>
      <c r="F148" s="674">
        <f t="shared" ref="F148:K148" si="117">F76/F90</f>
        <v>0.11274007247316822</v>
      </c>
      <c r="G148" s="674">
        <f t="shared" si="117"/>
        <v>0.14637610506046042</v>
      </c>
      <c r="H148" s="674">
        <f t="shared" si="117"/>
        <v>0.13139834905436704</v>
      </c>
      <c r="I148" s="674">
        <f t="shared" si="117"/>
        <v>0.13038255838048754</v>
      </c>
      <c r="J148" s="674">
        <f t="shared" si="117"/>
        <v>0.12243148103144785</v>
      </c>
      <c r="K148" s="674">
        <f t="shared" si="117"/>
        <v>0.1196456162530823</v>
      </c>
      <c r="L148" s="674">
        <f t="shared" ref="L148:O148" si="118">L76/L90</f>
        <v>9.4479739363753951E-2</v>
      </c>
      <c r="M148" s="674">
        <f t="shared" si="118"/>
        <v>0.11058861627693518</v>
      </c>
      <c r="N148" s="674">
        <f t="shared" si="118"/>
        <v>0.11282685042210813</v>
      </c>
      <c r="O148" s="674" t="e">
        <f t="shared" si="118"/>
        <v>#DIV/0!</v>
      </c>
      <c r="P148" s="4"/>
      <c r="Q148" s="95" t="s">
        <v>545</v>
      </c>
      <c r="R148" s="4"/>
      <c r="S148" s="4"/>
      <c r="T148" s="4"/>
      <c r="U148" s="4"/>
      <c r="V148" s="71"/>
      <c r="W148" s="71"/>
      <c r="X148" s="71"/>
      <c r="Y148" s="71"/>
      <c r="Z148" s="71"/>
      <c r="AA148" s="71"/>
    </row>
    <row r="149" spans="1:27" s="22" customFormat="1" ht="15.75" x14ac:dyDescent="0.25">
      <c r="A149" s="21"/>
      <c r="B149" s="4" t="s">
        <v>1245</v>
      </c>
      <c r="C149" s="21"/>
      <c r="D149" s="21"/>
      <c r="E149" s="656"/>
      <c r="F149" s="656" t="e">
        <f>Ввод!G362/VLOOKUP($B$7,$A$1:$B$3,2,0)/F42</f>
        <v>#VALUE!</v>
      </c>
      <c r="G149" s="656">
        <f>Ввод!H362/VLOOKUP($B$7,$A$1:$B$3,2,0)/G42</f>
        <v>1.256482449586114</v>
      </c>
      <c r="H149" s="656">
        <f>Ввод!I362/VLOOKUP($B$7,$A$1:$B$3,2,0)/H42</f>
        <v>1.055789691186495</v>
      </c>
      <c r="I149" s="656">
        <f>Ввод!J362/VLOOKUP($B$7,$A$1:$B$3,2,0)/I42</f>
        <v>0.96052309896264187</v>
      </c>
      <c r="J149" s="656">
        <f>Ввод!K362/VLOOKUP($B$7,$A$1:$B$3,2,0)/J42</f>
        <v>0.90610344175048374</v>
      </c>
      <c r="K149" s="656">
        <f>Ввод!L362/VLOOKUP($B$7,$A$1:$B$3,2,0)/K42</f>
        <v>0</v>
      </c>
      <c r="L149" s="656">
        <f>Ввод!M362/VLOOKUP($B$7,$A$1:$B$3,2,0)/L42</f>
        <v>0</v>
      </c>
      <c r="M149" s="656">
        <f>Ввод!N362/VLOOKUP($B$7,$A$1:$B$3,2,0)/M42</f>
        <v>0</v>
      </c>
      <c r="N149" s="656">
        <f>Ввод!O362/VLOOKUP($B$7,$A$1:$B$3,2,0)/N42</f>
        <v>0</v>
      </c>
      <c r="O149" s="656" t="e">
        <f>Ввод!P362/VLOOKUP($B$7,$A$1:$B$3,2,0)/O42</f>
        <v>#DIV/0!</v>
      </c>
      <c r="P149" s="21"/>
      <c r="Q149" s="850" t="s">
        <v>1246</v>
      </c>
      <c r="R149" s="21"/>
      <c r="S149" s="4"/>
      <c r="T149" s="4"/>
      <c r="U149" s="4"/>
      <c r="V149" s="71"/>
      <c r="W149" s="71"/>
      <c r="X149" s="71"/>
      <c r="Y149" s="71"/>
      <c r="Z149" s="71"/>
      <c r="AA149" s="71"/>
    </row>
    <row r="150" spans="1:27" s="22" customFormat="1" ht="15.75" x14ac:dyDescent="0.25">
      <c r="A150" s="4"/>
      <c r="B150" s="93" t="s">
        <v>1250</v>
      </c>
      <c r="C150" s="336"/>
      <c r="D150" s="336"/>
      <c r="E150" s="674"/>
      <c r="F150" s="674" t="e">
        <f>Кредиты!F60</f>
        <v>#DIV/0!</v>
      </c>
      <c r="G150" s="674" t="e">
        <f>Кредиты!G60</f>
        <v>#DIV/0!</v>
      </c>
      <c r="H150" s="674" t="e">
        <f>Кредиты!H60</f>
        <v>#DIV/0!</v>
      </c>
      <c r="I150" s="674" t="e">
        <f>Кредиты!I60</f>
        <v>#DIV/0!</v>
      </c>
      <c r="J150" s="674" t="e">
        <f>Кредиты!J60</f>
        <v>#DIV/0!</v>
      </c>
      <c r="K150" s="674" t="e">
        <f>Кредиты!K60</f>
        <v>#DIV/0!</v>
      </c>
      <c r="L150" s="674">
        <f>Кредиты!P60</f>
        <v>0</v>
      </c>
      <c r="M150" s="674">
        <f>Кредиты!Q60</f>
        <v>0</v>
      </c>
      <c r="N150" s="674">
        <f>Кредиты!R60</f>
        <v>0</v>
      </c>
      <c r="O150" s="674">
        <f>Кредиты!S60</f>
        <v>0</v>
      </c>
      <c r="P150" s="4"/>
      <c r="Q150" s="95" t="s">
        <v>1251</v>
      </c>
      <c r="R150" s="4"/>
      <c r="S150" s="4"/>
      <c r="T150" s="4"/>
      <c r="U150" s="4"/>
      <c r="V150" s="71"/>
      <c r="W150" s="71"/>
      <c r="X150" s="71"/>
      <c r="Y150" s="71"/>
      <c r="Z150" s="71"/>
      <c r="AA150" s="71"/>
    </row>
    <row r="151" spans="1:27" s="22" customFormat="1" ht="15" x14ac:dyDescent="0.2">
      <c r="A151" s="21"/>
      <c r="B151" s="4"/>
      <c r="C151" s="21"/>
      <c r="D151" s="21"/>
      <c r="E151" s="656"/>
      <c r="F151" s="656"/>
      <c r="G151" s="656"/>
      <c r="H151" s="656"/>
      <c r="I151" s="656"/>
      <c r="J151" s="656"/>
      <c r="K151" s="656"/>
      <c r="L151" s="656"/>
      <c r="M151" s="656"/>
      <c r="N151" s="656"/>
      <c r="O151" s="656"/>
      <c r="P151" s="21"/>
      <c r="Q151" s="33"/>
      <c r="R151" s="21"/>
      <c r="S151" s="4"/>
      <c r="T151" s="4"/>
      <c r="U151" s="4"/>
      <c r="V151" s="71"/>
      <c r="W151" s="71"/>
      <c r="X151" s="71"/>
      <c r="Y151" s="71"/>
      <c r="Z151" s="71"/>
      <c r="AA151" s="71"/>
    </row>
    <row r="152" spans="1:27" s="22" customFormat="1" ht="15" x14ac:dyDescent="0.2">
      <c r="A152" s="21"/>
      <c r="B152" s="4"/>
      <c r="C152" s="21"/>
      <c r="D152" s="21"/>
      <c r="E152" s="656"/>
      <c r="F152" s="656"/>
      <c r="G152" s="656"/>
      <c r="H152" s="656"/>
      <c r="I152" s="656"/>
      <c r="J152" s="656"/>
      <c r="K152" s="656"/>
      <c r="L152" s="656"/>
      <c r="M152" s="656"/>
      <c r="N152" s="656"/>
      <c r="O152" s="656"/>
      <c r="P152" s="21"/>
      <c r="Q152" s="33"/>
      <c r="R152" s="21"/>
      <c r="S152" s="4"/>
      <c r="T152" s="4"/>
      <c r="U152" s="4"/>
      <c r="V152" s="71"/>
      <c r="W152" s="71"/>
      <c r="X152" s="71"/>
      <c r="Y152" s="71"/>
      <c r="Z152" s="71"/>
      <c r="AA152" s="71"/>
    </row>
    <row r="153" spans="1:27" s="22" customFormat="1" ht="15.75" x14ac:dyDescent="0.25">
      <c r="A153" s="672"/>
      <c r="B153" s="534" t="s">
        <v>1263</v>
      </c>
      <c r="C153" s="672"/>
      <c r="D153" s="672"/>
      <c r="E153" s="672"/>
      <c r="F153" s="672"/>
      <c r="G153" s="672"/>
      <c r="H153" s="672"/>
      <c r="I153" s="672"/>
      <c r="J153" s="672"/>
      <c r="K153" s="672"/>
      <c r="L153" s="672"/>
      <c r="M153" s="672"/>
      <c r="N153" s="672"/>
      <c r="O153" s="672"/>
      <c r="P153" s="672"/>
      <c r="Q153" s="672"/>
      <c r="R153" s="672"/>
      <c r="S153" s="4"/>
      <c r="T153" s="4"/>
      <c r="U153" s="4"/>
      <c r="V153" s="71"/>
      <c r="W153" s="71"/>
      <c r="X153" s="71"/>
      <c r="Y153" s="71"/>
      <c r="Z153" s="71"/>
      <c r="AA153" s="71"/>
    </row>
    <row r="154" spans="1:27" s="22" customFormat="1" ht="15" x14ac:dyDescent="0.2">
      <c r="A154" s="4"/>
      <c r="B154" s="4"/>
      <c r="C154" s="4"/>
      <c r="D154" s="4"/>
      <c r="E154" s="4" t="s">
        <v>348</v>
      </c>
      <c r="F154" s="4"/>
      <c r="G154" s="4"/>
      <c r="H154" s="4"/>
      <c r="I154" s="4"/>
      <c r="J154" s="4"/>
      <c r="K154" s="4"/>
      <c r="L154" s="4"/>
      <c r="M154" s="4"/>
      <c r="N154" s="4"/>
      <c r="O154" s="4"/>
      <c r="P154" s="4"/>
      <c r="Q154" s="4"/>
      <c r="R154" s="4"/>
      <c r="S154" s="4"/>
      <c r="T154" s="4"/>
      <c r="U154" s="4"/>
      <c r="V154" s="71"/>
      <c r="W154" s="71"/>
      <c r="X154" s="71"/>
      <c r="Y154" s="71"/>
      <c r="Z154" s="71"/>
      <c r="AA154" s="71"/>
    </row>
    <row r="155" spans="1:27" s="22" customFormat="1" ht="15.75" x14ac:dyDescent="0.25">
      <c r="A155" s="15"/>
      <c r="B155" s="15"/>
      <c r="C155" s="15" t="s">
        <v>1248</v>
      </c>
      <c r="D155" s="15"/>
      <c r="E155" s="539"/>
      <c r="F155" s="539">
        <f t="shared" ref="F155:K155" si="119">F8</f>
        <v>2016</v>
      </c>
      <c r="G155" s="539">
        <f t="shared" si="119"/>
        <v>2017</v>
      </c>
      <c r="H155" s="539">
        <f t="shared" si="119"/>
        <v>2018</v>
      </c>
      <c r="I155" s="539">
        <f t="shared" si="119"/>
        <v>2019</v>
      </c>
      <c r="J155" s="539">
        <f t="shared" si="119"/>
        <v>2020</v>
      </c>
      <c r="K155" s="539">
        <f t="shared" si="119"/>
        <v>2021</v>
      </c>
      <c r="L155" s="539">
        <f t="shared" ref="L155:O155" si="120">L8</f>
        <v>2022</v>
      </c>
      <c r="M155" s="539">
        <f t="shared" si="120"/>
        <v>2023</v>
      </c>
      <c r="N155" s="539">
        <f t="shared" si="120"/>
        <v>2024</v>
      </c>
      <c r="O155" s="539">
        <f t="shared" si="120"/>
        <v>2025</v>
      </c>
      <c r="P155" s="4"/>
      <c r="Q155" s="95" t="s">
        <v>160</v>
      </c>
      <c r="R155" s="4"/>
      <c r="S155" s="4"/>
      <c r="T155" s="4"/>
      <c r="U155" s="4"/>
      <c r="V155" s="71"/>
      <c r="W155" s="71"/>
      <c r="X155" s="71"/>
      <c r="Y155" s="71"/>
      <c r="Z155" s="71"/>
      <c r="AA155" s="71"/>
    </row>
    <row r="156" spans="1:27" s="22" customFormat="1" ht="15.75" x14ac:dyDescent="0.25">
      <c r="A156" s="36"/>
      <c r="B156" s="4"/>
      <c r="C156" s="4" t="s">
        <v>769</v>
      </c>
      <c r="D156" s="4"/>
      <c r="E156" s="656"/>
      <c r="F156" s="656">
        <f>Ввод!G397</f>
        <v>1.7318</v>
      </c>
      <c r="G156" s="656">
        <f>Ввод!H397</f>
        <v>2.4209399999999999</v>
      </c>
      <c r="H156" s="656">
        <f>Ввод!I397</f>
        <v>0.73041</v>
      </c>
      <c r="I156" s="656">
        <f>Ввод!J397</f>
        <v>1.21316</v>
      </c>
      <c r="J156" s="656">
        <f>Ввод!K397</f>
        <v>0.83565999999999996</v>
      </c>
      <c r="K156" s="656">
        <f>Ввод!L397</f>
        <v>0.47719</v>
      </c>
      <c r="L156" s="656">
        <f>Ввод!M397</f>
        <v>0.27189999999999998</v>
      </c>
      <c r="M156" s="656">
        <f>Ввод!N397</f>
        <v>1.0832999999999999</v>
      </c>
      <c r="N156" s="656">
        <f>Ввод!O397</f>
        <v>0.94738999999999995</v>
      </c>
      <c r="O156" s="656">
        <f>Ввод!P397</f>
        <v>0</v>
      </c>
      <c r="P156" s="33"/>
      <c r="Q156" s="850" t="s">
        <v>1240</v>
      </c>
      <c r="R156" s="33"/>
      <c r="S156" s="4"/>
      <c r="T156" s="4"/>
      <c r="U156" s="4"/>
      <c r="V156" s="71"/>
      <c r="W156" s="71"/>
      <c r="X156" s="71"/>
      <c r="Y156" s="71"/>
      <c r="Z156" s="71"/>
      <c r="AA156" s="71"/>
    </row>
    <row r="157" spans="1:27" s="22" customFormat="1" ht="15.75" x14ac:dyDescent="0.25">
      <c r="A157" s="36"/>
      <c r="B157" s="93"/>
      <c r="C157" s="93" t="s">
        <v>770</v>
      </c>
      <c r="D157" s="93"/>
      <c r="E157" s="661"/>
      <c r="F157" s="661">
        <f>Ввод!G398</f>
        <v>4.4734999999999996</v>
      </c>
      <c r="G157" s="661">
        <f>Ввод!H398</f>
        <v>3.3078599999999998</v>
      </c>
      <c r="H157" s="661">
        <f>Ввод!I398</f>
        <v>2.10697</v>
      </c>
      <c r="I157" s="661">
        <f>Ввод!J398</f>
        <v>6.4809599999999996</v>
      </c>
      <c r="J157" s="661">
        <f>Ввод!K398</f>
        <v>0.33194000000000001</v>
      </c>
      <c r="K157" s="661">
        <f>Ввод!L398</f>
        <v>2.1944699999999999</v>
      </c>
      <c r="L157" s="661">
        <f>Ввод!M398</f>
        <v>1.0024999999999999</v>
      </c>
      <c r="M157" s="661">
        <f>Ввод!N398</f>
        <v>1.42807</v>
      </c>
      <c r="N157" s="661">
        <f>Ввод!O398</f>
        <v>1.5831299999999999</v>
      </c>
      <c r="O157" s="661">
        <f>Ввод!P398</f>
        <v>0</v>
      </c>
      <c r="P157" s="33"/>
      <c r="Q157" s="850" t="s">
        <v>1264</v>
      </c>
      <c r="R157" s="33"/>
      <c r="S157" s="4"/>
      <c r="T157" s="4"/>
      <c r="U157" s="4"/>
      <c r="V157" s="71"/>
      <c r="W157" s="71"/>
      <c r="X157" s="71"/>
      <c r="Y157" s="71"/>
      <c r="Z157" s="71"/>
      <c r="AA157" s="71"/>
    </row>
    <row r="158" spans="1:27" s="22" customFormat="1" ht="15.75" x14ac:dyDescent="0.25">
      <c r="A158" s="36"/>
      <c r="B158" s="4"/>
      <c r="C158" s="4" t="s">
        <v>771</v>
      </c>
      <c r="D158" s="4"/>
      <c r="E158" s="656"/>
      <c r="F158" s="656">
        <f>Ввод!G399</f>
        <v>0.42370000000000002</v>
      </c>
      <c r="G158" s="656">
        <f>Ввод!H399</f>
        <v>0.32521</v>
      </c>
      <c r="H158" s="656">
        <f>Ввод!I399</f>
        <v>0.33023999999999998</v>
      </c>
      <c r="I158" s="656">
        <f>Ввод!J399</f>
        <v>0.29082999999999998</v>
      </c>
      <c r="J158" s="656">
        <f>Ввод!K399</f>
        <v>0.31678000000000001</v>
      </c>
      <c r="K158" s="656">
        <f>Ввод!L399</f>
        <v>0.40716999999999998</v>
      </c>
      <c r="L158" s="656">
        <f>Ввод!M399</f>
        <v>0.45650000000000002</v>
      </c>
      <c r="M158" s="656">
        <f>Ввод!N399</f>
        <v>0.41274</v>
      </c>
      <c r="N158" s="656">
        <f>Ввод!O399</f>
        <v>0.46557999999999999</v>
      </c>
      <c r="O158" s="656">
        <f>Ввод!P399</f>
        <v>0</v>
      </c>
      <c r="P158" s="33"/>
      <c r="Q158" s="850" t="s">
        <v>1265</v>
      </c>
      <c r="R158" s="33"/>
      <c r="S158" s="4"/>
      <c r="T158" s="4"/>
      <c r="U158" s="4"/>
      <c r="V158" s="71"/>
      <c r="W158" s="71"/>
      <c r="X158" s="71"/>
      <c r="Y158" s="71"/>
      <c r="Z158" s="71"/>
      <c r="AA158" s="71"/>
    </row>
    <row r="159" spans="1:27" s="22" customFormat="1" ht="15.75" x14ac:dyDescent="0.25">
      <c r="A159" s="36"/>
      <c r="B159" s="93"/>
      <c r="C159" s="93" t="s">
        <v>782</v>
      </c>
      <c r="D159" s="93"/>
      <c r="E159" s="661"/>
      <c r="F159" s="661" t="str">
        <f>Ввод!G405</f>
        <v>х</v>
      </c>
      <c r="G159" s="661" t="str">
        <f>Ввод!H405</f>
        <v>х</v>
      </c>
      <c r="H159" s="661">
        <f>Ввод!I405</f>
        <v>0</v>
      </c>
      <c r="I159" s="661">
        <f>Ввод!J405</f>
        <v>0</v>
      </c>
      <c r="J159" s="661">
        <f>Ввод!K405</f>
        <v>0</v>
      </c>
      <c r="K159" s="661">
        <f>Ввод!L405</f>
        <v>0</v>
      </c>
      <c r="L159" s="661">
        <f>Ввод!M405</f>
        <v>0</v>
      </c>
      <c r="M159" s="661">
        <f>Ввод!N405</f>
        <v>0</v>
      </c>
      <c r="N159" s="661">
        <f>Ввод!O405</f>
        <v>0</v>
      </c>
      <c r="O159" s="661">
        <f>Ввод!P405</f>
        <v>0</v>
      </c>
      <c r="P159" s="33"/>
      <c r="Q159" s="850" t="s">
        <v>1266</v>
      </c>
      <c r="R159" s="33"/>
      <c r="S159" s="4"/>
      <c r="T159" s="4"/>
      <c r="U159" s="4"/>
      <c r="V159" s="71"/>
      <c r="W159" s="71"/>
      <c r="X159" s="71"/>
      <c r="Y159" s="71"/>
      <c r="Z159" s="71"/>
      <c r="AA159" s="71"/>
    </row>
    <row r="160" spans="1:27" s="22" customFormat="1" ht="15.75" x14ac:dyDescent="0.25">
      <c r="A160" s="36"/>
      <c r="B160" s="4"/>
      <c r="C160" s="4" t="s">
        <v>1044</v>
      </c>
      <c r="D160" s="4"/>
      <c r="E160" s="656"/>
      <c r="F160" s="656" t="str">
        <f>Ввод!G406</f>
        <v>х</v>
      </c>
      <c r="G160" s="656" t="str">
        <f>Ввод!H406</f>
        <v>х</v>
      </c>
      <c r="H160" s="656" t="str">
        <f>Ввод!I406</f>
        <v>х</v>
      </c>
      <c r="I160" s="656">
        <f>Ввод!J406</f>
        <v>0</v>
      </c>
      <c r="J160" s="656">
        <f>Ввод!K406</f>
        <v>0</v>
      </c>
      <c r="K160" s="656">
        <f>Ввод!L406</f>
        <v>0</v>
      </c>
      <c r="L160" s="656">
        <f>Ввод!M406</f>
        <v>0</v>
      </c>
      <c r="M160" s="656">
        <f>Ввод!N406</f>
        <v>0</v>
      </c>
      <c r="N160" s="656">
        <f>Ввод!O406</f>
        <v>0</v>
      </c>
      <c r="O160" s="656">
        <f>Ввод!P406</f>
        <v>0</v>
      </c>
      <c r="P160" s="33"/>
      <c r="Q160" s="850" t="s">
        <v>1266</v>
      </c>
      <c r="R160" s="33"/>
      <c r="S160" s="4"/>
      <c r="T160" s="4"/>
      <c r="U160" s="4"/>
      <c r="V160" s="71"/>
      <c r="W160" s="71"/>
      <c r="X160" s="71"/>
      <c r="Y160" s="71"/>
      <c r="Z160" s="71"/>
      <c r="AA160" s="71"/>
    </row>
    <row r="161" spans="1:27" s="22" customFormat="1" ht="15" x14ac:dyDescent="0.2">
      <c r="A161" s="21"/>
      <c r="B161" s="4"/>
      <c r="C161" s="21"/>
      <c r="D161" s="21"/>
      <c r="E161" s="656"/>
      <c r="F161" s="656"/>
      <c r="G161" s="656"/>
      <c r="H161" s="656"/>
      <c r="I161" s="656"/>
      <c r="J161" s="656"/>
      <c r="K161" s="656"/>
      <c r="L161" s="656"/>
      <c r="M161" s="656"/>
      <c r="N161" s="656"/>
      <c r="O161" s="656"/>
      <c r="P161" s="21"/>
      <c r="Q161" s="33"/>
      <c r="R161" s="21"/>
      <c r="S161" s="4"/>
      <c r="T161" s="4"/>
      <c r="U161" s="4"/>
      <c r="V161" s="71"/>
      <c r="W161" s="71"/>
      <c r="X161" s="71"/>
      <c r="Y161" s="71"/>
      <c r="Z161" s="71"/>
      <c r="AA161" s="71"/>
    </row>
    <row r="162" spans="1:27" s="22" customFormat="1" ht="15" x14ac:dyDescent="0.2">
      <c r="A162" s="21"/>
      <c r="B162" s="4"/>
      <c r="C162" s="21"/>
      <c r="D162" s="21"/>
      <c r="E162" s="656"/>
      <c r="F162" s="656"/>
      <c r="G162" s="656"/>
      <c r="H162" s="656"/>
      <c r="I162" s="656"/>
      <c r="J162" s="656"/>
      <c r="K162" s="656"/>
      <c r="L162" s="656"/>
      <c r="M162" s="656"/>
      <c r="N162" s="656"/>
      <c r="O162" s="656"/>
      <c r="P162" s="21"/>
      <c r="Q162" s="33"/>
      <c r="R162" s="21"/>
      <c r="S162" s="4"/>
      <c r="T162" s="4"/>
      <c r="U162" s="4"/>
      <c r="V162" s="71"/>
      <c r="W162" s="71"/>
      <c r="X162" s="71"/>
      <c r="Y162" s="71"/>
      <c r="Z162" s="71"/>
      <c r="AA162" s="71"/>
    </row>
    <row r="163" spans="1:27" ht="15.75" x14ac:dyDescent="0.25">
      <c r="A163" s="672"/>
      <c r="B163" s="534" t="s">
        <v>1252</v>
      </c>
      <c r="C163" s="672"/>
      <c r="D163" s="672"/>
      <c r="E163" s="672"/>
      <c r="F163" s="672"/>
      <c r="G163" s="672"/>
      <c r="H163" s="672"/>
      <c r="I163" s="672"/>
      <c r="J163" s="672"/>
      <c r="K163" s="672"/>
      <c r="L163" s="672"/>
      <c r="M163" s="672"/>
      <c r="N163" s="672"/>
      <c r="O163" s="672"/>
      <c r="P163" s="672"/>
      <c r="Q163" s="672"/>
      <c r="R163" s="672"/>
      <c r="S163" s="672"/>
      <c r="T163" s="672"/>
      <c r="U163" s="672"/>
      <c r="V163" s="672"/>
      <c r="W163" s="672"/>
      <c r="X163" s="672"/>
      <c r="Y163" s="672"/>
      <c r="Z163" s="672"/>
      <c r="AA163" s="672"/>
    </row>
    <row r="164" spans="1:27" s="22" customFormat="1" ht="15" x14ac:dyDescent="0.2">
      <c r="A164" s="4"/>
      <c r="B164" s="4"/>
      <c r="C164" s="4"/>
      <c r="D164" s="4"/>
      <c r="E164" s="4" t="s">
        <v>348</v>
      </c>
      <c r="F164" s="4"/>
      <c r="G164" s="4"/>
      <c r="H164" s="4"/>
      <c r="I164" s="4"/>
      <c r="J164" s="4"/>
      <c r="K164" s="4"/>
      <c r="L164" s="4"/>
      <c r="M164" s="4"/>
      <c r="N164" s="4"/>
      <c r="O164" s="4"/>
      <c r="P164" s="4"/>
      <c r="Q164" s="4"/>
      <c r="R164" s="4"/>
      <c r="S164" s="4"/>
      <c r="T164" s="4"/>
      <c r="U164" s="4"/>
      <c r="V164" s="71"/>
      <c r="W164" s="71"/>
      <c r="X164" s="71"/>
      <c r="Y164" s="71"/>
      <c r="Z164" s="71"/>
      <c r="AA164" s="71"/>
    </row>
    <row r="165" spans="1:27" s="22" customFormat="1" ht="15.75" x14ac:dyDescent="0.25">
      <c r="A165" s="15"/>
      <c r="B165" s="15"/>
      <c r="C165" s="15" t="s">
        <v>1248</v>
      </c>
      <c r="D165" s="15"/>
      <c r="E165" s="539"/>
      <c r="F165" s="539">
        <f t="shared" ref="F165:K165" si="121">F8</f>
        <v>2016</v>
      </c>
      <c r="G165" s="539">
        <f t="shared" si="121"/>
        <v>2017</v>
      </c>
      <c r="H165" s="539">
        <f t="shared" si="121"/>
        <v>2018</v>
      </c>
      <c r="I165" s="539">
        <f t="shared" si="121"/>
        <v>2019</v>
      </c>
      <c r="J165" s="539">
        <f t="shared" si="121"/>
        <v>2020</v>
      </c>
      <c r="K165" s="539">
        <f t="shared" si="121"/>
        <v>2021</v>
      </c>
      <c r="L165" s="539">
        <f t="shared" ref="L165:O165" si="122">L8</f>
        <v>2022</v>
      </c>
      <c r="M165" s="539">
        <f t="shared" si="122"/>
        <v>2023</v>
      </c>
      <c r="N165" s="539">
        <f t="shared" si="122"/>
        <v>2024</v>
      </c>
      <c r="O165" s="539">
        <f t="shared" si="122"/>
        <v>2025</v>
      </c>
      <c r="P165" s="4"/>
      <c r="Q165" s="95" t="s">
        <v>1141</v>
      </c>
      <c r="R165" s="4"/>
      <c r="S165" s="4"/>
      <c r="T165" s="4"/>
      <c r="U165" s="4"/>
      <c r="V165" s="71"/>
      <c r="W165" s="71"/>
      <c r="X165" s="71"/>
      <c r="Y165" s="71"/>
      <c r="Z165" s="71"/>
      <c r="AA165" s="71"/>
    </row>
    <row r="166" spans="1:27" s="22" customFormat="1" ht="15.75" x14ac:dyDescent="0.25">
      <c r="A166" s="36"/>
      <c r="B166" s="4" t="s">
        <v>2</v>
      </c>
      <c r="C166" s="4" t="s">
        <v>68</v>
      </c>
      <c r="D166" s="4"/>
      <c r="E166" s="656"/>
      <c r="F166" s="656">
        <f>(F56+F60)/SUM(F56:F58,F60:F61)</f>
        <v>0.22735697485352696</v>
      </c>
      <c r="G166" s="656">
        <f>(G56+G60)/SUM(G56:G58,G60:G61)</f>
        <v>0.18423370069850512</v>
      </c>
      <c r="H166" s="656">
        <f t="shared" ref="H166:O166" si="123">(H56+H60)/SUM(H56:H58,H60:H61)</f>
        <v>0.17686561380996738</v>
      </c>
      <c r="I166" s="656">
        <f t="shared" si="123"/>
        <v>0.16672450446662476</v>
      </c>
      <c r="J166" s="656">
        <f t="shared" si="123"/>
        <v>0.21212970927112737</v>
      </c>
      <c r="K166" s="656">
        <f t="shared" si="123"/>
        <v>0.18257896611381516</v>
      </c>
      <c r="L166" s="656">
        <f t="shared" si="123"/>
        <v>0.22059856573901609</v>
      </c>
      <c r="M166" s="656">
        <f t="shared" si="123"/>
        <v>0.25812961446341182</v>
      </c>
      <c r="N166" s="656">
        <f t="shared" si="123"/>
        <v>0.27238458054172043</v>
      </c>
      <c r="O166" s="656" t="e">
        <f t="shared" si="123"/>
        <v>#DIV/0!</v>
      </c>
      <c r="P166" s="33"/>
      <c r="Q166" s="850" t="s">
        <v>1142</v>
      </c>
      <c r="R166" s="33"/>
      <c r="S166" s="33"/>
      <c r="T166" s="33"/>
      <c r="U166" s="4"/>
      <c r="V166" s="71"/>
      <c r="W166" s="71"/>
      <c r="X166" s="71"/>
      <c r="Y166" s="71"/>
      <c r="Z166" s="71"/>
      <c r="AA166" s="71"/>
    </row>
    <row r="167" spans="1:27" s="22" customFormat="1" ht="15.75" x14ac:dyDescent="0.25">
      <c r="A167" s="36"/>
      <c r="B167" s="93" t="s">
        <v>15</v>
      </c>
      <c r="C167" s="93" t="s">
        <v>1143</v>
      </c>
      <c r="D167" s="93"/>
      <c r="E167" s="661"/>
      <c r="F167" s="661">
        <f>F61/SUM(F56:F58,F60:F61)</f>
        <v>0</v>
      </c>
      <c r="G167" s="661">
        <f>G61/SUM(G56:G58,G60:G61)</f>
        <v>0.26887243157623836</v>
      </c>
      <c r="H167" s="661">
        <f t="shared" ref="H167:O167" si="124">H61/SUM(H56:H58,H60:H61)</f>
        <v>0.23530146912879288</v>
      </c>
      <c r="I167" s="661">
        <f t="shared" si="124"/>
        <v>0.21624338737780302</v>
      </c>
      <c r="J167" s="661">
        <f t="shared" si="124"/>
        <v>0.18925752388107872</v>
      </c>
      <c r="K167" s="661">
        <f t="shared" si="124"/>
        <v>0.13799418666196434</v>
      </c>
      <c r="L167" s="661">
        <f t="shared" si="124"/>
        <v>0.14023677412339672</v>
      </c>
      <c r="M167" s="661">
        <f t="shared" si="124"/>
        <v>0.15060963939953609</v>
      </c>
      <c r="N167" s="661">
        <f t="shared" si="124"/>
        <v>0.14549977352118276</v>
      </c>
      <c r="O167" s="661" t="e">
        <f t="shared" si="124"/>
        <v>#DIV/0!</v>
      </c>
      <c r="P167" s="33"/>
      <c r="Q167" s="850" t="s">
        <v>1146</v>
      </c>
      <c r="R167" s="33"/>
      <c r="S167" s="33"/>
      <c r="T167" s="33"/>
      <c r="U167" s="4"/>
      <c r="V167" s="71"/>
      <c r="W167" s="71"/>
      <c r="X167" s="71"/>
      <c r="Y167" s="71"/>
      <c r="Z167" s="71"/>
      <c r="AA167" s="71"/>
    </row>
    <row r="168" spans="1:27" s="22" customFormat="1" ht="15.75" x14ac:dyDescent="0.25">
      <c r="A168" s="4"/>
      <c r="B168" s="4" t="s">
        <v>16</v>
      </c>
      <c r="C168" s="4" t="s">
        <v>1144</v>
      </c>
      <c r="D168" s="4"/>
      <c r="E168" s="35"/>
      <c r="F168" s="673">
        <f>(F57+F58)/SUM(F56:F58,F60:F61)</f>
        <v>0.77264302514647298</v>
      </c>
      <c r="G168" s="673">
        <f>(G57+G58)/SUM(G56:G58,G60:G61)</f>
        <v>0.5468938677252565</v>
      </c>
      <c r="H168" s="673">
        <f t="shared" ref="H168:O168" si="125">(H57+H58)/SUM(H56:H58,H60:H61)</f>
        <v>0.58783291706123963</v>
      </c>
      <c r="I168" s="673">
        <f t="shared" si="125"/>
        <v>0.61703210815557219</v>
      </c>
      <c r="J168" s="673">
        <f t="shared" si="125"/>
        <v>0.59861276684779396</v>
      </c>
      <c r="K168" s="673">
        <f t="shared" si="125"/>
        <v>0.67942684722422042</v>
      </c>
      <c r="L168" s="673">
        <f t="shared" si="125"/>
        <v>0.63916466013758721</v>
      </c>
      <c r="M168" s="673">
        <f t="shared" si="125"/>
        <v>0.59126074613705215</v>
      </c>
      <c r="N168" s="673">
        <f t="shared" si="125"/>
        <v>0.58211564593709675</v>
      </c>
      <c r="O168" s="673" t="e">
        <f t="shared" si="125"/>
        <v>#DIV/0!</v>
      </c>
      <c r="P168" s="33"/>
      <c r="Q168" s="850" t="s">
        <v>1145</v>
      </c>
      <c r="R168" s="33"/>
      <c r="S168" s="33"/>
      <c r="T168" s="33"/>
      <c r="U168" s="4"/>
      <c r="V168" s="71"/>
      <c r="W168" s="71"/>
      <c r="X168" s="71"/>
      <c r="Y168" s="71"/>
      <c r="Z168" s="71"/>
      <c r="AA168" s="71"/>
    </row>
    <row r="169" spans="1:27" s="22" customFormat="1" ht="15.75" x14ac:dyDescent="0.25">
      <c r="A169" s="12"/>
      <c r="B169" s="12"/>
      <c r="C169" s="12" t="s">
        <v>1273</v>
      </c>
      <c r="D169" s="12"/>
      <c r="E169" s="958"/>
      <c r="F169" s="1930">
        <f t="shared" ref="F169" si="126">SUM(F166:F168)</f>
        <v>1</v>
      </c>
      <c r="G169" s="1930">
        <f t="shared" ref="G169" si="127">SUM(G166:G168)</f>
        <v>1</v>
      </c>
      <c r="H169" s="1930">
        <f t="shared" ref="H169:O169" si="128">SUM(H166:H168)</f>
        <v>0.99999999999999989</v>
      </c>
      <c r="I169" s="1930">
        <f t="shared" si="128"/>
        <v>1</v>
      </c>
      <c r="J169" s="1930">
        <f t="shared" si="128"/>
        <v>1</v>
      </c>
      <c r="K169" s="1930">
        <f t="shared" si="128"/>
        <v>0.99999999999999989</v>
      </c>
      <c r="L169" s="1930">
        <f t="shared" si="128"/>
        <v>1</v>
      </c>
      <c r="M169" s="1930">
        <f t="shared" si="128"/>
        <v>1</v>
      </c>
      <c r="N169" s="1930">
        <f t="shared" si="128"/>
        <v>1</v>
      </c>
      <c r="O169" s="1930" t="e">
        <f t="shared" si="128"/>
        <v>#DIV/0!</v>
      </c>
      <c r="P169" s="33"/>
      <c r="Q169" s="850"/>
      <c r="R169" s="33"/>
      <c r="S169" s="33"/>
      <c r="T169" s="33"/>
      <c r="U169" s="4"/>
      <c r="V169" s="71"/>
      <c r="W169" s="71"/>
      <c r="X169" s="71"/>
      <c r="Y169" s="71"/>
      <c r="Z169" s="71"/>
      <c r="AA169" s="71"/>
    </row>
    <row r="170" spans="1:27" s="22" customFormat="1" ht="15.75" x14ac:dyDescent="0.2">
      <c r="A170" s="359"/>
      <c r="B170" s="359" t="s">
        <v>458</v>
      </c>
      <c r="C170" s="360"/>
      <c r="D170" s="361"/>
      <c r="E170" s="851"/>
      <c r="F170" s="1931">
        <f t="shared" ref="F170" si="129">(F56+F57+F58+F60+F61)/F54-F169</f>
        <v>-0.33009341083780908</v>
      </c>
      <c r="G170" s="1931">
        <f t="shared" ref="G170" si="130">(G56+G57+G58+G60+G61)/G54-G169</f>
        <v>0</v>
      </c>
      <c r="H170" s="1931">
        <f t="shared" ref="H170:O170" si="131">(H56+H57+H58+H60+H61)/H54-H169</f>
        <v>0</v>
      </c>
      <c r="I170" s="1931">
        <f t="shared" si="131"/>
        <v>0</v>
      </c>
      <c r="J170" s="1931">
        <f t="shared" si="131"/>
        <v>0</v>
      </c>
      <c r="K170" s="1931">
        <f t="shared" si="131"/>
        <v>0</v>
      </c>
      <c r="L170" s="1931">
        <f t="shared" si="131"/>
        <v>0</v>
      </c>
      <c r="M170" s="1931">
        <f t="shared" si="131"/>
        <v>0</v>
      </c>
      <c r="N170" s="1931">
        <f t="shared" si="131"/>
        <v>0</v>
      </c>
      <c r="O170" s="1931" t="e">
        <f t="shared" si="131"/>
        <v>#DIV/0!</v>
      </c>
      <c r="P170" s="406"/>
      <c r="Q170" s="362"/>
      <c r="R170" s="33"/>
      <c r="S170" s="33"/>
      <c r="T170" s="33"/>
      <c r="U170" s="4"/>
      <c r="V170" s="71"/>
      <c r="W170" s="71"/>
      <c r="X170" s="71"/>
      <c r="Y170" s="71"/>
      <c r="Z170" s="71"/>
      <c r="AA170" s="71"/>
    </row>
    <row r="171" spans="1:27" s="22" customFormat="1" ht="15.75" x14ac:dyDescent="0.25">
      <c r="A171" s="338"/>
      <c r="B171" s="338"/>
      <c r="C171" s="338"/>
      <c r="D171" s="338"/>
      <c r="E171" s="338"/>
      <c r="F171" s="338"/>
      <c r="G171" s="338"/>
      <c r="H171" s="338"/>
      <c r="I171" s="338"/>
      <c r="J171" s="338"/>
      <c r="K171" s="338"/>
      <c r="L171" s="338"/>
      <c r="M171" s="338"/>
      <c r="N171" s="338"/>
      <c r="O171" s="338"/>
      <c r="P171" s="338"/>
      <c r="Q171" s="338"/>
      <c r="R171" s="338"/>
      <c r="S171" s="338"/>
      <c r="T171" s="338"/>
      <c r="U171" s="338"/>
      <c r="V171" s="338"/>
      <c r="W171" s="338"/>
      <c r="X171" s="338"/>
      <c r="Y171" s="338"/>
      <c r="Z171" s="338"/>
      <c r="AA171" s="338"/>
    </row>
    <row r="172" spans="1:27" s="22" customFormat="1" ht="15.75" x14ac:dyDescent="0.25">
      <c r="A172" s="338"/>
      <c r="B172" s="338"/>
      <c r="C172" s="338"/>
      <c r="D172" s="338"/>
      <c r="E172" s="338"/>
      <c r="F172" s="338"/>
      <c r="G172" s="338"/>
      <c r="H172" s="338"/>
      <c r="I172" s="338"/>
      <c r="J172" s="338"/>
      <c r="K172" s="338"/>
      <c r="L172" s="338"/>
      <c r="M172" s="338"/>
      <c r="N172" s="338"/>
      <c r="O172" s="338"/>
      <c r="P172" s="338"/>
      <c r="Q172" s="338"/>
      <c r="R172" s="338"/>
      <c r="S172" s="338"/>
      <c r="T172" s="338"/>
      <c r="U172" s="338"/>
      <c r="V172" s="338"/>
      <c r="W172" s="338"/>
      <c r="X172" s="338"/>
      <c r="Y172" s="338"/>
      <c r="Z172" s="338"/>
      <c r="AA172" s="338"/>
    </row>
    <row r="173" spans="1:27" s="22" customFormat="1" ht="15.75" x14ac:dyDescent="0.25">
      <c r="A173" s="723"/>
      <c r="B173" s="723" t="s">
        <v>1031</v>
      </c>
      <c r="C173" s="724"/>
      <c r="D173" s="724"/>
      <c r="E173" s="725"/>
      <c r="F173" s="725"/>
      <c r="G173" s="725"/>
      <c r="H173" s="725"/>
      <c r="I173" s="725"/>
      <c r="J173" s="725"/>
      <c r="K173" s="725"/>
      <c r="L173" s="725"/>
      <c r="M173" s="725"/>
      <c r="N173" s="725"/>
      <c r="O173" s="725"/>
      <c r="P173" s="338"/>
      <c r="Q173" s="338"/>
      <c r="R173" s="338"/>
      <c r="S173" s="338"/>
      <c r="T173" s="338"/>
      <c r="U173" s="338"/>
      <c r="V173" s="338"/>
      <c r="W173" s="338"/>
      <c r="X173" s="338"/>
      <c r="Y173" s="338"/>
      <c r="Z173" s="338"/>
      <c r="AA173" s="338"/>
    </row>
    <row r="174" spans="1:27" s="22" customFormat="1" ht="15.75" x14ac:dyDescent="0.25">
      <c r="A174" s="4"/>
      <c r="B174" s="4" t="s">
        <v>1032</v>
      </c>
      <c r="C174" s="43"/>
      <c r="D174" s="43"/>
      <c r="E174" s="497"/>
      <c r="F174" s="497"/>
      <c r="G174" s="497"/>
      <c r="H174" s="497"/>
      <c r="I174" s="498"/>
      <c r="J174" s="498"/>
      <c r="K174" s="498"/>
      <c r="L174" s="498"/>
      <c r="M174" s="498"/>
      <c r="N174" s="498"/>
      <c r="O174" s="498"/>
      <c r="P174" s="338"/>
      <c r="Q174" s="338"/>
      <c r="R174" s="338"/>
      <c r="S174" s="338"/>
      <c r="T174" s="338"/>
      <c r="U174" s="338"/>
      <c r="V174" s="338"/>
      <c r="W174" s="338"/>
      <c r="X174" s="338"/>
      <c r="Y174" s="338"/>
      <c r="Z174" s="338"/>
      <c r="AA174" s="338"/>
    </row>
    <row r="175" spans="1:27" s="22" customFormat="1" ht="15.75" x14ac:dyDescent="0.25">
      <c r="A175" s="4"/>
      <c r="B175" s="4"/>
      <c r="C175" s="4"/>
      <c r="D175" s="4"/>
      <c r="E175" s="4" t="s">
        <v>348</v>
      </c>
      <c r="F175" s="4"/>
      <c r="G175" s="4"/>
      <c r="H175" s="4"/>
      <c r="I175" s="4"/>
      <c r="J175" s="4"/>
      <c r="K175" s="4"/>
      <c r="L175" s="4"/>
      <c r="M175" s="4"/>
      <c r="N175" s="4"/>
      <c r="O175" s="4"/>
      <c r="P175" s="338"/>
      <c r="Q175" s="338"/>
      <c r="R175" s="338"/>
      <c r="S175" s="338"/>
      <c r="T175" s="338"/>
      <c r="U175" s="338"/>
      <c r="V175" s="338"/>
      <c r="W175" s="338"/>
      <c r="X175" s="338"/>
      <c r="Y175" s="338"/>
      <c r="Z175" s="338"/>
      <c r="AA175" s="338"/>
    </row>
    <row r="176" spans="1:27" s="22" customFormat="1" ht="15.75" x14ac:dyDescent="0.25">
      <c r="A176" s="15"/>
      <c r="B176" s="15"/>
      <c r="C176" s="15"/>
      <c r="D176" s="15"/>
      <c r="E176" s="539"/>
      <c r="F176" s="539">
        <f t="shared" ref="F176:K176" si="132">F8</f>
        <v>2016</v>
      </c>
      <c r="G176" s="539">
        <f t="shared" si="132"/>
        <v>2017</v>
      </c>
      <c r="H176" s="539">
        <f t="shared" si="132"/>
        <v>2018</v>
      </c>
      <c r="I176" s="539">
        <f t="shared" si="132"/>
        <v>2019</v>
      </c>
      <c r="J176" s="539">
        <f t="shared" si="132"/>
        <v>2020</v>
      </c>
      <c r="K176" s="539">
        <f t="shared" si="132"/>
        <v>2021</v>
      </c>
      <c r="L176" s="539">
        <f t="shared" ref="L176:O176" si="133">L8</f>
        <v>2022</v>
      </c>
      <c r="M176" s="539">
        <f t="shared" si="133"/>
        <v>2023</v>
      </c>
      <c r="N176" s="539">
        <f t="shared" si="133"/>
        <v>2024</v>
      </c>
      <c r="O176" s="539">
        <f t="shared" si="133"/>
        <v>2025</v>
      </c>
      <c r="P176" s="338"/>
      <c r="Q176" s="338"/>
      <c r="R176" s="338"/>
      <c r="S176" s="338"/>
      <c r="T176" s="338"/>
      <c r="U176" s="338"/>
      <c r="V176" s="338"/>
      <c r="W176" s="338"/>
      <c r="X176" s="338"/>
      <c r="Y176" s="338"/>
      <c r="Z176" s="338"/>
      <c r="AA176" s="338"/>
    </row>
    <row r="177" spans="1:27" s="22" customFormat="1" ht="15.75" x14ac:dyDescent="0.25">
      <c r="A177" s="712" t="s">
        <v>74</v>
      </c>
      <c r="B177" s="4" t="s">
        <v>1033</v>
      </c>
      <c r="C177" s="43"/>
      <c r="D177" s="43"/>
      <c r="E177" s="498"/>
      <c r="F177" s="498">
        <f t="shared" ref="F177" si="134">F59</f>
        <v>107.992639</v>
      </c>
      <c r="G177" s="498">
        <f t="shared" ref="G177:O177" si="135">G59</f>
        <v>110.02883300000001</v>
      </c>
      <c r="H177" s="498">
        <f t="shared" si="135"/>
        <v>114.448382</v>
      </c>
      <c r="I177" s="498">
        <f t="shared" si="135"/>
        <v>124.289828</v>
      </c>
      <c r="J177" s="498">
        <f t="shared" si="135"/>
        <v>127.642669</v>
      </c>
      <c r="K177" s="498">
        <f t="shared" si="135"/>
        <v>119.057672</v>
      </c>
      <c r="L177" s="498">
        <f t="shared" si="135"/>
        <v>152.42189500000001</v>
      </c>
      <c r="M177" s="498">
        <f t="shared" si="135"/>
        <v>152.96253200000001</v>
      </c>
      <c r="N177" s="498">
        <f t="shared" si="135"/>
        <v>148.94699399999999</v>
      </c>
      <c r="O177" s="498">
        <f t="shared" si="135"/>
        <v>0</v>
      </c>
      <c r="P177" s="338"/>
      <c r="Q177" s="338"/>
      <c r="R177" s="338"/>
      <c r="S177" s="338"/>
      <c r="T177" s="338"/>
      <c r="U177" s="338"/>
      <c r="V177" s="338"/>
      <c r="W177" s="338"/>
      <c r="X177" s="338"/>
      <c r="Y177" s="338"/>
      <c r="Z177" s="338"/>
      <c r="AA177" s="338"/>
    </row>
    <row r="178" spans="1:27" s="22" customFormat="1" ht="15.75" x14ac:dyDescent="0.25">
      <c r="A178" s="712" t="s">
        <v>74</v>
      </c>
      <c r="B178" s="4" t="s">
        <v>1034</v>
      </c>
      <c r="C178" s="43"/>
      <c r="D178" s="43"/>
      <c r="E178" s="498"/>
      <c r="F178" s="498">
        <f>F54-F59</f>
        <v>213.10382800000002</v>
      </c>
      <c r="G178" s="498">
        <f t="shared" ref="G178:O178" si="136">G54-G59</f>
        <v>235.99525899999998</v>
      </c>
      <c r="H178" s="498">
        <f t="shared" si="136"/>
        <v>288.49559600000003</v>
      </c>
      <c r="I178" s="498">
        <f t="shared" si="136"/>
        <v>352.19210399999997</v>
      </c>
      <c r="J178" s="498">
        <f t="shared" si="136"/>
        <v>374.04069899999996</v>
      </c>
      <c r="K178" s="498">
        <f t="shared" si="136"/>
        <v>442.96951100000001</v>
      </c>
      <c r="L178" s="498">
        <f t="shared" si="136"/>
        <v>554.05636200000004</v>
      </c>
      <c r="M178" s="498">
        <f t="shared" si="136"/>
        <v>508.63369699999998</v>
      </c>
      <c r="N178" s="498">
        <f t="shared" si="136"/>
        <v>516.45298400000001</v>
      </c>
      <c r="O178" s="498">
        <f t="shared" si="136"/>
        <v>0</v>
      </c>
      <c r="P178" s="338"/>
      <c r="Q178" s="338"/>
      <c r="R178" s="338"/>
      <c r="S178" s="338"/>
      <c r="T178" s="338"/>
      <c r="U178" s="338"/>
      <c r="V178" s="338"/>
      <c r="W178" s="338"/>
      <c r="X178" s="338"/>
      <c r="Y178" s="338"/>
      <c r="Z178" s="338"/>
      <c r="AA178" s="338"/>
    </row>
    <row r="179" spans="1:27" s="22" customFormat="1" ht="15.75" x14ac:dyDescent="0.25">
      <c r="A179" s="712" t="s">
        <v>74</v>
      </c>
      <c r="B179" s="4" t="s">
        <v>1035</v>
      </c>
      <c r="C179" s="43"/>
      <c r="D179" s="43"/>
      <c r="E179" s="498"/>
      <c r="F179" s="498">
        <f>F47+F50</f>
        <v>9.090401</v>
      </c>
      <c r="G179" s="498">
        <f t="shared" ref="G179:O179" si="137">G47+G50</f>
        <v>12.780993</v>
      </c>
      <c r="H179" s="498">
        <f t="shared" si="137"/>
        <v>2.0827269999999998</v>
      </c>
      <c r="I179" s="498">
        <f t="shared" si="137"/>
        <v>6.3731450000000001</v>
      </c>
      <c r="J179" s="498">
        <f t="shared" si="137"/>
        <v>10.119402000000001</v>
      </c>
      <c r="K179" s="498">
        <f t="shared" si="137"/>
        <v>4.3966159999999999</v>
      </c>
      <c r="L179" s="498">
        <f t="shared" si="137"/>
        <v>12.543991</v>
      </c>
      <c r="M179" s="498">
        <f t="shared" si="137"/>
        <v>66.897615000000002</v>
      </c>
      <c r="N179" s="498">
        <f t="shared" si="137"/>
        <v>126.592454</v>
      </c>
      <c r="O179" s="498">
        <f t="shared" si="137"/>
        <v>0</v>
      </c>
      <c r="P179" s="338"/>
      <c r="Q179" s="338"/>
      <c r="R179" s="338"/>
      <c r="S179" s="338"/>
      <c r="T179" s="338"/>
      <c r="U179" s="338"/>
      <c r="V179" s="338"/>
      <c r="W179" s="338"/>
      <c r="X179" s="338"/>
      <c r="Y179" s="338"/>
      <c r="Z179" s="338"/>
      <c r="AA179" s="338"/>
    </row>
    <row r="180" spans="1:27" s="22" customFormat="1" ht="15.75" x14ac:dyDescent="0.25">
      <c r="A180" s="712" t="s">
        <v>74</v>
      </c>
      <c r="B180" s="4" t="s">
        <v>509</v>
      </c>
      <c r="C180" s="43"/>
      <c r="D180" s="43"/>
      <c r="E180" s="498"/>
      <c r="F180" s="498">
        <f t="shared" ref="F180" si="138">F67</f>
        <v>1.1347100000000001</v>
      </c>
      <c r="G180" s="498">
        <f t="shared" ref="G180:O180" si="139">G67</f>
        <v>0</v>
      </c>
      <c r="H180" s="498">
        <f t="shared" si="139"/>
        <v>0</v>
      </c>
      <c r="I180" s="498">
        <f t="shared" si="139"/>
        <v>0</v>
      </c>
      <c r="J180" s="498">
        <f t="shared" si="139"/>
        <v>0.1</v>
      </c>
      <c r="K180" s="498">
        <f t="shared" si="139"/>
        <v>0.1</v>
      </c>
      <c r="L180" s="498">
        <f t="shared" si="139"/>
        <v>0.1</v>
      </c>
      <c r="M180" s="498">
        <f t="shared" si="139"/>
        <v>3.1999999999999999E-5</v>
      </c>
      <c r="N180" s="498">
        <f t="shared" si="139"/>
        <v>0.04</v>
      </c>
      <c r="O180" s="498">
        <f t="shared" si="139"/>
        <v>0</v>
      </c>
      <c r="P180" s="338"/>
      <c r="Q180" s="338"/>
      <c r="R180" s="338"/>
      <c r="S180" s="338"/>
      <c r="T180" s="338"/>
      <c r="U180" s="338"/>
      <c r="V180" s="338"/>
      <c r="W180" s="338"/>
      <c r="X180" s="338"/>
      <c r="Y180" s="338"/>
      <c r="Z180" s="338"/>
      <c r="AA180" s="338"/>
    </row>
    <row r="181" spans="1:27" s="22" customFormat="1" ht="15.75" x14ac:dyDescent="0.25">
      <c r="A181" s="933"/>
      <c r="B181" s="16" t="s">
        <v>18</v>
      </c>
      <c r="C181" s="934"/>
      <c r="D181" s="934"/>
      <c r="E181" s="935"/>
      <c r="F181" s="935">
        <f t="shared" ref="F181:J181" si="140">SUM(F177:F180)</f>
        <v>331.32157799999999</v>
      </c>
      <c r="G181" s="935">
        <f t="shared" si="140"/>
        <v>358.80508500000002</v>
      </c>
      <c r="H181" s="935">
        <f t="shared" si="140"/>
        <v>405.02670499999999</v>
      </c>
      <c r="I181" s="935">
        <f t="shared" si="140"/>
        <v>482.85507699999999</v>
      </c>
      <c r="J181" s="935">
        <f t="shared" si="140"/>
        <v>511.90276999999998</v>
      </c>
      <c r="K181" s="935">
        <f>SUM(K177:K180)</f>
        <v>566.52379900000005</v>
      </c>
      <c r="L181" s="935">
        <f t="shared" ref="L181:O181" si="141">SUM(L177:L180)</f>
        <v>719.12224800000001</v>
      </c>
      <c r="M181" s="935">
        <f t="shared" si="141"/>
        <v>728.493876</v>
      </c>
      <c r="N181" s="935">
        <f t="shared" si="141"/>
        <v>792.03243199999997</v>
      </c>
      <c r="O181" s="935">
        <f t="shared" si="141"/>
        <v>0</v>
      </c>
      <c r="P181" s="338"/>
      <c r="Q181" s="338"/>
      <c r="R181" s="338"/>
      <c r="S181" s="338"/>
      <c r="T181" s="338"/>
      <c r="U181" s="338"/>
      <c r="V181" s="338"/>
      <c r="W181" s="338"/>
      <c r="X181" s="338"/>
      <c r="Y181" s="338"/>
      <c r="Z181" s="338"/>
      <c r="AA181" s="338"/>
    </row>
    <row r="182" spans="1:27" s="22" customFormat="1" ht="15.75" x14ac:dyDescent="0.25">
      <c r="A182" s="4"/>
      <c r="B182" s="4"/>
      <c r="C182" s="43"/>
      <c r="D182" s="43"/>
      <c r="E182" s="497"/>
      <c r="F182" s="497"/>
      <c r="G182" s="497"/>
      <c r="H182" s="497"/>
      <c r="I182" s="498"/>
      <c r="J182" s="498"/>
      <c r="K182" s="498"/>
      <c r="L182" s="498"/>
      <c r="M182" s="498"/>
      <c r="N182" s="498"/>
      <c r="O182" s="498"/>
      <c r="P182" s="338"/>
      <c r="Q182" s="338"/>
      <c r="R182" s="338"/>
      <c r="S182" s="338"/>
      <c r="T182" s="338"/>
      <c r="U182" s="338"/>
      <c r="V182" s="338"/>
      <c r="W182" s="338"/>
      <c r="X182" s="338"/>
      <c r="Y182" s="338"/>
      <c r="Z182" s="338"/>
      <c r="AA182" s="338"/>
    </row>
    <row r="183" spans="1:27" s="22" customFormat="1" ht="15.75" x14ac:dyDescent="0.25">
      <c r="A183" s="15"/>
      <c r="B183" s="15" t="s">
        <v>1036</v>
      </c>
      <c r="C183" s="537"/>
      <c r="D183" s="537"/>
      <c r="E183" s="713"/>
      <c r="F183" s="713"/>
      <c r="G183" s="713"/>
      <c r="H183" s="713"/>
      <c r="I183" s="714"/>
      <c r="J183" s="714"/>
      <c r="K183" s="714"/>
      <c r="L183" s="498"/>
      <c r="M183" s="498"/>
      <c r="N183" s="498"/>
      <c r="O183" s="498"/>
      <c r="P183" s="338"/>
      <c r="Q183" s="338"/>
      <c r="R183" s="338"/>
      <c r="S183" s="338"/>
      <c r="T183" s="338"/>
      <c r="U183" s="338"/>
      <c r="V183" s="338"/>
      <c r="W183" s="338"/>
      <c r="X183" s="338"/>
      <c r="Y183" s="338"/>
      <c r="Z183" s="338"/>
      <c r="AA183" s="338"/>
    </row>
    <row r="184" spans="1:27" s="22" customFormat="1" ht="15.75" x14ac:dyDescent="0.25">
      <c r="A184" s="712" t="s">
        <v>74</v>
      </c>
      <c r="B184" s="4" t="s">
        <v>1033</v>
      </c>
      <c r="C184" s="43"/>
      <c r="D184" s="43"/>
      <c r="E184" s="718"/>
      <c r="F184" s="718">
        <f t="shared" ref="F184:J184" si="142">F177/F$181</f>
        <v>0.32594508227290891</v>
      </c>
      <c r="G184" s="718">
        <f t="shared" si="142"/>
        <v>0.30665349405513581</v>
      </c>
      <c r="H184" s="718">
        <f t="shared" si="142"/>
        <v>0.28256996535574119</v>
      </c>
      <c r="I184" s="717">
        <f t="shared" si="142"/>
        <v>0.25740607051751058</v>
      </c>
      <c r="J184" s="717">
        <f t="shared" si="142"/>
        <v>0.24934943993368117</v>
      </c>
      <c r="K184" s="717">
        <f>K177/K$181</f>
        <v>0.2101547582116669</v>
      </c>
      <c r="L184" s="1895">
        <f t="shared" ref="L184:O184" si="143">L177/L$181</f>
        <v>0.21195547130395553</v>
      </c>
      <c r="M184" s="1895">
        <f t="shared" si="143"/>
        <v>0.20997092362654263</v>
      </c>
      <c r="N184" s="1895">
        <f t="shared" si="143"/>
        <v>0.18805668553734173</v>
      </c>
      <c r="O184" s="717" t="e">
        <f t="shared" si="143"/>
        <v>#DIV/0!</v>
      </c>
      <c r="P184" s="338"/>
      <c r="Q184" s="338"/>
      <c r="R184" s="338"/>
      <c r="S184" s="338"/>
      <c r="T184" s="338"/>
      <c r="U184" s="338"/>
      <c r="V184" s="338"/>
      <c r="W184" s="338"/>
      <c r="X184" s="338"/>
      <c r="Y184" s="338"/>
      <c r="Z184" s="338"/>
      <c r="AA184" s="338"/>
    </row>
    <row r="185" spans="1:27" s="22" customFormat="1" ht="15.75" x14ac:dyDescent="0.25">
      <c r="A185" s="712" t="s">
        <v>74</v>
      </c>
      <c r="B185" s="4" t="s">
        <v>1034</v>
      </c>
      <c r="C185" s="43"/>
      <c r="D185" s="43"/>
      <c r="E185" s="718"/>
      <c r="F185" s="718">
        <f t="shared" ref="F185:K185" si="144">F178/F$181</f>
        <v>0.64319332681676422</v>
      </c>
      <c r="G185" s="718">
        <f t="shared" si="144"/>
        <v>0.65772551411861946</v>
      </c>
      <c r="H185" s="718">
        <f t="shared" si="144"/>
        <v>0.71228783790935479</v>
      </c>
      <c r="I185" s="717">
        <f t="shared" si="144"/>
        <v>0.7293950520064636</v>
      </c>
      <c r="J185" s="717">
        <f t="shared" si="144"/>
        <v>0.73068699940811022</v>
      </c>
      <c r="K185" s="717">
        <f t="shared" si="144"/>
        <v>0.78190803595878589</v>
      </c>
      <c r="L185" s="717">
        <f t="shared" ref="L185:O185" si="145">L178/L$181</f>
        <v>0.77046199521837078</v>
      </c>
      <c r="M185" s="717">
        <f t="shared" si="145"/>
        <v>0.69819900174425076</v>
      </c>
      <c r="N185" s="717">
        <f t="shared" si="145"/>
        <v>0.65206039946606631</v>
      </c>
      <c r="O185" s="717" t="e">
        <f t="shared" si="145"/>
        <v>#DIV/0!</v>
      </c>
      <c r="P185" s="338"/>
      <c r="Q185" s="338"/>
      <c r="R185" s="338"/>
      <c r="S185" s="338"/>
      <c r="T185" s="338"/>
      <c r="U185" s="338"/>
      <c r="V185" s="338"/>
      <c r="W185" s="338"/>
      <c r="X185" s="338"/>
      <c r="Y185" s="338"/>
      <c r="Z185" s="338"/>
      <c r="AA185" s="338"/>
    </row>
    <row r="186" spans="1:27" s="22" customFormat="1" ht="15.75" x14ac:dyDescent="0.25">
      <c r="A186" s="712" t="s">
        <v>74</v>
      </c>
      <c r="B186" s="4" t="s">
        <v>1035</v>
      </c>
      <c r="C186" s="43"/>
      <c r="D186" s="43"/>
      <c r="E186" s="718"/>
      <c r="F186" s="718">
        <f t="shared" ref="F186:K186" si="146">F179/F$181</f>
        <v>2.74367913338865E-2</v>
      </c>
      <c r="G186" s="718">
        <f t="shared" si="146"/>
        <v>3.5620991826244605E-2</v>
      </c>
      <c r="H186" s="718">
        <f t="shared" si="146"/>
        <v>5.1421967349041834E-3</v>
      </c>
      <c r="I186" s="717">
        <f t="shared" si="146"/>
        <v>1.3198877476025793E-2</v>
      </c>
      <c r="J186" s="717">
        <f t="shared" si="146"/>
        <v>1.9768211060862205E-2</v>
      </c>
      <c r="K186" s="717">
        <f t="shared" si="146"/>
        <v>7.7606907384309186E-3</v>
      </c>
      <c r="L186" s="717">
        <f t="shared" ref="L186:O186" si="147">L179/L$181</f>
        <v>1.7443475062671125E-2</v>
      </c>
      <c r="M186" s="717">
        <f t="shared" si="147"/>
        <v>9.1830030702962293E-2</v>
      </c>
      <c r="N186" s="717">
        <f t="shared" si="147"/>
        <v>0.15983241201415854</v>
      </c>
      <c r="O186" s="717" t="e">
        <f t="shared" si="147"/>
        <v>#DIV/0!</v>
      </c>
      <c r="P186" s="338"/>
      <c r="Q186" s="338"/>
      <c r="R186" s="338"/>
      <c r="S186" s="338"/>
      <c r="T186" s="338"/>
      <c r="U186" s="338"/>
      <c r="V186" s="338"/>
      <c r="W186" s="338"/>
      <c r="X186" s="338"/>
      <c r="Y186" s="338"/>
      <c r="Z186" s="338"/>
      <c r="AA186" s="338"/>
    </row>
    <row r="187" spans="1:27" s="22" customFormat="1" ht="15.75" x14ac:dyDescent="0.25">
      <c r="A187" s="719" t="s">
        <v>74</v>
      </c>
      <c r="B187" s="15" t="s">
        <v>509</v>
      </c>
      <c r="C187" s="537"/>
      <c r="D187" s="537"/>
      <c r="E187" s="720"/>
      <c r="F187" s="720">
        <f t="shared" ref="F187:J187" si="148">F180/F$181</f>
        <v>3.4247995764405061E-3</v>
      </c>
      <c r="G187" s="720">
        <f t="shared" si="148"/>
        <v>0</v>
      </c>
      <c r="H187" s="720">
        <f t="shared" si="148"/>
        <v>0</v>
      </c>
      <c r="I187" s="721">
        <f t="shared" si="148"/>
        <v>0</v>
      </c>
      <c r="J187" s="721">
        <f t="shared" si="148"/>
        <v>1.9534959734638673E-4</v>
      </c>
      <c r="K187" s="721">
        <f>K180/K$181</f>
        <v>1.7651509111623394E-4</v>
      </c>
      <c r="L187" s="721">
        <f t="shared" ref="L187:O187" si="149">L180/L$181</f>
        <v>1.390584150026186E-4</v>
      </c>
      <c r="M187" s="721">
        <f t="shared" si="149"/>
        <v>4.3926244343610652E-8</v>
      </c>
      <c r="N187" s="721">
        <f t="shared" si="149"/>
        <v>5.0502982433426418E-5</v>
      </c>
      <c r="O187" s="721" t="e">
        <f t="shared" si="149"/>
        <v>#DIV/0!</v>
      </c>
      <c r="P187" s="338"/>
      <c r="Q187" s="338"/>
      <c r="R187" s="338"/>
      <c r="S187" s="338"/>
      <c r="T187" s="338"/>
      <c r="U187" s="338"/>
      <c r="V187" s="338"/>
      <c r="W187" s="338"/>
      <c r="X187" s="338"/>
      <c r="Y187" s="338"/>
      <c r="Z187" s="338"/>
      <c r="AA187" s="338"/>
    </row>
    <row r="188" spans="1:27" s="22" customFormat="1" ht="15.75" x14ac:dyDescent="0.25">
      <c r="A188" s="4"/>
      <c r="B188" s="4" t="s">
        <v>1038</v>
      </c>
      <c r="C188" s="43"/>
      <c r="D188" s="43"/>
      <c r="E188" s="722"/>
      <c r="F188" s="722">
        <f t="shared" ref="F188:K188" si="150">MAX(F184:F187)</f>
        <v>0.64319332681676422</v>
      </c>
      <c r="G188" s="722">
        <f t="shared" si="150"/>
        <v>0.65772551411861946</v>
      </c>
      <c r="H188" s="722">
        <f t="shared" si="150"/>
        <v>0.71228783790935479</v>
      </c>
      <c r="I188" s="722">
        <f t="shared" si="150"/>
        <v>0.7293950520064636</v>
      </c>
      <c r="J188" s="722">
        <f t="shared" si="150"/>
        <v>0.73068699940811022</v>
      </c>
      <c r="K188" s="722">
        <f t="shared" si="150"/>
        <v>0.78190803595878589</v>
      </c>
      <c r="L188" s="722">
        <f t="shared" ref="L188:O188" si="151">MAX(L184:L187)</f>
        <v>0.77046199521837078</v>
      </c>
      <c r="M188" s="722">
        <f t="shared" si="151"/>
        <v>0.69819900174425076</v>
      </c>
      <c r="N188" s="722">
        <f t="shared" si="151"/>
        <v>0.65206039946606631</v>
      </c>
      <c r="O188" s="722" t="e">
        <f t="shared" si="151"/>
        <v>#DIV/0!</v>
      </c>
      <c r="P188" s="338"/>
      <c r="Q188" s="338"/>
      <c r="R188" s="338"/>
      <c r="S188" s="338"/>
      <c r="T188" s="338"/>
      <c r="U188" s="338"/>
      <c r="V188" s="338"/>
      <c r="W188" s="338"/>
      <c r="X188" s="338"/>
      <c r="Y188" s="338"/>
      <c r="Z188" s="338"/>
      <c r="AA188" s="338"/>
    </row>
    <row r="189" spans="1:27" s="22" customFormat="1" ht="15.75" x14ac:dyDescent="0.25">
      <c r="A189" s="4"/>
      <c r="B189" s="4"/>
      <c r="C189" s="43"/>
      <c r="D189" s="43"/>
      <c r="E189" s="497"/>
      <c r="F189" s="497"/>
      <c r="G189" s="497"/>
      <c r="H189" s="497"/>
      <c r="I189" s="498"/>
      <c r="J189" s="498"/>
      <c r="K189" s="498"/>
      <c r="L189" s="498"/>
      <c r="M189" s="498"/>
      <c r="N189" s="498"/>
      <c r="O189" s="498"/>
      <c r="P189" s="338"/>
      <c r="Q189" s="338"/>
      <c r="R189" s="338"/>
      <c r="S189" s="338"/>
      <c r="T189" s="338"/>
      <c r="U189" s="338"/>
      <c r="V189" s="338"/>
      <c r="W189" s="338"/>
      <c r="X189" s="338"/>
      <c r="Y189" s="338"/>
      <c r="Z189" s="338"/>
      <c r="AA189" s="338"/>
    </row>
    <row r="190" spans="1:27" s="22" customFormat="1" ht="15.75" x14ac:dyDescent="0.25">
      <c r="A190" s="4"/>
      <c r="B190" s="4" t="s">
        <v>1039</v>
      </c>
      <c r="C190" s="43"/>
      <c r="D190" s="43"/>
      <c r="E190" s="497"/>
      <c r="F190" s="497"/>
      <c r="G190" s="497"/>
      <c r="H190" s="497"/>
      <c r="I190" s="498"/>
      <c r="J190" s="498"/>
      <c r="K190" s="498"/>
      <c r="L190" s="498"/>
      <c r="M190" s="498"/>
      <c r="N190" s="498"/>
      <c r="O190" s="498"/>
      <c r="P190" s="338"/>
      <c r="Q190" s="338"/>
      <c r="R190" s="338"/>
      <c r="S190" s="338"/>
      <c r="T190" s="338"/>
      <c r="U190" s="338"/>
      <c r="V190" s="338"/>
      <c r="W190" s="338"/>
      <c r="X190" s="338"/>
      <c r="Y190" s="338"/>
      <c r="Z190" s="338"/>
      <c r="AA190" s="338"/>
    </row>
    <row r="191" spans="1:27" s="22" customFormat="1" ht="15.75" x14ac:dyDescent="0.25">
      <c r="A191" s="4"/>
      <c r="B191" s="4"/>
      <c r="C191" s="43"/>
      <c r="D191" s="43"/>
      <c r="E191" s="497"/>
      <c r="F191" s="497"/>
      <c r="G191" s="497"/>
      <c r="H191" s="497"/>
      <c r="I191" s="498"/>
      <c r="J191" s="498"/>
      <c r="K191" s="498"/>
      <c r="L191" s="498"/>
      <c r="M191" s="498"/>
      <c r="N191" s="498"/>
      <c r="O191" s="498"/>
      <c r="P191" s="338"/>
      <c r="Q191" s="338"/>
      <c r="R191" s="338"/>
      <c r="S191" s="338"/>
      <c r="T191" s="338"/>
      <c r="U191" s="338"/>
      <c r="V191" s="338"/>
      <c r="W191" s="338"/>
      <c r="X191" s="338"/>
      <c r="Y191" s="338"/>
      <c r="Z191" s="338"/>
      <c r="AA191" s="338"/>
    </row>
    <row r="192" spans="1:27" s="22" customFormat="1" ht="15.75" x14ac:dyDescent="0.25">
      <c r="A192" s="4"/>
      <c r="B192" s="4"/>
      <c r="C192" s="43"/>
      <c r="D192" s="43"/>
      <c r="E192" s="497"/>
      <c r="F192" s="497"/>
      <c r="G192" s="497"/>
      <c r="H192" s="497"/>
      <c r="I192" s="498"/>
      <c r="J192" s="498"/>
      <c r="K192" s="498"/>
      <c r="L192" s="498"/>
      <c r="M192" s="498"/>
      <c r="N192" s="498"/>
      <c r="O192" s="498"/>
      <c r="P192" s="338"/>
      <c r="Q192" s="338"/>
      <c r="R192" s="338"/>
      <c r="S192" s="338"/>
      <c r="T192" s="338"/>
      <c r="U192" s="338"/>
      <c r="V192" s="338"/>
      <c r="W192" s="338"/>
      <c r="X192" s="338"/>
      <c r="Y192" s="338"/>
      <c r="Z192" s="338"/>
      <c r="AA192" s="338"/>
    </row>
    <row r="193" spans="1:27" s="22" customFormat="1" ht="15.75" x14ac:dyDescent="0.25">
      <c r="A193" s="723"/>
      <c r="B193" s="723" t="s">
        <v>3454</v>
      </c>
      <c r="C193" s="724"/>
      <c r="D193" s="724"/>
      <c r="E193" s="725"/>
      <c r="F193" s="725"/>
      <c r="G193" s="725"/>
      <c r="H193" s="725"/>
      <c r="I193" s="725"/>
      <c r="J193" s="725"/>
      <c r="K193" s="725"/>
      <c r="L193" s="725"/>
      <c r="M193" s="725"/>
      <c r="N193" s="725"/>
      <c r="O193" s="725"/>
      <c r="P193" s="338"/>
      <c r="Q193" s="338"/>
      <c r="R193" s="338"/>
      <c r="S193" s="338"/>
      <c r="T193" s="338"/>
      <c r="U193" s="338"/>
      <c r="V193" s="338"/>
      <c r="W193" s="338"/>
      <c r="X193" s="338"/>
      <c r="Y193" s="338"/>
      <c r="Z193" s="338"/>
      <c r="AA193" s="338"/>
    </row>
    <row r="194" spans="1:27" s="22" customFormat="1" ht="15.75" x14ac:dyDescent="0.25">
      <c r="A194" s="4"/>
      <c r="B194" s="4"/>
      <c r="C194" s="43"/>
      <c r="D194" s="43"/>
      <c r="E194" s="497"/>
      <c r="F194" s="497"/>
      <c r="G194" s="497"/>
      <c r="H194" s="497"/>
      <c r="I194" s="498"/>
      <c r="J194" s="498"/>
      <c r="K194" s="498"/>
      <c r="L194" s="498"/>
      <c r="M194" s="498"/>
      <c r="N194" s="498"/>
      <c r="O194" s="498"/>
      <c r="P194" s="338"/>
      <c r="Q194" s="338"/>
      <c r="R194" s="338"/>
      <c r="S194" s="338"/>
      <c r="T194" s="338"/>
      <c r="U194" s="338"/>
      <c r="V194" s="338"/>
      <c r="W194" s="338"/>
      <c r="X194" s="338"/>
      <c r="Y194" s="338"/>
      <c r="Z194" s="338"/>
      <c r="AA194" s="338"/>
    </row>
    <row r="195" spans="1:27" s="22" customFormat="1" ht="15.75" x14ac:dyDescent="0.25">
      <c r="A195" s="4"/>
      <c r="B195" s="4"/>
      <c r="C195" s="4"/>
      <c r="D195" s="4"/>
      <c r="E195" s="4" t="s">
        <v>348</v>
      </c>
      <c r="F195" s="4"/>
      <c r="G195" s="4"/>
      <c r="H195" s="4"/>
      <c r="I195" s="4"/>
      <c r="J195" s="4"/>
      <c r="K195" s="4"/>
      <c r="L195" s="4"/>
      <c r="M195" s="4"/>
      <c r="N195" s="4"/>
      <c r="O195" s="4"/>
      <c r="P195" s="338"/>
      <c r="Q195" s="338"/>
      <c r="R195" s="338"/>
      <c r="S195" s="338"/>
      <c r="T195" s="338"/>
      <c r="U195" s="338"/>
      <c r="V195" s="338"/>
      <c r="W195" s="338"/>
      <c r="X195" s="338"/>
      <c r="Y195" s="338"/>
      <c r="Z195" s="338"/>
      <c r="AA195" s="338"/>
    </row>
    <row r="196" spans="1:27" s="22" customFormat="1" ht="15.75" x14ac:dyDescent="0.25">
      <c r="A196" s="15"/>
      <c r="B196" s="15"/>
      <c r="C196" s="15"/>
      <c r="D196" s="15"/>
      <c r="E196" s="539"/>
      <c r="F196" s="539">
        <f>F8</f>
        <v>2016</v>
      </c>
      <c r="G196" s="539">
        <f t="shared" ref="G196:O196" si="152">G8</f>
        <v>2017</v>
      </c>
      <c r="H196" s="539">
        <f t="shared" si="152"/>
        <v>2018</v>
      </c>
      <c r="I196" s="539">
        <f t="shared" si="152"/>
        <v>2019</v>
      </c>
      <c r="J196" s="539">
        <f t="shared" si="152"/>
        <v>2020</v>
      </c>
      <c r="K196" s="539">
        <f t="shared" si="152"/>
        <v>2021</v>
      </c>
      <c r="L196" s="539">
        <f t="shared" si="152"/>
        <v>2022</v>
      </c>
      <c r="M196" s="539">
        <f t="shared" si="152"/>
        <v>2023</v>
      </c>
      <c r="N196" s="539">
        <f t="shared" si="152"/>
        <v>2024</v>
      </c>
      <c r="O196" s="539">
        <f t="shared" si="152"/>
        <v>2025</v>
      </c>
      <c r="P196" s="338"/>
      <c r="Q196" s="338"/>
      <c r="R196" s="338"/>
      <c r="S196" s="338"/>
      <c r="T196" s="338"/>
      <c r="U196" s="338"/>
      <c r="V196" s="338"/>
      <c r="W196" s="338"/>
      <c r="X196" s="338"/>
      <c r="Y196" s="338"/>
      <c r="Z196" s="338"/>
      <c r="AA196" s="338"/>
    </row>
    <row r="197" spans="1:27" s="22" customFormat="1" ht="15.75" x14ac:dyDescent="0.25">
      <c r="A197" s="712" t="s">
        <v>74</v>
      </c>
      <c r="B197" s="4" t="s">
        <v>293</v>
      </c>
      <c r="C197" s="43"/>
      <c r="D197" s="43"/>
      <c r="E197" s="498"/>
      <c r="F197" s="2161" t="str">
        <f>IF(F196&lt;2023,"н/п",F69)</f>
        <v>н/п</v>
      </c>
      <c r="G197" s="2161" t="str">
        <f t="shared" ref="G197:O197" si="153">IF(G196&lt;2023,"н/п",G69)</f>
        <v>н/п</v>
      </c>
      <c r="H197" s="2161" t="str">
        <f t="shared" si="153"/>
        <v>н/п</v>
      </c>
      <c r="I197" s="2161" t="str">
        <f t="shared" si="153"/>
        <v>н/п</v>
      </c>
      <c r="J197" s="2161" t="str">
        <f t="shared" si="153"/>
        <v>н/п</v>
      </c>
      <c r="K197" s="2161" t="str">
        <f t="shared" si="153"/>
        <v>н/п</v>
      </c>
      <c r="L197" s="2161" t="str">
        <f t="shared" si="153"/>
        <v>н/п</v>
      </c>
      <c r="M197" s="2161">
        <f t="shared" si="153"/>
        <v>0</v>
      </c>
      <c r="N197" s="2161">
        <f t="shared" si="153"/>
        <v>0</v>
      </c>
      <c r="O197" s="2161">
        <f t="shared" si="153"/>
        <v>0</v>
      </c>
      <c r="P197" s="338"/>
      <c r="Q197" s="338"/>
      <c r="R197" s="338"/>
      <c r="S197" s="338"/>
      <c r="T197" s="338"/>
      <c r="U197" s="338"/>
      <c r="V197" s="338"/>
      <c r="W197" s="338"/>
      <c r="X197" s="338"/>
      <c r="Y197" s="338"/>
      <c r="Z197" s="338"/>
      <c r="AA197" s="338"/>
    </row>
    <row r="198" spans="1:27" s="22" customFormat="1" ht="15.75" x14ac:dyDescent="0.25">
      <c r="A198" s="712" t="s">
        <v>74</v>
      </c>
      <c r="B198" s="4" t="s">
        <v>3455</v>
      </c>
      <c r="C198" s="43"/>
      <c r="D198" s="43"/>
      <c r="E198" s="498"/>
      <c r="F198" s="498">
        <f>F76</f>
        <v>49.870344000000003</v>
      </c>
      <c r="G198" s="498">
        <f t="shared" ref="G198:O198" si="154">G76</f>
        <v>63.876245999999995</v>
      </c>
      <c r="H198" s="498">
        <f t="shared" si="154"/>
        <v>65.479410000000001</v>
      </c>
      <c r="I198" s="498">
        <f t="shared" si="154"/>
        <v>73.163478999999995</v>
      </c>
      <c r="J198" s="498">
        <f t="shared" si="154"/>
        <v>72.727427000000006</v>
      </c>
      <c r="K198" s="498">
        <f t="shared" si="154"/>
        <v>78.197317000000012</v>
      </c>
      <c r="L198" s="498">
        <f t="shared" si="154"/>
        <v>76.648270999999994</v>
      </c>
      <c r="M198" s="498">
        <f t="shared" si="154"/>
        <v>92.638407000000001</v>
      </c>
      <c r="N198" s="498">
        <f t="shared" si="154"/>
        <v>105.09895999999999</v>
      </c>
      <c r="O198" s="498">
        <f t="shared" si="154"/>
        <v>0</v>
      </c>
      <c r="P198" s="338"/>
      <c r="Q198" s="338"/>
      <c r="R198" s="338"/>
      <c r="S198" s="338"/>
      <c r="T198" s="338"/>
      <c r="U198" s="338"/>
      <c r="V198" s="338"/>
      <c r="W198" s="338"/>
      <c r="X198" s="338"/>
      <c r="Y198" s="338"/>
      <c r="Z198" s="338"/>
      <c r="AA198" s="338"/>
    </row>
    <row r="199" spans="1:27" s="22" customFormat="1" ht="15.75" x14ac:dyDescent="0.25">
      <c r="A199" s="933"/>
      <c r="B199" s="16" t="s">
        <v>3456</v>
      </c>
      <c r="C199" s="934"/>
      <c r="D199" s="934"/>
      <c r="E199" s="935"/>
      <c r="F199" s="935">
        <f>F90</f>
        <v>442.34798599999999</v>
      </c>
      <c r="G199" s="935">
        <f t="shared" ref="G199:O199" si="155">G90</f>
        <v>436.38438100000002</v>
      </c>
      <c r="H199" s="935">
        <f t="shared" si="155"/>
        <v>498.327494</v>
      </c>
      <c r="I199" s="935">
        <f t="shared" si="155"/>
        <v>561.14467999999999</v>
      </c>
      <c r="J199" s="935">
        <f t="shared" si="155"/>
        <v>594.02554299999997</v>
      </c>
      <c r="K199" s="935">
        <f t="shared" si="155"/>
        <v>653.57444299999997</v>
      </c>
      <c r="L199" s="935">
        <f t="shared" si="155"/>
        <v>811.266749</v>
      </c>
      <c r="M199" s="935">
        <f t="shared" si="155"/>
        <v>837.68483700000002</v>
      </c>
      <c r="N199" s="935">
        <f t="shared" si="155"/>
        <v>931.50663700000007</v>
      </c>
      <c r="O199" s="935">
        <f t="shared" si="155"/>
        <v>0</v>
      </c>
      <c r="P199" s="338"/>
      <c r="Q199" s="338"/>
      <c r="R199" s="338"/>
      <c r="S199" s="338"/>
      <c r="T199" s="338"/>
      <c r="U199" s="338"/>
      <c r="V199" s="338"/>
      <c r="W199" s="338"/>
      <c r="X199" s="338"/>
      <c r="Y199" s="338"/>
      <c r="Z199" s="338"/>
      <c r="AA199" s="338"/>
    </row>
    <row r="200" spans="1:27" s="22" customFormat="1" ht="15.75" x14ac:dyDescent="0.25">
      <c r="A200" s="4"/>
      <c r="B200" s="4"/>
      <c r="C200" s="43"/>
      <c r="D200" s="43"/>
      <c r="E200" s="497"/>
      <c r="F200" s="497"/>
      <c r="G200" s="497"/>
      <c r="H200" s="497"/>
      <c r="I200" s="498"/>
      <c r="J200" s="498"/>
      <c r="K200" s="498"/>
      <c r="L200" s="498"/>
      <c r="M200" s="498"/>
      <c r="N200" s="498"/>
      <c r="O200" s="498"/>
      <c r="P200" s="338"/>
      <c r="Q200" s="338"/>
      <c r="R200" s="338"/>
      <c r="S200" s="338"/>
      <c r="T200" s="338"/>
      <c r="U200" s="338"/>
      <c r="V200" s="338"/>
      <c r="W200" s="338"/>
      <c r="X200" s="338"/>
      <c r="Y200" s="338"/>
      <c r="Z200" s="338"/>
      <c r="AA200" s="338"/>
    </row>
    <row r="201" spans="1:27" s="22" customFormat="1" ht="15.75" x14ac:dyDescent="0.25">
      <c r="A201" s="15"/>
      <c r="B201" s="15" t="s">
        <v>1036</v>
      </c>
      <c r="C201" s="537"/>
      <c r="D201" s="537"/>
      <c r="E201" s="713"/>
      <c r="F201" s="713"/>
      <c r="G201" s="713"/>
      <c r="H201" s="713"/>
      <c r="I201" s="714"/>
      <c r="J201" s="714"/>
      <c r="K201" s="714"/>
      <c r="L201" s="714"/>
      <c r="M201" s="714"/>
      <c r="N201" s="714"/>
      <c r="O201" s="714"/>
      <c r="P201" s="338"/>
      <c r="Q201" s="338"/>
      <c r="R201" s="338"/>
      <c r="S201" s="338"/>
      <c r="T201" s="338"/>
      <c r="U201" s="338"/>
      <c r="V201" s="338"/>
      <c r="W201" s="338"/>
      <c r="X201" s="338"/>
      <c r="Y201" s="338"/>
      <c r="Z201" s="338"/>
      <c r="AA201" s="338"/>
    </row>
    <row r="202" spans="1:27" s="22" customFormat="1" ht="15.75" x14ac:dyDescent="0.25">
      <c r="A202" s="712" t="s">
        <v>74</v>
      </c>
      <c r="B202" s="4" t="s">
        <v>293</v>
      </c>
      <c r="C202" s="43"/>
      <c r="D202" s="43"/>
      <c r="E202" s="718"/>
      <c r="F202" s="2160" t="e">
        <f>F197/F$199</f>
        <v>#VALUE!</v>
      </c>
      <c r="G202" s="2162" t="str">
        <f>IF(G196&lt;2023,"н/п",G197/G$199)</f>
        <v>н/п</v>
      </c>
      <c r="H202" s="2162" t="str">
        <f t="shared" ref="H202:O202" si="156">IF(H196&lt;2023,"н/п",H197/H$199)</f>
        <v>н/п</v>
      </c>
      <c r="I202" s="2162" t="str">
        <f t="shared" si="156"/>
        <v>н/п</v>
      </c>
      <c r="J202" s="2162" t="str">
        <f t="shared" si="156"/>
        <v>н/п</v>
      </c>
      <c r="K202" s="2162" t="str">
        <f t="shared" si="156"/>
        <v>н/п</v>
      </c>
      <c r="L202" s="2162" t="str">
        <f t="shared" si="156"/>
        <v>н/п</v>
      </c>
      <c r="M202" s="2162">
        <f t="shared" si="156"/>
        <v>0</v>
      </c>
      <c r="N202" s="2162">
        <f t="shared" si="156"/>
        <v>0</v>
      </c>
      <c r="O202" s="2162" t="e">
        <f t="shared" si="156"/>
        <v>#DIV/0!</v>
      </c>
      <c r="P202" s="2160"/>
      <c r="Q202" s="338"/>
      <c r="R202" s="338"/>
      <c r="S202" s="338"/>
      <c r="T202" s="338"/>
      <c r="U202" s="338"/>
      <c r="V202" s="338"/>
      <c r="W202" s="338"/>
      <c r="X202" s="338"/>
      <c r="Y202" s="338"/>
      <c r="Z202" s="338"/>
      <c r="AA202" s="338"/>
    </row>
    <row r="203" spans="1:27" s="22" customFormat="1" ht="15.75" x14ac:dyDescent="0.25">
      <c r="A203" s="712" t="s">
        <v>74</v>
      </c>
      <c r="B203" s="4" t="s">
        <v>3455</v>
      </c>
      <c r="C203" s="43"/>
      <c r="D203" s="43"/>
      <c r="E203" s="718"/>
      <c r="F203" s="2160">
        <f>F198/F$199</f>
        <v>0.11274007247316822</v>
      </c>
      <c r="G203" s="2160">
        <f t="shared" ref="G203:O203" si="157">G198/G$199</f>
        <v>0.14637610506046042</v>
      </c>
      <c r="H203" s="2160">
        <f t="shared" si="157"/>
        <v>0.13139834905436704</v>
      </c>
      <c r="I203" s="2160">
        <f t="shared" si="157"/>
        <v>0.13038255838048754</v>
      </c>
      <c r="J203" s="2160">
        <f t="shared" si="157"/>
        <v>0.12243148103144785</v>
      </c>
      <c r="K203" s="2160">
        <f t="shared" si="157"/>
        <v>0.1196456162530823</v>
      </c>
      <c r="L203" s="2160">
        <f t="shared" si="157"/>
        <v>9.4479739363753951E-2</v>
      </c>
      <c r="M203" s="2160">
        <f t="shared" si="157"/>
        <v>0.11058861627693518</v>
      </c>
      <c r="N203" s="2160">
        <f t="shared" si="157"/>
        <v>0.11282685042210813</v>
      </c>
      <c r="O203" s="2160" t="e">
        <f t="shared" si="157"/>
        <v>#DIV/0!</v>
      </c>
      <c r="P203" s="2160"/>
      <c r="Q203" s="338"/>
      <c r="R203" s="338"/>
      <c r="S203" s="338"/>
      <c r="T203" s="338"/>
      <c r="U203" s="338"/>
      <c r="V203" s="338"/>
      <c r="W203" s="338"/>
      <c r="X203" s="338"/>
      <c r="Y203" s="338"/>
      <c r="Z203" s="338"/>
      <c r="AA203" s="338"/>
    </row>
    <row r="204" spans="1:27" s="22" customFormat="1" ht="15.75" x14ac:dyDescent="0.25">
      <c r="A204" s="4"/>
      <c r="B204" s="4"/>
      <c r="C204" s="43"/>
      <c r="D204" s="43"/>
      <c r="E204" s="497"/>
      <c r="F204" s="497"/>
      <c r="G204" s="497"/>
      <c r="H204" s="497"/>
      <c r="I204" s="498"/>
      <c r="J204" s="498"/>
      <c r="K204" s="498"/>
      <c r="L204" s="498"/>
      <c r="M204" s="498"/>
      <c r="N204" s="498"/>
      <c r="O204" s="498"/>
      <c r="P204" s="338"/>
      <c r="Q204" s="338"/>
      <c r="R204" s="338"/>
      <c r="S204" s="338"/>
      <c r="T204" s="338"/>
      <c r="U204" s="338"/>
      <c r="V204" s="338"/>
      <c r="W204" s="338"/>
      <c r="X204" s="338"/>
      <c r="Y204" s="338"/>
      <c r="Z204" s="338"/>
      <c r="AA204" s="338"/>
    </row>
    <row r="205" spans="1:27" s="22" customFormat="1" ht="15.75" x14ac:dyDescent="0.25">
      <c r="A205" s="4"/>
      <c r="B205" s="4"/>
      <c r="C205" s="43"/>
      <c r="D205" s="43"/>
      <c r="E205" s="497"/>
      <c r="F205" s="497"/>
      <c r="G205" s="497"/>
      <c r="H205" s="497"/>
      <c r="I205" s="498"/>
      <c r="J205" s="498"/>
      <c r="K205" s="498"/>
      <c r="L205" s="498"/>
      <c r="M205" s="498"/>
      <c r="N205" s="498"/>
      <c r="O205" s="498"/>
      <c r="P205" s="338"/>
      <c r="Q205" s="338"/>
      <c r="R205" s="338"/>
      <c r="S205" s="338"/>
      <c r="T205" s="338"/>
      <c r="U205" s="338"/>
      <c r="V205" s="338"/>
      <c r="W205" s="338"/>
      <c r="X205" s="338"/>
      <c r="Y205" s="338"/>
      <c r="Z205" s="338"/>
      <c r="AA205" s="338"/>
    </row>
    <row r="206" spans="1:27" s="22" customFormat="1" ht="15.75" x14ac:dyDescent="0.25">
      <c r="A206" s="723"/>
      <c r="B206" s="723" t="s">
        <v>1043</v>
      </c>
      <c r="C206" s="724"/>
      <c r="D206" s="724"/>
      <c r="E206" s="725"/>
      <c r="F206" s="725"/>
      <c r="G206" s="725"/>
      <c r="H206" s="725"/>
      <c r="I206" s="725"/>
      <c r="J206" s="725"/>
      <c r="K206" s="725"/>
      <c r="L206" s="725"/>
      <c r="M206" s="725"/>
      <c r="N206" s="725"/>
      <c r="O206" s="725"/>
      <c r="P206" s="338"/>
      <c r="Q206" s="338"/>
      <c r="R206" s="338"/>
      <c r="S206" s="338"/>
      <c r="T206" s="338"/>
      <c r="U206" s="338"/>
      <c r="V206" s="338"/>
      <c r="W206" s="338"/>
      <c r="X206" s="338"/>
      <c r="Y206" s="338"/>
      <c r="Z206" s="338"/>
      <c r="AA206" s="338"/>
    </row>
    <row r="207" spans="1:27" s="22" customFormat="1" ht="15.75" x14ac:dyDescent="0.25">
      <c r="A207" s="4"/>
      <c r="B207" s="4"/>
      <c r="C207" s="4"/>
      <c r="D207" s="4"/>
      <c r="E207" s="4" t="s">
        <v>348</v>
      </c>
      <c r="F207" s="4"/>
      <c r="G207" s="4"/>
      <c r="H207" s="4"/>
      <c r="I207" s="4"/>
      <c r="J207" s="4"/>
      <c r="K207" s="4"/>
      <c r="L207" s="4"/>
      <c r="M207" s="4"/>
      <c r="N207" s="4"/>
      <c r="O207" s="4"/>
      <c r="P207" s="338"/>
      <c r="Q207" s="338"/>
      <c r="R207" s="338"/>
      <c r="S207" s="338"/>
      <c r="T207" s="338"/>
      <c r="U207" s="338"/>
      <c r="V207" s="338"/>
      <c r="W207" s="338"/>
      <c r="X207" s="338"/>
      <c r="Y207" s="338"/>
      <c r="Z207" s="338"/>
      <c r="AA207" s="338"/>
    </row>
    <row r="208" spans="1:27" s="22" customFormat="1" ht="15.75" x14ac:dyDescent="0.25">
      <c r="A208" s="15"/>
      <c r="B208" s="15"/>
      <c r="C208" s="15"/>
      <c r="D208" s="15"/>
      <c r="E208" s="539">
        <f t="shared" ref="E208:O208" si="158">E8</f>
        <v>0</v>
      </c>
      <c r="F208" s="539">
        <f t="shared" si="158"/>
        <v>2016</v>
      </c>
      <c r="G208" s="539">
        <f t="shared" si="158"/>
        <v>2017</v>
      </c>
      <c r="H208" s="539">
        <f t="shared" si="158"/>
        <v>2018</v>
      </c>
      <c r="I208" s="539">
        <f t="shared" si="158"/>
        <v>2019</v>
      </c>
      <c r="J208" s="539">
        <f t="shared" si="158"/>
        <v>2020</v>
      </c>
      <c r="K208" s="539">
        <f t="shared" si="158"/>
        <v>2021</v>
      </c>
      <c r="L208" s="539">
        <f t="shared" si="158"/>
        <v>2022</v>
      </c>
      <c r="M208" s="539">
        <f t="shared" si="158"/>
        <v>2023</v>
      </c>
      <c r="N208" s="539">
        <f t="shared" si="158"/>
        <v>2024</v>
      </c>
      <c r="O208" s="539">
        <f t="shared" si="158"/>
        <v>2025</v>
      </c>
      <c r="P208" s="338"/>
      <c r="Q208" s="338"/>
      <c r="R208" s="338"/>
      <c r="S208" s="338"/>
      <c r="T208" s="338"/>
      <c r="U208" s="338"/>
      <c r="V208" s="338"/>
      <c r="W208" s="338"/>
      <c r="X208" s="338"/>
      <c r="Y208" s="338"/>
      <c r="Z208" s="338"/>
      <c r="AA208" s="338"/>
    </row>
    <row r="209" spans="1:31" s="22" customFormat="1" ht="15.75" x14ac:dyDescent="0.25">
      <c r="A209" s="494" t="s">
        <v>1041</v>
      </c>
      <c r="B209" s="4" t="s">
        <v>1040</v>
      </c>
      <c r="C209" s="43"/>
      <c r="D209" s="43"/>
      <c r="E209" s="717" t="e">
        <f t="shared" ref="E209:O209" si="159">E47/(E90-E76)</f>
        <v>#DIV/0!</v>
      </c>
      <c r="F209" s="717">
        <f t="shared" si="159"/>
        <v>0</v>
      </c>
      <c r="G209" s="717">
        <f t="shared" si="159"/>
        <v>0</v>
      </c>
      <c r="H209" s="717">
        <f t="shared" si="159"/>
        <v>1.7143682216229934E-3</v>
      </c>
      <c r="I209" s="717">
        <f t="shared" si="159"/>
        <v>3.1218579668195047E-3</v>
      </c>
      <c r="J209" s="717">
        <f t="shared" si="159"/>
        <v>1.1907455272675494E-2</v>
      </c>
      <c r="K209" s="717">
        <f t="shared" si="159"/>
        <v>3.0296529375761108E-3</v>
      </c>
      <c r="L209" s="717">
        <f t="shared" si="159"/>
        <v>3.7621964091134664E-3</v>
      </c>
      <c r="M209" s="717">
        <f t="shared" si="159"/>
        <v>1.4384871289162476E-2</v>
      </c>
      <c r="N209" s="717">
        <f t="shared" si="159"/>
        <v>4.1672180642145697E-3</v>
      </c>
      <c r="O209" s="717" t="e">
        <f t="shared" si="159"/>
        <v>#DIV/0!</v>
      </c>
      <c r="P209" s="338"/>
      <c r="Q209" s="338"/>
      <c r="R209" s="338"/>
      <c r="S209" s="338"/>
      <c r="T209" s="338"/>
      <c r="U209" s="338"/>
      <c r="V209" s="338"/>
      <c r="W209" s="338"/>
      <c r="X209" s="338"/>
      <c r="Y209" s="338"/>
      <c r="Z209" s="338"/>
      <c r="AA209" s="338"/>
    </row>
    <row r="210" spans="1:31" s="22" customFormat="1" ht="15.75" x14ac:dyDescent="0.25">
      <c r="A210" s="4"/>
      <c r="B210" s="4"/>
      <c r="C210" s="43"/>
      <c r="D210" s="43"/>
      <c r="E210" s="497"/>
      <c r="F210" s="497"/>
      <c r="G210" s="497"/>
      <c r="H210" s="497"/>
      <c r="I210" s="498"/>
      <c r="J210" s="498"/>
      <c r="K210" s="498"/>
      <c r="L210" s="498"/>
      <c r="M210" s="498"/>
      <c r="N210" s="498"/>
      <c r="O210" s="498"/>
      <c r="P210" s="338"/>
      <c r="Q210" s="338"/>
      <c r="R210" s="338"/>
      <c r="S210" s="338"/>
      <c r="T210" s="338"/>
      <c r="U210" s="338"/>
      <c r="V210" s="338"/>
      <c r="W210" s="338"/>
      <c r="X210" s="338"/>
      <c r="Y210" s="338"/>
      <c r="Z210" s="338"/>
      <c r="AA210" s="338"/>
    </row>
    <row r="211" spans="1:31" s="22" customFormat="1" ht="15.75" x14ac:dyDescent="0.25">
      <c r="A211" s="4"/>
      <c r="B211" s="243" t="s">
        <v>1042</v>
      </c>
      <c r="C211" s="43"/>
      <c r="D211" s="43"/>
      <c r="E211" s="497"/>
      <c r="F211" s="497"/>
      <c r="G211" s="497"/>
      <c r="H211" s="497"/>
      <c r="I211" s="498"/>
      <c r="J211" s="498"/>
      <c r="K211" s="498"/>
      <c r="L211" s="498"/>
      <c r="M211" s="498"/>
      <c r="N211" s="498"/>
      <c r="O211" s="498"/>
      <c r="P211" s="338"/>
      <c r="Q211" s="338"/>
      <c r="R211" s="338"/>
      <c r="S211" s="338"/>
      <c r="T211" s="338"/>
      <c r="U211" s="338"/>
      <c r="V211" s="338"/>
      <c r="W211" s="338"/>
      <c r="X211" s="338"/>
      <c r="Y211" s="338"/>
      <c r="Z211" s="338"/>
      <c r="AA211" s="338"/>
    </row>
    <row r="212" spans="1:31" s="22" customFormat="1" ht="15.75" x14ac:dyDescent="0.25">
      <c r="A212" s="338"/>
      <c r="B212" s="338"/>
      <c r="C212" s="338"/>
      <c r="D212" s="338"/>
      <c r="E212" s="338"/>
      <c r="F212" s="338"/>
      <c r="G212" s="338"/>
      <c r="H212" s="338"/>
      <c r="I212" s="338"/>
      <c r="J212" s="338"/>
      <c r="K212" s="338"/>
      <c r="L212" s="338"/>
      <c r="M212" s="338"/>
      <c r="N212" s="338"/>
      <c r="O212" s="338"/>
      <c r="P212" s="338"/>
      <c r="Q212" s="338"/>
      <c r="R212" s="338"/>
      <c r="S212" s="338"/>
      <c r="T212" s="338"/>
      <c r="U212" s="338"/>
      <c r="V212" s="338"/>
      <c r="W212" s="338"/>
      <c r="X212" s="338"/>
      <c r="Y212" s="338"/>
      <c r="Z212" s="338"/>
      <c r="AA212" s="338"/>
    </row>
    <row r="213" spans="1:31" x14ac:dyDescent="0.2">
      <c r="A213" s="4"/>
      <c r="B213" s="4"/>
      <c r="C213" s="4"/>
      <c r="D213" s="4"/>
      <c r="E213" s="33"/>
      <c r="F213" s="33"/>
      <c r="G213" s="33"/>
      <c r="H213" s="33"/>
      <c r="I213" s="33"/>
      <c r="J213" s="226"/>
      <c r="K213" s="235"/>
      <c r="L213" s="235"/>
      <c r="M213" s="235"/>
      <c r="N213" s="235"/>
      <c r="O213" s="235"/>
      <c r="P213" s="33"/>
      <c r="Q213" s="33"/>
      <c r="R213" s="33"/>
      <c r="S213" s="33"/>
      <c r="T213" s="33"/>
      <c r="U213" s="4"/>
      <c r="V213" s="71"/>
      <c r="W213" s="71"/>
      <c r="X213" s="71"/>
      <c r="Y213" s="71"/>
      <c r="Z213" s="71"/>
      <c r="AA213" s="71"/>
    </row>
    <row r="214" spans="1:31" ht="15" x14ac:dyDescent="0.2">
      <c r="A214" s="616"/>
      <c r="B214" s="617" t="s">
        <v>975</v>
      </c>
      <c r="C214" s="507"/>
      <c r="D214" s="507"/>
      <c r="E214" s="618"/>
      <c r="F214" s="618"/>
      <c r="G214" s="618"/>
      <c r="H214" s="618"/>
      <c r="I214" s="618"/>
      <c r="J214" s="618"/>
      <c r="K214" s="618"/>
      <c r="L214" s="618"/>
      <c r="M214" s="618"/>
      <c r="N214" s="618"/>
      <c r="O214" s="618"/>
      <c r="P214" s="618"/>
      <c r="Q214" s="619"/>
      <c r="R214" s="619"/>
      <c r="S214" s="619"/>
      <c r="T214" s="619"/>
      <c r="U214" s="619"/>
      <c r="V214" s="619"/>
      <c r="W214" s="619"/>
      <c r="X214" s="619"/>
      <c r="Y214" s="619"/>
      <c r="Z214" s="619"/>
      <c r="AA214" s="619"/>
      <c r="AB214" s="4"/>
      <c r="AC214" s="4"/>
      <c r="AD214" s="4"/>
      <c r="AE214" s="4"/>
    </row>
    <row r="215" spans="1:31" x14ac:dyDescent="0.2">
      <c r="A215" s="4"/>
      <c r="B215" s="4"/>
      <c r="C215" s="4"/>
      <c r="D215" s="4" t="str">
        <f>B7</f>
        <v>млрд руб.</v>
      </c>
      <c r="E215" s="4" t="s">
        <v>348</v>
      </c>
      <c r="F215" s="4"/>
      <c r="G215" s="4"/>
      <c r="H215" s="4"/>
      <c r="I215" s="4"/>
      <c r="J215" s="4"/>
      <c r="K215" s="4"/>
      <c r="L215" s="4"/>
      <c r="M215" s="4"/>
      <c r="N215" s="4"/>
      <c r="O215" s="4"/>
      <c r="P215" s="4"/>
      <c r="Q215" s="4" t="s">
        <v>17</v>
      </c>
      <c r="R215" s="4"/>
      <c r="S215" s="4"/>
      <c r="T215" s="4"/>
      <c r="U215" s="4"/>
      <c r="V215" s="71"/>
      <c r="W215" s="71"/>
      <c r="X215" s="71"/>
      <c r="Y215" s="71"/>
      <c r="Z215" s="71"/>
      <c r="AA215" s="71"/>
      <c r="AB215" s="4"/>
      <c r="AC215" s="4"/>
      <c r="AD215" s="4"/>
      <c r="AE215" s="4"/>
    </row>
    <row r="216" spans="1:31" x14ac:dyDescent="0.2">
      <c r="A216" s="15"/>
      <c r="B216" s="15"/>
      <c r="C216" s="15"/>
      <c r="D216" s="15"/>
      <c r="E216" s="539"/>
      <c r="F216" s="539">
        <f t="shared" ref="F216:O216" si="160">F8</f>
        <v>2016</v>
      </c>
      <c r="G216" s="539">
        <f t="shared" si="160"/>
        <v>2017</v>
      </c>
      <c r="H216" s="539">
        <f t="shared" si="160"/>
        <v>2018</v>
      </c>
      <c r="I216" s="539">
        <f t="shared" si="160"/>
        <v>2019</v>
      </c>
      <c r="J216" s="539">
        <f t="shared" si="160"/>
        <v>2020</v>
      </c>
      <c r="K216" s="539">
        <f t="shared" si="160"/>
        <v>2021</v>
      </c>
      <c r="L216" s="539">
        <f t="shared" si="160"/>
        <v>2022</v>
      </c>
      <c r="M216" s="539">
        <f t="shared" si="160"/>
        <v>2023</v>
      </c>
      <c r="N216" s="539">
        <f t="shared" si="160"/>
        <v>2024</v>
      </c>
      <c r="O216" s="539">
        <f t="shared" si="160"/>
        <v>2025</v>
      </c>
      <c r="P216" s="15"/>
      <c r="Q216" s="539">
        <f t="shared" ref="Q216:AA216" si="161">Q8</f>
        <v>0</v>
      </c>
      <c r="R216" s="539">
        <f t="shared" si="161"/>
        <v>2016</v>
      </c>
      <c r="S216" s="539">
        <f t="shared" si="161"/>
        <v>2017</v>
      </c>
      <c r="T216" s="539">
        <f t="shared" si="161"/>
        <v>2018</v>
      </c>
      <c r="U216" s="539">
        <f t="shared" si="161"/>
        <v>2019</v>
      </c>
      <c r="V216" s="539">
        <f t="shared" si="161"/>
        <v>2020</v>
      </c>
      <c r="W216" s="539">
        <f t="shared" si="161"/>
        <v>2021</v>
      </c>
      <c r="X216" s="539">
        <f t="shared" si="161"/>
        <v>2022</v>
      </c>
      <c r="Y216" s="539">
        <f t="shared" si="161"/>
        <v>2023</v>
      </c>
      <c r="Z216" s="539">
        <f t="shared" si="161"/>
        <v>2024</v>
      </c>
      <c r="AA216" s="539">
        <f t="shared" si="161"/>
        <v>2025</v>
      </c>
      <c r="AB216" s="4"/>
      <c r="AC216" s="4"/>
      <c r="AD216" s="4"/>
      <c r="AE216" s="4"/>
    </row>
    <row r="217" spans="1:31" x14ac:dyDescent="0.2">
      <c r="A217" s="4"/>
      <c r="B217" s="4">
        <f>Ввод!E658</f>
        <v>0</v>
      </c>
      <c r="C217" s="4"/>
      <c r="D217" s="4"/>
      <c r="E217" s="620"/>
      <c r="F217" s="620">
        <f>Ввод!G658/VLOOKUP($B$7,$A$1:$B$3,2,0)</f>
        <v>0</v>
      </c>
      <c r="G217" s="620">
        <f>Ввод!H658/VLOOKUP($B$7,$A$1:$B$3,2,0)</f>
        <v>0</v>
      </c>
      <c r="H217" s="620">
        <f>Ввод!I658/VLOOKUP($B$7,$A$1:$B$3,2,0)</f>
        <v>0</v>
      </c>
      <c r="I217" s="620">
        <f>Ввод!J658/VLOOKUP($B$7,$A$1:$B$3,2,0)</f>
        <v>0</v>
      </c>
      <c r="J217" s="620">
        <f>Ввод!K658/VLOOKUP($B$7,$A$1:$B$3,2,0)</f>
        <v>0</v>
      </c>
      <c r="K217" s="620">
        <f>Ввод!L658/VLOOKUP($B$7,$A$1:$B$3,2,0)</f>
        <v>0</v>
      </c>
      <c r="L217" s="620">
        <f>Ввод!M658/VLOOKUP($B$7,$A$1:$B$3,2,0)</f>
        <v>0</v>
      </c>
      <c r="M217" s="620">
        <f>Ввод!N658/VLOOKUP($B$7,$A$1:$B$3,2,0)</f>
        <v>0</v>
      </c>
      <c r="N217" s="620">
        <f>Ввод!O658/VLOOKUP($B$7,$A$1:$B$3,2,0)</f>
        <v>0</v>
      </c>
      <c r="O217" s="620">
        <f>Ввод!P658/VLOOKUP($B$7,$A$1:$B$3,2,0)</f>
        <v>0</v>
      </c>
      <c r="P217" s="4"/>
      <c r="Q217" s="624" t="e">
        <f t="shared" ref="Q217:W219" si="162">E217/E$236</f>
        <v>#DIV/0!</v>
      </c>
      <c r="R217" s="624">
        <f t="shared" si="162"/>
        <v>0</v>
      </c>
      <c r="S217" s="624">
        <f t="shared" si="162"/>
        <v>0</v>
      </c>
      <c r="T217" s="624">
        <f t="shared" si="162"/>
        <v>0</v>
      </c>
      <c r="U217" s="624">
        <f t="shared" si="162"/>
        <v>0</v>
      </c>
      <c r="V217" s="624">
        <f t="shared" si="162"/>
        <v>0</v>
      </c>
      <c r="W217" s="624">
        <f t="shared" si="162"/>
        <v>0</v>
      </c>
      <c r="X217" s="624">
        <f t="shared" ref="X217:X234" si="163">L217/L$236</f>
        <v>0</v>
      </c>
      <c r="Y217" s="624">
        <f t="shared" ref="Y217:Y234" si="164">M217/M$236</f>
        <v>0</v>
      </c>
      <c r="Z217" s="624">
        <f t="shared" ref="Z217:Z234" si="165">N217/N$236</f>
        <v>0</v>
      </c>
      <c r="AA217" s="624" t="e">
        <f t="shared" ref="AA217:AA234" si="166">O217/O$236</f>
        <v>#DIV/0!</v>
      </c>
      <c r="AB217" s="4"/>
      <c r="AC217" s="4"/>
      <c r="AD217" s="4"/>
      <c r="AE217" s="4"/>
    </row>
    <row r="218" spans="1:31" x14ac:dyDescent="0.2">
      <c r="A218" s="4"/>
      <c r="B218" s="4" t="str">
        <f>Ввод!E659</f>
        <v xml:space="preserve">Органы государственной власти </v>
      </c>
      <c r="C218" s="4"/>
      <c r="D218" s="4"/>
      <c r="E218" s="620"/>
      <c r="F218" s="620">
        <f>Ввод!G659/VLOOKUP($B$7,$A$1:$B$3,2,0)</f>
        <v>61.744244000000002</v>
      </c>
      <c r="G218" s="620">
        <f>Ввод!H659/VLOOKUP($B$7,$A$1:$B$3,2,0)</f>
        <v>118.505286</v>
      </c>
      <c r="H218" s="620">
        <f>Ввод!I659/VLOOKUP($B$7,$A$1:$B$3,2,0)</f>
        <v>181.71285</v>
      </c>
      <c r="I218" s="620">
        <f>Ввод!J659/VLOOKUP($B$7,$A$1:$B$3,2,0)</f>
        <v>227.04012599999999</v>
      </c>
      <c r="J218" s="620">
        <f>Ввод!K659/VLOOKUP($B$7,$A$1:$B$3,2,0)</f>
        <v>267.89364999999998</v>
      </c>
      <c r="K218" s="620">
        <f>Ввод!L659/VLOOKUP($B$7,$A$1:$B$3,2,0)</f>
        <v>339.00619999999998</v>
      </c>
      <c r="L218" s="620">
        <f>Ввод!M659/VLOOKUP($B$7,$A$1:$B$3,2,0)</f>
        <v>423.75774999999999</v>
      </c>
      <c r="M218" s="620">
        <f>Ввод!N659/VLOOKUP($B$7,$A$1:$B$3,2,0)</f>
        <v>323.10744</v>
      </c>
      <c r="N218" s="620">
        <f>Ввод!O659/VLOOKUP($B$7,$A$1:$B$3,2,0)</f>
        <v>337.61795999999998</v>
      </c>
      <c r="O218" s="620">
        <f>Ввод!P659/VLOOKUP($B$7,$A$1:$B$3,2,0)</f>
        <v>0</v>
      </c>
      <c r="P218" s="4"/>
      <c r="Q218" s="624" t="e">
        <f t="shared" si="162"/>
        <v>#DIV/0!</v>
      </c>
      <c r="R218" s="624">
        <f t="shared" si="162"/>
        <v>0.28704282849055618</v>
      </c>
      <c r="S218" s="624">
        <f t="shared" si="162"/>
        <v>0.49838978704325354</v>
      </c>
      <c r="T218" s="624">
        <f t="shared" si="162"/>
        <v>0.62570819123883625</v>
      </c>
      <c r="U218" s="624">
        <f t="shared" si="162"/>
        <v>0.64322049375508716</v>
      </c>
      <c r="V218" s="624">
        <f t="shared" si="162"/>
        <v>0.71013422377174695</v>
      </c>
      <c r="W218" s="624">
        <f t="shared" si="162"/>
        <v>0.76530368700702733</v>
      </c>
      <c r="X218" s="624">
        <f t="shared" si="163"/>
        <v>0.76482787496943971</v>
      </c>
      <c r="Y218" s="624">
        <f t="shared" si="164"/>
        <v>0.63524583979735805</v>
      </c>
      <c r="Z218" s="624">
        <f t="shared" si="165"/>
        <v>0.65372448307898645</v>
      </c>
      <c r="AA218" s="624" t="e">
        <f t="shared" si="166"/>
        <v>#DIV/0!</v>
      </c>
      <c r="AB218" s="4"/>
      <c r="AC218" s="4"/>
      <c r="AD218" s="4"/>
      <c r="AE218" s="4"/>
    </row>
    <row r="219" spans="1:31" x14ac:dyDescent="0.2">
      <c r="A219" s="4"/>
      <c r="B219" s="4" t="str">
        <f>Ввод!E660</f>
        <v>Финансовые услуги</v>
      </c>
      <c r="C219" s="4"/>
      <c r="D219" s="4"/>
      <c r="E219" s="620"/>
      <c r="F219" s="620">
        <f>Ввод!G660/VLOOKUP($B$7,$A$1:$B$3,2,0)</f>
        <v>91.049087</v>
      </c>
      <c r="G219" s="620">
        <f>Ввод!H660/VLOOKUP($B$7,$A$1:$B$3,2,0)</f>
        <v>81.622754</v>
      </c>
      <c r="H219" s="620">
        <f>Ввод!I660/VLOOKUP($B$7,$A$1:$B$3,2,0)</f>
        <v>72.447090000000003</v>
      </c>
      <c r="I219" s="620">
        <f>Ввод!J660/VLOOKUP($B$7,$A$1:$B$3,2,0)</f>
        <v>80.671642000000006</v>
      </c>
      <c r="J219" s="620">
        <f>Ввод!K660/VLOOKUP($B$7,$A$1:$B$3,2,0)</f>
        <v>44.928199999999997</v>
      </c>
      <c r="K219" s="620">
        <f>Ввод!L660/VLOOKUP($B$7,$A$1:$B$3,2,0)</f>
        <v>53.134599999999992</v>
      </c>
      <c r="L219" s="620">
        <f>Ввод!M660/VLOOKUP($B$7,$A$1:$B$3,2,0)</f>
        <v>66.418249999999986</v>
      </c>
      <c r="M219" s="620">
        <f>Ввод!N660/VLOOKUP($B$7,$A$1:$B$3,2,0)</f>
        <v>101.90412000000001</v>
      </c>
      <c r="N219" s="620">
        <f>Ввод!O660/VLOOKUP($B$7,$A$1:$B$3,2,0)</f>
        <v>66.315299999999993</v>
      </c>
      <c r="O219" s="620">
        <f>Ввод!P660/VLOOKUP($B$7,$A$1:$B$3,2,0)</f>
        <v>0</v>
      </c>
      <c r="P219" s="4"/>
      <c r="Q219" s="624" t="e">
        <f t="shared" si="162"/>
        <v>#DIV/0!</v>
      </c>
      <c r="R219" s="624">
        <f t="shared" si="162"/>
        <v>0.42327811907394519</v>
      </c>
      <c r="S219" s="624">
        <f t="shared" si="162"/>
        <v>0.34327537915856238</v>
      </c>
      <c r="T219" s="624">
        <f t="shared" si="162"/>
        <v>0.24946357753134787</v>
      </c>
      <c r="U219" s="624">
        <f t="shared" si="162"/>
        <v>0.2285483817925367</v>
      </c>
      <c r="V219" s="624">
        <f t="shared" si="162"/>
        <v>0.11909596376196972</v>
      </c>
      <c r="W219" s="624">
        <f t="shared" si="162"/>
        <v>0.11995091915027983</v>
      </c>
      <c r="X219" s="624">
        <f t="shared" si="163"/>
        <v>0.11987634210038396</v>
      </c>
      <c r="Y219" s="624">
        <f t="shared" si="164"/>
        <v>0.20034873937972694</v>
      </c>
      <c r="Z219" s="624">
        <f t="shared" si="165"/>
        <v>0.12840529932924158</v>
      </c>
      <c r="AA219" s="624" t="e">
        <f t="shared" si="166"/>
        <v>#DIV/0!</v>
      </c>
      <c r="AB219" s="4"/>
      <c r="AC219" s="4"/>
      <c r="AD219" s="4"/>
      <c r="AE219" s="4"/>
    </row>
    <row r="220" spans="1:31" x14ac:dyDescent="0.2">
      <c r="A220" s="4"/>
      <c r="B220" s="4" t="str">
        <f>Ввод!E661</f>
        <v>Строительство</v>
      </c>
      <c r="C220" s="4"/>
      <c r="D220" s="4"/>
      <c r="E220" s="620"/>
      <c r="F220" s="620">
        <f>Ввод!G661/VLOOKUP($B$7,$A$1:$B$3,2,0)</f>
        <v>22.391919000000001</v>
      </c>
      <c r="G220" s="620">
        <f>Ввод!H661/VLOOKUP($B$7,$A$1:$B$3,2,0)</f>
        <v>13.119762</v>
      </c>
      <c r="H220" s="620">
        <f>Ввод!I661/VLOOKUP($B$7,$A$1:$B$3,2,0)</f>
        <v>11.368556</v>
      </c>
      <c r="I220" s="620">
        <f>Ввод!J661/VLOOKUP($B$7,$A$1:$B$3,2,0)</f>
        <v>12.646008999999999</v>
      </c>
      <c r="J220" s="620">
        <f>Ввод!K661/VLOOKUP($B$7,$A$1:$B$3,2,0)</f>
        <v>18.604354999999995</v>
      </c>
      <c r="K220" s="620">
        <f>Ввод!L661/VLOOKUP($B$7,$A$1:$B$3,2,0)</f>
        <v>22.172115000000002</v>
      </c>
      <c r="L220" s="620">
        <f>Ввод!M661/VLOOKUP($B$7,$A$1:$B$3,2,0)</f>
        <v>27.715143749999999</v>
      </c>
      <c r="M220" s="620">
        <f>Ввод!N661/VLOOKUP($B$7,$A$1:$B$3,2,0)</f>
        <v>29.580306</v>
      </c>
      <c r="N220" s="620">
        <f>Ввод!O661/VLOOKUP($B$7,$A$1:$B$3,2,0)</f>
        <v>44.46078</v>
      </c>
      <c r="O220" s="620">
        <f>Ввод!P661/VLOOKUP($B$7,$A$1:$B$3,2,0)</f>
        <v>0</v>
      </c>
      <c r="P220" s="4"/>
      <c r="Q220" s="624" t="e">
        <f t="shared" ref="Q220:Q234" si="167">E220/E$236</f>
        <v>#DIV/0!</v>
      </c>
      <c r="R220" s="624">
        <f t="shared" ref="R220:R234" si="168">F220/F$236</f>
        <v>0.10409779679368049</v>
      </c>
      <c r="S220" s="624">
        <f t="shared" ref="S220:S234" si="169">G220/G$236</f>
        <v>5.5176909064108499E-2</v>
      </c>
      <c r="T220" s="624">
        <f t="shared" ref="T220:T234" si="170">H220/H$236</f>
        <v>3.9146370835950343E-2</v>
      </c>
      <c r="U220" s="624">
        <f t="shared" ref="U220:U234" si="171">I220/I$236</f>
        <v>3.5827024483818672E-2</v>
      </c>
      <c r="V220" s="624">
        <f t="shared" ref="V220:V234" si="172">J220/J$236</f>
        <v>4.9316544818061255E-2</v>
      </c>
      <c r="W220" s="624">
        <f t="shared" ref="W220:W234" si="173">K220/K$236</f>
        <v>5.0053365862464519E-2</v>
      </c>
      <c r="X220" s="624">
        <f t="shared" si="163"/>
        <v>5.0022246197939858E-2</v>
      </c>
      <c r="Y220" s="624">
        <f t="shared" si="164"/>
        <v>5.8156402484674539E-2</v>
      </c>
      <c r="Z220" s="624">
        <f t="shared" si="165"/>
        <v>8.6088727100858436E-2</v>
      </c>
      <c r="AA220" s="624" t="e">
        <f t="shared" si="166"/>
        <v>#DIV/0!</v>
      </c>
      <c r="AB220" s="4"/>
      <c r="AC220" s="4"/>
      <c r="AD220" s="4"/>
      <c r="AE220" s="4"/>
    </row>
    <row r="221" spans="1:31" x14ac:dyDescent="0.2">
      <c r="A221" s="4"/>
      <c r="B221" s="4" t="str">
        <f>Ввод!E662</f>
        <v>Торговля и мелкий ремонт</v>
      </c>
      <c r="C221" s="4"/>
      <c r="D221" s="4"/>
      <c r="E221" s="620"/>
      <c r="F221" s="620">
        <f>Ввод!G662/VLOOKUP($B$7,$A$1:$B$3,2,0)</f>
        <v>12.426462000000001</v>
      </c>
      <c r="G221" s="620">
        <f>Ввод!H662/VLOOKUP($B$7,$A$1:$B$3,2,0)</f>
        <v>8.3477920000000001</v>
      </c>
      <c r="H221" s="620">
        <f>Ввод!I662/VLOOKUP($B$7,$A$1:$B$3,2,0)</f>
        <v>6.8467149999999997</v>
      </c>
      <c r="I221" s="620">
        <f>Ввод!J662/VLOOKUP($B$7,$A$1:$B$3,2,0)</f>
        <v>5.3213920000000003</v>
      </c>
      <c r="J221" s="620">
        <f>Ввод!K662/VLOOKUP($B$7,$A$1:$B$3,2,0)</f>
        <v>9.6967999999999996</v>
      </c>
      <c r="K221" s="620">
        <f>Ввод!L662/VLOOKUP($B$7,$A$1:$B$3,2,0)</f>
        <v>7.2093499999999988</v>
      </c>
      <c r="L221" s="620">
        <f>Ввод!M662/VLOOKUP($B$7,$A$1:$B$3,2,0)</f>
        <v>9.011687499999999</v>
      </c>
      <c r="M221" s="620">
        <f>Ввод!N662/VLOOKUP($B$7,$A$1:$B$3,2,0)</f>
        <v>13.8924</v>
      </c>
      <c r="N221" s="620">
        <f>Ввод!O662/VLOOKUP($B$7,$A$1:$B$3,2,0)</f>
        <v>17.34816</v>
      </c>
      <c r="O221" s="620">
        <f>Ввод!P662/VLOOKUP($B$7,$A$1:$B$3,2,0)</f>
        <v>0</v>
      </c>
      <c r="P221" s="4"/>
      <c r="Q221" s="624" t="e">
        <f t="shared" si="167"/>
        <v>#DIV/0!</v>
      </c>
      <c r="R221" s="624">
        <f t="shared" si="168"/>
        <v>5.7769381719377982E-2</v>
      </c>
      <c r="S221" s="624">
        <f t="shared" si="169"/>
        <v>3.5107752722198196E-2</v>
      </c>
      <c r="T221" s="624">
        <f t="shared" si="170"/>
        <v>2.3575909235795976E-2</v>
      </c>
      <c r="U221" s="624">
        <f t="shared" si="171"/>
        <v>1.5075874251868461E-2</v>
      </c>
      <c r="V221" s="624">
        <f t="shared" si="172"/>
        <v>2.5704340289774974E-2</v>
      </c>
      <c r="W221" s="624">
        <f t="shared" si="173"/>
        <v>1.6275047877956545E-2</v>
      </c>
      <c r="X221" s="624">
        <f t="shared" si="163"/>
        <v>1.6264929197197367E-2</v>
      </c>
      <c r="Y221" s="624">
        <f t="shared" si="164"/>
        <v>2.73131726858435E-2</v>
      </c>
      <c r="Z221" s="624">
        <f t="shared" si="165"/>
        <v>3.3590976405317864E-2</v>
      </c>
      <c r="AA221" s="624" t="e">
        <f t="shared" si="166"/>
        <v>#DIV/0!</v>
      </c>
      <c r="AB221" s="4"/>
      <c r="AC221" s="4"/>
      <c r="AD221" s="4"/>
      <c r="AE221" s="4"/>
    </row>
    <row r="222" spans="1:31" x14ac:dyDescent="0.2">
      <c r="A222" s="4"/>
      <c r="B222" s="4" t="str">
        <f>Ввод!E663</f>
        <v>Нефтегазовая промышленность</v>
      </c>
      <c r="C222" s="4"/>
      <c r="D222" s="4"/>
      <c r="E222" s="620"/>
      <c r="F222" s="620">
        <f>Ввод!G663/VLOOKUP($B$7,$A$1:$B$3,2,0)</f>
        <v>1.0505100000000001</v>
      </c>
      <c r="G222" s="620">
        <f>Ввод!H663/VLOOKUP($B$7,$A$1:$B$3,2,0)</f>
        <v>0.35400100000000001</v>
      </c>
      <c r="H222" s="620">
        <f>Ввод!I663/VLOOKUP($B$7,$A$1:$B$3,2,0)</f>
        <v>4.8522000000000003E-2</v>
      </c>
      <c r="I222" s="620">
        <f>Ввод!J663/VLOOKUP($B$7,$A$1:$B$3,2,0)</f>
        <v>1.7165E-2</v>
      </c>
      <c r="J222" s="620">
        <f>Ввод!K663/VLOOKUP($B$7,$A$1:$B$3,2,0)</f>
        <v>1.15E-2</v>
      </c>
      <c r="K222" s="620">
        <f>Ввод!L663/VLOOKUP($B$7,$A$1:$B$3,2,0)</f>
        <v>0.68425000000000002</v>
      </c>
      <c r="L222" s="620">
        <f>Ввод!M663/VLOOKUP($B$7,$A$1:$B$3,2,0)</f>
        <v>0.85531250000000003</v>
      </c>
      <c r="M222" s="620">
        <f>Ввод!N663/VLOOKUP($B$7,$A$1:$B$3,2,0)</f>
        <v>5.5079999999999997E-2</v>
      </c>
      <c r="N222" s="620">
        <f>Ввод!O663/VLOOKUP($B$7,$A$1:$B$3,2,0)</f>
        <v>0.34476000000000001</v>
      </c>
      <c r="O222" s="620">
        <f>Ввод!P663/VLOOKUP($B$7,$A$1:$B$3,2,0)</f>
        <v>0</v>
      </c>
      <c r="P222" s="4"/>
      <c r="Q222" s="624" t="e">
        <f t="shared" si="167"/>
        <v>#DIV/0!</v>
      </c>
      <c r="R222" s="624">
        <f t="shared" si="168"/>
        <v>4.8837161526767443E-3</v>
      </c>
      <c r="S222" s="624">
        <f t="shared" si="169"/>
        <v>1.4887984237521592E-3</v>
      </c>
      <c r="T222" s="624">
        <f t="shared" si="170"/>
        <v>1.6708016442035231E-4</v>
      </c>
      <c r="U222" s="624">
        <f t="shared" si="171"/>
        <v>4.8629640803256389E-5</v>
      </c>
      <c r="V222" s="624">
        <f t="shared" si="172"/>
        <v>3.0484274537209411E-5</v>
      </c>
      <c r="W222" s="624">
        <f t="shared" si="173"/>
        <v>1.5446887043203297E-3</v>
      </c>
      <c r="X222" s="624">
        <f t="shared" si="163"/>
        <v>1.5437283254637795E-3</v>
      </c>
      <c r="Y222" s="624">
        <f t="shared" si="164"/>
        <v>1.0829011197030462E-4</v>
      </c>
      <c r="Z222" s="624">
        <f t="shared" si="165"/>
        <v>6.6755350570304789E-4</v>
      </c>
      <c r="AA222" s="624" t="e">
        <f t="shared" si="166"/>
        <v>#DIV/0!</v>
      </c>
      <c r="AB222" s="4"/>
      <c r="AC222" s="4"/>
      <c r="AD222" s="4"/>
      <c r="AE222" s="4"/>
    </row>
    <row r="223" spans="1:31" x14ac:dyDescent="0.2">
      <c r="A223" s="4"/>
      <c r="B223" s="4" t="str">
        <f>Ввод!E664</f>
        <v>Прооизводство</v>
      </c>
      <c r="C223" s="4"/>
      <c r="D223" s="4"/>
      <c r="E223" s="620"/>
      <c r="F223" s="620">
        <f>Ввод!G664/VLOOKUP($B$7,$A$1:$B$3,2,0)</f>
        <v>9.3489419999999992</v>
      </c>
      <c r="G223" s="620">
        <f>Ввод!H664/VLOOKUP($B$7,$A$1:$B$3,2,0)</f>
        <v>3.9947710000000001</v>
      </c>
      <c r="H223" s="620">
        <f>Ввод!I664/VLOOKUP($B$7,$A$1:$B$3,2,0)</f>
        <v>3.2186759999999999</v>
      </c>
      <c r="I223" s="620">
        <f>Ввод!J664/VLOOKUP($B$7,$A$1:$B$3,2,0)</f>
        <v>6.1491800000000003</v>
      </c>
      <c r="J223" s="620">
        <f>Ввод!K664/VLOOKUP($B$7,$A$1:$B$3,2,0)</f>
        <v>7.9732949999999994</v>
      </c>
      <c r="K223" s="620">
        <f>Ввод!L664/VLOOKUP($B$7,$A$1:$B$3,2,0)</f>
        <v>9.471285</v>
      </c>
      <c r="L223" s="620">
        <f>Ввод!M664/VLOOKUP($B$7,$A$1:$B$3,2,0)</f>
        <v>11.83910625</v>
      </c>
      <c r="M223" s="620">
        <f>Ввод!N664/VLOOKUP($B$7,$A$1:$B$3,2,0)</f>
        <v>12.677273999999999</v>
      </c>
      <c r="N223" s="620">
        <f>Ввод!O664/VLOOKUP($B$7,$A$1:$B$3,2,0)</f>
        <v>19.05462</v>
      </c>
      <c r="O223" s="620">
        <f>Ввод!P664/VLOOKUP($B$7,$A$1:$B$3,2,0)</f>
        <v>0</v>
      </c>
      <c r="P223" s="4"/>
      <c r="Q223" s="624" t="e">
        <f t="shared" si="167"/>
        <v>#DIV/0!</v>
      </c>
      <c r="R223" s="624">
        <f t="shared" si="168"/>
        <v>4.3462298365401587E-2</v>
      </c>
      <c r="S223" s="624">
        <f t="shared" si="169"/>
        <v>1.6800542281097616E-2</v>
      </c>
      <c r="T223" s="624">
        <f t="shared" si="170"/>
        <v>1.1083156409378051E-2</v>
      </c>
      <c r="U223" s="624">
        <f t="shared" si="171"/>
        <v>1.7421055323889784E-2</v>
      </c>
      <c r="V223" s="624">
        <f t="shared" si="172"/>
        <v>2.11356620648834E-2</v>
      </c>
      <c r="W223" s="624">
        <f t="shared" si="173"/>
        <v>2.1381347394809753E-2</v>
      </c>
      <c r="X223" s="624">
        <f t="shared" si="163"/>
        <v>2.1368053975944778E-2</v>
      </c>
      <c r="Y223" s="624">
        <f t="shared" si="164"/>
        <v>2.4924172493431943E-2</v>
      </c>
      <c r="Z223" s="624">
        <f t="shared" si="165"/>
        <v>3.6895168757510761E-2</v>
      </c>
      <c r="AA223" s="624" t="e">
        <f t="shared" si="166"/>
        <v>#DIV/0!</v>
      </c>
      <c r="AB223" s="4"/>
      <c r="AC223" s="4"/>
      <c r="AD223" s="4"/>
      <c r="AE223" s="4"/>
    </row>
    <row r="224" spans="1:31" x14ac:dyDescent="0.2">
      <c r="A224" s="4"/>
      <c r="B224" s="4" t="str">
        <f>Ввод!E665</f>
        <v xml:space="preserve">Телекоммуникации </v>
      </c>
      <c r="C224" s="4"/>
      <c r="D224" s="4"/>
      <c r="E224" s="620"/>
      <c r="F224" s="620">
        <f>Ввод!G665/VLOOKUP($B$7,$A$1:$B$3,2,0)</f>
        <v>5.1366949999999996</v>
      </c>
      <c r="G224" s="620">
        <f>Ввод!H665/VLOOKUP($B$7,$A$1:$B$3,2,0)</f>
        <v>2.007476</v>
      </c>
      <c r="H224" s="620">
        <f>Ввод!I665/VLOOKUP($B$7,$A$1:$B$3,2,0)</f>
        <v>3.2681990000000001</v>
      </c>
      <c r="I224" s="620">
        <f>Ввод!J665/VLOOKUP($B$7,$A$1:$B$3,2,0)</f>
        <v>2.5554969999999999</v>
      </c>
      <c r="J224" s="620">
        <f>Ввод!K665/VLOOKUP($B$7,$A$1:$B$3,2,0)</f>
        <v>4.1342499999999998</v>
      </c>
      <c r="K224" s="620">
        <f>Ввод!L665/VLOOKUP($B$7,$A$1:$B$3,2,0)</f>
        <v>3.5362499999999994</v>
      </c>
      <c r="L224" s="620">
        <f>Ввод!M665/VLOOKUP($B$7,$A$1:$B$3,2,0)</f>
        <v>4.4203124999999988</v>
      </c>
      <c r="M224" s="620">
        <f>Ввод!N665/VLOOKUP($B$7,$A$1:$B$3,2,0)</f>
        <v>4.9745400000000002</v>
      </c>
      <c r="N224" s="620">
        <f>Ввод!O665/VLOOKUP($B$7,$A$1:$B$3,2,0)</f>
        <v>5.0418599999999998</v>
      </c>
      <c r="O224" s="620">
        <f>Ввод!P665/VLOOKUP($B$7,$A$1:$B$3,2,0)</f>
        <v>0</v>
      </c>
      <c r="P224" s="4"/>
      <c r="Q224" s="624" t="e">
        <f t="shared" si="167"/>
        <v>#DIV/0!</v>
      </c>
      <c r="R224" s="624">
        <f t="shared" si="168"/>
        <v>2.387998243031848E-2</v>
      </c>
      <c r="S224" s="624">
        <f t="shared" si="169"/>
        <v>8.4427080842152686E-3</v>
      </c>
      <c r="T224" s="624">
        <f t="shared" si="170"/>
        <v>1.1253683407081962E-2</v>
      </c>
      <c r="U224" s="624">
        <f t="shared" si="171"/>
        <v>7.2399010302242528E-3</v>
      </c>
      <c r="V224" s="624">
        <f t="shared" si="172"/>
        <v>1.0959096696126783E-2</v>
      </c>
      <c r="W224" s="624">
        <f t="shared" si="173"/>
        <v>7.9830550685462392E-3</v>
      </c>
      <c r="X224" s="624">
        <f t="shared" si="163"/>
        <v>7.9780917660523028E-3</v>
      </c>
      <c r="Y224" s="624">
        <f t="shared" si="164"/>
        <v>9.780201408873623E-3</v>
      </c>
      <c r="Z224" s="624">
        <f t="shared" si="165"/>
        <v>9.7624762683140992E-3</v>
      </c>
      <c r="AA224" s="624" t="e">
        <f t="shared" si="166"/>
        <v>#DIV/0!</v>
      </c>
      <c r="AB224" s="4"/>
      <c r="AC224" s="4"/>
      <c r="AD224" s="4"/>
      <c r="AE224" s="4"/>
    </row>
    <row r="225" spans="1:31" x14ac:dyDescent="0.2">
      <c r="A225" s="4"/>
      <c r="B225" s="4" t="str">
        <f>Ввод!E666</f>
        <v>Химическая промышленность</v>
      </c>
      <c r="C225" s="4"/>
      <c r="D225" s="4"/>
      <c r="E225" s="620"/>
      <c r="F225" s="620">
        <f>Ввод!G666/VLOOKUP($B$7,$A$1:$B$3,2,0)</f>
        <v>1.5292159999999999</v>
      </c>
      <c r="G225" s="620">
        <f>Ввод!H666/VLOOKUP($B$7,$A$1:$B$3,2,0)</f>
        <v>0.68094699999999997</v>
      </c>
      <c r="H225" s="620">
        <f>Ввод!I666/VLOOKUP($B$7,$A$1:$B$3,2,0)</f>
        <v>0.64735500000000001</v>
      </c>
      <c r="I225" s="620">
        <f>Ввод!J666/VLOOKUP($B$7,$A$1:$B$3,2,0)</f>
        <v>0.50578299999999998</v>
      </c>
      <c r="J225" s="620">
        <f>Ввод!K666/VLOOKUP($B$7,$A$1:$B$3,2,0)</f>
        <v>0.8406499999999999</v>
      </c>
      <c r="K225" s="620">
        <f>Ввод!L666/VLOOKUP($B$7,$A$1:$B$3,2,0)</f>
        <v>0.68425000000000002</v>
      </c>
      <c r="L225" s="620">
        <f>Ввод!M666/VLOOKUP($B$7,$A$1:$B$3,2,0)</f>
        <v>0.85531250000000003</v>
      </c>
      <c r="M225" s="620">
        <f>Ввод!N666/VLOOKUP($B$7,$A$1:$B$3,2,0)</f>
        <v>1.48614</v>
      </c>
      <c r="N225" s="620">
        <f>Ввод!O666/VLOOKUP($B$7,$A$1:$B$3,2,0)</f>
        <v>0.97104000000000001</v>
      </c>
      <c r="O225" s="620">
        <f>Ввод!P666/VLOOKUP($B$7,$A$1:$B$3,2,0)</f>
        <v>0</v>
      </c>
      <c r="P225" s="4"/>
      <c r="Q225" s="624" t="e">
        <f t="shared" si="167"/>
        <v>#DIV/0!</v>
      </c>
      <c r="R225" s="624">
        <f t="shared" si="168"/>
        <v>7.1091725734469154E-3</v>
      </c>
      <c r="S225" s="624">
        <f t="shared" si="169"/>
        <v>2.8638134362862291E-3</v>
      </c>
      <c r="T225" s="624">
        <f t="shared" si="170"/>
        <v>2.2290956646126947E-3</v>
      </c>
      <c r="U225" s="624">
        <f t="shared" si="171"/>
        <v>1.4329184744767507E-3</v>
      </c>
      <c r="V225" s="624">
        <f t="shared" si="172"/>
        <v>2.2284004686700079E-3</v>
      </c>
      <c r="W225" s="624">
        <f t="shared" si="173"/>
        <v>1.5446887043203297E-3</v>
      </c>
      <c r="X225" s="624">
        <f t="shared" si="163"/>
        <v>1.5437283254637795E-3</v>
      </c>
      <c r="Y225" s="624">
        <f t="shared" si="164"/>
        <v>2.9218276507543303E-3</v>
      </c>
      <c r="Z225" s="624">
        <f t="shared" si="165"/>
        <v>1.8802098740511881E-3</v>
      </c>
      <c r="AA225" s="624" t="e">
        <f t="shared" si="166"/>
        <v>#DIV/0!</v>
      </c>
      <c r="AB225" s="4"/>
      <c r="AC225" s="4"/>
      <c r="AD225" s="4"/>
      <c r="AE225" s="4"/>
    </row>
    <row r="226" spans="1:31" x14ac:dyDescent="0.2">
      <c r="A226" s="4"/>
      <c r="B226" s="4" t="str">
        <f>Ввод!E667</f>
        <v>Транспорт</v>
      </c>
      <c r="C226" s="4"/>
      <c r="D226" s="4"/>
      <c r="E226" s="620"/>
      <c r="F226" s="620">
        <f>Ввод!G667/VLOOKUP($B$7,$A$1:$B$3,2,0)</f>
        <v>2.5993439999999999</v>
      </c>
      <c r="G226" s="620">
        <f>Ввод!H667/VLOOKUP($B$7,$A$1:$B$3,2,0)</f>
        <v>2.3581080000000001</v>
      </c>
      <c r="H226" s="620">
        <f>Ввод!I667/VLOOKUP($B$7,$A$1:$B$3,2,0)</f>
        <v>2.3638720000000002</v>
      </c>
      <c r="I226" s="620">
        <f>Ввод!J667/VLOOKUP($B$7,$A$1:$B$3,2,0)</f>
        <v>2.8052239999999999</v>
      </c>
      <c r="J226" s="620">
        <f>Ввод!K667/VLOOKUP($B$7,$A$1:$B$3,2,0)</f>
        <v>4.4999500000000001</v>
      </c>
      <c r="K226" s="620">
        <f>Ввод!L667/VLOOKUP($B$7,$A$1:$B$3,2,0)</f>
        <v>4.7644500000000001</v>
      </c>
      <c r="L226" s="620">
        <f>Ввод!M667/VLOOKUP($B$7,$A$1:$B$3,2,0)</f>
        <v>5.9555625000000001</v>
      </c>
      <c r="M226" s="620">
        <f>Ввод!N667/VLOOKUP($B$7,$A$1:$B$3,2,0)</f>
        <v>12.96114</v>
      </c>
      <c r="N226" s="620">
        <f>Ввод!O667/VLOOKUP($B$7,$A$1:$B$3,2,0)</f>
        <v>10.897679999999999</v>
      </c>
      <c r="O226" s="620">
        <f>Ввод!P667/VLOOKUP($B$7,$A$1:$B$3,2,0)</f>
        <v>0</v>
      </c>
      <c r="P226" s="4"/>
      <c r="Q226" s="624" t="e">
        <f t="shared" si="167"/>
        <v>#DIV/0!</v>
      </c>
      <c r="R226" s="624">
        <f t="shared" si="168"/>
        <v>1.2084090850314018E-2</v>
      </c>
      <c r="S226" s="624">
        <f t="shared" si="169"/>
        <v>9.9173377290949927E-3</v>
      </c>
      <c r="T226" s="624">
        <f t="shared" si="170"/>
        <v>8.1397329547147085E-3</v>
      </c>
      <c r="U226" s="624">
        <f t="shared" si="171"/>
        <v>7.9473950185070842E-3</v>
      </c>
      <c r="V226" s="624">
        <f t="shared" si="172"/>
        <v>1.1928496626410044E-2</v>
      </c>
      <c r="W226" s="624">
        <f t="shared" si="173"/>
        <v>1.0755706389914497E-2</v>
      </c>
      <c r="X226" s="624">
        <f t="shared" si="163"/>
        <v>1.0749019247725106E-2</v>
      </c>
      <c r="Y226" s="624">
        <f t="shared" si="164"/>
        <v>2.5482267644567794E-2</v>
      </c>
      <c r="Z226" s="624">
        <f t="shared" si="165"/>
        <v>2.1101010813406398E-2</v>
      </c>
      <c r="AA226" s="624" t="e">
        <f t="shared" si="166"/>
        <v>#DIV/0!</v>
      </c>
      <c r="AB226" s="4"/>
      <c r="AC226" s="4"/>
      <c r="AD226" s="4"/>
      <c r="AE226" s="4"/>
    </row>
    <row r="227" spans="1:31" x14ac:dyDescent="0.2">
      <c r="A227" s="4"/>
      <c r="B227" s="4" t="str">
        <f>Ввод!E668</f>
        <v>Сельское хозяйство</v>
      </c>
      <c r="C227" s="4"/>
      <c r="D227" s="4"/>
      <c r="E227" s="620"/>
      <c r="F227" s="620">
        <f>Ввод!G668/VLOOKUP($B$7,$A$1:$B$3,2,0)</f>
        <v>0.91429700000000003</v>
      </c>
      <c r="G227" s="620">
        <f>Ввод!H668/VLOOKUP($B$7,$A$1:$B$3,2,0)</f>
        <v>0.63734100000000005</v>
      </c>
      <c r="H227" s="620">
        <f>Ввод!I668/VLOOKUP($B$7,$A$1:$B$3,2,0)</f>
        <v>0.85768900000000003</v>
      </c>
      <c r="I227" s="620">
        <f>Ввод!J668/VLOOKUP($B$7,$A$1:$B$3,2,0)</f>
        <v>1.0682529999999999</v>
      </c>
      <c r="J227" s="620">
        <f>Ввод!K668/VLOOKUP($B$7,$A$1:$B$3,2,0)</f>
        <v>1.3934549999999994</v>
      </c>
      <c r="K227" s="620">
        <f>Ввод!L668/VLOOKUP($B$7,$A$1:$B$3,2,0)</f>
        <v>1.4699299999999995</v>
      </c>
      <c r="L227" s="620">
        <f>Ввод!M668/VLOOKUP($B$7,$A$1:$B$3,2,0)</f>
        <v>1.8374124999999994</v>
      </c>
      <c r="M227" s="620">
        <f>Ввод!N668/VLOOKUP($B$7,$A$1:$B$3,2,0)</f>
        <v>1.9677839999999998</v>
      </c>
      <c r="N227" s="620">
        <f>Ввод!O668/VLOOKUP($B$7,$A$1:$B$3,2,0)</f>
        <v>2.9709539999999999</v>
      </c>
      <c r="O227" s="620">
        <f>Ввод!P668/VLOOKUP($B$7,$A$1:$B$3,2,0)</f>
        <v>0</v>
      </c>
      <c r="P227" s="4"/>
      <c r="Q227" s="624" t="e">
        <f t="shared" si="167"/>
        <v>#DIV/0!</v>
      </c>
      <c r="R227" s="624">
        <f t="shared" si="168"/>
        <v>4.2504755092706292E-3</v>
      </c>
      <c r="S227" s="624">
        <f t="shared" si="169"/>
        <v>2.6804225869210114E-3</v>
      </c>
      <c r="T227" s="624">
        <f t="shared" si="170"/>
        <v>2.9533576345065651E-3</v>
      </c>
      <c r="U227" s="624">
        <f t="shared" si="171"/>
        <v>3.0264351690650186E-3</v>
      </c>
      <c r="V227" s="624">
        <f t="shared" si="172"/>
        <v>3.6937795456736628E-3</v>
      </c>
      <c r="W227" s="624">
        <f t="shared" si="173"/>
        <v>3.3183547930457891E-3</v>
      </c>
      <c r="X227" s="624">
        <f t="shared" si="163"/>
        <v>3.3162916732904241E-3</v>
      </c>
      <c r="Y227" s="624">
        <f t="shared" si="164"/>
        <v>3.8687645187613271E-3</v>
      </c>
      <c r="Z227" s="624">
        <f t="shared" si="165"/>
        <v>5.7526127102404357E-3</v>
      </c>
      <c r="AA227" s="624" t="e">
        <f t="shared" si="166"/>
        <v>#DIV/0!</v>
      </c>
      <c r="AB227" s="4"/>
      <c r="AC227" s="4"/>
      <c r="AD227" s="4"/>
      <c r="AE227" s="4"/>
    </row>
    <row r="228" spans="1:31" x14ac:dyDescent="0.2">
      <c r="A228" s="4"/>
      <c r="B228" s="4" t="str">
        <f>Ввод!E669</f>
        <v>Пищевая промышленность</v>
      </c>
      <c r="C228" s="4"/>
      <c r="D228" s="4"/>
      <c r="E228" s="620"/>
      <c r="F228" s="620">
        <f>Ввод!G669/VLOOKUP($B$7,$A$1:$B$3,2,0)</f>
        <v>0.27313199999999999</v>
      </c>
      <c r="G228" s="620">
        <f>Ввод!H669/VLOOKUP($B$7,$A$1:$B$3,2,0)</f>
        <v>0.23313200000000001</v>
      </c>
      <c r="H228" s="620">
        <f>Ввод!I669/VLOOKUP($B$7,$A$1:$B$3,2,0)</f>
        <v>0.269038</v>
      </c>
      <c r="I228" s="620">
        <f>Ввод!J669/VLOOKUP($B$7,$A$1:$B$3,2,0)</f>
        <v>0.40646300000000002</v>
      </c>
      <c r="J228" s="620">
        <f>Ввод!K669/VLOOKUP($B$7,$A$1:$B$3,2,0)</f>
        <v>0.59719499999999992</v>
      </c>
      <c r="K228" s="620">
        <f>Ввод!L669/VLOOKUP($B$7,$A$1:$B$3,2,0)</f>
        <v>0.62997000000000003</v>
      </c>
      <c r="L228" s="620">
        <f>Ввод!M669/VLOOKUP($B$7,$A$1:$B$3,2,0)</f>
        <v>0.78746249999999995</v>
      </c>
      <c r="M228" s="620">
        <f>Ввод!N669/VLOOKUP($B$7,$A$1:$B$3,2,0)</f>
        <v>0.84333599999999997</v>
      </c>
      <c r="N228" s="620">
        <f>Ввод!O669/VLOOKUP($B$7,$A$1:$B$3,2,0)</f>
        <v>1.273266</v>
      </c>
      <c r="O228" s="620">
        <f>Ввод!P669/VLOOKUP($B$7,$A$1:$B$3,2,0)</f>
        <v>0</v>
      </c>
      <c r="P228" s="4"/>
      <c r="Q228" s="624" t="e">
        <f t="shared" si="167"/>
        <v>#DIV/0!</v>
      </c>
      <c r="R228" s="624">
        <f t="shared" si="168"/>
        <v>1.2697634103558313E-3</v>
      </c>
      <c r="S228" s="624">
        <f t="shared" si="169"/>
        <v>9.8046772219905691E-4</v>
      </c>
      <c r="T228" s="624">
        <f t="shared" si="170"/>
        <v>9.2640273021150693E-4</v>
      </c>
      <c r="U228" s="624">
        <f t="shared" si="171"/>
        <v>1.1515379953285175E-3</v>
      </c>
      <c r="V228" s="624">
        <f t="shared" si="172"/>
        <v>1.5830483767172846E-3</v>
      </c>
      <c r="W228" s="624">
        <f t="shared" si="173"/>
        <v>1.4221520541624817E-3</v>
      </c>
      <c r="X228" s="624">
        <f t="shared" si="163"/>
        <v>1.4212678599816108E-3</v>
      </c>
      <c r="Y228" s="624">
        <f t="shared" si="164"/>
        <v>1.6580419366119975E-3</v>
      </c>
      <c r="Z228" s="624">
        <f t="shared" si="165"/>
        <v>2.4654054472459013E-3</v>
      </c>
      <c r="AA228" s="624" t="e">
        <f t="shared" si="166"/>
        <v>#DIV/0!</v>
      </c>
      <c r="AB228" s="4"/>
      <c r="AC228" s="4"/>
      <c r="AD228" s="4"/>
      <c r="AE228" s="4"/>
    </row>
    <row r="229" spans="1:31" x14ac:dyDescent="0.2">
      <c r="A229" s="4"/>
      <c r="B229" s="4" t="str">
        <f>Ввод!E670</f>
        <v>Прочее</v>
      </c>
      <c r="C229" s="4"/>
      <c r="D229" s="4"/>
      <c r="E229" s="620"/>
      <c r="F229" s="620">
        <f>Ввод!G670/VLOOKUP($B$7,$A$1:$B$3,2,0)</f>
        <v>6.6407910000000001</v>
      </c>
      <c r="G229" s="620">
        <f>Ввод!H670/VLOOKUP($B$7,$A$1:$B$3,2,0)</f>
        <v>5.9149430000000001</v>
      </c>
      <c r="H229" s="620">
        <f>Ввод!I670/VLOOKUP($B$7,$A$1:$B$3,2,0)</f>
        <v>7.3629309999999997</v>
      </c>
      <c r="I229" s="620">
        <f>Ввод!J670/VLOOKUP($B$7,$A$1:$B$3,2,0)</f>
        <v>13.78729</v>
      </c>
      <c r="J229" s="620">
        <f>Ввод!K670/VLOOKUP($B$7,$A$1:$B$3,2,0)</f>
        <v>16.670383000000001</v>
      </c>
      <c r="K229" s="620">
        <f>Ввод!L670/VLOOKUP($B$7,$A$1:$B$3,2,0)</f>
        <v>0.20686099999999999</v>
      </c>
      <c r="L229" s="620">
        <f>Ввод!M670/VLOOKUP($B$7,$A$1:$B$3,2,0)</f>
        <v>0.60304955000000005</v>
      </c>
      <c r="M229" s="620">
        <f>Ввод!N670/VLOOKUP($B$7,$A$1:$B$3,2,0)</f>
        <v>5.1841369999999998</v>
      </c>
      <c r="N229" s="620">
        <f>Ввод!O670/VLOOKUP($B$7,$A$1:$B$3,2,0)</f>
        <v>10.156604</v>
      </c>
      <c r="O229" s="620">
        <f>Ввод!P670/VLOOKUP($B$7,$A$1:$B$3,2,0)</f>
        <v>0</v>
      </c>
      <c r="P229" s="4"/>
      <c r="Q229" s="624" t="e">
        <f t="shared" si="167"/>
        <v>#DIV/0!</v>
      </c>
      <c r="R229" s="624">
        <f t="shared" si="168"/>
        <v>3.0872374630655917E-2</v>
      </c>
      <c r="S229" s="624">
        <f t="shared" si="169"/>
        <v>2.4876081748311071E-2</v>
      </c>
      <c r="T229" s="624">
        <f t="shared" si="170"/>
        <v>2.5353442193143498E-2</v>
      </c>
      <c r="U229" s="624">
        <f t="shared" si="171"/>
        <v>3.9060353064394336E-2</v>
      </c>
      <c r="V229" s="624">
        <f t="shared" si="172"/>
        <v>4.4189959305428579E-2</v>
      </c>
      <c r="W229" s="624">
        <f t="shared" si="173"/>
        <v>4.6698699315222167E-4</v>
      </c>
      <c r="X229" s="624">
        <f t="shared" si="163"/>
        <v>1.0884263611173528E-3</v>
      </c>
      <c r="Y229" s="624">
        <f t="shared" si="164"/>
        <v>1.0192279887425547E-2</v>
      </c>
      <c r="Z229" s="624">
        <f t="shared" si="165"/>
        <v>1.9666076709124024E-2</v>
      </c>
      <c r="AA229" s="624" t="e">
        <f t="shared" si="166"/>
        <v>#DIV/0!</v>
      </c>
      <c r="AB229" s="4"/>
      <c r="AC229" s="4"/>
      <c r="AD229" s="4"/>
      <c r="AE229" s="4"/>
    </row>
    <row r="230" spans="1:31" x14ac:dyDescent="0.2">
      <c r="A230" s="4"/>
      <c r="B230" s="4">
        <f>Ввод!E671</f>
        <v>0</v>
      </c>
      <c r="C230" s="4"/>
      <c r="D230" s="4"/>
      <c r="E230" s="620"/>
      <c r="F230" s="620">
        <f>Ввод!G671/VLOOKUP($B$7,$A$1:$B$3,2,0)</f>
        <v>0</v>
      </c>
      <c r="G230" s="620">
        <f>Ввод!H671/VLOOKUP($B$7,$A$1:$B$3,2,0)</f>
        <v>0</v>
      </c>
      <c r="H230" s="620">
        <f>Ввод!I671/VLOOKUP($B$7,$A$1:$B$3,2,0)</f>
        <v>0</v>
      </c>
      <c r="I230" s="620">
        <f>Ввод!J671/VLOOKUP($B$7,$A$1:$B$3,2,0)</f>
        <v>0</v>
      </c>
      <c r="J230" s="620">
        <f>Ввод!K671/VLOOKUP($B$7,$A$1:$B$3,2,0)</f>
        <v>0</v>
      </c>
      <c r="K230" s="620">
        <f>Ввод!L671/VLOOKUP($B$7,$A$1:$B$3,2,0)</f>
        <v>0</v>
      </c>
      <c r="L230" s="620">
        <f>Ввод!M671/VLOOKUP($B$7,$A$1:$B$3,2,0)</f>
        <v>0</v>
      </c>
      <c r="M230" s="620">
        <f>Ввод!N671/VLOOKUP($B$7,$A$1:$B$3,2,0)</f>
        <v>0</v>
      </c>
      <c r="N230" s="620">
        <f>Ввод!O671/VLOOKUP($B$7,$A$1:$B$3,2,0)</f>
        <v>0</v>
      </c>
      <c r="O230" s="620">
        <f>Ввод!P671/VLOOKUP($B$7,$A$1:$B$3,2,0)</f>
        <v>0</v>
      </c>
      <c r="P230" s="4"/>
      <c r="Q230" s="624" t="e">
        <f t="shared" si="167"/>
        <v>#DIV/0!</v>
      </c>
      <c r="R230" s="624">
        <f t="shared" si="168"/>
        <v>0</v>
      </c>
      <c r="S230" s="624">
        <f t="shared" si="169"/>
        <v>0</v>
      </c>
      <c r="T230" s="624">
        <f t="shared" si="170"/>
        <v>0</v>
      </c>
      <c r="U230" s="624">
        <f t="shared" si="171"/>
        <v>0</v>
      </c>
      <c r="V230" s="624">
        <f t="shared" si="172"/>
        <v>0</v>
      </c>
      <c r="W230" s="624">
        <f t="shared" si="173"/>
        <v>0</v>
      </c>
      <c r="X230" s="624">
        <f t="shared" si="163"/>
        <v>0</v>
      </c>
      <c r="Y230" s="624">
        <f t="shared" si="164"/>
        <v>0</v>
      </c>
      <c r="Z230" s="624">
        <f t="shared" si="165"/>
        <v>0</v>
      </c>
      <c r="AA230" s="624" t="e">
        <f t="shared" si="166"/>
        <v>#DIV/0!</v>
      </c>
      <c r="AB230" s="4"/>
      <c r="AC230" s="4"/>
      <c r="AD230" s="4"/>
      <c r="AE230" s="4"/>
    </row>
    <row r="231" spans="1:31" x14ac:dyDescent="0.2">
      <c r="A231" s="4"/>
      <c r="B231" s="4">
        <f>Ввод!E672</f>
        <v>0</v>
      </c>
      <c r="C231" s="4"/>
      <c r="D231" s="4"/>
      <c r="E231" s="620"/>
      <c r="F231" s="620">
        <f>Ввод!G672/VLOOKUP($B$7,$A$1:$B$3,2,0)</f>
        <v>0</v>
      </c>
      <c r="G231" s="620">
        <f>Ввод!H672/VLOOKUP($B$7,$A$1:$B$3,2,0)</f>
        <v>0</v>
      </c>
      <c r="H231" s="620">
        <f>Ввод!I672/VLOOKUP($B$7,$A$1:$B$3,2,0)</f>
        <v>0</v>
      </c>
      <c r="I231" s="620">
        <f>Ввод!J672/VLOOKUP($B$7,$A$1:$B$3,2,0)</f>
        <v>0</v>
      </c>
      <c r="J231" s="620">
        <f>Ввод!K672/VLOOKUP($B$7,$A$1:$B$3,2,0)</f>
        <v>0</v>
      </c>
      <c r="K231" s="620">
        <f>Ввод!L672/VLOOKUP($B$7,$A$1:$B$3,2,0)</f>
        <v>0</v>
      </c>
      <c r="L231" s="620">
        <f>Ввод!M672/VLOOKUP($B$7,$A$1:$B$3,2,0)</f>
        <v>0</v>
      </c>
      <c r="M231" s="620">
        <f>Ввод!N672/VLOOKUP($B$7,$A$1:$B$3,2,0)</f>
        <v>0</v>
      </c>
      <c r="N231" s="620">
        <f>Ввод!O672/VLOOKUP($B$7,$A$1:$B$3,2,0)</f>
        <v>0</v>
      </c>
      <c r="O231" s="620">
        <f>Ввод!P672/VLOOKUP($B$7,$A$1:$B$3,2,0)</f>
        <v>0</v>
      </c>
      <c r="P231" s="4"/>
      <c r="Q231" s="624" t="e">
        <f t="shared" si="167"/>
        <v>#DIV/0!</v>
      </c>
      <c r="R231" s="624">
        <f t="shared" si="168"/>
        <v>0</v>
      </c>
      <c r="S231" s="624">
        <f t="shared" si="169"/>
        <v>0</v>
      </c>
      <c r="T231" s="624">
        <f t="shared" si="170"/>
        <v>0</v>
      </c>
      <c r="U231" s="624">
        <f t="shared" si="171"/>
        <v>0</v>
      </c>
      <c r="V231" s="624">
        <f t="shared" si="172"/>
        <v>0</v>
      </c>
      <c r="W231" s="624">
        <f t="shared" si="173"/>
        <v>0</v>
      </c>
      <c r="X231" s="624">
        <f t="shared" si="163"/>
        <v>0</v>
      </c>
      <c r="Y231" s="624">
        <f t="shared" si="164"/>
        <v>0</v>
      </c>
      <c r="Z231" s="624">
        <f t="shared" si="165"/>
        <v>0</v>
      </c>
      <c r="AA231" s="624" t="e">
        <f t="shared" si="166"/>
        <v>#DIV/0!</v>
      </c>
      <c r="AB231" s="4"/>
      <c r="AC231" s="4"/>
      <c r="AD231" s="4"/>
      <c r="AE231" s="4"/>
    </row>
    <row r="232" spans="1:31" x14ac:dyDescent="0.2">
      <c r="A232" s="4"/>
      <c r="B232" s="4">
        <f>Ввод!E673</f>
        <v>0</v>
      </c>
      <c r="C232" s="4"/>
      <c r="D232" s="4"/>
      <c r="E232" s="620"/>
      <c r="F232" s="620">
        <f>Ввод!G673/VLOOKUP($B$7,$A$1:$B$3,2,0)</f>
        <v>0</v>
      </c>
      <c r="G232" s="620">
        <f>Ввод!H673/VLOOKUP($B$7,$A$1:$B$3,2,0)</f>
        <v>0</v>
      </c>
      <c r="H232" s="620">
        <f>Ввод!I673/VLOOKUP($B$7,$A$1:$B$3,2,0)</f>
        <v>0</v>
      </c>
      <c r="I232" s="620">
        <f>Ввод!J673/VLOOKUP($B$7,$A$1:$B$3,2,0)</f>
        <v>0</v>
      </c>
      <c r="J232" s="620">
        <f>Ввод!K673/VLOOKUP($B$7,$A$1:$B$3,2,0)</f>
        <v>0</v>
      </c>
      <c r="K232" s="620">
        <f>Ввод!L673/VLOOKUP($B$7,$A$1:$B$3,2,0)</f>
        <v>0</v>
      </c>
      <c r="L232" s="620">
        <f>Ввод!M673/VLOOKUP($B$7,$A$1:$B$3,2,0)</f>
        <v>0</v>
      </c>
      <c r="M232" s="620">
        <f>Ввод!N673/VLOOKUP($B$7,$A$1:$B$3,2,0)</f>
        <v>0</v>
      </c>
      <c r="N232" s="620">
        <f>Ввод!O673/VLOOKUP($B$7,$A$1:$B$3,2,0)</f>
        <v>0</v>
      </c>
      <c r="O232" s="620">
        <f>Ввод!P673/VLOOKUP($B$7,$A$1:$B$3,2,0)</f>
        <v>0</v>
      </c>
      <c r="P232" s="4"/>
      <c r="Q232" s="624" t="e">
        <f t="shared" si="167"/>
        <v>#DIV/0!</v>
      </c>
      <c r="R232" s="624">
        <f t="shared" si="168"/>
        <v>0</v>
      </c>
      <c r="S232" s="624">
        <f t="shared" si="169"/>
        <v>0</v>
      </c>
      <c r="T232" s="624">
        <f t="shared" si="170"/>
        <v>0</v>
      </c>
      <c r="U232" s="624">
        <f t="shared" si="171"/>
        <v>0</v>
      </c>
      <c r="V232" s="624">
        <f t="shared" si="172"/>
        <v>0</v>
      </c>
      <c r="W232" s="624">
        <f t="shared" si="173"/>
        <v>0</v>
      </c>
      <c r="X232" s="624">
        <f t="shared" si="163"/>
        <v>0</v>
      </c>
      <c r="Y232" s="624">
        <f t="shared" si="164"/>
        <v>0</v>
      </c>
      <c r="Z232" s="624">
        <f t="shared" si="165"/>
        <v>0</v>
      </c>
      <c r="AA232" s="624" t="e">
        <f t="shared" si="166"/>
        <v>#DIV/0!</v>
      </c>
      <c r="AB232" s="4"/>
      <c r="AC232" s="4"/>
      <c r="AD232" s="4"/>
      <c r="AE232" s="4"/>
    </row>
    <row r="233" spans="1:31" x14ac:dyDescent="0.2">
      <c r="A233" s="4"/>
      <c r="B233" s="4">
        <f>Ввод!E674</f>
        <v>0</v>
      </c>
      <c r="C233" s="4"/>
      <c r="D233" s="4"/>
      <c r="E233" s="620"/>
      <c r="F233" s="620">
        <f>Ввод!G674/VLOOKUP($B$7,$A$1:$B$3,2,0)</f>
        <v>0</v>
      </c>
      <c r="G233" s="620">
        <f>Ввод!H674/VLOOKUP($B$7,$A$1:$B$3,2,0)</f>
        <v>0</v>
      </c>
      <c r="H233" s="620">
        <f>Ввод!I674/VLOOKUP($B$7,$A$1:$B$3,2,0)</f>
        <v>0</v>
      </c>
      <c r="I233" s="620">
        <f>Ввод!J674/VLOOKUP($B$7,$A$1:$B$3,2,0)</f>
        <v>0</v>
      </c>
      <c r="J233" s="620">
        <f>Ввод!K674/VLOOKUP($B$7,$A$1:$B$3,2,0)</f>
        <v>0</v>
      </c>
      <c r="K233" s="620">
        <f>Ввод!L674/VLOOKUP($B$7,$A$1:$B$3,2,0)</f>
        <v>0</v>
      </c>
      <c r="L233" s="620">
        <f>Ввод!M674/VLOOKUP($B$7,$A$1:$B$3,2,0)</f>
        <v>0</v>
      </c>
      <c r="M233" s="620">
        <f>Ввод!N674/VLOOKUP($B$7,$A$1:$B$3,2,0)</f>
        <v>0</v>
      </c>
      <c r="N233" s="620">
        <f>Ввод!O674/VLOOKUP($B$7,$A$1:$B$3,2,0)</f>
        <v>0</v>
      </c>
      <c r="O233" s="620">
        <f>Ввод!P674/VLOOKUP($B$7,$A$1:$B$3,2,0)</f>
        <v>0</v>
      </c>
      <c r="P233" s="4"/>
      <c r="Q233" s="624" t="e">
        <f t="shared" si="167"/>
        <v>#DIV/0!</v>
      </c>
      <c r="R233" s="624">
        <f t="shared" si="168"/>
        <v>0</v>
      </c>
      <c r="S233" s="624">
        <f t="shared" si="169"/>
        <v>0</v>
      </c>
      <c r="T233" s="624">
        <f t="shared" si="170"/>
        <v>0</v>
      </c>
      <c r="U233" s="624">
        <f t="shared" si="171"/>
        <v>0</v>
      </c>
      <c r="V233" s="624">
        <f t="shared" si="172"/>
        <v>0</v>
      </c>
      <c r="W233" s="624">
        <f t="shared" si="173"/>
        <v>0</v>
      </c>
      <c r="X233" s="624">
        <f t="shared" si="163"/>
        <v>0</v>
      </c>
      <c r="Y233" s="624">
        <f t="shared" si="164"/>
        <v>0</v>
      </c>
      <c r="Z233" s="624">
        <f t="shared" si="165"/>
        <v>0</v>
      </c>
      <c r="AA233" s="624" t="e">
        <f t="shared" si="166"/>
        <v>#DIV/0!</v>
      </c>
      <c r="AB233" s="4"/>
      <c r="AC233" s="4"/>
      <c r="AD233" s="4"/>
      <c r="AE233" s="4"/>
    </row>
    <row r="234" spans="1:31" x14ac:dyDescent="0.2">
      <c r="A234" s="4"/>
      <c r="B234" s="4">
        <f>Ввод!E675</f>
        <v>0</v>
      </c>
      <c r="C234" s="4"/>
      <c r="D234" s="4"/>
      <c r="E234" s="620"/>
      <c r="F234" s="620">
        <f>Ввод!G675/VLOOKUP($B$7,$A$1:$B$3,2,0)</f>
        <v>0</v>
      </c>
      <c r="G234" s="620">
        <f>Ввод!H675/VLOOKUP($B$7,$A$1:$B$3,2,0)</f>
        <v>0</v>
      </c>
      <c r="H234" s="620">
        <f>Ввод!I675/VLOOKUP($B$7,$A$1:$B$3,2,0)</f>
        <v>0</v>
      </c>
      <c r="I234" s="620">
        <f>Ввод!J675/VLOOKUP($B$7,$A$1:$B$3,2,0)</f>
        <v>0</v>
      </c>
      <c r="J234" s="620">
        <f>Ввод!K675/VLOOKUP($B$7,$A$1:$B$3,2,0)</f>
        <v>0</v>
      </c>
      <c r="K234" s="620">
        <f>Ввод!L675/VLOOKUP($B$7,$A$1:$B$3,2,0)</f>
        <v>0</v>
      </c>
      <c r="L234" s="620">
        <f>Ввод!M675/VLOOKUP($B$7,$A$1:$B$3,2,0)</f>
        <v>0</v>
      </c>
      <c r="M234" s="620">
        <f>Ввод!N675/VLOOKUP($B$7,$A$1:$B$3,2,0)</f>
        <v>0</v>
      </c>
      <c r="N234" s="620">
        <f>Ввод!O675/VLOOKUP($B$7,$A$1:$B$3,2,0)</f>
        <v>0</v>
      </c>
      <c r="O234" s="620">
        <f>Ввод!P675/VLOOKUP($B$7,$A$1:$B$3,2,0)</f>
        <v>0</v>
      </c>
      <c r="P234" s="4"/>
      <c r="Q234" s="624" t="e">
        <f t="shared" si="167"/>
        <v>#DIV/0!</v>
      </c>
      <c r="R234" s="624">
        <f t="shared" si="168"/>
        <v>0</v>
      </c>
      <c r="S234" s="624">
        <f t="shared" si="169"/>
        <v>0</v>
      </c>
      <c r="T234" s="624">
        <f t="shared" si="170"/>
        <v>0</v>
      </c>
      <c r="U234" s="624">
        <f t="shared" si="171"/>
        <v>0</v>
      </c>
      <c r="V234" s="624">
        <f t="shared" si="172"/>
        <v>0</v>
      </c>
      <c r="W234" s="624">
        <f t="shared" si="173"/>
        <v>0</v>
      </c>
      <c r="X234" s="624">
        <f t="shared" si="163"/>
        <v>0</v>
      </c>
      <c r="Y234" s="624">
        <f t="shared" si="164"/>
        <v>0</v>
      </c>
      <c r="Z234" s="624">
        <f t="shared" si="165"/>
        <v>0</v>
      </c>
      <c r="AA234" s="624" t="e">
        <f t="shared" si="166"/>
        <v>#DIV/0!</v>
      </c>
      <c r="AB234" s="4"/>
      <c r="AC234" s="4"/>
      <c r="AD234" s="4"/>
      <c r="AE234" s="4"/>
    </row>
    <row r="235" spans="1:31" ht="15" x14ac:dyDescent="0.2">
      <c r="A235" s="4"/>
      <c r="B235" s="4"/>
      <c r="C235" s="4"/>
      <c r="D235" s="4"/>
      <c r="E235" s="683"/>
      <c r="F235" s="683"/>
      <c r="G235" s="683"/>
      <c r="H235" s="620"/>
      <c r="I235" s="620"/>
      <c r="J235" s="620"/>
      <c r="K235" s="620"/>
      <c r="L235" s="620"/>
      <c r="M235" s="620"/>
      <c r="N235" s="620"/>
      <c r="O235" s="620"/>
      <c r="P235" s="4"/>
      <c r="Q235" s="684"/>
      <c r="R235" s="684"/>
      <c r="S235" s="684"/>
      <c r="T235" s="624"/>
      <c r="U235" s="624"/>
      <c r="V235" s="624"/>
      <c r="W235" s="624"/>
      <c r="X235" s="624"/>
      <c r="Y235" s="624"/>
      <c r="Z235" s="624"/>
      <c r="AA235" s="624"/>
      <c r="AB235" s="4"/>
      <c r="AC235" s="4"/>
      <c r="AD235" s="4"/>
      <c r="AE235" s="4"/>
    </row>
    <row r="236" spans="1:31" ht="26.25" customHeight="1" x14ac:dyDescent="0.2">
      <c r="A236" s="515"/>
      <c r="B236" s="516" t="s">
        <v>1026</v>
      </c>
      <c r="C236" s="517"/>
      <c r="D236" s="517"/>
      <c r="E236" s="518"/>
      <c r="F236" s="518">
        <f t="shared" ref="F236:O236" si="174">SUM(F217:F235)</f>
        <v>215.10463900000002</v>
      </c>
      <c r="G236" s="518">
        <f t="shared" si="174"/>
        <v>237.77631299999999</v>
      </c>
      <c r="H236" s="518">
        <f t="shared" si="174"/>
        <v>290.41149300000006</v>
      </c>
      <c r="I236" s="518">
        <f t="shared" si="174"/>
        <v>352.97402399999999</v>
      </c>
      <c r="J236" s="518">
        <f t="shared" si="174"/>
        <v>377.24368300000003</v>
      </c>
      <c r="K236" s="518">
        <f t="shared" si="174"/>
        <v>442.96951100000001</v>
      </c>
      <c r="L236" s="518">
        <f t="shared" si="174"/>
        <v>554.05636204999996</v>
      </c>
      <c r="M236" s="518">
        <f t="shared" si="174"/>
        <v>508.63369700000004</v>
      </c>
      <c r="N236" s="518">
        <f t="shared" si="174"/>
        <v>516.4529839999999</v>
      </c>
      <c r="O236" s="518">
        <f t="shared" si="174"/>
        <v>0</v>
      </c>
      <c r="P236" s="604"/>
      <c r="Q236" s="608" t="e">
        <f>SUM(Q217:Q235)</f>
        <v>#DIV/0!</v>
      </c>
      <c r="R236" s="608">
        <f t="shared" ref="R236:AA236" si="175">SUM(R217:R235)</f>
        <v>1</v>
      </c>
      <c r="S236" s="608">
        <f t="shared" si="175"/>
        <v>1.0000000000000002</v>
      </c>
      <c r="T236" s="608">
        <f t="shared" si="175"/>
        <v>0.99999999999999978</v>
      </c>
      <c r="U236" s="608">
        <f t="shared" si="175"/>
        <v>1</v>
      </c>
      <c r="V236" s="608">
        <f t="shared" si="175"/>
        <v>0.99999999999999989</v>
      </c>
      <c r="W236" s="608">
        <f t="shared" si="175"/>
        <v>1</v>
      </c>
      <c r="X236" s="608">
        <f t="shared" si="175"/>
        <v>1</v>
      </c>
      <c r="Y236" s="608">
        <f t="shared" si="175"/>
        <v>1</v>
      </c>
      <c r="Z236" s="608">
        <f t="shared" si="175"/>
        <v>1.0000000000000002</v>
      </c>
      <c r="AA236" s="608" t="e">
        <f t="shared" si="175"/>
        <v>#DIV/0!</v>
      </c>
      <c r="AB236" s="4"/>
      <c r="AC236" s="4"/>
      <c r="AD236" s="4"/>
      <c r="AE236" s="4"/>
    </row>
    <row r="237" spans="1:31" ht="15.75" outlineLevel="1" x14ac:dyDescent="0.25">
      <c r="A237" s="4"/>
      <c r="B237" s="304" t="s">
        <v>458</v>
      </c>
      <c r="C237" s="386"/>
      <c r="D237" s="386"/>
      <c r="E237" s="386"/>
      <c r="F237" s="386">
        <f>Ввод!G644/VLOOKUP($B$7,$A$1:$B$3,2,0)-F236</f>
        <v>0</v>
      </c>
      <c r="G237" s="386">
        <f>Ввод!H644/VLOOKUP($B$7,$A$1:$B$3,2,0)-G236</f>
        <v>0</v>
      </c>
      <c r="H237" s="386">
        <f>Ввод!I644/VLOOKUP($B$7,$A$1:$B$3,2,0)-H236</f>
        <v>0</v>
      </c>
      <c r="I237" s="386">
        <f>Ввод!J644/VLOOKUP($B$7,$A$1:$B$3,2,0)-I236</f>
        <v>0</v>
      </c>
      <c r="J237" s="386">
        <f>Ввод!K644/VLOOKUP($B$7,$A$1:$B$3,2,0)-J236</f>
        <v>0</v>
      </c>
      <c r="K237" s="386">
        <f>Ввод!L644/VLOOKUP($B$7,$A$1:$B$3,2,0)-K236</f>
        <v>0</v>
      </c>
      <c r="L237" s="386">
        <f>Ввод!M644/VLOOKUP($B$7,$A$1:$B$3,2,0)-L236</f>
        <v>-4.9999925977317616E-8</v>
      </c>
      <c r="M237" s="386">
        <f>Ввод!N644/VLOOKUP($B$7,$A$1:$B$3,2,0)-M236</f>
        <v>0</v>
      </c>
      <c r="N237" s="386">
        <f>Ввод!O644/VLOOKUP($B$7,$A$1:$B$3,2,0)-N236</f>
        <v>0</v>
      </c>
      <c r="O237" s="386">
        <f>Ввод!P644/VLOOKUP($B$7,$A$1:$B$3,2,0)-O236</f>
        <v>0</v>
      </c>
      <c r="P237" s="4"/>
      <c r="Q237" s="4"/>
      <c r="R237" s="4"/>
      <c r="S237" s="4"/>
      <c r="T237" s="4"/>
      <c r="U237" s="4"/>
      <c r="V237" s="4"/>
      <c r="W237" s="4"/>
      <c r="X237" s="4"/>
      <c r="Y237" s="4"/>
      <c r="Z237" s="4"/>
      <c r="AA237" s="4"/>
      <c r="AB237" s="4"/>
      <c r="AC237" s="4"/>
      <c r="AD237" s="4"/>
      <c r="AE237" s="4"/>
    </row>
    <row r="238" spans="1:31"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spans="1:31" ht="30" customHeight="1" x14ac:dyDescent="0.2">
      <c r="A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spans="1:31" ht="15" x14ac:dyDescent="0.2">
      <c r="A240" s="616"/>
      <c r="B240" s="617" t="s">
        <v>3459</v>
      </c>
      <c r="C240" s="507"/>
      <c r="D240" s="507"/>
      <c r="E240" s="618"/>
      <c r="F240" s="618"/>
      <c r="G240" s="618"/>
      <c r="H240" s="618"/>
      <c r="I240" s="618"/>
      <c r="J240" s="618"/>
      <c r="K240" s="618"/>
      <c r="L240" s="618"/>
      <c r="M240" s="618"/>
      <c r="N240" s="618"/>
      <c r="O240" s="618"/>
      <c r="P240" s="618"/>
      <c r="Q240" s="619"/>
      <c r="R240" s="619"/>
      <c r="S240" s="619"/>
      <c r="T240" s="619"/>
      <c r="U240" s="619"/>
      <c r="V240" s="619"/>
      <c r="W240" s="619"/>
      <c r="X240" s="619"/>
      <c r="Y240" s="619"/>
      <c r="Z240" s="619"/>
      <c r="AA240" s="619"/>
      <c r="AB240" s="4"/>
      <c r="AC240" s="4"/>
      <c r="AD240" s="4"/>
      <c r="AE240" s="4"/>
    </row>
    <row r="241" spans="1:31" x14ac:dyDescent="0.2">
      <c r="A241" s="4"/>
      <c r="B241" s="4"/>
      <c r="C241" s="4"/>
      <c r="D241" s="4" t="str">
        <f>B7</f>
        <v>млрд руб.</v>
      </c>
      <c r="E241" s="4" t="s">
        <v>348</v>
      </c>
      <c r="F241" s="4"/>
      <c r="G241" s="4"/>
      <c r="H241" s="4"/>
      <c r="I241" s="4"/>
      <c r="J241" s="4"/>
      <c r="K241" s="4"/>
      <c r="L241" s="4"/>
      <c r="M241" s="4"/>
      <c r="N241" s="4"/>
      <c r="O241" s="4"/>
      <c r="P241" s="4"/>
      <c r="Q241" s="4" t="s">
        <v>17</v>
      </c>
      <c r="R241" s="4"/>
      <c r="S241" s="4"/>
      <c r="T241" s="4"/>
      <c r="U241" s="4"/>
      <c r="V241" s="71"/>
      <c r="W241" s="71"/>
      <c r="X241" s="71"/>
      <c r="Y241" s="71"/>
      <c r="Z241" s="71"/>
      <c r="AA241" s="71"/>
      <c r="AB241" s="4"/>
      <c r="AC241" s="4"/>
      <c r="AD241" s="4"/>
      <c r="AE241" s="4"/>
    </row>
    <row r="242" spans="1:31" x14ac:dyDescent="0.2">
      <c r="A242" s="15"/>
      <c r="B242" s="15"/>
      <c r="C242" s="15"/>
      <c r="D242" s="15"/>
      <c r="E242" s="539"/>
      <c r="F242" s="539">
        <f t="shared" ref="F242:O242" si="176">F8</f>
        <v>2016</v>
      </c>
      <c r="G242" s="539">
        <f t="shared" si="176"/>
        <v>2017</v>
      </c>
      <c r="H242" s="539">
        <f t="shared" si="176"/>
        <v>2018</v>
      </c>
      <c r="I242" s="539">
        <f t="shared" si="176"/>
        <v>2019</v>
      </c>
      <c r="J242" s="539">
        <f t="shared" si="176"/>
        <v>2020</v>
      </c>
      <c r="K242" s="539">
        <f t="shared" si="176"/>
        <v>2021</v>
      </c>
      <c r="L242" s="539">
        <f t="shared" si="176"/>
        <v>2022</v>
      </c>
      <c r="M242" s="539">
        <f t="shared" si="176"/>
        <v>2023</v>
      </c>
      <c r="N242" s="539">
        <f t="shared" si="176"/>
        <v>2024</v>
      </c>
      <c r="O242" s="539">
        <f t="shared" si="176"/>
        <v>2025</v>
      </c>
      <c r="P242" s="15"/>
      <c r="Q242" s="539"/>
      <c r="R242" s="539">
        <f t="shared" ref="R242:AA242" si="177">R8</f>
        <v>2016</v>
      </c>
      <c r="S242" s="539">
        <f t="shared" si="177"/>
        <v>2017</v>
      </c>
      <c r="T242" s="539">
        <f t="shared" si="177"/>
        <v>2018</v>
      </c>
      <c r="U242" s="539">
        <f t="shared" si="177"/>
        <v>2019</v>
      </c>
      <c r="V242" s="539">
        <f t="shared" si="177"/>
        <v>2020</v>
      </c>
      <c r="W242" s="539">
        <f t="shared" si="177"/>
        <v>2021</v>
      </c>
      <c r="X242" s="539">
        <f t="shared" si="177"/>
        <v>2022</v>
      </c>
      <c r="Y242" s="539">
        <f t="shared" si="177"/>
        <v>2023</v>
      </c>
      <c r="Z242" s="539">
        <f t="shared" si="177"/>
        <v>2024</v>
      </c>
      <c r="AA242" s="539">
        <f t="shared" si="177"/>
        <v>2025</v>
      </c>
      <c r="AB242" s="4"/>
      <c r="AC242" s="4"/>
      <c r="AD242" s="4"/>
      <c r="AE242" s="4"/>
    </row>
    <row r="243" spans="1:31" s="234" customFormat="1" x14ac:dyDescent="0.2">
      <c r="A243" s="71">
        <v>1</v>
      </c>
      <c r="B243" s="835" t="str">
        <f>INDEX($B$217:$G$235,MATCH(G243,$G$217:$G$235,0),1)</f>
        <v xml:space="preserve">Органы государственной власти </v>
      </c>
      <c r="C243" s="835"/>
      <c r="D243" s="835"/>
      <c r="E243" s="836"/>
      <c r="F243" s="836">
        <f t="shared" ref="F243:O248" si="178">INDEX($B$216:$O$235,MATCH($B243,$B$216:$B$235,0),MATCH(F$242,$B$216:$O$216,0))</f>
        <v>61.744244000000002</v>
      </c>
      <c r="G243" s="2187">
        <f>LARGE($G$217:$G$235,A243)</f>
        <v>118.505286</v>
      </c>
      <c r="H243" s="836">
        <f t="shared" si="178"/>
        <v>181.71285</v>
      </c>
      <c r="I243" s="836">
        <f t="shared" si="178"/>
        <v>227.04012599999999</v>
      </c>
      <c r="J243" s="836">
        <f t="shared" si="178"/>
        <v>267.89364999999998</v>
      </c>
      <c r="K243" s="836">
        <f t="shared" si="178"/>
        <v>339.00619999999998</v>
      </c>
      <c r="L243" s="836">
        <f t="shared" si="178"/>
        <v>423.75774999999999</v>
      </c>
      <c r="M243" s="836">
        <f t="shared" si="178"/>
        <v>323.10744</v>
      </c>
      <c r="N243" s="836">
        <f t="shared" si="178"/>
        <v>337.61795999999998</v>
      </c>
      <c r="O243" s="836">
        <f t="shared" si="178"/>
        <v>0</v>
      </c>
      <c r="P243" s="71"/>
      <c r="Q243" s="624"/>
      <c r="R243" s="624">
        <f t="shared" ref="R243:T249" si="179">F243/F$251</f>
        <v>0.28704282849055618</v>
      </c>
      <c r="S243" s="624">
        <f t="shared" si="179"/>
        <v>0.49838978704325354</v>
      </c>
      <c r="T243" s="624">
        <f t="shared" si="179"/>
        <v>0.62570819123883625</v>
      </c>
      <c r="U243" s="624">
        <f t="shared" ref="U243:U249" si="180">I243/I$251</f>
        <v>0.64322049375508716</v>
      </c>
      <c r="V243" s="624">
        <f t="shared" ref="V243:V249" si="181">J243/J$251</f>
        <v>0.71013422377174695</v>
      </c>
      <c r="W243" s="624">
        <f t="shared" ref="W243:W249" si="182">K243/K$251</f>
        <v>0.76530368700702733</v>
      </c>
      <c r="X243" s="624">
        <f t="shared" ref="X243:X249" si="183">L243/L$251</f>
        <v>0.76482787496943971</v>
      </c>
      <c r="Y243" s="624">
        <f t="shared" ref="Y243:Y249" si="184">M243/M$251</f>
        <v>0.63524583979735805</v>
      </c>
      <c r="Z243" s="624">
        <f t="shared" ref="Z243:Z249" si="185">N243/N$251</f>
        <v>0.65372448307898645</v>
      </c>
      <c r="AA243" s="624" t="e">
        <f t="shared" ref="AA243:AA249" si="186">O243/O$251</f>
        <v>#DIV/0!</v>
      </c>
      <c r="AB243" s="71"/>
      <c r="AC243" s="71"/>
      <c r="AD243" s="71"/>
      <c r="AE243" s="71"/>
    </row>
    <row r="244" spans="1:31" s="234" customFormat="1" x14ac:dyDescent="0.2">
      <c r="A244" s="71">
        <v>2</v>
      </c>
      <c r="B244" s="71" t="str">
        <f t="shared" ref="B244:B248" si="187">INDEX($B$217:$G$235,MATCH(G244,$G$217:$G$235,0),1)</f>
        <v>Финансовые услуги</v>
      </c>
      <c r="C244" s="71"/>
      <c r="D244" s="71"/>
      <c r="E244" s="498"/>
      <c r="F244" s="498">
        <f t="shared" si="178"/>
        <v>91.049087</v>
      </c>
      <c r="G244" s="2184">
        <f t="shared" ref="G244:G248" si="188">LARGE($G$217:$G$235,A244)</f>
        <v>81.622754</v>
      </c>
      <c r="H244" s="498">
        <f t="shared" si="178"/>
        <v>72.447090000000003</v>
      </c>
      <c r="I244" s="498">
        <f t="shared" si="178"/>
        <v>80.671642000000006</v>
      </c>
      <c r="J244" s="498">
        <f t="shared" si="178"/>
        <v>44.928199999999997</v>
      </c>
      <c r="K244" s="498">
        <f t="shared" si="178"/>
        <v>53.134599999999992</v>
      </c>
      <c r="L244" s="498">
        <f t="shared" si="178"/>
        <v>66.418249999999986</v>
      </c>
      <c r="M244" s="498">
        <f t="shared" si="178"/>
        <v>101.90412000000001</v>
      </c>
      <c r="N244" s="498">
        <f t="shared" si="178"/>
        <v>66.315299999999993</v>
      </c>
      <c r="O244" s="498">
        <f t="shared" si="178"/>
        <v>0</v>
      </c>
      <c r="P244" s="71"/>
      <c r="Q244" s="624"/>
      <c r="R244" s="624">
        <f t="shared" si="179"/>
        <v>0.42327811907394519</v>
      </c>
      <c r="S244" s="624">
        <f t="shared" si="179"/>
        <v>0.34327537915856238</v>
      </c>
      <c r="T244" s="624">
        <f t="shared" si="179"/>
        <v>0.24946357753134787</v>
      </c>
      <c r="U244" s="624">
        <f t="shared" si="180"/>
        <v>0.2285483817925367</v>
      </c>
      <c r="V244" s="624">
        <f t="shared" si="181"/>
        <v>0.11909596376196972</v>
      </c>
      <c r="W244" s="624">
        <f t="shared" si="182"/>
        <v>0.11995091915027983</v>
      </c>
      <c r="X244" s="624">
        <f t="shared" si="183"/>
        <v>0.11987634210038396</v>
      </c>
      <c r="Y244" s="624">
        <f t="shared" si="184"/>
        <v>0.20034873937972694</v>
      </c>
      <c r="Z244" s="624">
        <f t="shared" si="185"/>
        <v>0.12840529932924158</v>
      </c>
      <c r="AA244" s="624" t="e">
        <f t="shared" si="186"/>
        <v>#DIV/0!</v>
      </c>
      <c r="AB244" s="71"/>
      <c r="AC244" s="71"/>
      <c r="AD244" s="71"/>
      <c r="AE244" s="71"/>
    </row>
    <row r="245" spans="1:31" s="234" customFormat="1" x14ac:dyDescent="0.2">
      <c r="A245" s="71">
        <v>3</v>
      </c>
      <c r="B245" s="71" t="str">
        <f t="shared" si="187"/>
        <v>Строительство</v>
      </c>
      <c r="C245" s="71"/>
      <c r="D245" s="71"/>
      <c r="E245" s="498"/>
      <c r="F245" s="498">
        <f t="shared" si="178"/>
        <v>22.391919000000001</v>
      </c>
      <c r="G245" s="2184">
        <f t="shared" si="188"/>
        <v>13.119762</v>
      </c>
      <c r="H245" s="498">
        <f t="shared" si="178"/>
        <v>11.368556</v>
      </c>
      <c r="I245" s="498">
        <f t="shared" si="178"/>
        <v>12.646008999999999</v>
      </c>
      <c r="J245" s="498">
        <f t="shared" si="178"/>
        <v>18.604354999999995</v>
      </c>
      <c r="K245" s="498">
        <f t="shared" si="178"/>
        <v>22.172115000000002</v>
      </c>
      <c r="L245" s="498">
        <f t="shared" si="178"/>
        <v>27.715143749999999</v>
      </c>
      <c r="M245" s="498">
        <f t="shared" si="178"/>
        <v>29.580306</v>
      </c>
      <c r="N245" s="498">
        <f t="shared" si="178"/>
        <v>44.46078</v>
      </c>
      <c r="O245" s="498">
        <f t="shared" si="178"/>
        <v>0</v>
      </c>
      <c r="P245" s="71"/>
      <c r="Q245" s="624"/>
      <c r="R245" s="624">
        <f t="shared" si="179"/>
        <v>0.10409779679368049</v>
      </c>
      <c r="S245" s="624">
        <f t="shared" si="179"/>
        <v>5.5176909064108499E-2</v>
      </c>
      <c r="T245" s="624">
        <f t="shared" si="179"/>
        <v>3.9146370835950343E-2</v>
      </c>
      <c r="U245" s="624">
        <f t="shared" si="180"/>
        <v>3.5827024483818672E-2</v>
      </c>
      <c r="V245" s="624">
        <f t="shared" si="181"/>
        <v>4.9316544818061255E-2</v>
      </c>
      <c r="W245" s="624">
        <f t="shared" si="182"/>
        <v>5.0053365862464519E-2</v>
      </c>
      <c r="X245" s="624">
        <f t="shared" si="183"/>
        <v>5.0022246197939858E-2</v>
      </c>
      <c r="Y245" s="624">
        <f t="shared" si="184"/>
        <v>5.8156402484674539E-2</v>
      </c>
      <c r="Z245" s="624">
        <f t="shared" si="185"/>
        <v>8.6088727100858436E-2</v>
      </c>
      <c r="AA245" s="624" t="e">
        <f t="shared" si="186"/>
        <v>#DIV/0!</v>
      </c>
      <c r="AB245" s="71"/>
      <c r="AC245" s="71"/>
      <c r="AD245" s="71"/>
      <c r="AE245" s="71"/>
    </row>
    <row r="246" spans="1:31" s="234" customFormat="1" x14ac:dyDescent="0.2">
      <c r="A246" s="71">
        <v>4</v>
      </c>
      <c r="B246" s="71" t="str">
        <f t="shared" si="187"/>
        <v>Торговля и мелкий ремонт</v>
      </c>
      <c r="C246" s="71"/>
      <c r="D246" s="71"/>
      <c r="E246" s="498"/>
      <c r="F246" s="498">
        <f t="shared" si="178"/>
        <v>12.426462000000001</v>
      </c>
      <c r="G246" s="2184">
        <f t="shared" si="188"/>
        <v>8.3477920000000001</v>
      </c>
      <c r="H246" s="498">
        <f t="shared" si="178"/>
        <v>6.8467149999999997</v>
      </c>
      <c r="I246" s="498">
        <f t="shared" si="178"/>
        <v>5.3213920000000003</v>
      </c>
      <c r="J246" s="498">
        <f t="shared" si="178"/>
        <v>9.6967999999999996</v>
      </c>
      <c r="K246" s="498">
        <f t="shared" si="178"/>
        <v>7.2093499999999988</v>
      </c>
      <c r="L246" s="498">
        <f t="shared" si="178"/>
        <v>9.011687499999999</v>
      </c>
      <c r="M246" s="498">
        <f t="shared" si="178"/>
        <v>13.8924</v>
      </c>
      <c r="N246" s="498">
        <f t="shared" si="178"/>
        <v>17.34816</v>
      </c>
      <c r="O246" s="498">
        <f t="shared" si="178"/>
        <v>0</v>
      </c>
      <c r="P246" s="71"/>
      <c r="Q246" s="624"/>
      <c r="R246" s="624">
        <f t="shared" si="179"/>
        <v>5.7769381719377982E-2</v>
      </c>
      <c r="S246" s="624">
        <f t="shared" si="179"/>
        <v>3.5107752722198196E-2</v>
      </c>
      <c r="T246" s="624">
        <f t="shared" si="179"/>
        <v>2.3575909235795976E-2</v>
      </c>
      <c r="U246" s="624">
        <f t="shared" si="180"/>
        <v>1.5075874251868461E-2</v>
      </c>
      <c r="V246" s="624">
        <f t="shared" si="181"/>
        <v>2.5704340289774974E-2</v>
      </c>
      <c r="W246" s="624">
        <f t="shared" si="182"/>
        <v>1.6275047877956545E-2</v>
      </c>
      <c r="X246" s="624">
        <f t="shared" si="183"/>
        <v>1.6264929197197367E-2</v>
      </c>
      <c r="Y246" s="624">
        <f t="shared" si="184"/>
        <v>2.73131726858435E-2</v>
      </c>
      <c r="Z246" s="624">
        <f t="shared" si="185"/>
        <v>3.3590976405317864E-2</v>
      </c>
      <c r="AA246" s="624" t="e">
        <f t="shared" si="186"/>
        <v>#DIV/0!</v>
      </c>
      <c r="AB246" s="71"/>
      <c r="AC246" s="71"/>
      <c r="AD246" s="71"/>
      <c r="AE246" s="71"/>
    </row>
    <row r="247" spans="1:31" s="234" customFormat="1" x14ac:dyDescent="0.2">
      <c r="A247" s="71">
        <v>5</v>
      </c>
      <c r="B247" s="71" t="str">
        <f t="shared" si="187"/>
        <v>Прочее</v>
      </c>
      <c r="C247" s="71"/>
      <c r="D247" s="71"/>
      <c r="E247" s="498"/>
      <c r="F247" s="498">
        <f t="shared" si="178"/>
        <v>6.6407910000000001</v>
      </c>
      <c r="G247" s="2184">
        <f t="shared" si="188"/>
        <v>5.9149430000000001</v>
      </c>
      <c r="H247" s="498">
        <f t="shared" si="178"/>
        <v>7.3629309999999997</v>
      </c>
      <c r="I247" s="498">
        <f t="shared" si="178"/>
        <v>13.78729</v>
      </c>
      <c r="J247" s="498">
        <f t="shared" si="178"/>
        <v>16.670383000000001</v>
      </c>
      <c r="K247" s="498">
        <f t="shared" si="178"/>
        <v>0.20686099999999999</v>
      </c>
      <c r="L247" s="498">
        <f t="shared" si="178"/>
        <v>0.60304955000000005</v>
      </c>
      <c r="M247" s="498">
        <f t="shared" si="178"/>
        <v>5.1841369999999998</v>
      </c>
      <c r="N247" s="498">
        <f t="shared" si="178"/>
        <v>10.156604</v>
      </c>
      <c r="O247" s="498">
        <f t="shared" si="178"/>
        <v>0</v>
      </c>
      <c r="P247" s="71"/>
      <c r="Q247" s="624"/>
      <c r="R247" s="624">
        <f t="shared" si="179"/>
        <v>3.0872374630655917E-2</v>
      </c>
      <c r="S247" s="624">
        <f t="shared" si="179"/>
        <v>2.4876081748311071E-2</v>
      </c>
      <c r="T247" s="624">
        <f t="shared" si="179"/>
        <v>2.5353442193143498E-2</v>
      </c>
      <c r="U247" s="624">
        <f t="shared" si="180"/>
        <v>3.9060353064394336E-2</v>
      </c>
      <c r="V247" s="624">
        <f t="shared" si="181"/>
        <v>4.4189959305428579E-2</v>
      </c>
      <c r="W247" s="624">
        <f t="shared" si="182"/>
        <v>4.6698699315222167E-4</v>
      </c>
      <c r="X247" s="624">
        <f t="shared" si="183"/>
        <v>1.0884263611173528E-3</v>
      </c>
      <c r="Y247" s="624">
        <f t="shared" si="184"/>
        <v>1.0192279887425547E-2</v>
      </c>
      <c r="Z247" s="624">
        <f t="shared" si="185"/>
        <v>1.9666076709124024E-2</v>
      </c>
      <c r="AA247" s="624" t="e">
        <f t="shared" si="186"/>
        <v>#DIV/0!</v>
      </c>
      <c r="AB247" s="71"/>
      <c r="AC247" s="71"/>
      <c r="AD247" s="71"/>
      <c r="AE247" s="71"/>
    </row>
    <row r="248" spans="1:31" s="234" customFormat="1" ht="15" thickBot="1" x14ac:dyDescent="0.25">
      <c r="A248" s="71">
        <v>6</v>
      </c>
      <c r="B248" s="2169" t="str">
        <f t="shared" si="187"/>
        <v>Прооизводство</v>
      </c>
      <c r="C248" s="2169"/>
      <c r="D248" s="2169"/>
      <c r="E248" s="2170"/>
      <c r="F248" s="2170">
        <f t="shared" si="178"/>
        <v>9.3489419999999992</v>
      </c>
      <c r="G248" s="2185">
        <f t="shared" si="188"/>
        <v>3.9947710000000001</v>
      </c>
      <c r="H248" s="2170">
        <f t="shared" si="178"/>
        <v>3.2186759999999999</v>
      </c>
      <c r="I248" s="2170">
        <f t="shared" si="178"/>
        <v>6.1491800000000003</v>
      </c>
      <c r="J248" s="2170">
        <f t="shared" si="178"/>
        <v>7.9732949999999994</v>
      </c>
      <c r="K248" s="2170">
        <f t="shared" si="178"/>
        <v>9.471285</v>
      </c>
      <c r="L248" s="2170">
        <f t="shared" si="178"/>
        <v>11.83910625</v>
      </c>
      <c r="M248" s="2170">
        <f t="shared" si="178"/>
        <v>12.677273999999999</v>
      </c>
      <c r="N248" s="2170">
        <f t="shared" si="178"/>
        <v>19.05462</v>
      </c>
      <c r="O248" s="2170">
        <f t="shared" si="178"/>
        <v>0</v>
      </c>
      <c r="P248" s="71"/>
      <c r="Q248" s="624"/>
      <c r="R248" s="624">
        <f t="shared" si="179"/>
        <v>4.3462298365401587E-2</v>
      </c>
      <c r="S248" s="624">
        <f t="shared" si="179"/>
        <v>1.6800542281097616E-2</v>
      </c>
      <c r="T248" s="624">
        <f t="shared" si="179"/>
        <v>1.1083156409378051E-2</v>
      </c>
      <c r="U248" s="624">
        <f t="shared" si="180"/>
        <v>1.7421055323889784E-2</v>
      </c>
      <c r="V248" s="624">
        <f t="shared" si="181"/>
        <v>2.11356620648834E-2</v>
      </c>
      <c r="W248" s="624">
        <f t="shared" si="182"/>
        <v>2.1381347394809753E-2</v>
      </c>
      <c r="X248" s="624">
        <f t="shared" si="183"/>
        <v>2.1368053975944778E-2</v>
      </c>
      <c r="Y248" s="624">
        <f t="shared" si="184"/>
        <v>2.4924172493431943E-2</v>
      </c>
      <c r="Z248" s="624">
        <f t="shared" si="185"/>
        <v>3.6895168757510761E-2</v>
      </c>
      <c r="AA248" s="624" t="e">
        <f t="shared" si="186"/>
        <v>#DIV/0!</v>
      </c>
      <c r="AB248" s="71"/>
      <c r="AC248" s="71"/>
      <c r="AD248" s="71"/>
      <c r="AE248" s="71"/>
    </row>
    <row r="249" spans="1:31" s="2174" customFormat="1" x14ac:dyDescent="0.2">
      <c r="A249" s="2171"/>
      <c r="B249" s="2171" t="s">
        <v>294</v>
      </c>
      <c r="C249" s="2171"/>
      <c r="D249" s="2171"/>
      <c r="E249" s="2172"/>
      <c r="F249" s="2172">
        <f>F236-SUM(F243:F248)</f>
        <v>11.503194000000008</v>
      </c>
      <c r="G249" s="2172">
        <f t="shared" ref="G249:H249" si="189">G236-SUM(G243:G248)</f>
        <v>6.271004999999974</v>
      </c>
      <c r="H249" s="2172">
        <f t="shared" si="189"/>
        <v>7.4546750000000088</v>
      </c>
      <c r="I249" s="2172">
        <f t="shared" ref="I249" si="190">I236-SUM(I243:I248)</f>
        <v>7.3583849999999984</v>
      </c>
      <c r="J249" s="2172">
        <f t="shared" ref="J249" si="191">J236-SUM(J243:J248)</f>
        <v>11.477000000000032</v>
      </c>
      <c r="K249" s="2172">
        <f t="shared" ref="K249" si="192">K236-SUM(K243:K248)</f>
        <v>11.769100000000037</v>
      </c>
      <c r="L249" s="2172">
        <f t="shared" ref="L249" si="193">L236-SUM(L243:L248)</f>
        <v>14.711374999999975</v>
      </c>
      <c r="M249" s="2172">
        <f t="shared" ref="M249" si="194">M236-SUM(M243:M248)</f>
        <v>22.28801999999996</v>
      </c>
      <c r="N249" s="2172">
        <f t="shared" ref="N249" si="195">N236-SUM(N243:N248)</f>
        <v>21.499559999999917</v>
      </c>
      <c r="O249" s="2172">
        <f t="shared" ref="O249" si="196">O236-SUM(O243:O248)</f>
        <v>0</v>
      </c>
      <c r="P249" s="2171"/>
      <c r="Q249" s="2173"/>
      <c r="R249" s="2173">
        <f t="shared" si="179"/>
        <v>5.3477200926382654E-2</v>
      </c>
      <c r="S249" s="2173">
        <f t="shared" si="179"/>
        <v>2.6373547982468607E-2</v>
      </c>
      <c r="T249" s="2173">
        <f t="shared" si="179"/>
        <v>2.5669352555547819E-2</v>
      </c>
      <c r="U249" s="2173">
        <f t="shared" si="180"/>
        <v>2.0846817328404876E-2</v>
      </c>
      <c r="V249" s="2173">
        <f t="shared" si="181"/>
        <v>3.0423305988135078E-2</v>
      </c>
      <c r="W249" s="2173">
        <f t="shared" si="182"/>
        <v>2.6568645714309752E-2</v>
      </c>
      <c r="X249" s="2173">
        <f t="shared" si="183"/>
        <v>2.6552127197976963E-2</v>
      </c>
      <c r="Y249" s="2173">
        <f t="shared" si="184"/>
        <v>4.3819393271539296E-2</v>
      </c>
      <c r="Z249" s="2173">
        <f t="shared" si="185"/>
        <v>4.1629268618960907E-2</v>
      </c>
      <c r="AA249" s="2173" t="e">
        <f t="shared" si="186"/>
        <v>#DIV/0!</v>
      </c>
      <c r="AB249" s="2171"/>
      <c r="AC249" s="2171"/>
      <c r="AD249" s="2171"/>
      <c r="AE249" s="2171"/>
    </row>
    <row r="250" spans="1:31" s="234" customFormat="1" x14ac:dyDescent="0.2">
      <c r="A250" s="71"/>
      <c r="B250" s="71"/>
      <c r="C250" s="71"/>
      <c r="D250" s="71"/>
      <c r="E250" s="498"/>
      <c r="F250" s="498"/>
      <c r="G250" s="498"/>
      <c r="H250" s="498"/>
      <c r="I250" s="498"/>
      <c r="J250" s="498"/>
      <c r="K250" s="498"/>
      <c r="L250" s="498"/>
      <c r="M250" s="498"/>
      <c r="N250" s="498"/>
      <c r="O250" s="498"/>
      <c r="P250" s="71"/>
      <c r="Q250" s="624"/>
      <c r="R250" s="624"/>
      <c r="S250" s="624"/>
      <c r="T250" s="624"/>
      <c r="U250" s="624"/>
      <c r="V250" s="624"/>
      <c r="W250" s="624"/>
      <c r="X250" s="624"/>
      <c r="Y250" s="624"/>
      <c r="Z250" s="624"/>
      <c r="AA250" s="624"/>
      <c r="AB250" s="71"/>
      <c r="AC250" s="71"/>
      <c r="AD250" s="71"/>
      <c r="AE250" s="71"/>
    </row>
    <row r="251" spans="1:31" ht="26.25" customHeight="1" x14ac:dyDescent="0.2">
      <c r="A251" s="515"/>
      <c r="B251" s="516" t="s">
        <v>1027</v>
      </c>
      <c r="C251" s="517"/>
      <c r="D251" s="517"/>
      <c r="E251" s="518">
        <f t="shared" ref="E251:O251" si="197">SUM(E243:E250)</f>
        <v>0</v>
      </c>
      <c r="F251" s="518">
        <f t="shared" si="197"/>
        <v>215.10463900000002</v>
      </c>
      <c r="G251" s="518">
        <f t="shared" si="197"/>
        <v>237.77631299999999</v>
      </c>
      <c r="H251" s="518">
        <f t="shared" si="197"/>
        <v>290.41149300000006</v>
      </c>
      <c r="I251" s="518">
        <f t="shared" si="197"/>
        <v>352.97402399999999</v>
      </c>
      <c r="J251" s="518">
        <f t="shared" si="197"/>
        <v>377.24368300000003</v>
      </c>
      <c r="K251" s="518">
        <f t="shared" si="197"/>
        <v>442.96951100000001</v>
      </c>
      <c r="L251" s="518">
        <f t="shared" si="197"/>
        <v>554.05636204999996</v>
      </c>
      <c r="M251" s="518">
        <f t="shared" si="197"/>
        <v>508.63369700000004</v>
      </c>
      <c r="N251" s="518">
        <f t="shared" si="197"/>
        <v>516.4529839999999</v>
      </c>
      <c r="O251" s="518">
        <f t="shared" si="197"/>
        <v>0</v>
      </c>
      <c r="P251" s="604"/>
      <c r="Q251" s="608"/>
      <c r="R251" s="608">
        <f t="shared" ref="R251:V251" si="198">SUM(R243:R250)</f>
        <v>1</v>
      </c>
      <c r="S251" s="608">
        <f>SUM(S243:S250)</f>
        <v>1</v>
      </c>
      <c r="T251" s="608">
        <f t="shared" si="198"/>
        <v>0.99999999999999978</v>
      </c>
      <c r="U251" s="608">
        <f t="shared" si="198"/>
        <v>1</v>
      </c>
      <c r="V251" s="608">
        <f t="shared" si="198"/>
        <v>0.99999999999999989</v>
      </c>
      <c r="W251" s="608">
        <f t="shared" ref="W251:AA251" si="199">SUM(W243:W250)</f>
        <v>1</v>
      </c>
      <c r="X251" s="608">
        <f t="shared" si="199"/>
        <v>1</v>
      </c>
      <c r="Y251" s="608">
        <f t="shared" si="199"/>
        <v>0.99999999999999989</v>
      </c>
      <c r="Z251" s="608">
        <f t="shared" si="199"/>
        <v>1</v>
      </c>
      <c r="AA251" s="608" t="e">
        <f t="shared" si="199"/>
        <v>#DIV/0!</v>
      </c>
      <c r="AB251" s="4"/>
      <c r="AC251" s="4"/>
      <c r="AD251" s="4"/>
      <c r="AE251" s="4"/>
    </row>
    <row r="252" spans="1:31" x14ac:dyDescent="0.2">
      <c r="A252" s="4"/>
      <c r="B252" s="4"/>
      <c r="C252" s="4"/>
      <c r="D252" s="4"/>
      <c r="E252" s="33"/>
      <c r="F252" s="33"/>
      <c r="G252" s="33"/>
      <c r="H252" s="33"/>
      <c r="I252" s="33"/>
      <c r="J252" s="226"/>
      <c r="K252" s="235"/>
      <c r="L252" s="235"/>
      <c r="M252" s="235"/>
      <c r="N252" s="235"/>
      <c r="O252" s="235"/>
      <c r="P252" s="33"/>
      <c r="Q252" s="33"/>
      <c r="R252" s="33"/>
      <c r="S252" s="33"/>
      <c r="T252" s="33"/>
      <c r="U252" s="4"/>
      <c r="V252" s="71"/>
      <c r="W252" s="71"/>
      <c r="X252" s="71"/>
      <c r="Y252" s="71"/>
      <c r="Z252" s="71"/>
      <c r="AA252" s="71"/>
    </row>
    <row r="253" spans="1:31" ht="20.25" x14ac:dyDescent="0.3">
      <c r="A253" s="4"/>
      <c r="B253" s="2176" t="s">
        <v>3474</v>
      </c>
      <c r="C253" s="4"/>
      <c r="D253" s="4"/>
      <c r="E253" s="33"/>
      <c r="F253" s="33"/>
      <c r="G253" s="33"/>
      <c r="H253" s="33"/>
      <c r="I253" s="33"/>
      <c r="J253" s="226"/>
      <c r="K253" s="235"/>
      <c r="L253" s="235"/>
      <c r="M253" s="235"/>
      <c r="N253" s="235"/>
      <c r="O253" s="235"/>
      <c r="P253" s="33"/>
      <c r="Q253" s="33"/>
      <c r="R253" s="33"/>
      <c r="S253" s="33"/>
      <c r="T253" s="33"/>
      <c r="U253" s="4"/>
      <c r="V253" s="71"/>
      <c r="W253" s="71"/>
      <c r="X253" s="71"/>
      <c r="Y253" s="71"/>
      <c r="Z253" s="71"/>
      <c r="AA253" s="71"/>
    </row>
    <row r="254" spans="1:31" x14ac:dyDescent="0.2">
      <c r="A254" s="4"/>
      <c r="B254" s="4"/>
      <c r="C254" s="4"/>
      <c r="D254" s="4"/>
      <c r="E254" s="33"/>
      <c r="F254" s="33"/>
      <c r="G254" s="33"/>
      <c r="H254" s="33"/>
      <c r="I254" s="33"/>
      <c r="J254" s="226"/>
      <c r="K254" s="235"/>
      <c r="L254" s="235"/>
      <c r="M254" s="235"/>
      <c r="N254" s="235"/>
      <c r="O254" s="235"/>
      <c r="P254" s="33"/>
      <c r="Q254" s="33"/>
      <c r="R254" s="33"/>
      <c r="S254" s="33"/>
      <c r="T254" s="33"/>
      <c r="U254" s="4"/>
      <c r="V254" s="71"/>
      <c r="W254" s="71"/>
      <c r="X254" s="71"/>
      <c r="Y254" s="71"/>
      <c r="Z254" s="71"/>
      <c r="AA254" s="71"/>
    </row>
    <row r="255" spans="1:31" x14ac:dyDescent="0.2">
      <c r="A255" s="4"/>
      <c r="B255" s="4"/>
      <c r="C255" s="4"/>
      <c r="D255" s="4"/>
      <c r="E255" s="33"/>
      <c r="F255" s="33"/>
      <c r="G255" s="33"/>
      <c r="H255" s="33"/>
      <c r="I255" s="33"/>
      <c r="J255" s="226"/>
      <c r="K255" s="235"/>
      <c r="L255" s="235"/>
      <c r="M255" s="235"/>
      <c r="N255" s="235"/>
      <c r="O255" s="235"/>
      <c r="P255" s="33"/>
      <c r="Q255" s="33"/>
      <c r="R255" s="33"/>
      <c r="S255" s="33"/>
      <c r="T255" s="33"/>
      <c r="U255" s="4"/>
      <c r="V255" s="71"/>
      <c r="W255" s="71"/>
      <c r="X255" s="71"/>
      <c r="Y255" s="71"/>
      <c r="Z255" s="71"/>
      <c r="AA255" s="71"/>
    </row>
    <row r="256" spans="1:31" x14ac:dyDescent="0.2">
      <c r="A256" s="4"/>
      <c r="B256" s="4"/>
      <c r="C256" s="4"/>
      <c r="D256" s="4"/>
      <c r="E256" s="33"/>
      <c r="F256" s="33"/>
      <c r="G256" s="33"/>
      <c r="H256" s="33"/>
      <c r="I256" s="33"/>
      <c r="J256" s="226"/>
      <c r="K256" s="235"/>
      <c r="L256" s="235"/>
      <c r="M256" s="235"/>
      <c r="N256" s="235"/>
      <c r="O256" s="235"/>
      <c r="P256" s="33"/>
      <c r="Q256" s="33"/>
      <c r="R256" s="33"/>
      <c r="S256" s="33"/>
      <c r="T256" s="33"/>
      <c r="U256" s="4"/>
      <c r="V256" s="71"/>
      <c r="W256" s="71"/>
      <c r="X256" s="71"/>
      <c r="Y256" s="71"/>
      <c r="Z256" s="71"/>
      <c r="AA256" s="71"/>
    </row>
    <row r="257" spans="1:27" x14ac:dyDescent="0.2">
      <c r="A257" s="4"/>
      <c r="B257" s="4"/>
      <c r="C257" s="4"/>
      <c r="D257" s="4"/>
      <c r="E257" s="33"/>
      <c r="F257" s="33"/>
      <c r="G257" s="33"/>
      <c r="H257" s="33"/>
      <c r="I257" s="33"/>
      <c r="J257" s="226"/>
      <c r="K257" s="235"/>
      <c r="L257" s="235"/>
      <c r="M257" s="235"/>
      <c r="N257" s="235"/>
      <c r="O257" s="235"/>
      <c r="P257" s="33"/>
      <c r="Q257" s="33"/>
      <c r="R257" s="33"/>
      <c r="S257" s="33"/>
      <c r="T257" s="33"/>
      <c r="U257" s="4"/>
      <c r="V257" s="71"/>
      <c r="W257" s="71"/>
      <c r="X257" s="71"/>
      <c r="Y257" s="71"/>
      <c r="Z257" s="71"/>
      <c r="AA257" s="71"/>
    </row>
    <row r="258" spans="1:27" x14ac:dyDescent="0.2">
      <c r="A258" s="4"/>
      <c r="B258" s="4"/>
      <c r="C258" s="4"/>
      <c r="D258" s="4"/>
      <c r="E258" s="33"/>
      <c r="F258" s="33"/>
      <c r="G258" s="33"/>
      <c r="H258" s="33"/>
      <c r="I258" s="33"/>
      <c r="J258" s="226"/>
      <c r="K258" s="235"/>
      <c r="L258" s="235"/>
      <c r="M258" s="235"/>
      <c r="N258" s="235"/>
      <c r="O258" s="235"/>
      <c r="P258" s="33"/>
      <c r="Q258" s="33"/>
      <c r="R258" s="33"/>
      <c r="S258" s="33"/>
      <c r="T258" s="33"/>
      <c r="U258" s="4"/>
      <c r="V258" s="71"/>
      <c r="W258" s="71"/>
      <c r="X258" s="71"/>
      <c r="Y258" s="71"/>
      <c r="Z258" s="71"/>
      <c r="AA258" s="71"/>
    </row>
    <row r="259" spans="1:27" x14ac:dyDescent="0.2">
      <c r="A259" s="4"/>
      <c r="B259" s="4"/>
      <c r="C259" s="4"/>
      <c r="D259" s="4"/>
      <c r="E259" s="33"/>
      <c r="F259" s="33"/>
      <c r="G259" s="33"/>
      <c r="H259" s="33"/>
      <c r="I259" s="33"/>
      <c r="J259" s="226"/>
      <c r="K259" s="235"/>
      <c r="L259" s="235"/>
      <c r="M259" s="235"/>
      <c r="N259" s="235"/>
      <c r="O259" s="235"/>
      <c r="P259" s="33"/>
      <c r="Q259" s="33"/>
      <c r="R259" s="33"/>
      <c r="S259" s="33"/>
      <c r="T259" s="33"/>
      <c r="U259" s="4"/>
      <c r="V259" s="71"/>
      <c r="W259" s="71"/>
      <c r="X259" s="71"/>
      <c r="Y259" s="71"/>
      <c r="Z259" s="71"/>
      <c r="AA259" s="71"/>
    </row>
    <row r="260" spans="1:27" x14ac:dyDescent="0.2">
      <c r="A260" s="4"/>
      <c r="B260" s="4"/>
      <c r="C260" s="4"/>
      <c r="D260" s="4"/>
      <c r="E260" s="33"/>
      <c r="F260" s="33"/>
      <c r="G260" s="33"/>
      <c r="H260" s="33"/>
      <c r="I260" s="33"/>
      <c r="J260" s="226"/>
      <c r="K260" s="235"/>
      <c r="L260" s="235"/>
      <c r="M260" s="235"/>
      <c r="N260" s="235"/>
      <c r="O260" s="235"/>
      <c r="P260" s="33"/>
      <c r="Q260" s="33"/>
      <c r="R260" s="33"/>
      <c r="S260" s="33"/>
      <c r="T260" s="33"/>
      <c r="U260" s="4"/>
      <c r="V260" s="71"/>
      <c r="W260" s="71"/>
      <c r="X260" s="71"/>
      <c r="Y260" s="71"/>
      <c r="Z260" s="71"/>
      <c r="AA260" s="71"/>
    </row>
    <row r="261" spans="1:27" x14ac:dyDescent="0.2">
      <c r="A261" s="4"/>
      <c r="B261" s="4"/>
      <c r="C261" s="4"/>
      <c r="D261" s="4"/>
      <c r="E261" s="33"/>
      <c r="F261" s="33"/>
      <c r="G261" s="33"/>
      <c r="H261" s="33"/>
      <c r="I261" s="33"/>
      <c r="J261" s="226"/>
      <c r="K261" s="235"/>
      <c r="L261" s="235"/>
      <c r="M261" s="235"/>
      <c r="N261" s="235"/>
      <c r="O261" s="235"/>
      <c r="P261" s="33"/>
      <c r="Q261" s="33"/>
      <c r="R261" s="33"/>
      <c r="S261" s="33"/>
      <c r="T261" s="33"/>
      <c r="U261" s="4"/>
      <c r="V261" s="71"/>
      <c r="W261" s="71"/>
      <c r="X261" s="71"/>
      <c r="Y261" s="71"/>
      <c r="Z261" s="71"/>
      <c r="AA261" s="71"/>
    </row>
    <row r="262" spans="1:27" x14ac:dyDescent="0.2">
      <c r="A262" s="4"/>
      <c r="B262" s="4"/>
      <c r="C262" s="4"/>
      <c r="D262" s="4"/>
      <c r="E262" s="33"/>
      <c r="F262" s="33"/>
      <c r="G262" s="33"/>
      <c r="H262" s="33"/>
      <c r="I262" s="33"/>
      <c r="J262" s="226"/>
      <c r="K262" s="235"/>
      <c r="L262" s="235"/>
      <c r="M262" s="235"/>
      <c r="N262" s="235"/>
      <c r="O262" s="235"/>
      <c r="P262" s="33"/>
      <c r="Q262" s="33"/>
      <c r="R262" s="33"/>
      <c r="S262" s="33"/>
      <c r="T262" s="33"/>
      <c r="U262" s="4"/>
      <c r="V262" s="71"/>
      <c r="W262" s="71"/>
      <c r="X262" s="71"/>
      <c r="Y262" s="71"/>
      <c r="Z262" s="71"/>
      <c r="AA262" s="71"/>
    </row>
    <row r="263" spans="1:27" x14ac:dyDescent="0.2">
      <c r="A263" s="4"/>
      <c r="B263" s="4"/>
      <c r="C263" s="4"/>
      <c r="D263" s="4"/>
      <c r="E263" s="33"/>
      <c r="F263" s="33"/>
      <c r="G263" s="33"/>
      <c r="H263" s="33"/>
      <c r="I263" s="33"/>
      <c r="J263" s="226"/>
      <c r="K263" s="235"/>
      <c r="L263" s="235"/>
      <c r="M263" s="235"/>
      <c r="N263" s="235"/>
      <c r="O263" s="235"/>
      <c r="P263" s="33"/>
      <c r="Q263" s="33"/>
      <c r="R263" s="33"/>
      <c r="S263" s="33"/>
      <c r="T263" s="33"/>
      <c r="U263" s="4"/>
      <c r="V263" s="71"/>
      <c r="W263" s="71"/>
      <c r="X263" s="71"/>
      <c r="Y263" s="71"/>
      <c r="Z263" s="71"/>
      <c r="AA263" s="71"/>
    </row>
    <row r="264" spans="1:27" x14ac:dyDescent="0.2">
      <c r="A264" s="4"/>
      <c r="B264" s="4"/>
      <c r="C264" s="4"/>
      <c r="D264" s="4"/>
      <c r="E264" s="33"/>
      <c r="F264" s="33"/>
      <c r="G264" s="33"/>
      <c r="H264" s="33"/>
      <c r="I264" s="33"/>
      <c r="J264" s="226"/>
      <c r="K264" s="235"/>
      <c r="L264" s="235"/>
      <c r="M264" s="235"/>
      <c r="N264" s="235"/>
      <c r="O264" s="235"/>
      <c r="P264" s="33"/>
      <c r="Q264" s="33"/>
      <c r="R264" s="33"/>
      <c r="S264" s="33"/>
      <c r="T264" s="33"/>
      <c r="U264" s="4"/>
      <c r="V264" s="71"/>
      <c r="W264" s="71"/>
      <c r="X264" s="71"/>
      <c r="Y264" s="71"/>
      <c r="Z264" s="71"/>
      <c r="AA264" s="71"/>
    </row>
    <row r="265" spans="1:27" x14ac:dyDescent="0.2">
      <c r="A265" s="4"/>
      <c r="B265" s="4"/>
      <c r="C265" s="4"/>
      <c r="D265" s="4"/>
      <c r="E265" s="33"/>
      <c r="F265" s="33"/>
      <c r="G265" s="33"/>
      <c r="H265" s="33"/>
      <c r="I265" s="33"/>
      <c r="J265" s="226"/>
      <c r="K265" s="235"/>
      <c r="L265" s="235"/>
      <c r="M265" s="235"/>
      <c r="N265" s="235"/>
      <c r="O265" s="235"/>
      <c r="P265" s="33"/>
      <c r="Q265" s="33"/>
      <c r="R265" s="33"/>
      <c r="S265" s="33"/>
      <c r="T265" s="33"/>
      <c r="U265" s="4"/>
      <c r="V265" s="71"/>
      <c r="W265" s="71"/>
      <c r="X265" s="71"/>
      <c r="Y265" s="71"/>
      <c r="Z265" s="71"/>
      <c r="AA265" s="71"/>
    </row>
    <row r="266" spans="1:27" x14ac:dyDescent="0.2">
      <c r="A266" s="4"/>
      <c r="B266" s="4"/>
      <c r="C266" s="4"/>
      <c r="D266" s="4"/>
      <c r="E266" s="33"/>
      <c r="F266" s="33"/>
      <c r="G266" s="33"/>
      <c r="H266" s="33"/>
      <c r="I266" s="33"/>
      <c r="J266" s="226"/>
      <c r="K266" s="235"/>
      <c r="L266" s="235"/>
      <c r="M266" s="235"/>
      <c r="N266" s="235"/>
      <c r="O266" s="235"/>
      <c r="P266" s="33"/>
      <c r="Q266" s="33"/>
      <c r="R266" s="33"/>
      <c r="S266" s="33"/>
      <c r="T266" s="33"/>
      <c r="U266" s="4"/>
      <c r="V266" s="71"/>
      <c r="W266" s="71"/>
      <c r="X266" s="71"/>
      <c r="Y266" s="71"/>
      <c r="Z266" s="71"/>
      <c r="AA266" s="71"/>
    </row>
    <row r="267" spans="1:27" x14ac:dyDescent="0.2">
      <c r="A267" s="4"/>
      <c r="B267" s="4"/>
      <c r="C267" s="4"/>
      <c r="D267" s="4"/>
      <c r="E267" s="33"/>
      <c r="F267" s="33"/>
      <c r="G267" s="33"/>
      <c r="H267" s="33"/>
      <c r="I267" s="33"/>
      <c r="J267" s="226"/>
      <c r="K267" s="235"/>
      <c r="L267" s="235"/>
      <c r="M267" s="235"/>
      <c r="N267" s="235"/>
      <c r="O267" s="235"/>
      <c r="P267" s="33"/>
      <c r="Q267" s="33"/>
      <c r="R267" s="33"/>
      <c r="S267" s="33"/>
      <c r="T267" s="33"/>
      <c r="U267" s="4"/>
      <c r="V267" s="71"/>
      <c r="W267" s="71"/>
      <c r="X267" s="71"/>
      <c r="Y267" s="71"/>
      <c r="Z267" s="71"/>
      <c r="AA267" s="71"/>
    </row>
    <row r="268" spans="1:27" x14ac:dyDescent="0.2">
      <c r="A268" s="4"/>
      <c r="B268" s="4"/>
      <c r="C268" s="4"/>
      <c r="D268" s="4"/>
      <c r="E268" s="33"/>
      <c r="F268" s="33"/>
      <c r="G268" s="33"/>
      <c r="H268" s="33"/>
      <c r="I268" s="33"/>
      <c r="J268" s="226"/>
      <c r="K268" s="235"/>
      <c r="L268" s="235"/>
      <c r="M268" s="235"/>
      <c r="N268" s="235"/>
      <c r="O268" s="235"/>
      <c r="P268" s="33"/>
      <c r="Q268" s="33"/>
      <c r="R268" s="33"/>
      <c r="S268" s="33"/>
      <c r="T268" s="33"/>
      <c r="U268" s="4"/>
      <c r="V268" s="71"/>
      <c r="W268" s="71"/>
      <c r="X268" s="71"/>
      <c r="Y268" s="71"/>
      <c r="Z268" s="71"/>
      <c r="AA268" s="71"/>
    </row>
    <row r="269" spans="1:27" x14ac:dyDescent="0.2">
      <c r="A269" s="4"/>
      <c r="B269" s="4"/>
      <c r="C269" s="4"/>
      <c r="D269" s="4"/>
      <c r="E269" s="33"/>
      <c r="F269" s="33"/>
      <c r="G269" s="33"/>
      <c r="H269" s="33"/>
      <c r="I269" s="33"/>
      <c r="J269" s="226"/>
      <c r="K269" s="235"/>
      <c r="L269" s="235"/>
      <c r="M269" s="235"/>
      <c r="N269" s="235"/>
      <c r="O269" s="235"/>
      <c r="P269" s="33"/>
      <c r="Q269" s="33"/>
      <c r="R269" s="33"/>
      <c r="S269" s="33"/>
      <c r="T269" s="33"/>
      <c r="U269" s="4"/>
      <c r="V269" s="71"/>
      <c r="W269" s="71"/>
      <c r="X269" s="71"/>
      <c r="Y269" s="71"/>
      <c r="Z269" s="71"/>
      <c r="AA269" s="71"/>
    </row>
    <row r="270" spans="1:27" x14ac:dyDescent="0.2">
      <c r="A270" s="4"/>
      <c r="B270" s="4"/>
      <c r="C270" s="4"/>
      <c r="D270" s="4"/>
      <c r="E270" s="33"/>
      <c r="F270" s="33"/>
      <c r="G270" s="33"/>
      <c r="H270" s="33"/>
      <c r="I270" s="33"/>
      <c r="J270" s="226"/>
      <c r="K270" s="235"/>
      <c r="L270" s="235"/>
      <c r="M270" s="235"/>
      <c r="N270" s="235"/>
      <c r="O270" s="235"/>
      <c r="P270" s="33"/>
      <c r="Q270" s="33"/>
      <c r="R270" s="33"/>
      <c r="S270" s="33"/>
      <c r="T270" s="33"/>
      <c r="U270" s="4"/>
      <c r="V270" s="71"/>
      <c r="W270" s="71"/>
      <c r="X270" s="71"/>
      <c r="Y270" s="71"/>
      <c r="Z270" s="71"/>
      <c r="AA270" s="71"/>
    </row>
    <row r="271" spans="1:27" x14ac:dyDescent="0.2">
      <c r="A271" s="4"/>
      <c r="B271" s="4"/>
      <c r="C271" s="4"/>
      <c r="D271" s="4"/>
      <c r="E271" s="33"/>
      <c r="F271" s="33"/>
      <c r="G271" s="33"/>
      <c r="H271" s="33"/>
      <c r="I271" s="33"/>
      <c r="J271" s="226"/>
      <c r="K271" s="235"/>
      <c r="L271" s="235"/>
      <c r="M271" s="235"/>
      <c r="N271" s="235"/>
      <c r="O271" s="235"/>
      <c r="P271" s="33"/>
      <c r="Q271" s="33"/>
      <c r="R271" s="33"/>
      <c r="S271" s="33"/>
      <c r="T271" s="33"/>
      <c r="U271" s="4"/>
      <c r="V271" s="71"/>
      <c r="W271" s="71"/>
      <c r="X271" s="71"/>
      <c r="Y271" s="71"/>
      <c r="Z271" s="71"/>
      <c r="AA271" s="71"/>
    </row>
    <row r="272" spans="1:27" x14ac:dyDescent="0.2">
      <c r="A272" s="4"/>
      <c r="B272" s="4"/>
      <c r="C272" s="4"/>
      <c r="D272" s="4"/>
      <c r="E272" s="33"/>
      <c r="F272" s="33"/>
      <c r="G272" s="33"/>
      <c r="H272" s="33"/>
      <c r="I272" s="33"/>
      <c r="J272" s="226"/>
      <c r="K272" s="235"/>
      <c r="L272" s="235"/>
      <c r="M272" s="235"/>
      <c r="N272" s="235"/>
      <c r="O272" s="235"/>
      <c r="P272" s="33"/>
      <c r="Q272" s="33"/>
      <c r="R272" s="33"/>
      <c r="S272" s="33"/>
      <c r="T272" s="33"/>
      <c r="U272" s="4"/>
      <c r="V272" s="71"/>
      <c r="W272" s="71"/>
      <c r="X272" s="71"/>
      <c r="Y272" s="71"/>
      <c r="Z272" s="71"/>
      <c r="AA272" s="71"/>
    </row>
    <row r="273" spans="1:27" x14ac:dyDescent="0.2">
      <c r="A273" s="4"/>
      <c r="B273" s="4"/>
      <c r="C273" s="4"/>
      <c r="D273" s="4"/>
      <c r="E273" s="33"/>
      <c r="F273" s="33"/>
      <c r="G273" s="33"/>
      <c r="H273" s="33"/>
      <c r="I273" s="33"/>
      <c r="J273" s="226"/>
      <c r="K273" s="235"/>
      <c r="L273" s="235"/>
      <c r="M273" s="235"/>
      <c r="N273" s="235"/>
      <c r="O273" s="235"/>
      <c r="P273" s="33"/>
      <c r="Q273" s="33"/>
      <c r="R273" s="33"/>
      <c r="S273" s="33"/>
      <c r="T273" s="33"/>
      <c r="U273" s="4"/>
      <c r="V273" s="71"/>
      <c r="W273" s="71"/>
      <c r="X273" s="71"/>
      <c r="Y273" s="71"/>
      <c r="Z273" s="71"/>
      <c r="AA273" s="71"/>
    </row>
    <row r="274" spans="1:27" x14ac:dyDescent="0.2">
      <c r="A274" s="4"/>
      <c r="B274" s="4"/>
      <c r="C274" s="4"/>
      <c r="D274" s="4"/>
      <c r="E274" s="33"/>
      <c r="F274" s="33"/>
      <c r="G274" s="33"/>
      <c r="H274" s="33"/>
      <c r="I274" s="33"/>
      <c r="J274" s="226"/>
      <c r="K274" s="235"/>
      <c r="L274" s="235"/>
      <c r="M274" s="235"/>
      <c r="N274" s="235"/>
      <c r="O274" s="235"/>
      <c r="P274" s="33"/>
      <c r="Q274" s="33"/>
      <c r="R274" s="33"/>
      <c r="S274" s="33"/>
      <c r="T274" s="33"/>
      <c r="U274" s="4"/>
      <c r="V274" s="71"/>
      <c r="W274" s="71"/>
      <c r="X274" s="71"/>
      <c r="Y274" s="71"/>
      <c r="Z274" s="71"/>
      <c r="AA274" s="71"/>
    </row>
    <row r="275" spans="1:27" x14ac:dyDescent="0.2">
      <c r="A275" s="4"/>
      <c r="B275" s="4"/>
      <c r="C275" s="4"/>
      <c r="D275" s="4"/>
      <c r="E275" s="33"/>
      <c r="F275" s="33"/>
      <c r="G275" s="33"/>
      <c r="H275" s="33"/>
      <c r="I275" s="33"/>
      <c r="J275" s="226"/>
      <c r="K275" s="235"/>
      <c r="L275" s="235"/>
      <c r="M275" s="235"/>
      <c r="N275" s="235"/>
      <c r="O275" s="235"/>
      <c r="P275" s="33"/>
      <c r="Q275" s="33"/>
      <c r="R275" s="33"/>
      <c r="S275" s="33"/>
      <c r="T275" s="33"/>
      <c r="U275" s="4"/>
      <c r="V275" s="71"/>
      <c r="W275" s="71"/>
      <c r="X275" s="71"/>
      <c r="Y275" s="71"/>
      <c r="Z275" s="71"/>
      <c r="AA275" s="71"/>
    </row>
    <row r="276" spans="1:27" x14ac:dyDescent="0.2">
      <c r="A276" s="4"/>
      <c r="B276" s="4"/>
      <c r="C276" s="4"/>
      <c r="D276" s="4"/>
      <c r="E276" s="33"/>
      <c r="F276" s="33"/>
      <c r="G276" s="33"/>
      <c r="H276" s="33"/>
      <c r="I276" s="33"/>
      <c r="J276" s="226"/>
      <c r="K276" s="235"/>
      <c r="L276" s="235"/>
      <c r="M276" s="235"/>
      <c r="N276" s="235"/>
      <c r="O276" s="235"/>
      <c r="P276" s="33"/>
      <c r="Q276" s="33"/>
      <c r="R276" s="33"/>
      <c r="S276" s="33"/>
      <c r="T276" s="33"/>
      <c r="U276" s="4"/>
      <c r="V276" s="71"/>
      <c r="W276" s="71"/>
      <c r="X276" s="71"/>
      <c r="Y276" s="71"/>
      <c r="Z276" s="71"/>
      <c r="AA276" s="71"/>
    </row>
    <row r="277" spans="1:27" x14ac:dyDescent="0.2">
      <c r="A277" s="4"/>
      <c r="B277" s="4"/>
      <c r="C277" s="4"/>
      <c r="D277" s="4"/>
      <c r="E277" s="33"/>
      <c r="F277" s="33"/>
      <c r="G277" s="33"/>
      <c r="H277" s="33"/>
      <c r="I277" s="33"/>
      <c r="J277" s="226"/>
      <c r="K277" s="235"/>
      <c r="L277" s="235"/>
      <c r="M277" s="235"/>
      <c r="N277" s="235"/>
      <c r="O277" s="235"/>
      <c r="P277" s="33"/>
      <c r="Q277" s="33"/>
      <c r="R277" s="33"/>
      <c r="S277" s="33"/>
      <c r="T277" s="33"/>
      <c r="U277" s="4"/>
      <c r="V277" s="71"/>
      <c r="W277" s="71"/>
      <c r="X277" s="71"/>
      <c r="Y277" s="71"/>
      <c r="Z277" s="71"/>
      <c r="AA277" s="71"/>
    </row>
    <row r="278" spans="1:27" x14ac:dyDescent="0.2">
      <c r="A278" s="4"/>
      <c r="B278" s="4"/>
      <c r="C278" s="4"/>
      <c r="D278" s="4"/>
      <c r="E278" s="33"/>
      <c r="F278" s="33"/>
      <c r="G278" s="33"/>
      <c r="H278" s="33"/>
      <c r="I278" s="33"/>
      <c r="J278" s="226"/>
      <c r="K278" s="235"/>
      <c r="L278" s="235"/>
      <c r="M278" s="235"/>
      <c r="N278" s="235"/>
      <c r="O278" s="235"/>
      <c r="P278" s="33"/>
      <c r="Q278" s="33"/>
      <c r="R278" s="33"/>
      <c r="S278" s="33"/>
      <c r="T278" s="33"/>
      <c r="U278" s="4"/>
      <c r="V278" s="71"/>
      <c r="W278" s="71"/>
      <c r="X278" s="71"/>
      <c r="Y278" s="71"/>
      <c r="Z278" s="71"/>
      <c r="AA278" s="71"/>
    </row>
    <row r="279" spans="1:27" x14ac:dyDescent="0.2">
      <c r="A279" s="4"/>
      <c r="B279" s="4"/>
      <c r="C279" s="4"/>
      <c r="D279" s="4"/>
      <c r="E279" s="33"/>
      <c r="F279" s="33"/>
      <c r="G279" s="33"/>
      <c r="H279" s="33"/>
      <c r="I279" s="33"/>
      <c r="J279" s="226"/>
      <c r="K279" s="235"/>
      <c r="L279" s="235"/>
      <c r="M279" s="235"/>
      <c r="N279" s="235"/>
      <c r="O279" s="235"/>
      <c r="P279" s="33"/>
      <c r="Q279" s="33"/>
      <c r="R279" s="33"/>
      <c r="S279" s="33"/>
      <c r="T279" s="33"/>
      <c r="U279" s="4"/>
      <c r="V279" s="71"/>
      <c r="W279" s="71"/>
      <c r="X279" s="71"/>
      <c r="Y279" s="71"/>
      <c r="Z279" s="71"/>
      <c r="AA279" s="71"/>
    </row>
    <row r="280" spans="1:27" x14ac:dyDescent="0.2">
      <c r="A280" s="4"/>
      <c r="B280" s="4"/>
      <c r="C280" s="4"/>
      <c r="D280" s="4"/>
      <c r="E280" s="33"/>
      <c r="F280" s="33"/>
      <c r="G280" s="33"/>
      <c r="H280" s="33"/>
      <c r="I280" s="33"/>
      <c r="J280" s="226"/>
      <c r="K280" s="235"/>
      <c r="L280" s="235"/>
      <c r="M280" s="235"/>
      <c r="N280" s="235"/>
      <c r="O280" s="235"/>
      <c r="P280" s="33"/>
      <c r="Q280" s="33"/>
      <c r="R280" s="33"/>
      <c r="S280" s="33"/>
      <c r="T280" s="33"/>
      <c r="U280" s="4"/>
      <c r="V280" s="71"/>
      <c r="W280" s="71"/>
      <c r="X280" s="71"/>
      <c r="Y280" s="71"/>
      <c r="Z280" s="71"/>
      <c r="AA280" s="71"/>
    </row>
    <row r="281" spans="1:27" x14ac:dyDescent="0.2">
      <c r="A281" s="4"/>
      <c r="B281" s="4"/>
      <c r="C281" s="4"/>
      <c r="D281" s="4"/>
      <c r="E281" s="33"/>
      <c r="F281" s="33"/>
      <c r="G281" s="33"/>
      <c r="H281" s="33"/>
      <c r="I281" s="33"/>
      <c r="J281" s="226"/>
      <c r="K281" s="235"/>
      <c r="L281" s="235"/>
      <c r="M281" s="235"/>
      <c r="N281" s="235"/>
      <c r="O281" s="235"/>
      <c r="P281" s="33"/>
      <c r="Q281" s="33"/>
      <c r="R281" s="33"/>
      <c r="S281" s="33"/>
      <c r="T281" s="33"/>
      <c r="U281" s="4"/>
      <c r="V281" s="71"/>
      <c r="W281" s="71"/>
      <c r="X281" s="71"/>
      <c r="Y281" s="71"/>
      <c r="Z281" s="71"/>
      <c r="AA281" s="71"/>
    </row>
    <row r="282" spans="1:27" x14ac:dyDescent="0.2">
      <c r="A282" s="4"/>
      <c r="B282" s="4"/>
      <c r="C282" s="4"/>
      <c r="D282" s="4"/>
      <c r="E282" s="33"/>
      <c r="F282" s="33"/>
      <c r="G282" s="33"/>
      <c r="H282" s="33"/>
      <c r="I282" s="33"/>
      <c r="J282" s="226"/>
      <c r="K282" s="235"/>
      <c r="L282" s="235"/>
      <c r="M282" s="235"/>
      <c r="N282" s="235"/>
      <c r="O282" s="235"/>
      <c r="P282" s="33"/>
      <c r="Q282" s="33"/>
      <c r="R282" s="33"/>
      <c r="S282" s="33"/>
      <c r="T282" s="33"/>
      <c r="U282" s="4"/>
      <c r="V282" s="71"/>
      <c r="W282" s="71"/>
      <c r="X282" s="71"/>
      <c r="Y282" s="71"/>
      <c r="Z282" s="71"/>
      <c r="AA282" s="71"/>
    </row>
    <row r="283" spans="1:27" x14ac:dyDescent="0.2">
      <c r="A283" s="4"/>
      <c r="B283" s="4"/>
      <c r="C283" s="4"/>
      <c r="D283" s="4"/>
      <c r="E283" s="33"/>
      <c r="F283" s="33"/>
      <c r="G283" s="33"/>
      <c r="H283" s="33"/>
      <c r="I283" s="33"/>
      <c r="J283" s="226"/>
      <c r="K283" s="235"/>
      <c r="L283" s="235"/>
      <c r="M283" s="235"/>
      <c r="N283" s="235"/>
      <c r="O283" s="235"/>
      <c r="P283" s="33"/>
      <c r="Q283" s="33"/>
      <c r="R283" s="33"/>
      <c r="S283" s="33"/>
      <c r="T283" s="33"/>
      <c r="U283" s="4"/>
      <c r="V283" s="71"/>
      <c r="W283" s="71"/>
      <c r="X283" s="71"/>
      <c r="Y283" s="71"/>
      <c r="Z283" s="71"/>
      <c r="AA283" s="71"/>
    </row>
    <row r="284" spans="1:27" x14ac:dyDescent="0.2">
      <c r="A284" s="4"/>
      <c r="B284" s="4"/>
      <c r="C284" s="4"/>
      <c r="D284" s="4"/>
      <c r="E284" s="33"/>
      <c r="F284" s="33"/>
      <c r="G284" s="33"/>
      <c r="H284" s="33"/>
      <c r="I284" s="33"/>
      <c r="J284" s="226"/>
      <c r="K284" s="235"/>
      <c r="L284" s="235"/>
      <c r="M284" s="235"/>
      <c r="N284" s="235"/>
      <c r="O284" s="235"/>
      <c r="P284" s="33"/>
      <c r="Q284" s="33"/>
      <c r="R284" s="33"/>
      <c r="S284" s="33"/>
      <c r="T284" s="33"/>
      <c r="U284" s="4"/>
      <c r="V284" s="71"/>
      <c r="W284" s="71"/>
      <c r="X284" s="71"/>
      <c r="Y284" s="71"/>
      <c r="Z284" s="71"/>
      <c r="AA284" s="71"/>
    </row>
    <row r="285" spans="1:27" x14ac:dyDescent="0.2">
      <c r="A285" s="4"/>
      <c r="B285" s="4"/>
      <c r="C285" s="4"/>
      <c r="D285" s="4"/>
      <c r="E285" s="33"/>
      <c r="F285" s="33"/>
      <c r="G285" s="33"/>
      <c r="H285" s="33"/>
      <c r="I285" s="33"/>
      <c r="J285" s="226"/>
      <c r="K285" s="235"/>
      <c r="L285" s="235"/>
      <c r="M285" s="235"/>
      <c r="N285" s="235"/>
      <c r="O285" s="235"/>
      <c r="P285" s="33"/>
      <c r="Q285" s="33"/>
      <c r="R285" s="33"/>
      <c r="S285" s="33"/>
      <c r="T285" s="33"/>
      <c r="U285" s="4"/>
      <c r="V285" s="71"/>
      <c r="W285" s="71"/>
      <c r="X285" s="71"/>
      <c r="Y285" s="71"/>
      <c r="Z285" s="71"/>
      <c r="AA285" s="71"/>
    </row>
    <row r="286" spans="1:27" x14ac:dyDescent="0.2">
      <c r="A286" s="4"/>
      <c r="B286" s="4"/>
      <c r="C286" s="4"/>
      <c r="D286" s="4"/>
      <c r="E286" s="33"/>
      <c r="F286" s="33"/>
      <c r="G286" s="33"/>
      <c r="H286" s="33"/>
      <c r="I286" s="33"/>
      <c r="J286" s="226"/>
      <c r="K286" s="235"/>
      <c r="L286" s="235"/>
      <c r="M286" s="235"/>
      <c r="N286" s="235"/>
      <c r="O286" s="235"/>
      <c r="P286" s="33"/>
      <c r="Q286" s="33"/>
      <c r="R286" s="33"/>
      <c r="S286" s="33"/>
      <c r="T286" s="33"/>
      <c r="U286" s="4"/>
      <c r="V286" s="71"/>
      <c r="W286" s="71"/>
      <c r="X286" s="71"/>
      <c r="Y286" s="71"/>
      <c r="Z286" s="71"/>
      <c r="AA286" s="71"/>
    </row>
    <row r="287" spans="1:27" x14ac:dyDescent="0.2">
      <c r="A287" s="4"/>
      <c r="B287" s="4"/>
      <c r="C287" s="4"/>
      <c r="D287" s="4"/>
      <c r="E287" s="33"/>
      <c r="F287" s="33"/>
      <c r="G287" s="33"/>
      <c r="H287" s="33"/>
      <c r="I287" s="33"/>
      <c r="J287" s="226"/>
      <c r="K287" s="235"/>
      <c r="L287" s="235"/>
      <c r="M287" s="235"/>
      <c r="N287" s="235"/>
      <c r="O287" s="235"/>
      <c r="P287" s="33"/>
      <c r="Q287" s="33"/>
      <c r="R287" s="33"/>
      <c r="S287" s="33"/>
      <c r="T287" s="33"/>
      <c r="U287" s="4"/>
      <c r="V287" s="71"/>
      <c r="W287" s="71"/>
      <c r="X287" s="71"/>
      <c r="Y287" s="71"/>
      <c r="Z287" s="71"/>
      <c r="AA287" s="71"/>
    </row>
    <row r="288" spans="1:27" x14ac:dyDescent="0.2">
      <c r="A288" s="4"/>
      <c r="B288" s="4"/>
      <c r="C288" s="4"/>
      <c r="D288" s="4"/>
      <c r="E288" s="33"/>
      <c r="F288" s="33"/>
      <c r="G288" s="33"/>
      <c r="H288" s="33"/>
      <c r="I288" s="33"/>
      <c r="J288" s="226"/>
      <c r="K288" s="235"/>
      <c r="L288" s="235"/>
      <c r="M288" s="235"/>
      <c r="N288" s="235"/>
      <c r="O288" s="235"/>
      <c r="P288" s="33"/>
      <c r="Q288" s="33"/>
      <c r="R288" s="33"/>
      <c r="S288" s="33"/>
      <c r="T288" s="33"/>
      <c r="U288" s="4"/>
      <c r="V288" s="71"/>
      <c r="W288" s="71"/>
      <c r="X288" s="71"/>
      <c r="Y288" s="71"/>
      <c r="Z288" s="71"/>
      <c r="AA288" s="71"/>
    </row>
    <row r="289" spans="1:27" x14ac:dyDescent="0.2">
      <c r="A289" s="4"/>
      <c r="B289" s="4"/>
      <c r="C289" s="4"/>
      <c r="D289" s="4"/>
      <c r="E289" s="33"/>
      <c r="F289" s="33"/>
      <c r="G289" s="33"/>
      <c r="H289" s="33"/>
      <c r="I289" s="33"/>
      <c r="J289" s="226"/>
      <c r="K289" s="235"/>
      <c r="L289" s="235"/>
      <c r="M289" s="235"/>
      <c r="N289" s="235"/>
      <c r="O289" s="235"/>
      <c r="P289" s="33"/>
      <c r="Q289" s="33"/>
      <c r="R289" s="33"/>
      <c r="S289" s="33"/>
      <c r="T289" s="33"/>
      <c r="U289" s="4"/>
      <c r="V289" s="71"/>
      <c r="W289" s="71"/>
      <c r="X289" s="71"/>
      <c r="Y289" s="71"/>
      <c r="Z289" s="71"/>
      <c r="AA289" s="71"/>
    </row>
    <row r="290" spans="1:27" x14ac:dyDescent="0.2">
      <c r="A290" s="4"/>
      <c r="B290" s="4"/>
      <c r="C290" s="4"/>
      <c r="D290" s="4"/>
      <c r="E290" s="33"/>
      <c r="F290" s="33"/>
      <c r="G290" s="33"/>
      <c r="H290" s="33"/>
      <c r="I290" s="33"/>
      <c r="J290" s="226"/>
      <c r="K290" s="235"/>
      <c r="L290" s="235"/>
      <c r="M290" s="235"/>
      <c r="N290" s="235"/>
      <c r="O290" s="235"/>
      <c r="P290" s="33"/>
      <c r="Q290" s="33"/>
      <c r="R290" s="33"/>
      <c r="S290" s="33"/>
      <c r="T290" s="33"/>
      <c r="U290" s="4"/>
      <c r="V290" s="71"/>
      <c r="W290" s="71"/>
      <c r="X290" s="71"/>
      <c r="Y290" s="71"/>
      <c r="Z290" s="71"/>
      <c r="AA290" s="71"/>
    </row>
    <row r="291" spans="1:27" x14ac:dyDescent="0.2">
      <c r="A291" s="4"/>
      <c r="B291" s="4"/>
      <c r="C291" s="4"/>
      <c r="D291" s="4"/>
      <c r="E291" s="33"/>
      <c r="F291" s="33"/>
      <c r="G291" s="33"/>
      <c r="H291" s="33"/>
      <c r="I291" s="33"/>
      <c r="J291" s="226"/>
      <c r="K291" s="235"/>
      <c r="L291" s="235"/>
      <c r="M291" s="235"/>
      <c r="N291" s="235"/>
      <c r="O291" s="235"/>
      <c r="P291" s="33"/>
      <c r="Q291" s="33"/>
      <c r="R291" s="33"/>
      <c r="S291" s="33"/>
      <c r="T291" s="33"/>
      <c r="U291" s="4"/>
      <c r="V291" s="71"/>
      <c r="W291" s="71"/>
      <c r="X291" s="71"/>
      <c r="Y291" s="71"/>
      <c r="Z291" s="71"/>
      <c r="AA291" s="71"/>
    </row>
    <row r="292" spans="1:27" x14ac:dyDescent="0.2">
      <c r="A292" s="4"/>
      <c r="B292" s="4"/>
      <c r="C292" s="4"/>
      <c r="D292" s="4"/>
      <c r="E292" s="33"/>
      <c r="F292" s="33"/>
      <c r="G292" s="33"/>
      <c r="H292" s="33"/>
      <c r="I292" s="33"/>
      <c r="J292" s="226"/>
      <c r="K292" s="235"/>
      <c r="L292" s="235"/>
      <c r="M292" s="235"/>
      <c r="N292" s="235"/>
      <c r="O292" s="235"/>
      <c r="P292" s="33"/>
      <c r="Q292" s="33"/>
      <c r="R292" s="33"/>
      <c r="S292" s="33"/>
      <c r="T292" s="33"/>
      <c r="U292" s="4"/>
      <c r="V292" s="71"/>
      <c r="W292" s="71"/>
      <c r="X292" s="71"/>
      <c r="Y292" s="71"/>
      <c r="Z292" s="71"/>
      <c r="AA292" s="71"/>
    </row>
    <row r="293" spans="1:27" x14ac:dyDescent="0.2">
      <c r="A293" s="4"/>
      <c r="B293" s="4"/>
      <c r="C293" s="4"/>
      <c r="D293" s="4"/>
      <c r="E293" s="33"/>
      <c r="F293" s="33"/>
      <c r="G293" s="33"/>
      <c r="H293" s="33"/>
      <c r="I293" s="33"/>
      <c r="J293" s="226"/>
      <c r="K293" s="235"/>
      <c r="L293" s="235"/>
      <c r="M293" s="235"/>
      <c r="N293" s="235"/>
      <c r="O293" s="235"/>
      <c r="P293" s="33"/>
      <c r="Q293" s="33"/>
      <c r="R293" s="33"/>
      <c r="S293" s="33"/>
      <c r="T293" s="33"/>
      <c r="U293" s="4"/>
      <c r="V293" s="71"/>
      <c r="W293" s="71"/>
      <c r="X293" s="71"/>
      <c r="Y293" s="71"/>
      <c r="Z293" s="71"/>
      <c r="AA293" s="71"/>
    </row>
    <row r="294" spans="1:27" x14ac:dyDescent="0.2">
      <c r="A294" s="4"/>
      <c r="B294" s="4"/>
      <c r="C294" s="4"/>
      <c r="D294" s="4"/>
      <c r="E294" s="33"/>
      <c r="F294" s="33"/>
      <c r="G294" s="33"/>
      <c r="H294" s="33"/>
      <c r="I294" s="33"/>
      <c r="J294" s="226"/>
      <c r="K294" s="235"/>
      <c r="L294" s="235"/>
      <c r="M294" s="235"/>
      <c r="N294" s="235"/>
      <c r="O294" s="235"/>
      <c r="P294" s="33"/>
      <c r="Q294" s="33"/>
      <c r="R294" s="33"/>
      <c r="S294" s="33"/>
      <c r="T294" s="33"/>
      <c r="U294" s="4"/>
      <c r="V294" s="71"/>
      <c r="W294" s="71"/>
      <c r="X294" s="71"/>
      <c r="Y294" s="71"/>
      <c r="Z294" s="71"/>
      <c r="AA294" s="71"/>
    </row>
    <row r="295" spans="1:27" x14ac:dyDescent="0.2">
      <c r="A295" s="4"/>
      <c r="B295" s="4"/>
      <c r="C295" s="4"/>
      <c r="D295" s="4"/>
      <c r="E295" s="33"/>
      <c r="F295" s="33"/>
      <c r="G295" s="33"/>
      <c r="H295" s="33"/>
      <c r="I295" s="33"/>
      <c r="J295" s="226"/>
      <c r="K295" s="235"/>
      <c r="L295" s="235"/>
      <c r="M295" s="235"/>
      <c r="N295" s="235"/>
      <c r="O295" s="235"/>
      <c r="P295" s="33"/>
      <c r="Q295" s="33"/>
      <c r="R295" s="33"/>
      <c r="S295" s="33"/>
      <c r="T295" s="33"/>
      <c r="U295" s="4"/>
      <c r="V295" s="71"/>
      <c r="W295" s="71"/>
      <c r="X295" s="71"/>
      <c r="Y295" s="71"/>
      <c r="Z295" s="71"/>
      <c r="AA295" s="71"/>
    </row>
    <row r="296" spans="1:27" x14ac:dyDescent="0.2">
      <c r="A296" s="4"/>
      <c r="B296" s="4"/>
      <c r="C296" s="4"/>
      <c r="D296" s="4"/>
      <c r="E296" s="33"/>
      <c r="F296" s="33"/>
      <c r="G296" s="33"/>
      <c r="H296" s="33"/>
      <c r="I296" s="33"/>
      <c r="J296" s="226"/>
      <c r="K296" s="235"/>
      <c r="L296" s="235"/>
      <c r="M296" s="235"/>
      <c r="N296" s="235"/>
      <c r="O296" s="235"/>
      <c r="P296" s="33"/>
      <c r="Q296" s="33"/>
      <c r="R296" s="33"/>
      <c r="S296" s="33"/>
      <c r="T296" s="33"/>
      <c r="U296" s="4"/>
      <c r="V296" s="71"/>
      <c r="W296" s="71"/>
      <c r="X296" s="71"/>
      <c r="Y296" s="71"/>
      <c r="Z296" s="71"/>
      <c r="AA296" s="71"/>
    </row>
    <row r="297" spans="1:27" x14ac:dyDescent="0.2">
      <c r="A297" s="4"/>
      <c r="B297" s="4"/>
      <c r="C297" s="4"/>
      <c r="D297" s="4"/>
      <c r="E297" s="33"/>
      <c r="F297" s="33"/>
      <c r="G297" s="33"/>
      <c r="H297" s="33"/>
      <c r="I297" s="33"/>
      <c r="J297" s="226"/>
      <c r="K297" s="235"/>
      <c r="L297" s="235"/>
      <c r="M297" s="235"/>
      <c r="N297" s="235"/>
      <c r="O297" s="235"/>
      <c r="P297" s="33"/>
      <c r="Q297" s="33"/>
      <c r="R297" s="33"/>
      <c r="S297" s="33"/>
      <c r="T297" s="33"/>
      <c r="U297" s="4"/>
      <c r="V297" s="71"/>
      <c r="W297" s="71"/>
      <c r="X297" s="71"/>
      <c r="Y297" s="71"/>
      <c r="Z297" s="71"/>
      <c r="AA297" s="71"/>
    </row>
    <row r="298" spans="1:27" x14ac:dyDescent="0.2">
      <c r="A298" s="4"/>
      <c r="B298" s="4"/>
      <c r="C298" s="4"/>
      <c r="D298" s="4"/>
      <c r="E298" s="33"/>
      <c r="F298" s="33"/>
      <c r="G298" s="33"/>
      <c r="H298" s="33"/>
      <c r="I298" s="33"/>
      <c r="J298" s="226"/>
      <c r="K298" s="235"/>
      <c r="L298" s="235"/>
      <c r="M298" s="235"/>
      <c r="N298" s="235"/>
      <c r="O298" s="235"/>
      <c r="P298" s="33"/>
      <c r="Q298" s="33"/>
      <c r="R298" s="33"/>
      <c r="S298" s="33"/>
      <c r="T298" s="33"/>
      <c r="U298" s="4"/>
      <c r="V298" s="71"/>
      <c r="W298" s="71"/>
      <c r="X298" s="71"/>
      <c r="Y298" s="71"/>
      <c r="Z298" s="71"/>
      <c r="AA298" s="71"/>
    </row>
    <row r="299" spans="1:27" x14ac:dyDescent="0.2">
      <c r="A299" s="4"/>
      <c r="B299" s="4"/>
      <c r="C299" s="4"/>
      <c r="D299" s="4"/>
      <c r="E299" s="33"/>
      <c r="F299" s="33"/>
      <c r="G299" s="33"/>
      <c r="H299" s="33"/>
      <c r="I299" s="33"/>
      <c r="J299" s="226"/>
      <c r="K299" s="235"/>
      <c r="L299" s="235"/>
      <c r="M299" s="235"/>
      <c r="N299" s="235"/>
      <c r="O299" s="235"/>
      <c r="P299" s="33"/>
      <c r="Q299" s="33"/>
      <c r="R299" s="33"/>
      <c r="S299" s="33"/>
      <c r="T299" s="33"/>
      <c r="U299" s="4"/>
      <c r="V299" s="71"/>
      <c r="W299" s="71"/>
      <c r="X299" s="71"/>
      <c r="Y299" s="71"/>
      <c r="Z299" s="71"/>
      <c r="AA299" s="71"/>
    </row>
    <row r="300" spans="1:27" x14ac:dyDescent="0.2">
      <c r="A300" s="4"/>
      <c r="B300" s="4"/>
      <c r="C300" s="4"/>
      <c r="D300" s="4"/>
      <c r="E300" s="33"/>
      <c r="F300" s="33"/>
      <c r="G300" s="33"/>
      <c r="H300" s="33"/>
      <c r="I300" s="33"/>
      <c r="J300" s="226"/>
      <c r="K300" s="235"/>
      <c r="L300" s="235"/>
      <c r="M300" s="235"/>
      <c r="N300" s="235"/>
      <c r="O300" s="235"/>
      <c r="P300" s="33"/>
      <c r="Q300" s="33"/>
      <c r="R300" s="33"/>
      <c r="S300" s="33"/>
      <c r="T300" s="33"/>
      <c r="U300" s="4"/>
      <c r="V300" s="71"/>
      <c r="W300" s="71"/>
      <c r="X300" s="71"/>
      <c r="Y300" s="71"/>
      <c r="Z300" s="71"/>
      <c r="AA300" s="71"/>
    </row>
    <row r="301" spans="1:27" x14ac:dyDescent="0.2">
      <c r="A301" s="4"/>
      <c r="B301" s="4"/>
      <c r="C301" s="4"/>
      <c r="D301" s="4"/>
      <c r="E301" s="33"/>
      <c r="F301" s="33"/>
      <c r="G301" s="33"/>
      <c r="H301" s="33"/>
      <c r="I301" s="33"/>
      <c r="J301" s="226"/>
      <c r="K301" s="235"/>
      <c r="L301" s="235"/>
      <c r="M301" s="235"/>
      <c r="N301" s="235"/>
      <c r="O301" s="235"/>
      <c r="P301" s="33"/>
      <c r="Q301" s="33"/>
      <c r="R301" s="33"/>
      <c r="S301" s="33"/>
      <c r="T301" s="33"/>
      <c r="U301" s="4"/>
      <c r="V301" s="71"/>
      <c r="W301" s="71"/>
      <c r="X301" s="71"/>
      <c r="Y301" s="71"/>
      <c r="Z301" s="71"/>
      <c r="AA301" s="71"/>
    </row>
    <row r="302" spans="1:27" x14ac:dyDescent="0.2">
      <c r="A302" s="4"/>
      <c r="B302" s="4"/>
      <c r="C302" s="4"/>
      <c r="D302" s="4"/>
      <c r="E302" s="33"/>
      <c r="F302" s="33"/>
      <c r="G302" s="33"/>
      <c r="H302" s="33"/>
      <c r="I302" s="33"/>
      <c r="J302" s="226"/>
      <c r="K302" s="235"/>
      <c r="L302" s="235"/>
      <c r="M302" s="235"/>
      <c r="N302" s="235"/>
      <c r="O302" s="235"/>
      <c r="P302" s="33"/>
      <c r="Q302" s="33"/>
      <c r="R302" s="33"/>
      <c r="S302" s="33"/>
      <c r="T302" s="33"/>
      <c r="U302" s="4"/>
      <c r="V302" s="71"/>
      <c r="W302" s="71"/>
      <c r="X302" s="71"/>
      <c r="Y302" s="71"/>
      <c r="Z302" s="71"/>
      <c r="AA302" s="71"/>
    </row>
    <row r="303" spans="1:27" x14ac:dyDescent="0.2">
      <c r="A303" s="4"/>
      <c r="B303" s="4"/>
      <c r="C303" s="4"/>
      <c r="D303" s="4"/>
      <c r="E303" s="33"/>
      <c r="F303" s="33"/>
      <c r="G303" s="33"/>
      <c r="H303" s="33"/>
      <c r="I303" s="33"/>
      <c r="J303" s="226"/>
      <c r="K303" s="235"/>
      <c r="L303" s="235"/>
      <c r="M303" s="235"/>
      <c r="N303" s="235"/>
      <c r="O303" s="235"/>
      <c r="P303" s="33"/>
      <c r="Q303" s="33"/>
      <c r="R303" s="33"/>
      <c r="S303" s="33"/>
      <c r="T303" s="33"/>
      <c r="U303" s="4"/>
      <c r="V303" s="71"/>
      <c r="W303" s="71"/>
      <c r="X303" s="71"/>
      <c r="Y303" s="71"/>
      <c r="Z303" s="71"/>
      <c r="AA303" s="71"/>
    </row>
    <row r="304" spans="1:27" x14ac:dyDescent="0.2">
      <c r="A304" s="4"/>
      <c r="B304" s="4"/>
      <c r="C304" s="4"/>
      <c r="D304" s="4"/>
      <c r="E304" s="33"/>
      <c r="F304" s="33"/>
      <c r="G304" s="33"/>
      <c r="H304" s="33"/>
      <c r="I304" s="33"/>
      <c r="J304" s="226"/>
      <c r="K304" s="235"/>
      <c r="L304" s="235"/>
      <c r="M304" s="235"/>
      <c r="N304" s="235"/>
      <c r="O304" s="235"/>
      <c r="P304" s="33"/>
      <c r="Q304" s="33"/>
      <c r="R304" s="33"/>
      <c r="S304" s="33"/>
      <c r="T304" s="33"/>
      <c r="U304" s="4"/>
      <c r="V304" s="71"/>
      <c r="W304" s="71"/>
      <c r="X304" s="71"/>
      <c r="Y304" s="71"/>
      <c r="Z304" s="71"/>
      <c r="AA304" s="71"/>
    </row>
    <row r="305" spans="1:27" x14ac:dyDescent="0.2">
      <c r="A305" s="4"/>
      <c r="B305" s="4"/>
      <c r="C305" s="4"/>
      <c r="D305" s="4"/>
      <c r="E305" s="33"/>
      <c r="F305" s="33"/>
      <c r="G305" s="33"/>
      <c r="H305" s="33"/>
      <c r="I305" s="33"/>
      <c r="J305" s="226"/>
      <c r="K305" s="235"/>
      <c r="L305" s="235"/>
      <c r="M305" s="235"/>
      <c r="N305" s="235"/>
      <c r="O305" s="235"/>
      <c r="P305" s="33"/>
      <c r="Q305" s="33"/>
      <c r="R305" s="33"/>
      <c r="S305" s="33"/>
      <c r="T305" s="33"/>
      <c r="U305" s="4"/>
      <c r="V305" s="71"/>
      <c r="W305" s="71"/>
      <c r="X305" s="71"/>
      <c r="Y305" s="71"/>
      <c r="Z305" s="71"/>
      <c r="AA305" s="71"/>
    </row>
    <row r="306" spans="1:27" x14ac:dyDescent="0.2">
      <c r="A306" s="4"/>
      <c r="B306" s="4"/>
      <c r="C306" s="4"/>
      <c r="D306" s="4"/>
      <c r="E306" s="33"/>
      <c r="F306" s="33"/>
      <c r="G306" s="33"/>
      <c r="H306" s="33"/>
      <c r="I306" s="33"/>
      <c r="J306" s="226"/>
      <c r="K306" s="235"/>
      <c r="L306" s="235"/>
      <c r="M306" s="235"/>
      <c r="N306" s="235"/>
      <c r="O306" s="235"/>
      <c r="P306" s="33"/>
      <c r="Q306" s="33"/>
      <c r="R306" s="33"/>
      <c r="S306" s="33"/>
      <c r="T306" s="33"/>
      <c r="U306" s="4"/>
      <c r="V306" s="71"/>
      <c r="W306" s="71"/>
      <c r="X306" s="71"/>
      <c r="Y306" s="71"/>
      <c r="Z306" s="71"/>
      <c r="AA306" s="71"/>
    </row>
    <row r="307" spans="1:27" x14ac:dyDescent="0.2">
      <c r="A307" s="4"/>
      <c r="B307" s="4"/>
      <c r="C307" s="4"/>
      <c r="D307" s="4"/>
      <c r="E307" s="33"/>
      <c r="F307" s="33"/>
      <c r="G307" s="33"/>
      <c r="H307" s="33"/>
      <c r="I307" s="33"/>
      <c r="J307" s="226"/>
      <c r="K307" s="235"/>
      <c r="L307" s="235"/>
      <c r="M307" s="235"/>
      <c r="N307" s="235"/>
      <c r="O307" s="235"/>
      <c r="P307" s="33"/>
      <c r="Q307" s="33"/>
      <c r="R307" s="33"/>
      <c r="S307" s="33"/>
      <c r="T307" s="33"/>
      <c r="U307" s="4"/>
      <c r="V307" s="71"/>
      <c r="W307" s="71"/>
      <c r="X307" s="71"/>
      <c r="Y307" s="71"/>
      <c r="Z307" s="71"/>
      <c r="AA307" s="71"/>
    </row>
    <row r="308" spans="1:27" x14ac:dyDescent="0.2">
      <c r="A308" s="4"/>
      <c r="B308" s="4"/>
      <c r="C308" s="4"/>
      <c r="D308" s="4"/>
      <c r="E308" s="33"/>
      <c r="F308" s="33"/>
      <c r="G308" s="33"/>
      <c r="H308" s="33"/>
      <c r="I308" s="33"/>
      <c r="J308" s="226"/>
      <c r="K308" s="235"/>
      <c r="L308" s="235"/>
      <c r="M308" s="235"/>
      <c r="N308" s="235"/>
      <c r="O308" s="235"/>
      <c r="P308" s="33"/>
      <c r="Q308" s="33"/>
      <c r="R308" s="33"/>
      <c r="S308" s="33"/>
      <c r="T308" s="33"/>
      <c r="U308" s="4"/>
      <c r="V308" s="71"/>
      <c r="W308" s="71"/>
      <c r="X308" s="71"/>
      <c r="Y308" s="71"/>
      <c r="Z308" s="71"/>
      <c r="AA308" s="71"/>
    </row>
    <row r="309" spans="1:27" x14ac:dyDescent="0.2">
      <c r="A309" s="4"/>
      <c r="B309" s="4"/>
      <c r="C309" s="4"/>
      <c r="D309" s="4"/>
      <c r="E309" s="33"/>
      <c r="F309" s="33"/>
      <c r="G309" s="33"/>
      <c r="H309" s="33"/>
      <c r="I309" s="33"/>
      <c r="J309" s="226"/>
      <c r="K309" s="235"/>
      <c r="L309" s="235"/>
      <c r="M309" s="235"/>
      <c r="N309" s="235"/>
      <c r="O309" s="235"/>
      <c r="P309" s="33"/>
      <c r="Q309" s="33"/>
      <c r="R309" s="33"/>
      <c r="S309" s="33"/>
      <c r="T309" s="33"/>
      <c r="U309" s="4"/>
      <c r="V309" s="71"/>
      <c r="W309" s="71"/>
      <c r="X309" s="71"/>
      <c r="Y309" s="71"/>
      <c r="Z309" s="71"/>
      <c r="AA309" s="71"/>
    </row>
    <row r="310" spans="1:27" x14ac:dyDescent="0.2">
      <c r="A310" s="4"/>
      <c r="B310" s="4"/>
      <c r="C310" s="4"/>
      <c r="D310" s="4"/>
      <c r="E310" s="33"/>
      <c r="F310" s="33"/>
      <c r="G310" s="33"/>
      <c r="H310" s="33"/>
      <c r="I310" s="33"/>
      <c r="J310" s="226"/>
      <c r="K310" s="235"/>
      <c r="L310" s="235"/>
      <c r="M310" s="235"/>
      <c r="N310" s="235"/>
      <c r="O310" s="235"/>
      <c r="P310" s="33"/>
      <c r="Q310" s="33"/>
      <c r="R310" s="33"/>
      <c r="S310" s="33"/>
      <c r="T310" s="33"/>
      <c r="U310" s="4"/>
      <c r="V310" s="71"/>
      <c r="W310" s="71"/>
      <c r="X310" s="71"/>
      <c r="Y310" s="71"/>
      <c r="Z310" s="71"/>
      <c r="AA310" s="71"/>
    </row>
    <row r="311" spans="1:27" x14ac:dyDescent="0.2">
      <c r="A311" s="4"/>
      <c r="B311" s="4"/>
      <c r="C311" s="4"/>
      <c r="D311" s="4"/>
      <c r="E311" s="33"/>
      <c r="F311" s="33"/>
      <c r="G311" s="33"/>
      <c r="H311" s="33"/>
      <c r="I311" s="33"/>
      <c r="J311" s="226"/>
      <c r="K311" s="235"/>
      <c r="L311" s="235"/>
      <c r="M311" s="235"/>
      <c r="N311" s="235"/>
      <c r="O311" s="235"/>
      <c r="P311" s="33"/>
      <c r="Q311" s="33"/>
      <c r="R311" s="33"/>
      <c r="S311" s="33"/>
      <c r="T311" s="33"/>
      <c r="U311" s="4"/>
      <c r="V311" s="71"/>
      <c r="W311" s="71"/>
      <c r="X311" s="71"/>
      <c r="Y311" s="71"/>
      <c r="Z311" s="71"/>
      <c r="AA311" s="71"/>
    </row>
    <row r="312" spans="1:27" x14ac:dyDescent="0.2">
      <c r="A312" s="4"/>
      <c r="B312" s="4"/>
      <c r="C312" s="4"/>
      <c r="D312" s="4"/>
      <c r="E312" s="33"/>
      <c r="F312" s="33"/>
      <c r="G312" s="33"/>
      <c r="H312" s="33"/>
      <c r="I312" s="33"/>
      <c r="J312" s="226"/>
      <c r="K312" s="235"/>
      <c r="L312" s="235"/>
      <c r="M312" s="235"/>
      <c r="N312" s="235"/>
      <c r="O312" s="235"/>
      <c r="P312" s="33"/>
      <c r="Q312" s="33"/>
      <c r="R312" s="33"/>
      <c r="S312" s="33"/>
      <c r="T312" s="33"/>
      <c r="U312" s="4"/>
      <c r="V312" s="71"/>
      <c r="W312" s="71"/>
      <c r="X312" s="71"/>
      <c r="Y312" s="71"/>
      <c r="Z312" s="71"/>
      <c r="AA312" s="71"/>
    </row>
    <row r="313" spans="1:27" x14ac:dyDescent="0.2">
      <c r="A313" s="4"/>
      <c r="B313" s="4"/>
      <c r="C313" s="4"/>
      <c r="D313" s="4"/>
      <c r="E313" s="33"/>
      <c r="F313" s="33"/>
      <c r="G313" s="33"/>
      <c r="H313" s="33"/>
      <c r="I313" s="33"/>
      <c r="J313" s="226"/>
      <c r="K313" s="235"/>
      <c r="L313" s="235"/>
      <c r="M313" s="235"/>
      <c r="N313" s="235"/>
      <c r="O313" s="235"/>
      <c r="P313" s="33"/>
      <c r="Q313" s="33"/>
      <c r="R313" s="33"/>
      <c r="S313" s="33"/>
      <c r="T313" s="33"/>
      <c r="U313" s="4"/>
      <c r="V313" s="71"/>
      <c r="W313" s="71"/>
      <c r="X313" s="71"/>
      <c r="Y313" s="71"/>
      <c r="Z313" s="71"/>
      <c r="AA313" s="71"/>
    </row>
    <row r="314" spans="1:27" ht="15" x14ac:dyDescent="0.2">
      <c r="A314" s="21"/>
      <c r="B314" s="21"/>
      <c r="C314" s="21"/>
      <c r="D314" s="21"/>
      <c r="E314" s="424"/>
      <c r="F314" s="424"/>
      <c r="G314" s="424"/>
      <c r="H314" s="424"/>
      <c r="I314" s="424"/>
      <c r="J314" s="425"/>
      <c r="K314" s="426"/>
      <c r="L314" s="426"/>
      <c r="M314" s="426"/>
      <c r="N314" s="426"/>
      <c r="O314" s="426"/>
      <c r="P314" s="21"/>
      <c r="Q314" s="21"/>
      <c r="R314" s="21"/>
      <c r="S314" s="4"/>
      <c r="T314" s="4"/>
      <c r="U314" s="4"/>
      <c r="V314" s="71"/>
      <c r="W314" s="71"/>
      <c r="X314" s="71"/>
      <c r="Y314" s="71"/>
      <c r="Z314" s="71"/>
      <c r="AA314" s="71"/>
    </row>
    <row r="315" spans="1:27" s="2" customFormat="1" ht="15.75" x14ac:dyDescent="0.25">
      <c r="A315" s="427" t="s">
        <v>92</v>
      </c>
      <c r="B315" s="11" t="s">
        <v>918</v>
      </c>
      <c r="C315" s="11"/>
      <c r="D315" s="11"/>
      <c r="E315" s="428"/>
      <c r="F315" s="428"/>
      <c r="G315" s="428"/>
      <c r="H315" s="428"/>
      <c r="I315" s="428"/>
      <c r="J315" s="429"/>
      <c r="K315" s="430"/>
      <c r="L315" s="430"/>
      <c r="M315" s="430"/>
      <c r="N315" s="430"/>
      <c r="O315" s="430"/>
      <c r="P315" s="11"/>
      <c r="Q315" s="11"/>
      <c r="R315" s="11"/>
      <c r="S315" s="12"/>
      <c r="T315" s="12"/>
      <c r="U315" s="12"/>
      <c r="V315" s="232"/>
      <c r="W315" s="232"/>
      <c r="X315" s="232"/>
      <c r="Y315" s="232"/>
      <c r="Z315" s="232"/>
      <c r="AA315" s="232"/>
    </row>
    <row r="316" spans="1:27" ht="15" x14ac:dyDescent="0.2">
      <c r="A316" s="431"/>
      <c r="B316" s="21" t="s">
        <v>94</v>
      </c>
      <c r="C316" s="21"/>
      <c r="D316" s="21"/>
      <c r="E316" s="424"/>
      <c r="F316" s="424"/>
      <c r="G316" s="424"/>
      <c r="H316" s="424"/>
      <c r="I316" s="424"/>
      <c r="J316" s="425"/>
      <c r="K316" s="426"/>
      <c r="L316" s="426"/>
      <c r="M316" s="426"/>
      <c r="N316" s="426"/>
      <c r="O316" s="426"/>
      <c r="P316" s="21"/>
      <c r="Q316" s="21"/>
      <c r="R316" s="21"/>
      <c r="S316" s="4"/>
      <c r="T316" s="4"/>
      <c r="U316" s="4"/>
      <c r="V316" s="71"/>
      <c r="W316" s="71"/>
      <c r="X316" s="71"/>
      <c r="Y316" s="71"/>
      <c r="Z316" s="71"/>
      <c r="AA316" s="71"/>
    </row>
    <row r="317" spans="1:27" ht="15" x14ac:dyDescent="0.2">
      <c r="A317" s="431"/>
      <c r="B317" s="21" t="s">
        <v>95</v>
      </c>
      <c r="C317" s="21"/>
      <c r="D317" s="21"/>
      <c r="E317" s="424"/>
      <c r="F317" s="424"/>
      <c r="G317" s="424"/>
      <c r="H317" s="424"/>
      <c r="I317" s="424"/>
      <c r="J317" s="425"/>
      <c r="K317" s="426"/>
      <c r="L317" s="426"/>
      <c r="M317" s="426"/>
      <c r="N317" s="426"/>
      <c r="O317" s="426"/>
      <c r="P317" s="21"/>
      <c r="Q317" s="21"/>
      <c r="R317" s="21"/>
      <c r="S317" s="4"/>
      <c r="T317" s="4"/>
      <c r="U317" s="4"/>
      <c r="V317" s="71"/>
      <c r="W317" s="71"/>
      <c r="X317" s="71"/>
      <c r="Y317" s="71"/>
      <c r="Z317" s="71"/>
      <c r="AA317" s="71"/>
    </row>
    <row r="318" spans="1:27" ht="15" x14ac:dyDescent="0.2">
      <c r="A318" s="431"/>
      <c r="B318" s="21"/>
      <c r="C318" s="21"/>
      <c r="D318" s="21"/>
      <c r="E318" s="424"/>
      <c r="F318" s="424"/>
      <c r="G318" s="424"/>
      <c r="H318" s="424"/>
      <c r="I318" s="424"/>
      <c r="J318" s="425"/>
      <c r="K318" s="426"/>
      <c r="L318" s="426"/>
      <c r="M318" s="426"/>
      <c r="N318" s="426"/>
      <c r="O318" s="426"/>
      <c r="P318" s="21"/>
      <c r="Q318" s="21"/>
      <c r="R318" s="21"/>
      <c r="S318" s="4"/>
      <c r="T318" s="4"/>
      <c r="U318" s="4"/>
      <c r="V318" s="71"/>
      <c r="W318" s="71"/>
      <c r="X318" s="71"/>
      <c r="Y318" s="71"/>
      <c r="Z318" s="71"/>
      <c r="AA318" s="71"/>
    </row>
    <row r="319" spans="1:27" ht="15" x14ac:dyDescent="0.2">
      <c r="A319" s="431"/>
      <c r="B319" s="21" t="s">
        <v>74</v>
      </c>
      <c r="C319" s="21" t="s">
        <v>97</v>
      </c>
      <c r="D319" s="21"/>
      <c r="E319" s="424"/>
      <c r="F319" s="424"/>
      <c r="G319" s="424"/>
      <c r="H319" s="424"/>
      <c r="I319" s="424"/>
      <c r="J319" s="425"/>
      <c r="K319" s="426"/>
      <c r="L319" s="426"/>
      <c r="M319" s="426"/>
      <c r="N319" s="426"/>
      <c r="O319" s="426"/>
      <c r="P319" s="21"/>
      <c r="Q319" s="21"/>
      <c r="R319" s="21"/>
      <c r="S319" s="4"/>
      <c r="T319" s="4"/>
      <c r="U319" s="4"/>
      <c r="V319" s="71"/>
      <c r="W319" s="71"/>
      <c r="X319" s="71"/>
      <c r="Y319" s="71"/>
      <c r="Z319" s="71"/>
      <c r="AA319" s="71"/>
    </row>
    <row r="320" spans="1:27" ht="15" x14ac:dyDescent="0.2">
      <c r="A320" s="431"/>
      <c r="B320" s="21" t="s">
        <v>74</v>
      </c>
      <c r="C320" s="21" t="s">
        <v>96</v>
      </c>
      <c r="D320" s="21"/>
      <c r="E320" s="424"/>
      <c r="F320" s="424"/>
      <c r="G320" s="424"/>
      <c r="H320" s="424"/>
      <c r="I320" s="424"/>
      <c r="J320" s="425"/>
      <c r="K320" s="426"/>
      <c r="L320" s="426"/>
      <c r="M320" s="426"/>
      <c r="N320" s="426"/>
      <c r="O320" s="426"/>
      <c r="P320" s="21"/>
      <c r="Q320" s="21"/>
      <c r="R320" s="21"/>
      <c r="S320" s="4"/>
      <c r="T320" s="4"/>
      <c r="U320" s="4"/>
      <c r="V320" s="71"/>
      <c r="W320" s="71"/>
      <c r="X320" s="71"/>
      <c r="Y320" s="71"/>
      <c r="Z320" s="71"/>
      <c r="AA320" s="71"/>
    </row>
    <row r="321" spans="1:27" ht="15" x14ac:dyDescent="0.2">
      <c r="A321" s="431"/>
      <c r="B321" s="21" t="s">
        <v>74</v>
      </c>
      <c r="C321" s="21" t="s">
        <v>98</v>
      </c>
      <c r="D321" s="21"/>
      <c r="E321" s="424"/>
      <c r="F321" s="424"/>
      <c r="G321" s="424"/>
      <c r="H321" s="424"/>
      <c r="I321" s="424"/>
      <c r="J321" s="425"/>
      <c r="K321" s="426"/>
      <c r="L321" s="426"/>
      <c r="M321" s="426"/>
      <c r="N321" s="426"/>
      <c r="O321" s="426"/>
      <c r="P321" s="21"/>
      <c r="Q321" s="21"/>
      <c r="R321" s="21"/>
      <c r="S321" s="4"/>
      <c r="T321" s="4"/>
      <c r="U321" s="4"/>
      <c r="V321" s="71"/>
      <c r="W321" s="71"/>
      <c r="X321" s="71"/>
      <c r="Y321" s="71"/>
      <c r="Z321" s="71"/>
      <c r="AA321" s="71"/>
    </row>
    <row r="322" spans="1:27" ht="15" x14ac:dyDescent="0.2">
      <c r="A322" s="431"/>
      <c r="B322" s="21" t="s">
        <v>74</v>
      </c>
      <c r="C322" s="21" t="s">
        <v>99</v>
      </c>
      <c r="D322" s="21"/>
      <c r="E322" s="424"/>
      <c r="F322" s="424"/>
      <c r="G322" s="424"/>
      <c r="H322" s="424"/>
      <c r="I322" s="424"/>
      <c r="J322" s="425"/>
      <c r="K322" s="426"/>
      <c r="L322" s="426"/>
      <c r="M322" s="426"/>
      <c r="N322" s="426"/>
      <c r="O322" s="426"/>
      <c r="P322" s="21"/>
      <c r="Q322" s="21"/>
      <c r="R322" s="21"/>
      <c r="S322" s="4"/>
      <c r="T322" s="4"/>
      <c r="U322" s="4"/>
      <c r="V322" s="71"/>
      <c r="W322" s="71"/>
      <c r="X322" s="71"/>
      <c r="Y322" s="71"/>
      <c r="Z322" s="71"/>
      <c r="AA322" s="71"/>
    </row>
    <row r="323" spans="1:27" ht="15" x14ac:dyDescent="0.2">
      <c r="A323" s="431"/>
      <c r="B323" s="21" t="s">
        <v>74</v>
      </c>
      <c r="C323" s="21" t="s">
        <v>100</v>
      </c>
      <c r="D323" s="21"/>
      <c r="E323" s="424"/>
      <c r="F323" s="424"/>
      <c r="G323" s="424"/>
      <c r="H323" s="424"/>
      <c r="I323" s="424"/>
      <c r="J323" s="425"/>
      <c r="K323" s="426"/>
      <c r="L323" s="426"/>
      <c r="M323" s="426"/>
      <c r="N323" s="426"/>
      <c r="O323" s="426"/>
      <c r="P323" s="21"/>
      <c r="Q323" s="21"/>
      <c r="R323" s="21"/>
      <c r="S323" s="4"/>
      <c r="T323" s="4"/>
      <c r="U323" s="4"/>
      <c r="V323" s="71"/>
      <c r="W323" s="71"/>
      <c r="X323" s="71"/>
      <c r="Y323" s="71"/>
      <c r="Z323" s="71"/>
      <c r="AA323" s="71"/>
    </row>
    <row r="324" spans="1:27" ht="15" x14ac:dyDescent="0.2">
      <c r="A324" s="431"/>
      <c r="B324" s="432" t="s">
        <v>76</v>
      </c>
      <c r="C324" s="432" t="s">
        <v>101</v>
      </c>
      <c r="D324" s="432"/>
      <c r="E324" s="433"/>
      <c r="F324" s="433"/>
      <c r="G324" s="433"/>
      <c r="H324" s="433"/>
      <c r="I324" s="424"/>
      <c r="J324" s="425"/>
      <c r="K324" s="426"/>
      <c r="L324" s="426"/>
      <c r="M324" s="426"/>
      <c r="N324" s="426"/>
      <c r="O324" s="426"/>
      <c r="P324" s="21"/>
      <c r="Q324" s="21"/>
      <c r="R324" s="21"/>
      <c r="S324" s="4"/>
      <c r="T324" s="4"/>
      <c r="U324" s="4"/>
      <c r="V324" s="71"/>
      <c r="W324" s="71"/>
      <c r="X324" s="71"/>
      <c r="Y324" s="71"/>
      <c r="Z324" s="71"/>
      <c r="AA324" s="71"/>
    </row>
    <row r="325" spans="1:27" ht="15" x14ac:dyDescent="0.2">
      <c r="A325" s="431"/>
      <c r="B325" s="21" t="s">
        <v>76</v>
      </c>
      <c r="C325" s="21" t="s">
        <v>102</v>
      </c>
      <c r="D325" s="21"/>
      <c r="E325" s="424"/>
      <c r="F325" s="424"/>
      <c r="G325" s="424"/>
      <c r="H325" s="424"/>
      <c r="I325" s="424"/>
      <c r="J325" s="425"/>
      <c r="K325" s="426"/>
      <c r="L325" s="426"/>
      <c r="M325" s="426"/>
      <c r="N325" s="426"/>
      <c r="O325" s="426"/>
      <c r="P325" s="21"/>
      <c r="Q325" s="21"/>
      <c r="R325" s="21"/>
      <c r="S325" s="4"/>
      <c r="T325" s="4"/>
      <c r="U325" s="4"/>
      <c r="V325" s="71"/>
      <c r="W325" s="71"/>
      <c r="X325" s="71"/>
      <c r="Y325" s="71"/>
      <c r="Z325" s="71"/>
      <c r="AA325" s="71"/>
    </row>
    <row r="326" spans="1:27" ht="15" x14ac:dyDescent="0.2">
      <c r="A326" s="431"/>
      <c r="B326" s="21" t="s">
        <v>76</v>
      </c>
      <c r="C326" s="21" t="s">
        <v>103</v>
      </c>
      <c r="D326" s="21"/>
      <c r="E326" s="424"/>
      <c r="F326" s="424"/>
      <c r="G326" s="424"/>
      <c r="H326" s="424"/>
      <c r="I326" s="424"/>
      <c r="J326" s="425"/>
      <c r="K326" s="426"/>
      <c r="L326" s="426"/>
      <c r="M326" s="426"/>
      <c r="N326" s="426"/>
      <c r="O326" s="426"/>
      <c r="P326" s="21"/>
      <c r="Q326" s="21"/>
      <c r="R326" s="21"/>
      <c r="S326" s="4"/>
      <c r="T326" s="4"/>
      <c r="U326" s="4"/>
      <c r="V326" s="71"/>
      <c r="W326" s="71"/>
      <c r="X326" s="71"/>
      <c r="Y326" s="71"/>
      <c r="Z326" s="71"/>
      <c r="AA326" s="71"/>
    </row>
    <row r="327" spans="1:27" ht="15" x14ac:dyDescent="0.2">
      <c r="A327" s="431"/>
      <c r="B327" s="21"/>
      <c r="C327" s="21"/>
      <c r="D327" s="21"/>
      <c r="E327" s="424"/>
      <c r="F327" s="424"/>
      <c r="G327" s="424"/>
      <c r="H327" s="424"/>
      <c r="I327" s="424"/>
      <c r="J327" s="425"/>
      <c r="K327" s="426"/>
      <c r="L327" s="426"/>
      <c r="M327" s="426"/>
      <c r="N327" s="426"/>
      <c r="O327" s="426"/>
      <c r="P327" s="21"/>
      <c r="Q327" s="21"/>
      <c r="R327" s="21"/>
      <c r="S327" s="4"/>
      <c r="T327" s="4"/>
      <c r="U327" s="4"/>
      <c r="V327" s="71"/>
      <c r="W327" s="71"/>
      <c r="X327" s="71"/>
      <c r="Y327" s="71"/>
      <c r="Z327" s="71"/>
      <c r="AA327" s="71"/>
    </row>
    <row r="328" spans="1:27" ht="15.75" x14ac:dyDescent="0.25">
      <c r="A328" s="431" t="s">
        <v>93</v>
      </c>
      <c r="B328" s="11" t="s">
        <v>919</v>
      </c>
      <c r="C328" s="21"/>
      <c r="D328" s="21"/>
      <c r="E328" s="424"/>
      <c r="F328" s="424"/>
      <c r="G328" s="424"/>
      <c r="H328" s="424"/>
      <c r="I328" s="424"/>
      <c r="J328" s="425"/>
      <c r="K328" s="426"/>
      <c r="L328" s="426"/>
      <c r="M328" s="426"/>
      <c r="N328" s="426"/>
      <c r="O328" s="426"/>
      <c r="P328" s="21"/>
      <c r="Q328" s="21"/>
      <c r="R328" s="21"/>
      <c r="S328" s="4"/>
      <c r="T328" s="4"/>
      <c r="U328" s="4"/>
      <c r="V328" s="71"/>
      <c r="W328" s="71"/>
      <c r="X328" s="71"/>
      <c r="Y328" s="71"/>
      <c r="Z328" s="71"/>
      <c r="AA328" s="71"/>
    </row>
    <row r="329" spans="1:27" ht="15" x14ac:dyDescent="0.2">
      <c r="A329" s="431"/>
      <c r="B329" s="21"/>
      <c r="C329" s="21"/>
      <c r="D329" s="21"/>
      <c r="E329" s="424"/>
      <c r="F329" s="424"/>
      <c r="G329" s="424"/>
      <c r="H329" s="424"/>
      <c r="I329" s="424"/>
      <c r="J329" s="425"/>
      <c r="K329" s="426"/>
      <c r="L329" s="426"/>
      <c r="M329" s="426"/>
      <c r="N329" s="426"/>
      <c r="O329" s="426"/>
      <c r="P329" s="21"/>
      <c r="Q329" s="21"/>
      <c r="R329" s="21"/>
      <c r="S329" s="4"/>
      <c r="T329" s="4"/>
      <c r="U329" s="4"/>
      <c r="V329" s="71"/>
      <c r="W329" s="71"/>
      <c r="X329" s="71"/>
      <c r="Y329" s="71"/>
      <c r="Z329" s="71"/>
      <c r="AA329" s="71"/>
    </row>
    <row r="330" spans="1:27" ht="15" x14ac:dyDescent="0.2">
      <c r="A330" s="431"/>
      <c r="B330" s="21" t="s">
        <v>74</v>
      </c>
      <c r="C330" s="21" t="s">
        <v>63</v>
      </c>
      <c r="D330" s="21"/>
      <c r="E330" s="424"/>
      <c r="F330" s="424"/>
      <c r="G330" s="424"/>
      <c r="H330" s="424"/>
      <c r="I330" s="424"/>
      <c r="J330" s="425"/>
      <c r="K330" s="426"/>
      <c r="L330" s="426"/>
      <c r="M330" s="426"/>
      <c r="N330" s="426"/>
      <c r="O330" s="426"/>
      <c r="P330" s="21"/>
      <c r="Q330" s="21"/>
      <c r="R330" s="21"/>
      <c r="S330" s="4"/>
      <c r="T330" s="4"/>
      <c r="U330" s="4"/>
      <c r="V330" s="71"/>
      <c r="W330" s="71"/>
      <c r="X330" s="71"/>
      <c r="Y330" s="71"/>
      <c r="Z330" s="71"/>
      <c r="AA330" s="71"/>
    </row>
    <row r="331" spans="1:27" ht="15" x14ac:dyDescent="0.2">
      <c r="A331" s="431"/>
      <c r="B331" s="21" t="s">
        <v>74</v>
      </c>
      <c r="C331" s="21" t="s">
        <v>64</v>
      </c>
      <c r="D331" s="21"/>
      <c r="E331" s="424"/>
      <c r="F331" s="424"/>
      <c r="G331" s="424"/>
      <c r="H331" s="424"/>
      <c r="I331" s="424"/>
      <c r="J331" s="425"/>
      <c r="K331" s="426"/>
      <c r="L331" s="426"/>
      <c r="M331" s="426"/>
      <c r="N331" s="426"/>
      <c r="O331" s="426"/>
      <c r="P331" s="21"/>
      <c r="Q331" s="21"/>
      <c r="R331" s="21"/>
      <c r="S331" s="4"/>
      <c r="T331" s="4"/>
      <c r="U331" s="4"/>
      <c r="V331" s="71"/>
      <c r="W331" s="71"/>
      <c r="X331" s="71"/>
      <c r="Y331" s="71"/>
      <c r="Z331" s="71"/>
      <c r="AA331" s="71"/>
    </row>
    <row r="332" spans="1:27" ht="15" x14ac:dyDescent="0.2">
      <c r="A332" s="431"/>
      <c r="B332" s="21" t="s">
        <v>74</v>
      </c>
      <c r="C332" s="21" t="s">
        <v>65</v>
      </c>
      <c r="D332" s="21"/>
      <c r="E332" s="21"/>
      <c r="F332" s="21"/>
      <c r="G332" s="21"/>
      <c r="H332" s="21"/>
      <c r="I332" s="21"/>
      <c r="J332" s="339"/>
      <c r="K332" s="340"/>
      <c r="L332" s="340"/>
      <c r="M332" s="340"/>
      <c r="N332" s="340"/>
      <c r="O332" s="340"/>
      <c r="P332" s="21"/>
      <c r="Q332" s="21"/>
      <c r="R332" s="21"/>
      <c r="S332" s="4"/>
      <c r="T332" s="4"/>
      <c r="U332" s="4"/>
      <c r="V332" s="71"/>
      <c r="W332" s="71"/>
      <c r="X332" s="71"/>
      <c r="Y332" s="71"/>
      <c r="Z332" s="71"/>
      <c r="AA332" s="71"/>
    </row>
    <row r="333" spans="1:27" ht="15" x14ac:dyDescent="0.2">
      <c r="A333" s="431"/>
      <c r="B333" s="21" t="s">
        <v>74</v>
      </c>
      <c r="C333" s="21" t="s">
        <v>66</v>
      </c>
      <c r="D333" s="21"/>
      <c r="E333" s="21"/>
      <c r="F333" s="21"/>
      <c r="G333" s="21"/>
      <c r="H333" s="21"/>
      <c r="I333" s="21"/>
      <c r="J333" s="339"/>
      <c r="K333" s="340"/>
      <c r="L333" s="340"/>
      <c r="M333" s="340"/>
      <c r="N333" s="340"/>
      <c r="O333" s="340"/>
      <c r="P333" s="21"/>
      <c r="Q333" s="21"/>
      <c r="R333" s="21"/>
      <c r="S333" s="4"/>
      <c r="T333" s="4"/>
      <c r="U333" s="4"/>
      <c r="V333" s="71"/>
      <c r="W333" s="71"/>
      <c r="X333" s="71"/>
      <c r="Y333" s="71"/>
      <c r="Z333" s="71"/>
      <c r="AA333" s="71"/>
    </row>
    <row r="334" spans="1:27" ht="15" x14ac:dyDescent="0.2">
      <c r="A334" s="431"/>
      <c r="B334" s="21" t="s">
        <v>74</v>
      </c>
      <c r="C334" s="21" t="s">
        <v>104</v>
      </c>
      <c r="D334" s="21"/>
      <c r="E334" s="21"/>
      <c r="F334" s="21"/>
      <c r="G334" s="21"/>
      <c r="H334" s="21"/>
      <c r="I334" s="21"/>
      <c r="J334" s="339"/>
      <c r="K334" s="340"/>
      <c r="L334" s="340"/>
      <c r="M334" s="340"/>
      <c r="N334" s="340"/>
      <c r="O334" s="340"/>
      <c r="P334" s="21"/>
      <c r="Q334" s="21"/>
      <c r="R334" s="21"/>
      <c r="S334" s="4"/>
      <c r="T334" s="4"/>
      <c r="U334" s="4"/>
      <c r="V334" s="71"/>
      <c r="W334" s="71"/>
      <c r="X334" s="71"/>
      <c r="Y334" s="71"/>
      <c r="Z334" s="71"/>
      <c r="AA334" s="71"/>
    </row>
    <row r="335" spans="1:27" ht="15" x14ac:dyDescent="0.2">
      <c r="A335" s="21"/>
      <c r="B335" s="21"/>
      <c r="C335" s="21"/>
      <c r="D335" s="21"/>
      <c r="E335" s="422"/>
      <c r="F335" s="422"/>
      <c r="G335" s="422"/>
      <c r="H335" s="422"/>
      <c r="I335" s="422"/>
      <c r="J335" s="434"/>
      <c r="K335" s="423"/>
      <c r="L335" s="423"/>
      <c r="M335" s="423"/>
      <c r="N335" s="423"/>
      <c r="O335" s="423"/>
      <c r="P335" s="422"/>
      <c r="Q335" s="422"/>
      <c r="R335" s="422"/>
      <c r="S335" s="33"/>
      <c r="T335" s="33"/>
      <c r="U335" s="4"/>
      <c r="V335" s="71"/>
      <c r="W335" s="71"/>
      <c r="X335" s="71"/>
      <c r="Y335" s="71"/>
      <c r="Z335" s="71"/>
      <c r="AA335" s="71"/>
    </row>
    <row r="336" spans="1:27" ht="15.75" x14ac:dyDescent="0.25">
      <c r="A336" s="11" t="s">
        <v>107</v>
      </c>
      <c r="B336" s="11" t="s">
        <v>920</v>
      </c>
      <c r="C336" s="21"/>
      <c r="D336" s="21"/>
      <c r="E336" s="21"/>
      <c r="F336" s="21"/>
      <c r="G336" s="21"/>
      <c r="H336" s="21"/>
      <c r="I336" s="21"/>
      <c r="J336" s="339"/>
      <c r="K336" s="340"/>
      <c r="L336" s="340"/>
      <c r="M336" s="340"/>
      <c r="N336" s="340"/>
      <c r="O336" s="340"/>
      <c r="P336" s="21"/>
      <c r="Q336" s="21"/>
      <c r="R336" s="21"/>
      <c r="S336" s="4"/>
      <c r="T336" s="4"/>
      <c r="U336" s="4"/>
      <c r="V336" s="71"/>
      <c r="W336" s="71"/>
      <c r="X336" s="71"/>
      <c r="Y336" s="71"/>
      <c r="Z336" s="71"/>
      <c r="AA336" s="71"/>
    </row>
    <row r="337" spans="1:27" ht="15" x14ac:dyDescent="0.25">
      <c r="A337" s="4"/>
      <c r="B337" s="12" t="s">
        <v>73</v>
      </c>
      <c r="C337" s="4"/>
      <c r="D337" s="4"/>
      <c r="E337" s="4"/>
      <c r="F337" s="4"/>
      <c r="G337" s="4"/>
      <c r="H337" s="4"/>
      <c r="I337" s="4"/>
      <c r="J337" s="38"/>
      <c r="K337" s="71"/>
      <c r="L337" s="71"/>
      <c r="M337" s="71"/>
      <c r="N337" s="71"/>
      <c r="O337" s="71"/>
      <c r="P337" s="4"/>
      <c r="Q337" s="4"/>
      <c r="R337" s="4"/>
      <c r="S337" s="4"/>
      <c r="T337" s="4"/>
      <c r="U337" s="4"/>
      <c r="V337" s="71"/>
      <c r="W337" s="71"/>
      <c r="X337" s="71"/>
      <c r="Y337" s="71"/>
      <c r="Z337" s="71"/>
      <c r="AA337" s="71"/>
    </row>
    <row r="338" spans="1:27" x14ac:dyDescent="0.2">
      <c r="A338" s="4"/>
      <c r="B338" s="4" t="s">
        <v>2</v>
      </c>
      <c r="C338" s="4" t="s">
        <v>105</v>
      </c>
      <c r="D338" s="4"/>
      <c r="E338" s="4"/>
      <c r="F338" s="4"/>
      <c r="G338" s="4"/>
      <c r="H338" s="4"/>
      <c r="I338" s="4"/>
      <c r="J338" s="38"/>
      <c r="K338" s="71"/>
      <c r="L338" s="71"/>
      <c r="M338" s="71"/>
      <c r="N338" s="71"/>
      <c r="O338" s="71"/>
      <c r="P338" s="4"/>
      <c r="Q338" s="4"/>
      <c r="R338" s="4"/>
      <c r="S338" s="4"/>
      <c r="T338" s="4"/>
      <c r="U338" s="4"/>
      <c r="V338" s="71"/>
      <c r="W338" s="71"/>
      <c r="X338" s="71"/>
      <c r="Y338" s="71"/>
      <c r="Z338" s="71"/>
      <c r="AA338" s="71"/>
    </row>
    <row r="339" spans="1:27" x14ac:dyDescent="0.2">
      <c r="A339" s="4"/>
      <c r="B339" s="4"/>
      <c r="C339" s="4"/>
      <c r="D339" s="4"/>
      <c r="E339" s="4"/>
      <c r="F339" s="4"/>
      <c r="G339" s="4"/>
      <c r="H339" s="4"/>
      <c r="I339" s="4"/>
      <c r="J339" s="38"/>
      <c r="K339" s="71"/>
      <c r="L339" s="71"/>
      <c r="M339" s="71"/>
      <c r="N339" s="71"/>
      <c r="O339" s="71"/>
      <c r="P339" s="4"/>
      <c r="Q339" s="4"/>
      <c r="R339" s="4"/>
      <c r="S339" s="4"/>
      <c r="T339" s="4"/>
      <c r="U339" s="4"/>
      <c r="V339" s="71"/>
      <c r="W339" s="71"/>
      <c r="X339" s="71"/>
      <c r="Y339" s="71"/>
      <c r="Z339" s="71"/>
      <c r="AA339" s="71"/>
    </row>
    <row r="340" spans="1:27" ht="15" x14ac:dyDescent="0.25">
      <c r="A340" s="4"/>
      <c r="B340" s="12" t="s">
        <v>106</v>
      </c>
      <c r="C340" s="4"/>
      <c r="D340" s="4"/>
      <c r="E340" s="4"/>
      <c r="F340" s="4"/>
      <c r="G340" s="4"/>
      <c r="H340" s="4"/>
      <c r="I340" s="4"/>
      <c r="J340" s="38"/>
      <c r="K340" s="71"/>
      <c r="L340" s="71"/>
      <c r="M340" s="71"/>
      <c r="N340" s="71"/>
      <c r="O340" s="71"/>
      <c r="P340" s="4"/>
      <c r="Q340" s="4"/>
      <c r="R340" s="4"/>
      <c r="S340" s="4"/>
      <c r="T340" s="4"/>
      <c r="U340" s="4"/>
      <c r="V340" s="71"/>
      <c r="W340" s="71"/>
      <c r="X340" s="71"/>
      <c r="Y340" s="71"/>
      <c r="Z340" s="71"/>
      <c r="AA340" s="71"/>
    </row>
    <row r="341" spans="1:27" x14ac:dyDescent="0.2">
      <c r="A341" s="4"/>
      <c r="B341" s="4" t="s">
        <v>15</v>
      </c>
      <c r="C341" s="4" t="s">
        <v>109</v>
      </c>
      <c r="D341" s="4"/>
      <c r="E341" s="4"/>
      <c r="F341" s="4"/>
      <c r="G341" s="4"/>
      <c r="H341" s="4"/>
      <c r="I341" s="4"/>
      <c r="J341" s="38"/>
      <c r="K341" s="71"/>
      <c r="L341" s="71"/>
      <c r="M341" s="71"/>
      <c r="N341" s="71"/>
      <c r="O341" s="71"/>
      <c r="P341" s="4"/>
      <c r="Q341" s="4"/>
      <c r="R341" s="4"/>
      <c r="S341" s="4"/>
      <c r="T341" s="4"/>
      <c r="U341" s="4"/>
      <c r="V341" s="71"/>
      <c r="W341" s="71"/>
      <c r="X341" s="71"/>
      <c r="Y341" s="71"/>
      <c r="Z341" s="71"/>
      <c r="AA341" s="71"/>
    </row>
    <row r="342" spans="1:27" ht="22.5" customHeight="1" x14ac:dyDescent="0.2">
      <c r="A342" s="4"/>
      <c r="B342" s="4" t="s">
        <v>16</v>
      </c>
      <c r="C342" s="4" t="s">
        <v>108</v>
      </c>
      <c r="D342" s="4"/>
      <c r="E342" s="4"/>
      <c r="F342" s="4"/>
      <c r="G342" s="4"/>
      <c r="H342" s="4"/>
      <c r="I342" s="4"/>
      <c r="J342" s="38"/>
      <c r="K342" s="71"/>
      <c r="L342" s="71"/>
      <c r="M342" s="71"/>
      <c r="N342" s="71"/>
      <c r="O342" s="71"/>
      <c r="P342" s="4"/>
      <c r="Q342" s="4"/>
      <c r="R342" s="4"/>
      <c r="S342" s="4"/>
      <c r="T342" s="4"/>
      <c r="U342" s="4"/>
      <c r="V342" s="71"/>
      <c r="W342" s="71"/>
      <c r="X342" s="71"/>
      <c r="Y342" s="71"/>
      <c r="Z342" s="71"/>
      <c r="AA342" s="71"/>
    </row>
    <row r="343" spans="1:27" x14ac:dyDescent="0.2">
      <c r="A343" s="4"/>
      <c r="B343" s="4"/>
      <c r="C343" s="4"/>
      <c r="D343" s="4"/>
      <c r="E343" s="4"/>
      <c r="F343" s="4"/>
      <c r="G343" s="4"/>
      <c r="H343" s="4"/>
      <c r="I343" s="4"/>
      <c r="J343" s="38"/>
      <c r="K343" s="71"/>
      <c r="L343" s="71"/>
      <c r="M343" s="71"/>
      <c r="N343" s="71"/>
      <c r="O343" s="71"/>
      <c r="P343" s="4"/>
      <c r="Q343" s="4"/>
      <c r="R343" s="4"/>
      <c r="S343" s="4"/>
      <c r="T343" s="4"/>
      <c r="U343" s="4"/>
      <c r="V343" s="71"/>
      <c r="W343" s="71"/>
      <c r="X343" s="71"/>
      <c r="Y343" s="71"/>
      <c r="Z343" s="71"/>
      <c r="AA343" s="71"/>
    </row>
    <row r="344" spans="1:27" x14ac:dyDescent="0.2">
      <c r="A344" s="4"/>
      <c r="B344" s="4" t="s">
        <v>110</v>
      </c>
      <c r="C344" s="4"/>
      <c r="D344" s="4"/>
      <c r="E344" s="4"/>
      <c r="F344" s="4"/>
      <c r="G344" s="4"/>
      <c r="H344" s="4"/>
      <c r="I344" s="4"/>
      <c r="J344" s="38"/>
      <c r="K344" s="71"/>
      <c r="L344" s="71"/>
      <c r="M344" s="71"/>
      <c r="N344" s="71"/>
      <c r="O344" s="71"/>
      <c r="P344" s="4"/>
      <c r="Q344" s="4"/>
      <c r="R344" s="4"/>
      <c r="S344" s="4"/>
      <c r="T344" s="4"/>
      <c r="U344" s="4"/>
      <c r="V344" s="71"/>
      <c r="W344" s="71"/>
      <c r="X344" s="71"/>
      <c r="Y344" s="71"/>
      <c r="Z344" s="71"/>
      <c r="AA344" s="71"/>
    </row>
    <row r="345" spans="1:27" x14ac:dyDescent="0.2">
      <c r="A345" s="4"/>
      <c r="B345" s="4"/>
      <c r="C345" s="4"/>
      <c r="D345" s="4"/>
      <c r="E345" s="4"/>
      <c r="F345" s="4"/>
      <c r="G345" s="4"/>
      <c r="H345" s="4"/>
      <c r="I345" s="4"/>
      <c r="J345" s="38"/>
      <c r="K345" s="71"/>
      <c r="L345" s="71"/>
      <c r="M345" s="71"/>
      <c r="N345" s="71"/>
      <c r="O345" s="71"/>
      <c r="P345" s="4"/>
      <c r="Q345" s="4"/>
      <c r="R345" s="4"/>
      <c r="S345" s="4"/>
      <c r="T345" s="4"/>
      <c r="U345" s="4"/>
      <c r="V345" s="71"/>
      <c r="W345" s="71"/>
      <c r="X345" s="71"/>
      <c r="Y345" s="71"/>
      <c r="Z345" s="71"/>
      <c r="AA345" s="71"/>
    </row>
    <row r="346" spans="1:27" ht="18" x14ac:dyDescent="0.25">
      <c r="A346" s="4"/>
      <c r="B346" s="4" t="s">
        <v>25</v>
      </c>
      <c r="C346" s="4" t="s">
        <v>111</v>
      </c>
      <c r="D346" s="4"/>
      <c r="E346" s="227" t="s">
        <v>114</v>
      </c>
      <c r="F346" s="227"/>
      <c r="G346" s="227"/>
      <c r="H346" s="227"/>
      <c r="I346" s="4"/>
      <c r="J346" s="38"/>
      <c r="K346" s="71"/>
      <c r="L346" s="71"/>
      <c r="M346" s="71"/>
      <c r="N346" s="71"/>
      <c r="O346" s="71"/>
      <c r="P346" s="4"/>
      <c r="Q346" s="4"/>
      <c r="R346" s="4"/>
      <c r="S346" s="4"/>
      <c r="T346" s="4"/>
      <c r="U346" s="4"/>
      <c r="V346" s="71"/>
      <c r="W346" s="71"/>
      <c r="X346" s="71"/>
      <c r="Y346" s="71"/>
      <c r="Z346" s="71"/>
      <c r="AA346" s="71"/>
    </row>
    <row r="347" spans="1:27" ht="15" x14ac:dyDescent="0.25">
      <c r="A347" s="4"/>
      <c r="B347" s="4"/>
      <c r="C347" s="4"/>
      <c r="D347" s="4"/>
      <c r="E347" s="39" t="s">
        <v>120</v>
      </c>
      <c r="F347" s="39"/>
      <c r="G347" s="39"/>
      <c r="H347" s="4"/>
      <c r="I347" s="4"/>
      <c r="J347" s="38"/>
      <c r="K347" s="71"/>
      <c r="L347" s="71"/>
      <c r="M347" s="71"/>
      <c r="N347" s="71"/>
      <c r="O347" s="71"/>
      <c r="P347" s="4"/>
      <c r="Q347" s="4"/>
      <c r="R347" s="4"/>
      <c r="S347" s="4"/>
      <c r="T347" s="4"/>
      <c r="U347" s="4"/>
      <c r="V347" s="71"/>
      <c r="W347" s="71"/>
      <c r="X347" s="71"/>
      <c r="Y347" s="71"/>
      <c r="Z347" s="71"/>
      <c r="AA347" s="71"/>
    </row>
    <row r="348" spans="1:27" ht="15" x14ac:dyDescent="0.25">
      <c r="A348" s="4"/>
      <c r="B348" s="4"/>
      <c r="C348" s="4"/>
      <c r="D348" s="4"/>
      <c r="E348" s="39" t="s">
        <v>121</v>
      </c>
      <c r="F348" s="39"/>
      <c r="G348" s="39"/>
      <c r="H348" s="4"/>
      <c r="I348" s="4"/>
      <c r="J348" s="38"/>
      <c r="K348" s="71"/>
      <c r="L348" s="71"/>
      <c r="M348" s="71"/>
      <c r="N348" s="71"/>
      <c r="O348" s="71"/>
      <c r="P348" s="4"/>
      <c r="Q348" s="4"/>
      <c r="R348" s="4"/>
      <c r="S348" s="4"/>
      <c r="T348" s="4"/>
      <c r="U348" s="4"/>
      <c r="V348" s="71"/>
      <c r="W348" s="71"/>
      <c r="X348" s="71"/>
      <c r="Y348" s="71"/>
      <c r="Z348" s="71"/>
      <c r="AA348" s="71"/>
    </row>
    <row r="349" spans="1:27" x14ac:dyDescent="0.2">
      <c r="A349" s="4"/>
      <c r="B349" s="4"/>
      <c r="C349" s="4" t="s">
        <v>112</v>
      </c>
      <c r="D349" s="4" t="s">
        <v>113</v>
      </c>
      <c r="E349" s="4"/>
      <c r="F349" s="4"/>
      <c r="G349" s="4"/>
      <c r="H349" s="4"/>
      <c r="I349" s="4"/>
      <c r="J349" s="38"/>
      <c r="K349" s="71"/>
      <c r="L349" s="71"/>
      <c r="M349" s="71"/>
      <c r="N349" s="71"/>
      <c r="O349" s="71"/>
      <c r="P349" s="4"/>
      <c r="Q349" s="4"/>
      <c r="R349" s="4"/>
      <c r="S349" s="4"/>
      <c r="T349" s="4"/>
      <c r="U349" s="4"/>
      <c r="V349" s="71"/>
      <c r="W349" s="71"/>
      <c r="X349" s="71"/>
      <c r="Y349" s="71"/>
      <c r="Z349" s="71"/>
      <c r="AA349" s="71"/>
    </row>
    <row r="350" spans="1:27" x14ac:dyDescent="0.2">
      <c r="A350" s="4"/>
      <c r="B350" s="4"/>
      <c r="C350" s="4" t="s">
        <v>115</v>
      </c>
      <c r="D350" s="4"/>
      <c r="E350" s="4"/>
      <c r="F350" s="4"/>
      <c r="G350" s="4"/>
      <c r="H350" s="4"/>
      <c r="I350" s="4"/>
      <c r="J350" s="38"/>
      <c r="K350" s="71"/>
      <c r="L350" s="71"/>
      <c r="M350" s="71"/>
      <c r="N350" s="71"/>
      <c r="O350" s="71"/>
      <c r="P350" s="4"/>
      <c r="Q350" s="4"/>
      <c r="R350" s="4"/>
      <c r="S350" s="4"/>
      <c r="T350" s="4"/>
      <c r="U350" s="4"/>
      <c r="V350" s="71"/>
      <c r="W350" s="71"/>
      <c r="X350" s="71"/>
      <c r="Y350" s="71"/>
      <c r="Z350" s="71"/>
      <c r="AA350" s="71"/>
    </row>
    <row r="351" spans="1:27" x14ac:dyDescent="0.2">
      <c r="A351" s="4"/>
      <c r="B351" s="4"/>
      <c r="C351" s="4"/>
      <c r="D351" s="4"/>
      <c r="E351" s="4"/>
      <c r="F351" s="4"/>
      <c r="G351" s="4"/>
      <c r="H351" s="4"/>
      <c r="I351" s="4"/>
      <c r="J351" s="38"/>
      <c r="K351" s="71"/>
      <c r="L351" s="71"/>
      <c r="M351" s="71"/>
      <c r="N351" s="71"/>
      <c r="O351" s="71"/>
      <c r="P351" s="4"/>
      <c r="Q351" s="4"/>
      <c r="R351" s="4"/>
      <c r="S351" s="4"/>
      <c r="T351" s="4"/>
      <c r="U351" s="4"/>
      <c r="V351" s="71"/>
      <c r="W351" s="71"/>
      <c r="X351" s="71"/>
      <c r="Y351" s="71"/>
      <c r="Z351" s="71"/>
      <c r="AA351" s="71"/>
    </row>
    <row r="352" spans="1:27" x14ac:dyDescent="0.2">
      <c r="A352" s="4"/>
      <c r="B352" s="4" t="s">
        <v>26</v>
      </c>
      <c r="C352" s="4" t="s">
        <v>116</v>
      </c>
      <c r="D352" s="4"/>
      <c r="E352" s="4"/>
      <c r="F352" s="4"/>
      <c r="G352" s="4"/>
      <c r="H352" s="4"/>
      <c r="I352" s="4"/>
      <c r="J352" s="38"/>
      <c r="K352" s="71"/>
      <c r="L352" s="71"/>
      <c r="M352" s="71"/>
      <c r="N352" s="71"/>
      <c r="O352" s="71"/>
      <c r="P352" s="4"/>
      <c r="Q352" s="4"/>
      <c r="R352" s="4"/>
      <c r="S352" s="4"/>
      <c r="T352" s="4"/>
      <c r="U352" s="4"/>
      <c r="V352" s="71"/>
      <c r="W352" s="71"/>
      <c r="X352" s="71"/>
      <c r="Y352" s="71"/>
      <c r="Z352" s="71"/>
      <c r="AA352" s="71"/>
    </row>
    <row r="353" spans="1:27" x14ac:dyDescent="0.2">
      <c r="A353" s="4"/>
      <c r="B353" s="4"/>
      <c r="C353" s="4"/>
      <c r="D353" s="4"/>
      <c r="E353" s="4"/>
      <c r="F353" s="4"/>
      <c r="G353" s="4"/>
      <c r="H353" s="4"/>
      <c r="I353" s="4"/>
      <c r="J353" s="38"/>
      <c r="K353" s="71"/>
      <c r="L353" s="71"/>
      <c r="M353" s="71"/>
      <c r="N353" s="71"/>
      <c r="O353" s="71"/>
      <c r="P353" s="4"/>
      <c r="Q353" s="4"/>
      <c r="R353" s="4"/>
      <c r="S353" s="4"/>
      <c r="T353" s="4"/>
      <c r="U353" s="4"/>
      <c r="V353" s="71"/>
      <c r="W353" s="71"/>
      <c r="X353" s="71"/>
      <c r="Y353" s="71"/>
      <c r="Z353" s="71"/>
      <c r="AA353" s="71"/>
    </row>
    <row r="354" spans="1:27" x14ac:dyDescent="0.2">
      <c r="A354" s="4"/>
      <c r="B354" s="4"/>
      <c r="C354" s="4" t="s">
        <v>118</v>
      </c>
      <c r="D354" s="4"/>
      <c r="E354" s="4"/>
      <c r="F354" s="4"/>
      <c r="G354" s="4"/>
      <c r="H354" s="4"/>
      <c r="I354" s="4"/>
      <c r="J354" s="38"/>
      <c r="K354" s="71"/>
      <c r="L354" s="71"/>
      <c r="M354" s="71"/>
      <c r="N354" s="71"/>
      <c r="O354" s="71"/>
      <c r="P354" s="4"/>
      <c r="Q354" s="4"/>
      <c r="R354" s="4"/>
      <c r="S354" s="4"/>
      <c r="T354" s="4"/>
      <c r="U354" s="4"/>
      <c r="V354" s="71"/>
      <c r="W354" s="71"/>
      <c r="X354" s="71"/>
      <c r="Y354" s="71"/>
      <c r="Z354" s="71"/>
      <c r="AA354" s="71"/>
    </row>
    <row r="355" spans="1:27" x14ac:dyDescent="0.2">
      <c r="A355" s="4"/>
      <c r="B355" s="4"/>
      <c r="C355" s="4" t="s">
        <v>117</v>
      </c>
      <c r="D355" s="4"/>
      <c r="E355" s="4"/>
      <c r="F355" s="4"/>
      <c r="G355" s="4"/>
      <c r="H355" s="4"/>
      <c r="I355" s="4"/>
      <c r="J355" s="38"/>
      <c r="K355" s="71"/>
      <c r="L355" s="71"/>
      <c r="M355" s="71"/>
      <c r="N355" s="71"/>
      <c r="O355" s="71"/>
      <c r="P355" s="4"/>
      <c r="Q355" s="4"/>
      <c r="R355" s="4"/>
      <c r="S355" s="4"/>
      <c r="T355" s="4"/>
      <c r="U355" s="4"/>
      <c r="V355" s="71"/>
      <c r="W355" s="71"/>
      <c r="X355" s="71"/>
      <c r="Y355" s="71"/>
      <c r="Z355" s="71"/>
      <c r="AA355" s="71"/>
    </row>
    <row r="356" spans="1:27" x14ac:dyDescent="0.2">
      <c r="A356" s="4"/>
      <c r="B356" s="4"/>
      <c r="C356" s="4" t="s">
        <v>119</v>
      </c>
      <c r="D356" s="4"/>
      <c r="E356" s="4"/>
      <c r="F356" s="4"/>
      <c r="G356" s="4"/>
      <c r="H356" s="4"/>
      <c r="I356" s="4"/>
      <c r="J356" s="38"/>
      <c r="K356" s="71"/>
      <c r="L356" s="71"/>
      <c r="M356" s="71"/>
      <c r="N356" s="71"/>
      <c r="O356" s="71"/>
      <c r="P356" s="4"/>
      <c r="Q356" s="4"/>
      <c r="R356" s="4"/>
      <c r="S356" s="4"/>
      <c r="T356" s="4"/>
      <c r="U356" s="4"/>
      <c r="V356" s="71"/>
      <c r="W356" s="71"/>
      <c r="X356" s="71"/>
      <c r="Y356" s="71"/>
      <c r="Z356" s="71"/>
      <c r="AA356" s="71"/>
    </row>
    <row r="357" spans="1:27" x14ac:dyDescent="0.2">
      <c r="A357" s="4"/>
      <c r="B357" s="4"/>
      <c r="C357" s="4"/>
      <c r="D357" s="4"/>
      <c r="E357" s="4"/>
      <c r="F357" s="4"/>
      <c r="G357" s="4"/>
      <c r="H357" s="4"/>
      <c r="I357" s="4"/>
      <c r="J357" s="38"/>
      <c r="K357" s="71"/>
      <c r="L357" s="71"/>
      <c r="M357" s="71"/>
      <c r="N357" s="71"/>
      <c r="O357" s="71"/>
      <c r="P357" s="4"/>
      <c r="Q357" s="4"/>
      <c r="R357" s="4"/>
      <c r="S357" s="4"/>
      <c r="T357" s="4"/>
      <c r="U357" s="4"/>
      <c r="V357" s="71"/>
      <c r="W357" s="71"/>
      <c r="X357" s="71"/>
      <c r="Y357" s="71"/>
      <c r="Z357" s="71"/>
      <c r="AA357" s="71"/>
    </row>
    <row r="358" spans="1:27" x14ac:dyDescent="0.2">
      <c r="A358" s="4"/>
      <c r="B358" s="4"/>
      <c r="C358" s="4"/>
      <c r="D358" s="4"/>
      <c r="E358" s="4"/>
      <c r="F358" s="4"/>
      <c r="G358" s="4"/>
      <c r="H358" s="4"/>
      <c r="I358" s="4"/>
      <c r="J358" s="38"/>
      <c r="K358" s="71"/>
      <c r="L358" s="71"/>
      <c r="M358" s="71"/>
      <c r="N358" s="71"/>
      <c r="O358" s="71"/>
      <c r="P358" s="4"/>
      <c r="Q358" s="4"/>
      <c r="R358" s="4"/>
      <c r="S358" s="4"/>
      <c r="T358" s="4"/>
      <c r="U358" s="4"/>
      <c r="V358" s="71"/>
      <c r="W358" s="71"/>
      <c r="X358" s="71"/>
      <c r="Y358" s="71"/>
      <c r="Z358" s="71"/>
      <c r="AA358" s="71"/>
    </row>
    <row r="359" spans="1:27" s="2" customFormat="1" ht="15" x14ac:dyDescent="0.25">
      <c r="A359" s="12" t="s">
        <v>122</v>
      </c>
      <c r="B359" s="12" t="s">
        <v>123</v>
      </c>
      <c r="C359" s="12"/>
      <c r="D359" s="12"/>
      <c r="E359" s="12"/>
      <c r="F359" s="12"/>
      <c r="G359" s="12"/>
      <c r="H359" s="12"/>
      <c r="I359" s="12"/>
      <c r="J359" s="94"/>
      <c r="K359" s="232"/>
      <c r="L359" s="232"/>
      <c r="M359" s="232"/>
      <c r="N359" s="232"/>
      <c r="O359" s="232"/>
      <c r="P359" s="12"/>
      <c r="Q359" s="12"/>
      <c r="R359" s="12"/>
      <c r="S359" s="12"/>
      <c r="T359" s="12"/>
      <c r="U359" s="12"/>
      <c r="V359" s="232"/>
      <c r="W359" s="232"/>
      <c r="X359" s="232"/>
      <c r="Y359" s="232"/>
      <c r="Z359" s="232"/>
      <c r="AA359" s="232"/>
    </row>
    <row r="360" spans="1:27" x14ac:dyDescent="0.2">
      <c r="A360" s="4"/>
      <c r="B360" s="4"/>
      <c r="C360" s="4"/>
      <c r="D360" s="4"/>
      <c r="E360" s="4"/>
      <c r="F360" s="4"/>
      <c r="G360" s="4"/>
      <c r="H360" s="4"/>
      <c r="I360" s="4"/>
      <c r="J360" s="38"/>
      <c r="K360" s="71"/>
      <c r="L360" s="71"/>
      <c r="M360" s="71"/>
      <c r="N360" s="71"/>
      <c r="O360" s="71"/>
      <c r="P360" s="4"/>
      <c r="Q360" s="4"/>
      <c r="R360" s="4"/>
      <c r="S360" s="4"/>
      <c r="T360" s="4"/>
      <c r="U360" s="4"/>
      <c r="V360" s="71"/>
      <c r="W360" s="71"/>
      <c r="X360" s="71"/>
      <c r="Y360" s="71"/>
      <c r="Z360" s="71"/>
      <c r="AA360" s="71"/>
    </row>
    <row r="361" spans="1:27" x14ac:dyDescent="0.2">
      <c r="A361" s="4"/>
      <c r="B361" s="4" t="s">
        <v>74</v>
      </c>
      <c r="C361" s="4" t="s">
        <v>124</v>
      </c>
      <c r="D361" s="4"/>
      <c r="E361" s="4"/>
      <c r="F361" s="4"/>
      <c r="G361" s="4"/>
      <c r="H361" s="4"/>
      <c r="I361" s="4"/>
      <c r="J361" s="38"/>
      <c r="K361" s="71"/>
      <c r="L361" s="71"/>
      <c r="M361" s="71"/>
      <c r="N361" s="71"/>
      <c r="O361" s="71"/>
      <c r="P361" s="4"/>
      <c r="Q361" s="4"/>
      <c r="R361" s="4"/>
      <c r="S361" s="4"/>
      <c r="T361" s="4"/>
      <c r="U361" s="4"/>
      <c r="V361" s="71"/>
      <c r="W361" s="71"/>
      <c r="X361" s="71"/>
      <c r="Y361" s="71"/>
      <c r="Z361" s="71"/>
      <c r="AA361" s="71"/>
    </row>
    <row r="362" spans="1:27" x14ac:dyDescent="0.2">
      <c r="A362" s="4"/>
      <c r="B362" s="4" t="s">
        <v>74</v>
      </c>
      <c r="C362" s="4" t="s">
        <v>125</v>
      </c>
      <c r="D362" s="4"/>
      <c r="E362" s="4"/>
      <c r="F362" s="4"/>
      <c r="G362" s="4"/>
      <c r="H362" s="4"/>
      <c r="I362" s="4"/>
      <c r="J362" s="38"/>
      <c r="K362" s="71"/>
      <c r="L362" s="71"/>
      <c r="M362" s="71"/>
      <c r="N362" s="71"/>
      <c r="O362" s="71"/>
      <c r="P362" s="4"/>
      <c r="Q362" s="4"/>
      <c r="R362" s="4"/>
      <c r="S362" s="4"/>
      <c r="T362" s="4"/>
      <c r="U362" s="4"/>
      <c r="V362" s="71"/>
      <c r="W362" s="71"/>
      <c r="X362" s="71"/>
      <c r="Y362" s="71"/>
      <c r="Z362" s="71"/>
      <c r="AA362" s="71"/>
    </row>
    <row r="363" spans="1:27" x14ac:dyDescent="0.2">
      <c r="A363" s="4"/>
      <c r="B363" s="4"/>
      <c r="C363" s="4"/>
      <c r="D363" s="4"/>
      <c r="E363" s="4"/>
      <c r="F363" s="4"/>
      <c r="G363" s="4"/>
      <c r="H363" s="4"/>
      <c r="I363" s="4"/>
      <c r="J363" s="38"/>
      <c r="K363" s="71"/>
      <c r="L363" s="71"/>
      <c r="M363" s="71"/>
      <c r="N363" s="71"/>
      <c r="O363" s="71"/>
      <c r="P363" s="4"/>
      <c r="Q363" s="4"/>
      <c r="R363" s="4"/>
      <c r="S363" s="4"/>
      <c r="T363" s="4"/>
      <c r="U363" s="4"/>
      <c r="V363" s="71"/>
      <c r="W363" s="71"/>
      <c r="X363" s="71"/>
      <c r="Y363" s="71"/>
      <c r="Z363" s="71"/>
      <c r="AA363" s="71"/>
    </row>
    <row r="364" spans="1:27" x14ac:dyDescent="0.2">
      <c r="A364" s="4"/>
      <c r="B364" s="4"/>
      <c r="C364" s="4"/>
      <c r="D364" s="4"/>
      <c r="E364" s="4"/>
      <c r="F364" s="4"/>
      <c r="G364" s="4"/>
      <c r="H364" s="4"/>
      <c r="I364" s="4"/>
      <c r="J364" s="38"/>
      <c r="K364" s="71"/>
      <c r="L364" s="71"/>
      <c r="M364" s="71"/>
      <c r="N364" s="71"/>
      <c r="O364" s="71"/>
      <c r="P364" s="4"/>
      <c r="Q364" s="4"/>
      <c r="R364" s="4"/>
      <c r="S364" s="4"/>
      <c r="T364" s="4"/>
      <c r="U364" s="4"/>
      <c r="V364" s="71"/>
      <c r="W364" s="71"/>
      <c r="X364" s="71"/>
      <c r="Y364" s="71"/>
      <c r="Z364" s="71"/>
      <c r="AA364" s="71"/>
    </row>
    <row r="365" spans="1:27" x14ac:dyDescent="0.2">
      <c r="A365" s="4"/>
      <c r="B365" s="4"/>
      <c r="C365" s="4"/>
      <c r="D365" s="4"/>
      <c r="E365" s="4"/>
      <c r="F365" s="4"/>
      <c r="G365" s="4"/>
      <c r="H365" s="4"/>
      <c r="I365" s="4"/>
      <c r="J365" s="38"/>
      <c r="K365" s="71"/>
      <c r="L365" s="71"/>
      <c r="M365" s="71"/>
      <c r="N365" s="71"/>
      <c r="O365" s="71"/>
      <c r="P365" s="4"/>
      <c r="Q365" s="4"/>
      <c r="R365" s="4"/>
      <c r="S365" s="4"/>
      <c r="T365" s="4"/>
    </row>
    <row r="366" spans="1:27" x14ac:dyDescent="0.2">
      <c r="A366" s="4"/>
      <c r="B366" s="4"/>
      <c r="C366" s="4"/>
      <c r="D366" s="4"/>
      <c r="E366" s="4"/>
      <c r="F366" s="4"/>
      <c r="G366" s="4"/>
      <c r="H366" s="4"/>
      <c r="I366" s="4"/>
      <c r="J366" s="38"/>
      <c r="K366" s="71"/>
      <c r="L366" s="71"/>
      <c r="M366" s="71"/>
      <c r="N366" s="71"/>
      <c r="O366" s="71"/>
      <c r="P366" s="4"/>
      <c r="Q366" s="4"/>
      <c r="R366" s="4"/>
      <c r="S366" s="4"/>
      <c r="T366" s="4"/>
    </row>
  </sheetData>
  <mergeCells count="30">
    <mergeCell ref="C82:D82"/>
    <mergeCell ref="C88:D88"/>
    <mergeCell ref="C77:D77"/>
    <mergeCell ref="C78:D78"/>
    <mergeCell ref="C79:D79"/>
    <mergeCell ref="C80:D80"/>
    <mergeCell ref="C81:D81"/>
    <mergeCell ref="C83:D83"/>
    <mergeCell ref="C84:D84"/>
    <mergeCell ref="C85:D85"/>
    <mergeCell ref="C86:D86"/>
    <mergeCell ref="C87:D87"/>
    <mergeCell ref="C75:D75"/>
    <mergeCell ref="C49:D49"/>
    <mergeCell ref="C51:D51"/>
    <mergeCell ref="C52:D52"/>
    <mergeCell ref="C55:D55"/>
    <mergeCell ref="C59:D59"/>
    <mergeCell ref="C63:D63"/>
    <mergeCell ref="C64:D64"/>
    <mergeCell ref="C71:D71"/>
    <mergeCell ref="C72:D72"/>
    <mergeCell ref="C73:D73"/>
    <mergeCell ref="C69:D69"/>
    <mergeCell ref="C48:D48"/>
    <mergeCell ref="C53:D53"/>
    <mergeCell ref="C16:D16"/>
    <mergeCell ref="C20:D20"/>
    <mergeCell ref="C25:D25"/>
    <mergeCell ref="C29:D29"/>
  </mergeCells>
  <conditionalFormatting sqref="E188:O188">
    <cfRule type="cellIs" dxfId="13" priority="2" operator="greaterThan">
      <formula>0.6</formula>
    </cfRule>
  </conditionalFormatting>
  <conditionalFormatting sqref="E209:O209">
    <cfRule type="cellIs" dxfId="12" priority="1" operator="greaterThan">
      <formula>0.3</formula>
    </cfRule>
  </conditionalFormatting>
  <dataValidations disablePrompts="1" count="1">
    <dataValidation type="list" allowBlank="1" showInputMessage="1" showErrorMessage="1" sqref="B7" xr:uid="{6A84D74E-16C7-4951-AE6B-A92D963BA205}">
      <formula1>$A$1:$A$3</formula1>
    </dataValidation>
  </dataValidations>
  <pageMargins left="0.31496062992125984" right="0.70866141732283472" top="0.43307086614173229" bottom="0.74803149606299213" header="0.31496062992125984" footer="0.31496062992125984"/>
  <pageSetup paperSize="9" scale="61" orientation="portrait" verticalDpi="180" r:id="rId1"/>
  <rowBreaks count="2" manualBreakCount="2">
    <brk id="93" max="30" man="1"/>
    <brk id="335" max="18" man="1"/>
  </rowBreaks>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U373"/>
  <sheetViews>
    <sheetView zoomScale="70" zoomScaleNormal="70" zoomScaleSheetLayoutView="100" workbookViewId="0">
      <pane xSplit="4" ySplit="8" topLeftCell="E9" activePane="bottomRight" state="frozen"/>
      <selection pane="topRight" activeCell="E1" sqref="E1"/>
      <selection pane="bottomLeft" activeCell="A9" sqref="A9"/>
      <selection pane="bottomRight" activeCell="M17" sqref="M17"/>
    </sheetView>
  </sheetViews>
  <sheetFormatPr defaultColWidth="9.140625" defaultRowHeight="15" outlineLevelRow="1" outlineLevelCol="1" x14ac:dyDescent="0.25"/>
  <cols>
    <col min="1" max="1" width="7" style="864" customWidth="1"/>
    <col min="2" max="2" width="7.140625" style="1" customWidth="1"/>
    <col min="3" max="3" width="6.42578125" style="1" customWidth="1"/>
    <col min="4" max="4" width="85.7109375" style="1" customWidth="1"/>
    <col min="5" max="5" width="10.85546875" style="1" customWidth="1"/>
    <col min="6" max="6" width="22" style="1" customWidth="1"/>
    <col min="7" max="8" width="19.28515625" style="1" customWidth="1"/>
    <col min="9" max="10" width="19.28515625" style="65" customWidth="1"/>
    <col min="11" max="15" width="19.28515625" style="1" customWidth="1"/>
    <col min="16" max="16" width="7.42578125" style="1" customWidth="1"/>
    <col min="17" max="17" width="3.140625" style="1" customWidth="1"/>
    <col min="18" max="18" width="13.42578125" style="1" customWidth="1"/>
    <col min="19" max="19" width="8.85546875" style="65" customWidth="1"/>
    <col min="20" max="20" width="7.85546875" style="64" customWidth="1"/>
    <col min="21" max="21" width="8.42578125" style="1028" customWidth="1"/>
    <col min="22" max="22" width="13" style="65" customWidth="1"/>
    <col min="23" max="23" width="12" style="65" customWidth="1"/>
    <col min="24" max="24" width="12.85546875" style="65" customWidth="1"/>
    <col min="25" max="25" width="11.140625" style="65" customWidth="1"/>
    <col min="26" max="26" width="11" style="65" customWidth="1"/>
    <col min="27" max="27" width="13.42578125" style="65" customWidth="1"/>
    <col min="28" max="28" width="12.85546875" style="65" customWidth="1"/>
    <col min="29" max="29" width="13.28515625" style="65" customWidth="1"/>
    <col min="30" max="30" width="13.85546875" style="65" customWidth="1"/>
    <col min="31" max="31" width="11.85546875" style="65" customWidth="1"/>
    <col min="32" max="32" width="6.7109375" style="65" customWidth="1"/>
    <col min="33" max="33" width="7" style="1" customWidth="1"/>
    <col min="34" max="34" width="11.42578125" style="1" customWidth="1" outlineLevel="1"/>
    <col min="35" max="44" width="10.28515625" style="65" customWidth="1" outlineLevel="1"/>
    <col min="45" max="45" width="7.42578125" style="1" customWidth="1" outlineLevel="1"/>
    <col min="46" max="46" width="7.85546875" style="1104" customWidth="1"/>
    <col min="47" max="47" width="14" style="65" customWidth="1"/>
    <col min="48" max="56" width="13.28515625" style="65" customWidth="1"/>
    <col min="57" max="57" width="6.7109375" style="65" customWidth="1"/>
    <col min="58" max="58" width="7" style="1" customWidth="1"/>
    <col min="59" max="59" width="11.42578125" style="1" customWidth="1" outlineLevel="1"/>
    <col min="60" max="68" width="10.28515625" style="65" customWidth="1" outlineLevel="1"/>
    <col min="69" max="69" width="9.140625" style="1" customWidth="1" outlineLevel="1"/>
    <col min="70" max="76" width="9.140625" style="1" customWidth="1"/>
    <col min="77" max="16384" width="9.140625" style="1"/>
  </cols>
  <sheetData>
    <row r="1" spans="1:73" ht="16.5" customHeight="1" x14ac:dyDescent="0.25">
      <c r="A1" s="852"/>
      <c r="B1" s="336"/>
      <c r="C1" s="93"/>
      <c r="D1" s="327"/>
      <c r="E1" s="93"/>
      <c r="F1" s="93"/>
      <c r="G1" s="93"/>
      <c r="H1" s="93"/>
      <c r="I1" s="93"/>
      <c r="J1" s="230"/>
      <c r="K1" s="337"/>
      <c r="L1" s="337"/>
      <c r="M1" s="337"/>
      <c r="N1" s="337"/>
      <c r="O1" s="337"/>
      <c r="P1" s="337"/>
      <c r="Q1" s="93"/>
      <c r="R1" s="93"/>
      <c r="S1" s="93"/>
      <c r="T1" s="93"/>
      <c r="U1" s="1023"/>
      <c r="V1" s="93"/>
      <c r="W1" s="93"/>
      <c r="X1" s="93"/>
      <c r="Y1" s="93"/>
      <c r="Z1" s="93"/>
      <c r="AA1" s="93"/>
      <c r="AB1" s="93"/>
      <c r="AC1" s="93"/>
      <c r="AD1" s="93"/>
      <c r="AE1" s="93"/>
      <c r="AF1" s="93"/>
      <c r="AG1" s="93"/>
      <c r="AH1" s="93"/>
      <c r="AI1" s="93"/>
      <c r="AJ1" s="93"/>
      <c r="AK1" s="93"/>
      <c r="AL1" s="93"/>
      <c r="AM1" s="93"/>
      <c r="AN1" s="93"/>
      <c r="AO1" s="93"/>
      <c r="AP1" s="93"/>
      <c r="AQ1" s="93"/>
      <c r="AR1" s="93"/>
      <c r="AS1" s="93"/>
      <c r="AT1" s="1098"/>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4"/>
    </row>
    <row r="2" spans="1:73" ht="16.5" customHeight="1" x14ac:dyDescent="0.25">
      <c r="A2" s="852"/>
      <c r="B2" s="336"/>
      <c r="C2" s="93"/>
      <c r="D2" s="1927" t="str">
        <f>Ввод!F2</f>
        <v>ПАО "АК Барс Банк"</v>
      </c>
      <c r="E2" s="93"/>
      <c r="F2" s="93"/>
      <c r="G2" s="93"/>
      <c r="H2" s="93"/>
      <c r="I2" s="93"/>
      <c r="J2" s="230"/>
      <c r="K2" s="337"/>
      <c r="L2" s="337"/>
      <c r="M2" s="337"/>
      <c r="N2" s="337"/>
      <c r="O2" s="337"/>
      <c r="P2" s="337"/>
      <c r="Q2" s="93"/>
      <c r="R2" s="93"/>
      <c r="S2" s="93"/>
      <c r="T2" s="93"/>
      <c r="U2" s="1023"/>
      <c r="V2" s="93"/>
      <c r="W2" s="93"/>
      <c r="X2" s="93"/>
      <c r="Y2" s="93"/>
      <c r="Z2" s="93"/>
      <c r="AA2" s="93"/>
      <c r="AB2" s="93"/>
      <c r="AC2" s="93"/>
      <c r="AD2" s="93"/>
      <c r="AE2" s="93"/>
      <c r="AF2" s="93"/>
      <c r="AG2" s="93"/>
      <c r="AH2" s="93"/>
      <c r="AI2" s="93"/>
      <c r="AJ2" s="93"/>
      <c r="AK2" s="93"/>
      <c r="AL2" s="93"/>
      <c r="AM2" s="93"/>
      <c r="AN2" s="93"/>
      <c r="AO2" s="93"/>
      <c r="AP2" s="93"/>
      <c r="AQ2" s="93"/>
      <c r="AR2" s="93"/>
      <c r="AS2" s="93"/>
      <c r="AT2" s="1098"/>
      <c r="AU2" s="93"/>
      <c r="AV2" s="93"/>
      <c r="AW2" s="93"/>
      <c r="AX2" s="93"/>
      <c r="AY2" s="93"/>
      <c r="AZ2" s="93"/>
      <c r="BA2" s="93"/>
      <c r="BB2" s="93"/>
      <c r="BC2" s="93"/>
      <c r="BD2" s="93"/>
      <c r="BE2" s="93"/>
      <c r="BF2" s="93"/>
      <c r="BG2" s="93"/>
      <c r="BH2" s="93"/>
      <c r="BI2" s="93"/>
      <c r="BJ2" s="93"/>
      <c r="BK2" s="93"/>
      <c r="BL2" s="93"/>
      <c r="BM2" s="93"/>
      <c r="BN2" s="93"/>
      <c r="BO2" s="93"/>
      <c r="BP2" s="93"/>
      <c r="BQ2" s="93"/>
      <c r="BR2" s="93"/>
      <c r="BS2" s="93"/>
      <c r="BT2" s="93"/>
      <c r="BU2" s="4"/>
    </row>
    <row r="3" spans="1:73" ht="16.5" customHeight="1" x14ac:dyDescent="0.25">
      <c r="A3" s="852"/>
      <c r="B3" s="336"/>
      <c r="C3" s="93"/>
      <c r="D3" s="327" t="str">
        <f>Ввод!F3</f>
        <v>РСБУ</v>
      </c>
      <c r="E3" s="93"/>
      <c r="F3" s="93"/>
      <c r="G3" s="93"/>
      <c r="H3" s="93"/>
      <c r="I3" s="93"/>
      <c r="J3" s="230"/>
      <c r="K3" s="337"/>
      <c r="L3" s="337"/>
      <c r="M3" s="337"/>
      <c r="N3" s="337"/>
      <c r="O3" s="337"/>
      <c r="P3" s="337"/>
      <c r="Q3" s="93"/>
      <c r="R3" s="93"/>
      <c r="S3" s="93"/>
      <c r="T3" s="93"/>
      <c r="U3" s="1023"/>
      <c r="V3" s="93"/>
      <c r="W3" s="93"/>
      <c r="X3" s="93"/>
      <c r="Y3" s="93"/>
      <c r="Z3" s="93"/>
      <c r="AA3" s="93"/>
      <c r="AB3" s="93"/>
      <c r="AC3" s="93"/>
      <c r="AD3" s="93"/>
      <c r="AE3" s="93"/>
      <c r="AF3" s="93"/>
      <c r="AG3" s="93"/>
      <c r="AH3" s="93"/>
      <c r="AI3" s="93"/>
      <c r="AJ3" s="93"/>
      <c r="AK3" s="93"/>
      <c r="AL3" s="93"/>
      <c r="AM3" s="93"/>
      <c r="AN3" s="93"/>
      <c r="AO3" s="93"/>
      <c r="AP3" s="93"/>
      <c r="AQ3" s="93"/>
      <c r="AR3" s="93"/>
      <c r="AS3" s="93"/>
      <c r="AT3" s="1098"/>
      <c r="AU3" s="93"/>
      <c r="AV3" s="93"/>
      <c r="AW3" s="93"/>
      <c r="AX3" s="93"/>
      <c r="AY3" s="93"/>
      <c r="AZ3" s="93"/>
      <c r="BA3" s="93"/>
      <c r="BB3" s="93"/>
      <c r="BC3" s="93"/>
      <c r="BD3" s="93"/>
      <c r="BE3" s="93"/>
      <c r="BF3" s="93"/>
      <c r="BG3" s="31"/>
      <c r="BH3" s="93"/>
      <c r="BI3" s="93"/>
      <c r="BJ3" s="93"/>
      <c r="BK3" s="93"/>
      <c r="BL3" s="93"/>
      <c r="BM3" s="93"/>
      <c r="BN3" s="93"/>
      <c r="BO3" s="93"/>
      <c r="BP3" s="93"/>
      <c r="BQ3" s="31"/>
      <c r="BR3" s="31"/>
      <c r="BS3" s="31"/>
      <c r="BT3" s="31"/>
      <c r="BU3" s="4"/>
    </row>
    <row r="4" spans="1:73" ht="16.5" customHeight="1" x14ac:dyDescent="0.25">
      <c r="A4" s="852"/>
      <c r="B4" s="336"/>
      <c r="C4" s="93"/>
      <c r="D4" s="327" t="str">
        <f>Ввод!F4</f>
        <v>Индивидуальная (публикуемая)</v>
      </c>
      <c r="E4" s="93"/>
      <c r="F4" s="93"/>
      <c r="G4" s="93"/>
      <c r="H4" s="93"/>
      <c r="I4" s="93"/>
      <c r="J4" s="230"/>
      <c r="K4" s="337"/>
      <c r="L4" s="337"/>
      <c r="M4" s="337"/>
      <c r="N4" s="337"/>
      <c r="O4" s="337"/>
      <c r="P4" s="337"/>
      <c r="Q4" s="93"/>
      <c r="R4" s="93"/>
      <c r="S4" s="93"/>
      <c r="T4" s="93"/>
      <c r="U4" s="1023"/>
      <c r="V4" s="93"/>
      <c r="W4" s="93"/>
      <c r="X4" s="93"/>
      <c r="Y4" s="93"/>
      <c r="Z4" s="93"/>
      <c r="AA4" s="93"/>
      <c r="AB4" s="93"/>
      <c r="AC4" s="93"/>
      <c r="AD4" s="93"/>
      <c r="AE4" s="93"/>
      <c r="AF4" s="93"/>
      <c r="AG4" s="93"/>
      <c r="AH4" s="93"/>
      <c r="AI4" s="93"/>
      <c r="AJ4" s="93"/>
      <c r="AK4" s="93"/>
      <c r="AL4" s="93"/>
      <c r="AM4" s="93"/>
      <c r="AN4" s="93"/>
      <c r="AO4" s="93"/>
      <c r="AP4" s="93"/>
      <c r="AQ4" s="93"/>
      <c r="AR4" s="93"/>
      <c r="AS4" s="93"/>
      <c r="AT4" s="1098"/>
      <c r="AU4" s="93"/>
      <c r="AV4" s="93"/>
      <c r="AW4" s="93"/>
      <c r="AX4" s="93"/>
      <c r="AY4" s="93"/>
      <c r="AZ4" s="93"/>
      <c r="BA4" s="93"/>
      <c r="BB4" s="93"/>
      <c r="BC4" s="93"/>
      <c r="BD4" s="93"/>
      <c r="BE4" s="93"/>
      <c r="BF4" s="93"/>
      <c r="BG4" s="93"/>
      <c r="BH4" s="93"/>
      <c r="BI4" s="93"/>
      <c r="BJ4" s="93"/>
      <c r="BK4" s="93"/>
      <c r="BL4" s="93"/>
      <c r="BM4" s="93"/>
      <c r="BN4" s="93"/>
      <c r="BO4" s="93"/>
      <c r="BP4" s="93"/>
      <c r="BQ4" s="93"/>
      <c r="BR4" s="93"/>
      <c r="BS4" s="93"/>
      <c r="BT4" s="93"/>
      <c r="BU4" s="4"/>
    </row>
    <row r="5" spans="1:73" ht="16.5" customHeight="1" x14ac:dyDescent="0.25">
      <c r="A5" s="853"/>
      <c r="B5" s="338"/>
      <c r="C5" s="21"/>
      <c r="D5" s="338" t="s">
        <v>815</v>
      </c>
      <c r="E5" s="21"/>
      <c r="F5" s="21"/>
      <c r="G5" s="21"/>
      <c r="H5" s="21"/>
      <c r="I5" s="21"/>
      <c r="J5" s="339"/>
      <c r="K5" s="340"/>
      <c r="L5" s="340"/>
      <c r="M5" s="340"/>
      <c r="N5" s="340"/>
      <c r="O5" s="340"/>
      <c r="P5" s="340"/>
      <c r="Q5" s="21"/>
      <c r="R5" s="21"/>
      <c r="S5" s="21"/>
      <c r="T5" s="21"/>
      <c r="U5" s="1024"/>
      <c r="V5" s="338" t="s">
        <v>862</v>
      </c>
      <c r="W5" s="21"/>
      <c r="X5" s="21"/>
      <c r="Y5" s="21"/>
      <c r="Z5" s="21"/>
      <c r="AA5" s="21"/>
      <c r="AB5" s="21"/>
      <c r="AC5" s="21"/>
      <c r="AD5" s="21"/>
      <c r="AE5" s="21"/>
      <c r="AF5" s="21"/>
      <c r="AG5" s="4"/>
      <c r="AH5" s="4"/>
      <c r="AI5" s="4"/>
      <c r="AJ5" s="4"/>
      <c r="AK5" s="4"/>
      <c r="AL5" s="4"/>
      <c r="AM5" s="4"/>
      <c r="AN5" s="4"/>
      <c r="AO5" s="4"/>
      <c r="AP5" s="4"/>
      <c r="AQ5" s="4"/>
      <c r="AR5" s="4"/>
      <c r="AS5" s="4"/>
      <c r="AT5" s="1099"/>
      <c r="AU5" s="585" t="s">
        <v>867</v>
      </c>
      <c r="AV5" s="21"/>
      <c r="AW5" s="21"/>
      <c r="AX5" s="21"/>
      <c r="AY5" s="21"/>
      <c r="AZ5" s="21"/>
      <c r="BA5" s="21"/>
      <c r="BB5" s="21"/>
      <c r="BC5" s="21"/>
      <c r="BD5" s="21"/>
      <c r="BE5" s="21"/>
      <c r="BF5" s="4"/>
      <c r="BG5" s="4"/>
      <c r="BH5" s="4"/>
      <c r="BI5" s="4"/>
      <c r="BJ5" s="4"/>
      <c r="BK5" s="4"/>
      <c r="BL5" s="4"/>
      <c r="BM5" s="4"/>
      <c r="BN5" s="4"/>
      <c r="BO5" s="4"/>
      <c r="BP5" s="4"/>
      <c r="BQ5" s="4"/>
      <c r="BR5" s="4"/>
      <c r="BS5" s="4"/>
      <c r="BT5" s="4"/>
      <c r="BU5" s="4"/>
    </row>
    <row r="6" spans="1:73" ht="16.5" customHeight="1" x14ac:dyDescent="0.25">
      <c r="A6" s="854"/>
      <c r="B6" s="95"/>
      <c r="C6" s="4"/>
      <c r="D6" s="95"/>
      <c r="E6" s="4"/>
      <c r="F6" s="4"/>
      <c r="G6" s="4"/>
      <c r="H6" s="4"/>
      <c r="I6" s="4"/>
      <c r="J6" s="38"/>
      <c r="K6" s="71"/>
      <c r="L6" s="71"/>
      <c r="M6" s="71"/>
      <c r="N6" s="71"/>
      <c r="O6" s="71"/>
      <c r="P6" s="71"/>
      <c r="Q6" s="4"/>
      <c r="R6" s="4"/>
      <c r="S6" s="21"/>
      <c r="T6" s="21"/>
      <c r="U6" s="1024"/>
      <c r="V6" s="21" t="s">
        <v>286</v>
      </c>
      <c r="W6" s="21"/>
      <c r="X6" s="21"/>
      <c r="Y6" s="21"/>
      <c r="Z6" s="21"/>
      <c r="AA6" s="21"/>
      <c r="AB6" s="21"/>
      <c r="AC6" s="21"/>
      <c r="AD6" s="21"/>
      <c r="AE6" s="21"/>
      <c r="AF6" s="21"/>
      <c r="AG6" s="4"/>
      <c r="AH6" s="4"/>
      <c r="AI6" s="4"/>
      <c r="AJ6" s="4"/>
      <c r="AK6" s="4"/>
      <c r="AL6" s="4"/>
      <c r="AM6" s="4"/>
      <c r="AN6" s="4"/>
      <c r="AO6" s="4"/>
      <c r="AP6" s="4"/>
      <c r="AQ6" s="4"/>
      <c r="AR6" s="4"/>
      <c r="AS6" s="4"/>
      <c r="AT6" s="1099"/>
      <c r="AU6" s="21" t="s">
        <v>868</v>
      </c>
      <c r="AV6" s="21"/>
      <c r="AW6" s="21"/>
      <c r="AX6" s="21"/>
      <c r="AY6" s="21"/>
      <c r="AZ6" s="21"/>
      <c r="BA6" s="21"/>
      <c r="BB6" s="21"/>
      <c r="BC6" s="21"/>
      <c r="BD6" s="21"/>
      <c r="BE6" s="21"/>
      <c r="BF6" s="4"/>
      <c r="BG6" s="4"/>
      <c r="BH6" s="4"/>
      <c r="BI6" s="4"/>
      <c r="BJ6" s="4"/>
      <c r="BK6" s="4"/>
      <c r="BL6" s="4"/>
      <c r="BM6" s="4"/>
      <c r="BN6" s="4"/>
      <c r="BO6" s="4"/>
      <c r="BP6" s="4"/>
      <c r="BQ6" s="4"/>
      <c r="BR6" s="4"/>
      <c r="BS6" s="4"/>
      <c r="BT6" s="4"/>
      <c r="BU6" s="4"/>
    </row>
    <row r="7" spans="1:73" ht="15.75" x14ac:dyDescent="0.25">
      <c r="A7" s="854"/>
      <c r="B7" s="4"/>
      <c r="C7" s="4"/>
      <c r="D7" s="4" t="str">
        <f>Баланс!B7</f>
        <v>млрд руб.</v>
      </c>
      <c r="F7" s="4"/>
      <c r="G7" s="4" t="s">
        <v>348</v>
      </c>
      <c r="H7" s="4"/>
      <c r="I7" s="4"/>
      <c r="J7" s="4"/>
      <c r="K7" s="4"/>
      <c r="L7" s="4"/>
      <c r="M7" s="4"/>
      <c r="N7" s="4"/>
      <c r="O7" s="4"/>
      <c r="P7" s="4"/>
      <c r="Q7" s="4"/>
      <c r="R7" s="4" t="s">
        <v>849</v>
      </c>
      <c r="S7" s="21"/>
      <c r="T7" s="21"/>
      <c r="U7" s="1024"/>
      <c r="V7" s="4" t="s">
        <v>348</v>
      </c>
      <c r="W7" s="4"/>
      <c r="X7" s="4"/>
      <c r="Y7" s="4"/>
      <c r="Z7" s="4"/>
      <c r="AA7" s="4"/>
      <c r="AB7" s="4"/>
      <c r="AC7" s="4"/>
      <c r="AD7" s="4"/>
      <c r="AE7" s="4"/>
      <c r="AF7" s="4"/>
      <c r="AG7" s="4"/>
      <c r="AH7" s="4" t="s">
        <v>849</v>
      </c>
      <c r="AI7" s="4"/>
      <c r="AJ7" s="4"/>
      <c r="AK7" s="4"/>
      <c r="AL7" s="4"/>
      <c r="AM7" s="4"/>
      <c r="AN7" s="4"/>
      <c r="AO7" s="4"/>
      <c r="AP7" s="4"/>
      <c r="AQ7" s="4"/>
      <c r="AR7" s="4"/>
      <c r="AS7" s="4"/>
      <c r="AT7" s="1099"/>
      <c r="AU7" s="4" t="s">
        <v>348</v>
      </c>
      <c r="AV7" s="4"/>
      <c r="AW7" s="4"/>
      <c r="AX7" s="4"/>
      <c r="AY7" s="4"/>
      <c r="AZ7" s="4"/>
      <c r="BA7" s="4"/>
      <c r="BB7" s="4"/>
      <c r="BC7" s="4"/>
      <c r="BD7" s="4"/>
      <c r="BE7" s="4"/>
      <c r="BF7" s="4"/>
      <c r="BG7" s="4" t="s">
        <v>849</v>
      </c>
      <c r="BH7" s="4"/>
      <c r="BI7" s="4"/>
      <c r="BJ7" s="4"/>
      <c r="BK7" s="4"/>
      <c r="BL7" s="4"/>
      <c r="BM7" s="4"/>
      <c r="BN7" s="4"/>
      <c r="BO7" s="4"/>
      <c r="BP7" s="4"/>
      <c r="BQ7" s="4"/>
      <c r="BR7" s="4"/>
      <c r="BS7" s="4"/>
      <c r="BT7" s="4"/>
      <c r="BU7" s="4"/>
    </row>
    <row r="8" spans="1:73" ht="15.75" x14ac:dyDescent="0.25">
      <c r="A8" s="855"/>
      <c r="B8" s="15"/>
      <c r="C8" s="15"/>
      <c r="D8" s="15"/>
      <c r="E8" s="539"/>
      <c r="F8" s="539">
        <v>2015</v>
      </c>
      <c r="G8" s="539">
        <f>Ввод!H7</f>
        <v>2017</v>
      </c>
      <c r="H8" s="539">
        <f>Ввод!I7</f>
        <v>2018</v>
      </c>
      <c r="I8" s="539">
        <f>Ввод!J7</f>
        <v>2019</v>
      </c>
      <c r="J8" s="539">
        <f>Ввод!K7</f>
        <v>2020</v>
      </c>
      <c r="K8" s="539">
        <f>Ввод!L7</f>
        <v>2021</v>
      </c>
      <c r="L8" s="539">
        <f>Ввод!M7</f>
        <v>2022</v>
      </c>
      <c r="M8" s="539">
        <f>Ввод!N7</f>
        <v>2023</v>
      </c>
      <c r="N8" s="539">
        <f>Ввод!O7</f>
        <v>2024</v>
      </c>
      <c r="O8" s="539">
        <f>Ввод!P7</f>
        <v>2025</v>
      </c>
      <c r="P8" s="540"/>
      <c r="Q8" s="540"/>
      <c r="R8" s="581">
        <f>N8</f>
        <v>2024</v>
      </c>
      <c r="S8" s="490"/>
      <c r="T8" s="490"/>
      <c r="U8" s="1025"/>
      <c r="V8" s="539">
        <f t="shared" ref="V8:AE8" si="0">F8</f>
        <v>2015</v>
      </c>
      <c r="W8" s="539">
        <f t="shared" si="0"/>
        <v>2017</v>
      </c>
      <c r="X8" s="539">
        <f t="shared" si="0"/>
        <v>2018</v>
      </c>
      <c r="Y8" s="539">
        <f t="shared" si="0"/>
        <v>2019</v>
      </c>
      <c r="Z8" s="539">
        <f t="shared" si="0"/>
        <v>2020</v>
      </c>
      <c r="AA8" s="539">
        <f t="shared" si="0"/>
        <v>2021</v>
      </c>
      <c r="AB8" s="539">
        <f t="shared" si="0"/>
        <v>2022</v>
      </c>
      <c r="AC8" s="539">
        <f t="shared" si="0"/>
        <v>2023</v>
      </c>
      <c r="AD8" s="539">
        <f t="shared" si="0"/>
        <v>2024</v>
      </c>
      <c r="AE8" s="539">
        <f t="shared" si="0"/>
        <v>2025</v>
      </c>
      <c r="AF8" s="539"/>
      <c r="AG8" s="539"/>
      <c r="AH8" s="539">
        <f>V8</f>
        <v>2015</v>
      </c>
      <c r="AI8" s="539">
        <f>W8</f>
        <v>2017</v>
      </c>
      <c r="AJ8" s="539">
        <f>X8</f>
        <v>2018</v>
      </c>
      <c r="AK8" s="539">
        <f>Y8</f>
        <v>2019</v>
      </c>
      <c r="AL8" s="539">
        <f>Z8</f>
        <v>2020</v>
      </c>
      <c r="AM8" s="539">
        <f t="shared" ref="AM8:AQ8" si="1">AA8</f>
        <v>2021</v>
      </c>
      <c r="AN8" s="539">
        <f t="shared" si="1"/>
        <v>2022</v>
      </c>
      <c r="AO8" s="539">
        <f t="shared" si="1"/>
        <v>2023</v>
      </c>
      <c r="AP8" s="539">
        <f t="shared" si="1"/>
        <v>2024</v>
      </c>
      <c r="AQ8" s="539">
        <f t="shared" si="1"/>
        <v>2025</v>
      </c>
      <c r="AR8" s="540"/>
      <c r="AS8" s="4"/>
      <c r="AT8" s="1099"/>
      <c r="AU8" s="539">
        <f>F8</f>
        <v>2015</v>
      </c>
      <c r="AV8" s="539">
        <f>G8</f>
        <v>2017</v>
      </c>
      <c r="AW8" s="539">
        <f>H8</f>
        <v>2018</v>
      </c>
      <c r="AX8" s="539">
        <f>I8</f>
        <v>2019</v>
      </c>
      <c r="AY8" s="539">
        <f>J8</f>
        <v>2020</v>
      </c>
      <c r="AZ8" s="539">
        <f t="shared" ref="AZ8:BD8" si="2">K8</f>
        <v>2021</v>
      </c>
      <c r="BA8" s="539">
        <f t="shared" si="2"/>
        <v>2022</v>
      </c>
      <c r="BB8" s="539">
        <f t="shared" si="2"/>
        <v>2023</v>
      </c>
      <c r="BC8" s="539">
        <f t="shared" si="2"/>
        <v>2024</v>
      </c>
      <c r="BD8" s="539">
        <f t="shared" si="2"/>
        <v>2025</v>
      </c>
      <c r="BE8" s="539"/>
      <c r="BF8" s="539"/>
      <c r="BG8" s="539">
        <f t="shared" ref="BG8:BL8" si="3">AU8</f>
        <v>2015</v>
      </c>
      <c r="BH8" s="539">
        <f t="shared" si="3"/>
        <v>2017</v>
      </c>
      <c r="BI8" s="539">
        <f t="shared" si="3"/>
        <v>2018</v>
      </c>
      <c r="BJ8" s="539">
        <f t="shared" si="3"/>
        <v>2019</v>
      </c>
      <c r="BK8" s="539">
        <f t="shared" si="3"/>
        <v>2020</v>
      </c>
      <c r="BL8" s="539">
        <f t="shared" si="3"/>
        <v>2021</v>
      </c>
      <c r="BM8" s="539">
        <f t="shared" ref="BM8" si="4">BA8</f>
        <v>2022</v>
      </c>
      <c r="BN8" s="539">
        <f t="shared" ref="BN8" si="5">BB8</f>
        <v>2023</v>
      </c>
      <c r="BO8" s="539">
        <f t="shared" ref="BO8" si="6">BC8</f>
        <v>2024</v>
      </c>
      <c r="BP8" s="539">
        <f t="shared" ref="BP8" si="7">BD8</f>
        <v>2025</v>
      </c>
      <c r="BQ8" s="4"/>
      <c r="BR8" s="4"/>
      <c r="BS8" s="4"/>
      <c r="BT8" s="4"/>
      <c r="BU8" s="4"/>
    </row>
    <row r="9" spans="1:73" ht="24.75" customHeight="1" x14ac:dyDescent="0.25">
      <c r="A9" s="856" t="s">
        <v>811</v>
      </c>
      <c r="B9" s="491"/>
      <c r="C9" s="509"/>
      <c r="D9" s="509"/>
      <c r="E9" s="510"/>
      <c r="F9" s="1699"/>
      <c r="G9" s="1699"/>
      <c r="H9" s="1699"/>
      <c r="I9" s="1700"/>
      <c r="J9" s="1700"/>
      <c r="K9" s="1699"/>
      <c r="L9" s="1699"/>
      <c r="M9" s="1699"/>
      <c r="N9" s="1699"/>
      <c r="O9" s="1699"/>
      <c r="P9" s="1699"/>
      <c r="Q9" s="510"/>
      <c r="R9" s="645"/>
      <c r="S9" s="509"/>
      <c r="T9" s="66"/>
      <c r="U9" s="1026"/>
      <c r="V9" s="571"/>
      <c r="W9" s="571"/>
      <c r="X9" s="572"/>
      <c r="Y9" s="572"/>
      <c r="Z9" s="572"/>
      <c r="AA9" s="572"/>
      <c r="AB9" s="572"/>
      <c r="AC9" s="572"/>
      <c r="AD9" s="572"/>
      <c r="AE9" s="572"/>
      <c r="AF9" s="12"/>
      <c r="AG9" s="4"/>
      <c r="AH9" s="509"/>
      <c r="AI9" s="509"/>
      <c r="AJ9" s="509"/>
      <c r="AK9" s="509"/>
      <c r="AL9" s="509"/>
      <c r="AM9" s="509"/>
      <c r="AN9" s="509"/>
      <c r="AO9" s="509"/>
      <c r="AP9" s="509"/>
      <c r="AQ9" s="509"/>
      <c r="AR9" s="509"/>
      <c r="AS9" s="4"/>
      <c r="AT9" s="1099"/>
      <c r="AU9" s="571"/>
      <c r="AV9" s="571"/>
      <c r="AW9" s="572"/>
      <c r="AX9" s="572"/>
      <c r="AY9" s="572"/>
      <c r="AZ9" s="572"/>
      <c r="BA9" s="572"/>
      <c r="BB9" s="572"/>
      <c r="BC9" s="572"/>
      <c r="BD9" s="572"/>
      <c r="BE9" s="12"/>
      <c r="BF9" s="4"/>
      <c r="BG9" s="645"/>
      <c r="BH9" s="645"/>
      <c r="BI9" s="645"/>
      <c r="BJ9" s="645"/>
      <c r="BK9" s="645"/>
      <c r="BL9" s="645"/>
      <c r="BM9" s="645"/>
      <c r="BN9" s="645"/>
      <c r="BO9" s="645"/>
      <c r="BP9" s="645"/>
      <c r="BQ9" s="4"/>
      <c r="BR9" s="12"/>
      <c r="BS9" s="4"/>
      <c r="BT9" s="4"/>
      <c r="BU9" s="4"/>
    </row>
    <row r="10" spans="1:73" ht="14.25" customHeight="1" x14ac:dyDescent="0.25">
      <c r="A10" s="493">
        <v>1</v>
      </c>
      <c r="B10" s="492" t="s">
        <v>35</v>
      </c>
      <c r="C10" s="4"/>
      <c r="D10" s="4"/>
      <c r="E10" s="497"/>
      <c r="F10" s="1701"/>
      <c r="G10" s="1701">
        <f>Ввод!H74/VLOOKUP(Баланс!$B$7,Баланс!$A$1:$B$3,2,0)</f>
        <v>32.277374000000002</v>
      </c>
      <c r="H10" s="1701">
        <f>Ввод!I74/VLOOKUP(Баланс!$B$7,Баланс!$A$1:$B$3,2,0)</f>
        <v>32.696102000000003</v>
      </c>
      <c r="I10" s="1701">
        <f>Ввод!J74/VLOOKUP(Баланс!$B$7,Баланс!$A$1:$B$3,2,0)</f>
        <v>34.890129000000002</v>
      </c>
      <c r="J10" s="1701">
        <f>Ввод!K74/VLOOKUP(Баланс!$B$7,Баланс!$A$1:$B$3,2,0)</f>
        <v>35.064278999999999</v>
      </c>
      <c r="K10" s="1701">
        <f>Ввод!L74/VLOOKUP(Баланс!$B$7,Баланс!$A$1:$B$3,2,0)</f>
        <v>34.478938999999997</v>
      </c>
      <c r="L10" s="1701">
        <f>Ввод!M74/VLOOKUP(Баланс!$B$7,Баланс!$A$1:$B$3,2,0)</f>
        <v>52.116860000000003</v>
      </c>
      <c r="M10" s="1701">
        <f>Ввод!N74/VLOOKUP(Баланс!$B$7,Баланс!$A$1:$B$3,2,0)</f>
        <v>70.353319999999997</v>
      </c>
      <c r="N10" s="1701">
        <f>Ввод!O74/VLOOKUP(Баланс!$B$7,Баланс!$A$1:$B$3,2,0)</f>
        <v>119.578613</v>
      </c>
      <c r="O10" s="1701">
        <f>Ввод!P74/VLOOKUP(Баланс!$B$7,Баланс!$A$1:$B$3,2,0)</f>
        <v>0</v>
      </c>
      <c r="P10" s="1701"/>
      <c r="Q10" s="500"/>
      <c r="R10" s="646">
        <f t="shared" ref="R10:R23" si="8">N10/$N$289</f>
        <v>0.1351788257600432</v>
      </c>
      <c r="S10" s="4"/>
      <c r="T10" s="66"/>
      <c r="U10" s="1026">
        <v>3</v>
      </c>
      <c r="V10" s="573">
        <f>HLOOKUP(V$8,'Банк. система_ввод'!$K$94:$W$151,$U10,0)</f>
        <v>5783.7999999999993</v>
      </c>
      <c r="W10" s="573">
        <f>HLOOKUP(W$8,'Банк. система_ввод'!$K$94:$W$151,$U10,0)</f>
        <v>5781.9000000000005</v>
      </c>
      <c r="X10" s="573">
        <f>HLOOKUP(X$8,'Банк. система_ввод'!$K$94:$W$151,$U10,0)</f>
        <v>6179.0556759999999</v>
      </c>
      <c r="Y10" s="573">
        <f>HLOOKUP(Y$8,'Банк. система_ввод'!$K$94:$W$151,$U10,0)</f>
        <v>6728.0226829999992</v>
      </c>
      <c r="Z10" s="573">
        <f>HLOOKUP(Z$8,'Банк. система_ввод'!$K$94:$W$151,$U10,0)</f>
        <v>6422.7851799999989</v>
      </c>
      <c r="AA10" s="573">
        <f>HLOOKUP(AA$8,'Банк. система_ввод'!$K$94:$W$151,$U10,0)</f>
        <v>7217.4085550000009</v>
      </c>
      <c r="AB10" s="573">
        <f>HLOOKUP(AB$8,'Банк. система_ввод'!$K$94:$W$151,$U10,0)</f>
        <v>10512.364772999999</v>
      </c>
      <c r="AC10" s="573">
        <f>HLOOKUP(AC$8,'Банк. система_ввод'!$K$94:$W$151,$U10,0)</f>
        <v>13520.016988999998</v>
      </c>
      <c r="AD10" s="573">
        <f>HLOOKUP(AD$8,'Банк. система_ввод'!$K$94:$W$151,$U10,0)</f>
        <v>23633.132479999997</v>
      </c>
      <c r="AE10" s="573">
        <f>HLOOKUP(AE$8,'Банк. система_ввод'!$K$94:$W$151,$U10,0)</f>
        <v>29468.444785</v>
      </c>
      <c r="AF10" s="4"/>
      <c r="AG10" s="4"/>
      <c r="AH10" s="646">
        <f t="shared" ref="AH10:AQ14" si="9">V10/V$289</f>
        <v>7.6658368984889369E-2</v>
      </c>
      <c r="AI10" s="646">
        <f t="shared" si="9"/>
        <v>7.6050550916389945E-2</v>
      </c>
      <c r="AJ10" s="646">
        <f t="shared" si="9"/>
        <v>7.5265710193466215E-2</v>
      </c>
      <c r="AK10" s="646">
        <f t="shared" si="9"/>
        <v>7.6879313393142246E-2</v>
      </c>
      <c r="AL10" s="646">
        <f t="shared" si="9"/>
        <v>6.6619762351949843E-2</v>
      </c>
      <c r="AM10" s="646">
        <f t="shared" si="9"/>
        <v>6.4280544462529926E-2</v>
      </c>
      <c r="AN10" s="646">
        <f t="shared" si="9"/>
        <v>8.2335271519887995E-2</v>
      </c>
      <c r="AO10" s="646">
        <f t="shared" si="9"/>
        <v>8.9344578038761974E-2</v>
      </c>
      <c r="AP10" s="646">
        <f t="shared" si="9"/>
        <v>0.12876068844047103</v>
      </c>
      <c r="AQ10" s="646">
        <f t="shared" si="9"/>
        <v>0.14370285554238216</v>
      </c>
      <c r="AR10" s="546"/>
      <c r="AS10" s="4"/>
      <c r="AT10" s="1099">
        <v>2</v>
      </c>
      <c r="AU10" s="573">
        <f>HLOOKUP(AU$8,'Банк. система_ввод'!$G$164:$W$194,2,0)</f>
        <v>478.50438600000001</v>
      </c>
      <c r="AV10" s="573">
        <f>HLOOKUP(AV$8,'Банк. система_ввод'!$G$164:$W$194,2,0)</f>
        <v>572.27632700000004</v>
      </c>
      <c r="AW10" s="573">
        <f>HLOOKUP(AW$8,'Банк. система_ввод'!$G$164:$W$194,2,0)</f>
        <v>661.06027399999994</v>
      </c>
      <c r="AX10" s="573">
        <f>HLOOKUP(AX$8,'Банк. система_ввод'!$G$164:$W$194,2,0)</f>
        <v>705.39843599999995</v>
      </c>
      <c r="AY10" s="573">
        <f>HLOOKUP(AY$8,'Банк. система_ввод'!$G$164:$W$194,2,0)</f>
        <v>603.76560300000006</v>
      </c>
      <c r="AZ10" s="573">
        <f>HLOOKUP(AZ$8,'Банк. система_ввод'!$G$164:$W$194,2,0)</f>
        <v>563.56889000000001</v>
      </c>
      <c r="BA10" s="573">
        <f>HLOOKUP(BA$8,'Банк. система_ввод'!$G$164:$W$194,2,0)</f>
        <v>750.89358300000004</v>
      </c>
      <c r="BB10" s="573">
        <f>HLOOKUP(BB$8,'Банк. система_ввод'!$G$164:$W$194,2,0)</f>
        <v>1149.9923349999999</v>
      </c>
      <c r="BC10" s="573">
        <f>HLOOKUP(BC$8,'Банк. система_ввод'!$G$164:$W$194,2,0)</f>
        <v>1267.795001</v>
      </c>
      <c r="BD10" s="573">
        <f>HLOOKUP(BD$8,'Банк. система_ввод'!$G$164:$W$194,2,0)</f>
        <v>1246.2846386666668</v>
      </c>
      <c r="BE10" s="4"/>
      <c r="BF10" s="4"/>
      <c r="BG10" s="646">
        <f t="shared" ref="BG10:BP10" si="10">AU10/AU$289</f>
        <v>3.0360614065787349E-2</v>
      </c>
      <c r="BH10" s="646">
        <f t="shared" si="10"/>
        <v>3.3471256306114458E-2</v>
      </c>
      <c r="BI10" s="646">
        <f t="shared" si="10"/>
        <v>3.7391977457294882E-2</v>
      </c>
      <c r="BJ10" s="646">
        <f t="shared" si="10"/>
        <v>3.855896860014936E-2</v>
      </c>
      <c r="BK10" s="646">
        <f t="shared" si="10"/>
        <v>2.9805588480817567E-2</v>
      </c>
      <c r="BL10" s="646">
        <f t="shared" si="10"/>
        <v>2.472428432581153E-2</v>
      </c>
      <c r="BM10" s="646">
        <f t="shared" si="10"/>
        <v>3.1740108536408733E-2</v>
      </c>
      <c r="BN10" s="646">
        <f t="shared" si="10"/>
        <v>4.86647690516534E-2</v>
      </c>
      <c r="BO10" s="646">
        <f t="shared" si="10"/>
        <v>5.346715015839567E-2</v>
      </c>
      <c r="BP10" s="646">
        <f t="shared" si="10"/>
        <v>5.144175896688695E-2</v>
      </c>
      <c r="BQ10" s="4"/>
      <c r="BR10" s="528"/>
      <c r="BS10" s="4"/>
      <c r="BT10" s="4"/>
      <c r="BU10" s="4"/>
    </row>
    <row r="11" spans="1:73" outlineLevel="1" x14ac:dyDescent="0.25">
      <c r="A11" s="489"/>
      <c r="B11" s="489" t="s">
        <v>4</v>
      </c>
      <c r="C11" s="492" t="s">
        <v>579</v>
      </c>
      <c r="D11" s="492"/>
      <c r="E11" s="499"/>
      <c r="F11" s="1702"/>
      <c r="G11" s="1702">
        <f>Ввод!H75/VLOOKUP(Баланс!$B$7,Баланс!$A$1:$B$3,2,0)</f>
        <v>2.2901980000000002</v>
      </c>
      <c r="H11" s="1702">
        <f>Ввод!I75/VLOOKUP(Баланс!$B$7,Баланс!$A$1:$B$3,2,0)</f>
        <v>5.2362260000000003</v>
      </c>
      <c r="I11" s="1702">
        <f>Ввод!J75/VLOOKUP(Баланс!$B$7,Баланс!$A$1:$B$3,2,0)</f>
        <v>8.626417</v>
      </c>
      <c r="J11" s="1702">
        <f>Ввод!K75/VLOOKUP(Баланс!$B$7,Баланс!$A$1:$B$3,2,0)</f>
        <v>4.6873199999999997</v>
      </c>
      <c r="K11" s="1702">
        <f>Ввод!L75/VLOOKUP(Баланс!$B$7,Баланс!$A$1:$B$3,2,0)</f>
        <v>3.4663379999999999</v>
      </c>
      <c r="L11" s="1702">
        <f>Ввод!M75/VLOOKUP(Баланс!$B$7,Баланс!$A$1:$B$3,2,0)</f>
        <v>9.3721910000000008</v>
      </c>
      <c r="M11" s="1702">
        <f>Ввод!N75/VLOOKUP(Баланс!$B$7,Баланс!$A$1:$B$3,2,0)</f>
        <v>20.637091999999999</v>
      </c>
      <c r="N11" s="1702">
        <f>Ввод!O75/VLOOKUP(Баланс!$B$7,Баланс!$A$1:$B$3,2,0)</f>
        <v>35.677312999999998</v>
      </c>
      <c r="O11" s="1702">
        <f>Ввод!P75/VLOOKUP(Баланс!$B$7,Баланс!$A$1:$B$3,2,0)</f>
        <v>0</v>
      </c>
      <c r="P11" s="1702"/>
      <c r="Q11" s="497"/>
      <c r="R11" s="647">
        <f t="shared" si="8"/>
        <v>4.0331771347887471E-2</v>
      </c>
      <c r="S11" s="4"/>
      <c r="T11" s="66"/>
      <c r="U11" s="1026">
        <v>4</v>
      </c>
      <c r="V11" s="573">
        <f>HLOOKUP(V$8,'Банк. система_ввод'!$K$94:$W$151,$U11,0)</f>
        <v>0</v>
      </c>
      <c r="W11" s="573">
        <f>HLOOKUP(W$8,'Банк. система_ввод'!$K$94:$W$151,$U11,0)</f>
        <v>0</v>
      </c>
      <c r="X11" s="574">
        <f>HLOOKUP(X$8,'Банк. система_ввод'!$K$94:$W$151,$U11,0)</f>
        <v>608.276881</v>
      </c>
      <c r="Y11" s="574">
        <f>HLOOKUP(Y$8,'Банк. система_ввод'!$K$94:$W$151,$U11,0)</f>
        <v>619.35034399999995</v>
      </c>
      <c r="Z11" s="574">
        <f>HLOOKUP(Z$8,'Банк. система_ввод'!$K$94:$W$151,$U11,0)</f>
        <v>436.440968</v>
      </c>
      <c r="AA11" s="574">
        <f>HLOOKUP(AA$8,'Банк. система_ввод'!$K$94:$W$151,$U11,0)</f>
        <v>518.26000999999997</v>
      </c>
      <c r="AB11" s="574">
        <f>HLOOKUP(AB$8,'Банк. система_ввод'!$K$94:$W$151,$U11,0)</f>
        <v>1174.717388</v>
      </c>
      <c r="AC11" s="574">
        <f>HLOOKUP(AC$8,'Банк. система_ввод'!$K$94:$W$151,$U11,0)</f>
        <v>1619.8675910000002</v>
      </c>
      <c r="AD11" s="574">
        <f>HLOOKUP(AD$8,'Банк. система_ввод'!$K$94:$W$151,$U11,0)</f>
        <v>3494.2594530000001</v>
      </c>
      <c r="AE11" s="574">
        <f>HLOOKUP(AE$8,'Банк. система_ввод'!$K$94:$W$151,$U11,0)</f>
        <v>4008.25146</v>
      </c>
      <c r="AF11" s="43"/>
      <c r="AG11" s="4"/>
      <c r="AH11" s="1908">
        <f t="shared" si="9"/>
        <v>0</v>
      </c>
      <c r="AI11" s="1908">
        <f t="shared" si="9"/>
        <v>0</v>
      </c>
      <c r="AJ11" s="1908">
        <f t="shared" si="9"/>
        <v>7.4092861180316601E-3</v>
      </c>
      <c r="AK11" s="1908">
        <f t="shared" si="9"/>
        <v>7.0771505150893773E-3</v>
      </c>
      <c r="AL11" s="1908">
        <f t="shared" si="9"/>
        <v>4.5269447372074416E-3</v>
      </c>
      <c r="AM11" s="1908">
        <f t="shared" si="9"/>
        <v>4.6157890830327529E-3</v>
      </c>
      <c r="AN11" s="1908">
        <f t="shared" si="9"/>
        <v>9.2006581952456031E-3</v>
      </c>
      <c r="AO11" s="1908">
        <f t="shared" si="9"/>
        <v>1.0704600927226018E-2</v>
      </c>
      <c r="AP11" s="1908">
        <f t="shared" si="9"/>
        <v>1.9037817062069962E-2</v>
      </c>
      <c r="AQ11" s="1908">
        <f t="shared" si="9"/>
        <v>1.9546236142978127E-2</v>
      </c>
      <c r="AR11" s="1085"/>
      <c r="AS11" s="4"/>
      <c r="AT11" s="1099"/>
      <c r="AU11" s="574"/>
      <c r="AV11" s="574"/>
      <c r="AW11" s="574"/>
      <c r="AX11" s="574"/>
      <c r="AY11" s="574"/>
      <c r="AZ11" s="574"/>
      <c r="BA11" s="574"/>
      <c r="BB11" s="574"/>
      <c r="BC11" s="574"/>
      <c r="BD11" s="574"/>
      <c r="BE11" s="43"/>
      <c r="BF11" s="4"/>
      <c r="BG11" s="647"/>
      <c r="BH11" s="647"/>
      <c r="BI11" s="647"/>
      <c r="BJ11" s="647"/>
      <c r="BK11" s="647"/>
      <c r="BL11" s="647"/>
      <c r="BM11" s="647"/>
      <c r="BN11" s="647"/>
      <c r="BO11" s="647"/>
      <c r="BP11" s="647"/>
      <c r="BQ11" s="4"/>
      <c r="BR11" s="528"/>
      <c r="BS11" s="4"/>
      <c r="BT11" s="4"/>
      <c r="BU11" s="4"/>
    </row>
    <row r="12" spans="1:73" outlineLevel="1" x14ac:dyDescent="0.25">
      <c r="A12" s="489"/>
      <c r="B12" s="489" t="s">
        <v>5</v>
      </c>
      <c r="C12" s="492" t="s">
        <v>580</v>
      </c>
      <c r="D12" s="492"/>
      <c r="E12" s="499"/>
      <c r="F12" s="1702"/>
      <c r="G12" s="1702">
        <f>Ввод!H76/VLOOKUP(Баланс!$B$7,Баланс!$A$1:$B$3,2,0)</f>
        <v>23.222286</v>
      </c>
      <c r="H12" s="1702">
        <f>Ввод!I76/VLOOKUP(Баланс!$B$7,Баланс!$A$1:$B$3,2,0)</f>
        <v>20.227846</v>
      </c>
      <c r="I12" s="1702">
        <f>Ввод!J76/VLOOKUP(Баланс!$B$7,Баланс!$A$1:$B$3,2,0)</f>
        <v>18.769587999999999</v>
      </c>
      <c r="J12" s="1702">
        <f>Ввод!K76/VLOOKUP(Баланс!$B$7,Баланс!$A$1:$B$3,2,0)</f>
        <v>19.162845000000001</v>
      </c>
      <c r="K12" s="1702">
        <f>Ввод!L76/VLOOKUP(Баланс!$B$7,Баланс!$A$1:$B$3,2,0)</f>
        <v>19.636002000000001</v>
      </c>
      <c r="L12" s="1702">
        <f>Ввод!M76/VLOOKUP(Баланс!$B$7,Баланс!$A$1:$B$3,2,0)</f>
        <v>31.379804</v>
      </c>
      <c r="M12" s="1702">
        <f>Ввод!N76/VLOOKUP(Баланс!$B$7,Баланс!$A$1:$B$3,2,0)</f>
        <v>40.192349</v>
      </c>
      <c r="N12" s="1702">
        <f>Ввод!O76/VLOOKUP(Баланс!$B$7,Баланс!$A$1:$B$3,2,0)</f>
        <v>61.806668000000002</v>
      </c>
      <c r="O12" s="1702">
        <f>Ввод!P76/VLOOKUP(Баланс!$B$7,Баланс!$A$1:$B$3,2,0)</f>
        <v>0</v>
      </c>
      <c r="P12" s="1702"/>
      <c r="Q12" s="499"/>
      <c r="R12" s="647">
        <f t="shared" si="8"/>
        <v>6.986995914044293E-2</v>
      </c>
      <c r="S12" s="9"/>
      <c r="T12" s="66"/>
      <c r="U12" s="1026">
        <v>5</v>
      </c>
      <c r="V12" s="573">
        <f>HLOOKUP(V$8,'Банк. система_ввод'!$K$94:$W$151,$U12,0)</f>
        <v>0</v>
      </c>
      <c r="W12" s="573">
        <f>HLOOKUP(W$8,'Банк. система_ввод'!$K$94:$W$151,$U12,0)</f>
        <v>0</v>
      </c>
      <c r="X12" s="574">
        <f>HLOOKUP(X$8,'Банк. система_ввод'!$K$94:$W$151,$U12,0)</f>
        <v>4844.695009</v>
      </c>
      <c r="Y12" s="574">
        <f>HLOOKUP(Y$8,'Банк. система_ввод'!$K$94:$W$151,$U12,0)</f>
        <v>5339.0922379999993</v>
      </c>
      <c r="Z12" s="574">
        <f>HLOOKUP(Z$8,'Банк. система_ввод'!$K$94:$W$151,$U12,0)</f>
        <v>5248.3828909999993</v>
      </c>
      <c r="AA12" s="574">
        <f>HLOOKUP(AA$8,'Банк. система_ввод'!$K$94:$W$151,$U12,0)</f>
        <v>5731.1741550000006</v>
      </c>
      <c r="AB12" s="574">
        <f>HLOOKUP(AB$8,'Банк. система_ввод'!$K$94:$W$151,$U12,0)</f>
        <v>8040.0349850000002</v>
      </c>
      <c r="AC12" s="574">
        <f>HLOOKUP(AC$8,'Банк. система_ввод'!$K$94:$W$151,$U12,0)</f>
        <v>10183.386761999998</v>
      </c>
      <c r="AD12" s="574">
        <f>HLOOKUP(AD$8,'Банк. система_ввод'!$K$94:$W$151,$U12,0)</f>
        <v>17425.323630999999</v>
      </c>
      <c r="AE12" s="574">
        <f>HLOOKUP(AE$8,'Банк. система_ввод'!$K$94:$W$151,$U12,0)</f>
        <v>21636.204077999999</v>
      </c>
      <c r="AF12" s="241"/>
      <c r="AG12" s="4"/>
      <c r="AH12" s="1908">
        <f t="shared" si="9"/>
        <v>0</v>
      </c>
      <c r="AI12" s="1908">
        <f t="shared" si="9"/>
        <v>0</v>
      </c>
      <c r="AJ12" s="1908">
        <f t="shared" si="9"/>
        <v>5.901215811008436E-2</v>
      </c>
      <c r="AK12" s="1908">
        <f t="shared" si="9"/>
        <v>6.1008377162169447E-2</v>
      </c>
      <c r="AL12" s="1908">
        <f t="shared" si="9"/>
        <v>5.4438380100151423E-2</v>
      </c>
      <c r="AM12" s="1908">
        <f t="shared" si="9"/>
        <v>5.1043666474687999E-2</v>
      </c>
      <c r="AN12" s="1908">
        <f t="shared" si="9"/>
        <v>6.2971412980227043E-2</v>
      </c>
      <c r="AO12" s="1908">
        <f t="shared" si="9"/>
        <v>6.7295062868386213E-2</v>
      </c>
      <c r="AP12" s="1908">
        <f t="shared" si="9"/>
        <v>9.4938606590740382E-2</v>
      </c>
      <c r="AQ12" s="1908">
        <f t="shared" si="9"/>
        <v>0.10550893784150318</v>
      </c>
      <c r="AR12" s="1085"/>
      <c r="AS12" s="4"/>
      <c r="AT12" s="1099"/>
      <c r="AU12" s="574"/>
      <c r="AV12" s="574"/>
      <c r="AW12" s="574"/>
      <c r="AX12" s="574"/>
      <c r="AY12" s="574"/>
      <c r="AZ12" s="574"/>
      <c r="BA12" s="574"/>
      <c r="BB12" s="574"/>
      <c r="BC12" s="574"/>
      <c r="BD12" s="574"/>
      <c r="BE12" s="241"/>
      <c r="BF12" s="4"/>
      <c r="BG12" s="647"/>
      <c r="BH12" s="647"/>
      <c r="BI12" s="647"/>
      <c r="BJ12" s="647"/>
      <c r="BK12" s="647"/>
      <c r="BL12" s="647"/>
      <c r="BM12" s="647"/>
      <c r="BN12" s="647"/>
      <c r="BO12" s="647"/>
      <c r="BP12" s="647"/>
      <c r="BQ12" s="4"/>
      <c r="BR12" s="4"/>
      <c r="BS12" s="4"/>
      <c r="BT12" s="4"/>
      <c r="BU12" s="4"/>
    </row>
    <row r="13" spans="1:73" outlineLevel="1" x14ac:dyDescent="0.25">
      <c r="A13" s="489"/>
      <c r="B13" s="489" t="s">
        <v>14</v>
      </c>
      <c r="C13" s="492" t="s">
        <v>581</v>
      </c>
      <c r="D13" s="492"/>
      <c r="E13" s="499"/>
      <c r="F13" s="1702"/>
      <c r="G13" s="1702">
        <f>Ввод!H77/VLOOKUP(Баланс!$B$7,Баланс!$A$1:$B$3,2,0)</f>
        <v>0</v>
      </c>
      <c r="H13" s="1702">
        <f>Ввод!I77/VLOOKUP(Баланс!$B$7,Баланс!$A$1:$B$3,2,0)</f>
        <v>0</v>
      </c>
      <c r="I13" s="1702">
        <f>Ввод!J77/VLOOKUP(Баланс!$B$7,Баланс!$A$1:$B$3,2,0)</f>
        <v>0</v>
      </c>
      <c r="J13" s="1702">
        <f>Ввод!K77/VLOOKUP(Баланс!$B$7,Баланс!$A$1:$B$3,2,0)</f>
        <v>0</v>
      </c>
      <c r="K13" s="1702">
        <f>Ввод!L77/VLOOKUP(Баланс!$B$7,Баланс!$A$1:$B$3,2,0)</f>
        <v>0</v>
      </c>
      <c r="L13" s="1702">
        <f>Ввод!M77/VLOOKUP(Баланс!$B$7,Баланс!$A$1:$B$3,2,0)</f>
        <v>0</v>
      </c>
      <c r="M13" s="1702">
        <f>Ввод!N77/VLOOKUP(Баланс!$B$7,Баланс!$A$1:$B$3,2,0)</f>
        <v>0</v>
      </c>
      <c r="N13" s="1702">
        <f>Ввод!O77/VLOOKUP(Баланс!$B$7,Баланс!$A$1:$B$3,2,0)</f>
        <v>0</v>
      </c>
      <c r="O13" s="1702">
        <f>Ввод!P77/VLOOKUP(Баланс!$B$7,Баланс!$A$1:$B$3,2,0)</f>
        <v>0</v>
      </c>
      <c r="P13" s="1702"/>
      <c r="Q13" s="497"/>
      <c r="R13" s="647">
        <f t="shared" si="8"/>
        <v>0</v>
      </c>
      <c r="S13" s="9"/>
      <c r="T13" s="66"/>
      <c r="U13" s="1026">
        <v>10</v>
      </c>
      <c r="V13" s="574">
        <f>HLOOKUP(V$8,'Банк. система_ввод'!$K$94:$W$151,$U13,0)</f>
        <v>0</v>
      </c>
      <c r="W13" s="574">
        <f>HLOOKUP(W$8,'Банк. система_ввод'!$K$94:$W$151,$U13,0)</f>
        <v>0</v>
      </c>
      <c r="X13" s="574">
        <f>HLOOKUP(X$8,'Банк. система_ввод'!$K$94:$W$151,$U13,0)</f>
        <v>0</v>
      </c>
      <c r="Y13" s="574">
        <f>HLOOKUP(Y$8,'Банк. система_ввод'!$K$94:$W$151,$U13,0)</f>
        <v>0</v>
      </c>
      <c r="Z13" s="574">
        <f>HLOOKUP(Z$8,'Банк. система_ввод'!$K$94:$W$151,$U13,0)</f>
        <v>0</v>
      </c>
      <c r="AA13" s="574">
        <f>HLOOKUP(AA$8,'Банк. система_ввод'!$K$94:$W$151,$U13,0)</f>
        <v>0</v>
      </c>
      <c r="AB13" s="574">
        <f>HLOOKUP(AB$8,'Банк. система_ввод'!$K$94:$W$151,$U13,0)</f>
        <v>0</v>
      </c>
      <c r="AC13" s="574">
        <f>HLOOKUP(AC$8,'Банк. система_ввод'!$K$94:$W$151,$U13,0)</f>
        <v>0</v>
      </c>
      <c r="AD13" s="574">
        <f>HLOOKUP(AD$8,'Банк. система_ввод'!$K$94:$W$151,$U13,0)</f>
        <v>0</v>
      </c>
      <c r="AE13" s="574">
        <f>HLOOKUP(AE$8,'Банк. система_ввод'!$K$94:$W$151,$U13,0)</f>
        <v>0</v>
      </c>
      <c r="AF13" s="43"/>
      <c r="AG13" s="4"/>
      <c r="AH13" s="1908">
        <f t="shared" si="9"/>
        <v>0</v>
      </c>
      <c r="AI13" s="1908">
        <f t="shared" si="9"/>
        <v>0</v>
      </c>
      <c r="AJ13" s="1908">
        <f t="shared" si="9"/>
        <v>0</v>
      </c>
      <c r="AK13" s="1908">
        <f t="shared" si="9"/>
        <v>0</v>
      </c>
      <c r="AL13" s="1908">
        <f t="shared" si="9"/>
        <v>0</v>
      </c>
      <c r="AM13" s="1908">
        <f t="shared" si="9"/>
        <v>0</v>
      </c>
      <c r="AN13" s="1908">
        <f t="shared" si="9"/>
        <v>0</v>
      </c>
      <c r="AO13" s="1908">
        <f t="shared" si="9"/>
        <v>0</v>
      </c>
      <c r="AP13" s="1908">
        <f t="shared" si="9"/>
        <v>0</v>
      </c>
      <c r="AQ13" s="1908">
        <f t="shared" si="9"/>
        <v>0</v>
      </c>
      <c r="AR13" s="1085"/>
      <c r="AS13" s="4"/>
      <c r="AT13" s="1099"/>
      <c r="AU13" s="574"/>
      <c r="AV13" s="574"/>
      <c r="AW13" s="574"/>
      <c r="AX13" s="574"/>
      <c r="AY13" s="574"/>
      <c r="AZ13" s="574"/>
      <c r="BA13" s="574"/>
      <c r="BB13" s="574"/>
      <c r="BC13" s="574"/>
      <c r="BD13" s="574"/>
      <c r="BE13" s="43"/>
      <c r="BF13" s="4"/>
      <c r="BG13" s="647"/>
      <c r="BH13" s="647"/>
      <c r="BI13" s="647"/>
      <c r="BJ13" s="647"/>
      <c r="BK13" s="647"/>
      <c r="BL13" s="647"/>
      <c r="BM13" s="647"/>
      <c r="BN13" s="647"/>
      <c r="BO13" s="647"/>
      <c r="BP13" s="647"/>
      <c r="BQ13" s="4"/>
      <c r="BR13" s="4"/>
      <c r="BS13" s="4"/>
      <c r="BT13" s="4"/>
      <c r="BU13" s="4"/>
    </row>
    <row r="14" spans="1:73" outlineLevel="1" x14ac:dyDescent="0.25">
      <c r="A14" s="854"/>
      <c r="B14" s="489" t="s">
        <v>540</v>
      </c>
      <c r="C14" s="492" t="s">
        <v>582</v>
      </c>
      <c r="D14" s="492"/>
      <c r="E14" s="499"/>
      <c r="F14" s="1702"/>
      <c r="G14" s="1702">
        <f>Ввод!H78/VLOOKUP(Баланс!$B$7,Баланс!$A$1:$B$3,2,0)</f>
        <v>6.7648900000000003</v>
      </c>
      <c r="H14" s="1702">
        <f>Ввод!I78/VLOOKUP(Баланс!$B$7,Баланс!$A$1:$B$3,2,0)</f>
        <v>7.23203</v>
      </c>
      <c r="I14" s="1702">
        <f>Ввод!J78/VLOOKUP(Баланс!$B$7,Баланс!$A$1:$B$3,2,0)</f>
        <v>7.4941240000000002</v>
      </c>
      <c r="J14" s="1702">
        <f>Ввод!K78/VLOOKUP(Баланс!$B$7,Баланс!$A$1:$B$3,2,0)</f>
        <v>11.214114</v>
      </c>
      <c r="K14" s="1702">
        <f>Ввод!L78/VLOOKUP(Баланс!$B$7,Баланс!$A$1:$B$3,2,0)</f>
        <v>11.376599000000001</v>
      </c>
      <c r="L14" s="1702">
        <f>Ввод!M78/VLOOKUP(Баланс!$B$7,Баланс!$A$1:$B$3,2,0)</f>
        <v>11.364865</v>
      </c>
      <c r="M14" s="1702">
        <f>Ввод!N78/VLOOKUP(Баланс!$B$7,Баланс!$A$1:$B$3,2,0)</f>
        <v>9.5238790000000009</v>
      </c>
      <c r="N14" s="1702">
        <f>Ввод!O78/VLOOKUP(Баланс!$B$7,Баланс!$A$1:$B$3,2,0)</f>
        <v>22.094632000000001</v>
      </c>
      <c r="O14" s="1702">
        <f>Ввод!P78/VLOOKUP(Баланс!$B$7,Баланс!$A$1:$B$3,2,0)</f>
        <v>0</v>
      </c>
      <c r="P14" s="1702"/>
      <c r="Q14" s="497"/>
      <c r="R14" s="647">
        <f t="shared" si="8"/>
        <v>2.4977095271712803E-2</v>
      </c>
      <c r="S14" s="9"/>
      <c r="T14" s="66"/>
      <c r="U14" s="1026">
        <v>11</v>
      </c>
      <c r="V14" s="574">
        <f>HLOOKUP(V$8,'Банк. система_ввод'!$K$94:$W$151,$U14,0)</f>
        <v>0</v>
      </c>
      <c r="W14" s="574">
        <f>HLOOKUP(W$8,'Банк. система_ввод'!$K$94:$W$151,$U14,0)</f>
        <v>0</v>
      </c>
      <c r="X14" s="574">
        <f>HLOOKUP(X$8,'Банк. система_ввод'!$K$94:$W$151,$U14,0)</f>
        <v>726.08378600000003</v>
      </c>
      <c r="Y14" s="574">
        <f>HLOOKUP(Y$8,'Банк. система_ввод'!$K$94:$W$151,$U14,0)</f>
        <v>769.58010100000001</v>
      </c>
      <c r="Z14" s="574">
        <f>HLOOKUP(Z$8,'Банк. система_ввод'!$K$94:$W$151,$U14,0)</f>
        <v>737.961321</v>
      </c>
      <c r="AA14" s="574">
        <f>HLOOKUP(AA$8,'Банк. система_ввод'!$K$94:$W$151,$U14,0)</f>
        <v>967.97438999999997</v>
      </c>
      <c r="AB14" s="574">
        <f>HLOOKUP(AB$8,'Банк. система_ввод'!$K$94:$W$151,$U14,0)</f>
        <v>1297.6124</v>
      </c>
      <c r="AC14" s="574">
        <f>HLOOKUP(AC$8,'Банк. система_ввод'!$K$94:$W$151,$U14,0)</f>
        <v>1716.7626359999999</v>
      </c>
      <c r="AD14" s="574">
        <f>HLOOKUP(AD$8,'Банк. система_ввод'!$K$94:$W$151,$U14,0)</f>
        <v>2713.5493959999999</v>
      </c>
      <c r="AE14" s="574">
        <f>HLOOKUP(AE$8,'Банк. система_ввод'!$K$94:$W$151,$U14,0)</f>
        <v>3823.989247</v>
      </c>
      <c r="AF14" s="43"/>
      <c r="AG14" s="4"/>
      <c r="AH14" s="1908">
        <f t="shared" si="9"/>
        <v>0</v>
      </c>
      <c r="AI14" s="1908">
        <f t="shared" si="9"/>
        <v>0</v>
      </c>
      <c r="AJ14" s="1908">
        <f t="shared" si="9"/>
        <v>8.8442659653501961E-3</v>
      </c>
      <c r="AK14" s="1908">
        <f t="shared" si="9"/>
        <v>8.7937857158834239E-3</v>
      </c>
      <c r="AL14" s="1908">
        <f t="shared" si="9"/>
        <v>7.6544375145909801E-3</v>
      </c>
      <c r="AM14" s="1908">
        <f t="shared" si="9"/>
        <v>8.6210889048091675E-3</v>
      </c>
      <c r="AN14" s="1908">
        <f t="shared" si="9"/>
        <v>1.0163200344415363E-2</v>
      </c>
      <c r="AO14" s="1908">
        <f t="shared" si="9"/>
        <v>1.1344914243149753E-2</v>
      </c>
      <c r="AP14" s="1908">
        <f t="shared" si="9"/>
        <v>1.4784264787660699E-2</v>
      </c>
      <c r="AQ14" s="1908">
        <f t="shared" si="9"/>
        <v>1.8647681557900839E-2</v>
      </c>
      <c r="AR14" s="1085"/>
      <c r="AS14" s="4"/>
      <c r="AT14" s="1099"/>
      <c r="AU14" s="574"/>
      <c r="AV14" s="574"/>
      <c r="AW14" s="574"/>
      <c r="AX14" s="574"/>
      <c r="AY14" s="574"/>
      <c r="AZ14" s="574"/>
      <c r="BA14" s="574"/>
      <c r="BB14" s="574"/>
      <c r="BC14" s="574"/>
      <c r="BD14" s="574"/>
      <c r="BE14" s="43"/>
      <c r="BF14" s="4"/>
      <c r="BG14" s="647"/>
      <c r="BH14" s="647"/>
      <c r="BI14" s="647"/>
      <c r="BJ14" s="647"/>
      <c r="BK14" s="647"/>
      <c r="BL14" s="647"/>
      <c r="BM14" s="647"/>
      <c r="BN14" s="647"/>
      <c r="BO14" s="647"/>
      <c r="BP14" s="647"/>
      <c r="BQ14" s="4"/>
      <c r="BR14" s="4"/>
      <c r="BS14" s="4"/>
      <c r="BT14" s="4"/>
      <c r="BU14" s="4"/>
    </row>
    <row r="15" spans="1:73" outlineLevel="1" x14ac:dyDescent="0.25">
      <c r="A15" s="854"/>
      <c r="B15" s="489"/>
      <c r="C15" s="492"/>
      <c r="D15" s="492"/>
      <c r="E15" s="497"/>
      <c r="F15" s="1702"/>
      <c r="G15" s="1702"/>
      <c r="H15" s="1702"/>
      <c r="I15" s="1702"/>
      <c r="J15" s="1702"/>
      <c r="K15" s="1702"/>
      <c r="L15" s="1702"/>
      <c r="M15" s="1702"/>
      <c r="N15" s="1702"/>
      <c r="O15" s="1702"/>
      <c r="P15" s="1702"/>
      <c r="Q15" s="497"/>
      <c r="R15" s="647">
        <f t="shared" si="8"/>
        <v>0</v>
      </c>
      <c r="S15" s="9"/>
      <c r="T15" s="66"/>
      <c r="U15" s="1026"/>
      <c r="V15" s="574"/>
      <c r="W15" s="574"/>
      <c r="X15" s="574"/>
      <c r="Y15" s="574"/>
      <c r="Z15" s="574"/>
      <c r="AA15" s="574"/>
      <c r="AB15" s="574"/>
      <c r="AC15" s="574"/>
      <c r="AD15" s="574"/>
      <c r="AE15" s="574"/>
      <c r="AF15" s="43"/>
      <c r="AG15" s="4"/>
      <c r="AH15" s="1908"/>
      <c r="AI15" s="1908"/>
      <c r="AJ15" s="1908"/>
      <c r="AK15" s="1908"/>
      <c r="AL15" s="1908"/>
      <c r="AM15" s="1908"/>
      <c r="AN15" s="1908"/>
      <c r="AO15" s="1908"/>
      <c r="AP15" s="1908"/>
      <c r="AQ15" s="1908"/>
      <c r="AR15" s="1085"/>
      <c r="AS15" s="4"/>
      <c r="AT15" s="1099"/>
      <c r="AU15" s="574"/>
      <c r="AV15" s="574"/>
      <c r="AW15" s="574"/>
      <c r="AX15" s="574"/>
      <c r="AY15" s="574"/>
      <c r="AZ15" s="574"/>
      <c r="BA15" s="574"/>
      <c r="BB15" s="574"/>
      <c r="BC15" s="574"/>
      <c r="BD15" s="574"/>
      <c r="BE15" s="43"/>
      <c r="BF15" s="4"/>
      <c r="BG15" s="647"/>
      <c r="BH15" s="647"/>
      <c r="BI15" s="647"/>
      <c r="BJ15" s="647"/>
      <c r="BK15" s="647"/>
      <c r="BL15" s="647"/>
      <c r="BM15" s="647"/>
      <c r="BN15" s="647"/>
      <c r="BO15" s="647"/>
      <c r="BP15" s="647"/>
      <c r="BQ15" s="4"/>
      <c r="BR15" s="4"/>
      <c r="BS15" s="4"/>
      <c r="BT15" s="4"/>
      <c r="BU15" s="4"/>
    </row>
    <row r="16" spans="1:73" x14ac:dyDescent="0.25">
      <c r="A16" s="489">
        <v>2</v>
      </c>
      <c r="B16" s="489" t="s">
        <v>369</v>
      </c>
      <c r="C16" s="492"/>
      <c r="D16" s="492"/>
      <c r="E16" s="497"/>
      <c r="F16" s="1701"/>
      <c r="G16" s="1701">
        <f>-Ввод!H79/VLOOKUP(Баланс!$B$7,Баланс!$A$1:$B$3,2,0)</f>
        <v>-23.507935</v>
      </c>
      <c r="H16" s="1701">
        <f>-Ввод!I79/VLOOKUP(Баланс!$B$7,Баланс!$A$1:$B$3,2,0)</f>
        <v>-21.830036</v>
      </c>
      <c r="I16" s="1701">
        <f>-Ввод!J79/VLOOKUP(Баланс!$B$7,Баланс!$A$1:$B$3,2,0)</f>
        <v>-23.983878000000001</v>
      </c>
      <c r="J16" s="1701">
        <f>-Ввод!K79/VLOOKUP(Баланс!$B$7,Баланс!$A$1:$B$3,2,0)</f>
        <v>-21.867588999999999</v>
      </c>
      <c r="K16" s="1701">
        <f>-Ввод!L79/VLOOKUP(Баланс!$B$7,Баланс!$A$1:$B$3,2,0)</f>
        <v>-20.186164999999999</v>
      </c>
      <c r="L16" s="1701">
        <f>-Ввод!M79/VLOOKUP(Баланс!$B$7,Баланс!$A$1:$B$3,2,0)</f>
        <v>-37.110655000000001</v>
      </c>
      <c r="M16" s="1701">
        <f>-Ввод!N79/VLOOKUP(Баланс!$B$7,Баланс!$A$1:$B$3,2,0)</f>
        <v>-39.533602999999999</v>
      </c>
      <c r="N16" s="1701">
        <f>-Ввод!O79/VLOOKUP(Баланс!$B$7,Баланс!$A$1:$B$3,2,0)</f>
        <v>-75.149106000000003</v>
      </c>
      <c r="O16" s="1701">
        <f>-Ввод!P79/VLOOKUP(Баланс!$B$7,Баланс!$A$1:$B$3,2,0)</f>
        <v>0</v>
      </c>
      <c r="P16" s="1701"/>
      <c r="Q16" s="497"/>
      <c r="R16" s="647">
        <f t="shared" si="8"/>
        <v>-8.4953050141140352E-2</v>
      </c>
      <c r="S16" s="9"/>
      <c r="T16" s="66"/>
      <c r="U16" s="1026">
        <v>12</v>
      </c>
      <c r="V16" s="573">
        <f>HLOOKUP(V$8,'Банк. система_ввод'!$K$94:$W$151,$U16,0)</f>
        <v>-4162.3999999999996</v>
      </c>
      <c r="W16" s="573">
        <f>HLOOKUP(W$8,'Банк. система_ввод'!$K$94:$W$151,$U16,0)</f>
        <v>-3189</v>
      </c>
      <c r="X16" s="573">
        <f>HLOOKUP(X$8,'Банк. система_ввод'!$K$94:$W$151,$U16,0)</f>
        <v>-2989.4939359999998</v>
      </c>
      <c r="Y16" s="573">
        <f>HLOOKUP(Y$8,'Банк. система_ввод'!$K$94:$W$151,$U16,0)</f>
        <v>-3393.6431370000005</v>
      </c>
      <c r="Z16" s="573">
        <f>HLOOKUP(Z$8,'Банк. система_ввод'!$K$94:$W$151,$U16,0)</f>
        <v>-2809.154814</v>
      </c>
      <c r="AA16" s="573">
        <f>HLOOKUP(AA$8,'Банк. система_ввод'!$K$94:$W$151,$U16,0)</f>
        <v>-3136.2910659999998</v>
      </c>
      <c r="AB16" s="573">
        <f>HLOOKUP(AB$8,'Банк. система_ввод'!$K$94:$W$151,$U16,0)</f>
        <v>-6315.8199850000001</v>
      </c>
      <c r="AC16" s="573">
        <f>HLOOKUP(AC$8,'Банк. система_ввод'!$K$94:$W$151,$U16,0)</f>
        <v>-7518.9389119999996</v>
      </c>
      <c r="AD16" s="573">
        <f>HLOOKUP(AD$8,'Банк. система_ввод'!$K$94:$W$151,$U16,0)</f>
        <v>-16974.750474999997</v>
      </c>
      <c r="AE16" s="573">
        <f>HLOOKUP(AE$8,'Банк. система_ввод'!$K$94:$W$151,$U16,0)</f>
        <v>-21697.184987000001</v>
      </c>
      <c r="AF16" s="43"/>
      <c r="AG16" s="4"/>
      <c r="AH16" s="647">
        <f t="shared" ref="AH16:AQ22" si="11">V16/V$289</f>
        <v>-5.5168365964020805E-2</v>
      </c>
      <c r="AI16" s="647">
        <f t="shared" si="11"/>
        <v>-4.194559000888419E-2</v>
      </c>
      <c r="AJ16" s="647">
        <f t="shared" si="11"/>
        <v>-3.6414364267026329E-2</v>
      </c>
      <c r="AK16" s="647">
        <f t="shared" si="11"/>
        <v>-3.8778251288174123E-2</v>
      </c>
      <c r="AL16" s="647">
        <f t="shared" si="11"/>
        <v>-2.9137705975480856E-2</v>
      </c>
      <c r="AM16" s="647">
        <f t="shared" si="11"/>
        <v>-2.7932809370446999E-2</v>
      </c>
      <c r="AN16" s="647">
        <f t="shared" si="11"/>
        <v>-4.9466962435637508E-2</v>
      </c>
      <c r="AO16" s="647">
        <f t="shared" si="11"/>
        <v>-4.9687542917914315E-2</v>
      </c>
      <c r="AP16" s="647">
        <f t="shared" si="11"/>
        <v>-9.248374328354006E-2</v>
      </c>
      <c r="AQ16" s="647">
        <f t="shared" si="11"/>
        <v>-0.10580631121226657</v>
      </c>
      <c r="AR16" s="547"/>
      <c r="AS16" s="4"/>
      <c r="AT16" s="1099">
        <v>3</v>
      </c>
      <c r="AU16" s="573">
        <f>HLOOKUP(AU$8,'Банк. система_ввод'!$G$164:$W$194,3,0)</f>
        <v>-46.874995000000006</v>
      </c>
      <c r="AV16" s="573">
        <f>HLOOKUP(AV$8,'Банк. система_ввод'!$G$164:$W$194,3,0)</f>
        <v>-73.254159000000001</v>
      </c>
      <c r="AW16" s="573">
        <f>HLOOKUP(AW$8,'Банк. система_ввод'!$G$164:$W$194,3,0)</f>
        <v>-119.799216</v>
      </c>
      <c r="AX16" s="573">
        <f>HLOOKUP(AX$8,'Банк. система_ввод'!$G$164:$W$194,3,0)</f>
        <v>-158.730861</v>
      </c>
      <c r="AY16" s="573">
        <f>HLOOKUP(AY$8,'Банк. система_ввод'!$G$164:$W$194,3,0)</f>
        <v>-77.098649999999992</v>
      </c>
      <c r="AZ16" s="573">
        <f>HLOOKUP(AZ$8,'Банк. система_ввод'!$G$164:$W$194,3,0)</f>
        <v>-36.142634000000001</v>
      </c>
      <c r="BA16" s="573">
        <f>HLOOKUP(BA$8,'Банк. система_ввод'!$G$164:$W$194,3,0)</f>
        <v>-117.57908400000001</v>
      </c>
      <c r="BB16" s="573">
        <f>HLOOKUP(BB$8,'Банк. система_ввод'!$G$164:$W$194,3,0)</f>
        <v>-451.82950699999998</v>
      </c>
      <c r="BC16" s="573">
        <f>HLOOKUP(BC$8,'Банк. система_ввод'!$G$164:$W$194,3,0)</f>
        <v>-584.90418599999998</v>
      </c>
      <c r="BD16" s="573">
        <f>HLOOKUP(BD$8,'Банк. система_ввод'!$G$164:$W$194,3,0)</f>
        <v>-601.0450013333334</v>
      </c>
      <c r="BE16" s="43"/>
      <c r="BF16" s="4"/>
      <c r="BG16" s="647">
        <f t="shared" ref="BG16:BP16" si="12">AU16/AU$289</f>
        <v>-2.9741705074584454E-3</v>
      </c>
      <c r="BH16" s="647">
        <f t="shared" si="12"/>
        <v>-4.2844839384346247E-3</v>
      </c>
      <c r="BI16" s="647">
        <f t="shared" si="12"/>
        <v>-6.776280106757104E-3</v>
      </c>
      <c r="BJ16" s="647">
        <f t="shared" si="12"/>
        <v>-8.6766541755894586E-3</v>
      </c>
      <c r="BK16" s="647">
        <f t="shared" si="12"/>
        <v>-3.8060641793907974E-3</v>
      </c>
      <c r="BL16" s="647">
        <f t="shared" si="12"/>
        <v>-1.5856105174644095E-3</v>
      </c>
      <c r="BM16" s="647">
        <f t="shared" si="12"/>
        <v>-4.9700423232562361E-3</v>
      </c>
      <c r="BN16" s="647">
        <f t="shared" si="12"/>
        <v>-1.912028275290845E-2</v>
      </c>
      <c r="BO16" s="647">
        <f t="shared" si="12"/>
        <v>-2.4667363348545173E-2</v>
      </c>
      <c r="BP16" s="647">
        <f t="shared" si="12"/>
        <v>-2.4808788560468791E-2</v>
      </c>
      <c r="BQ16" s="547"/>
      <c r="BR16" s="4"/>
      <c r="BS16" s="4"/>
      <c r="BT16" s="4"/>
      <c r="BU16" s="4"/>
    </row>
    <row r="17" spans="1:73" outlineLevel="1" x14ac:dyDescent="0.25">
      <c r="A17" s="489"/>
      <c r="B17" s="493" t="s">
        <v>6</v>
      </c>
      <c r="C17" s="492" t="s">
        <v>584</v>
      </c>
      <c r="D17" s="492"/>
      <c r="E17" s="499"/>
      <c r="F17" s="1702"/>
      <c r="G17" s="1702">
        <f>-Ввод!H80/VLOOKUP(Баланс!$B$7,Баланс!$A$1:$B$3,2,0)</f>
        <v>-0.35211599999999998</v>
      </c>
      <c r="H17" s="1702">
        <f>-Ввод!I80/VLOOKUP(Баланс!$B$7,Баланс!$A$1:$B$3,2,0)</f>
        <v>-0.53734000000000004</v>
      </c>
      <c r="I17" s="1702">
        <f>-Ввод!J80/VLOOKUP(Баланс!$B$7,Баланс!$A$1:$B$3,2,0)</f>
        <v>-1.1275059999999999</v>
      </c>
      <c r="J17" s="1702">
        <f>-Ввод!K80/VLOOKUP(Баланс!$B$7,Баланс!$A$1:$B$3,2,0)</f>
        <v>-0.50176100000000001</v>
      </c>
      <c r="K17" s="1702">
        <f>-Ввод!L80/VLOOKUP(Баланс!$B$7,Баланс!$A$1:$B$3,2,0)</f>
        <v>-1.002505</v>
      </c>
      <c r="L17" s="1702">
        <f>-Ввод!M80/VLOOKUP(Баланс!$B$7,Баланс!$A$1:$B$3,2,0)</f>
        <v>-2.519571</v>
      </c>
      <c r="M17" s="1702">
        <f>-Ввод!N80/VLOOKUP(Баланс!$B$7,Баланс!$A$1:$B$3,2,0)</f>
        <v>-3.0721349999999998</v>
      </c>
      <c r="N17" s="1702">
        <f>-Ввод!O80/VLOOKUP(Баланс!$B$7,Баланс!$A$1:$B$3,2,0)</f>
        <v>-15.254448</v>
      </c>
      <c r="O17" s="1702">
        <f>-Ввод!P80/VLOOKUP(Баланс!$B$7,Баланс!$A$1:$B$3,2,0)</f>
        <v>0</v>
      </c>
      <c r="P17" s="1702"/>
      <c r="Q17" s="499"/>
      <c r="R17" s="647">
        <f t="shared" si="8"/>
        <v>-1.7244541615963043E-2</v>
      </c>
      <c r="S17" s="9"/>
      <c r="T17" s="66"/>
      <c r="U17" s="1026">
        <v>13</v>
      </c>
      <c r="V17" s="574">
        <f>HLOOKUP(V$8,'Банк. система_ввод'!$K$94:$W$151,$U17,0)</f>
        <v>0</v>
      </c>
      <c r="W17" s="574">
        <f>HLOOKUP(W$8,'Банк. система_ввод'!$K$94:$W$151,$U17,0)</f>
        <v>0</v>
      </c>
      <c r="X17" s="574">
        <f>HLOOKUP(X$8,'Банк. система_ввод'!$K$94:$W$151,$U17,0)</f>
        <v>-545.02932599999997</v>
      </c>
      <c r="Y17" s="574">
        <f>HLOOKUP(Y$8,'Банк. система_ввод'!$K$94:$W$151,$U17,0)</f>
        <v>-532.30959500000006</v>
      </c>
      <c r="Z17" s="574">
        <f>HLOOKUP(Z$8,'Банк. система_ввод'!$K$94:$W$151,$U17,0)</f>
        <v>-420.65905700000002</v>
      </c>
      <c r="AA17" s="574">
        <f>HLOOKUP(AA$8,'Банк. система_ввод'!$K$94:$W$151,$U17,0)</f>
        <v>-505.85505999999998</v>
      </c>
      <c r="AB17" s="574">
        <f>HLOOKUP(AB$8,'Банк. система_ввод'!$K$94:$W$151,$U17,0)</f>
        <v>-1122.5989770000001</v>
      </c>
      <c r="AC17" s="574">
        <f>HLOOKUP(AC$8,'Банк. система_ввод'!$K$94:$W$151,$U17,0)</f>
        <v>-1641.87194</v>
      </c>
      <c r="AD17" s="574">
        <f>HLOOKUP(AD$8,'Банк. система_ввод'!$K$94:$W$151,$U17,0)</f>
        <v>-3406.983373</v>
      </c>
      <c r="AE17" s="574">
        <f>HLOOKUP(AE$8,'Банк. система_ввод'!$K$94:$W$151,$U17,0)</f>
        <v>-3469.8282009999998</v>
      </c>
      <c r="AF17" s="241"/>
      <c r="AG17" s="4"/>
      <c r="AH17" s="1908">
        <f t="shared" si="11"/>
        <v>0</v>
      </c>
      <c r="AI17" s="1908">
        <f t="shared" si="11"/>
        <v>0</v>
      </c>
      <c r="AJ17" s="1908">
        <f t="shared" si="11"/>
        <v>-6.6388816428680809E-3</v>
      </c>
      <c r="AK17" s="1908">
        <f t="shared" si="11"/>
        <v>-6.0825591863096929E-3</v>
      </c>
      <c r="AL17" s="1908">
        <f t="shared" si="11"/>
        <v>-4.3632482829723609E-3</v>
      </c>
      <c r="AM17" s="1908">
        <f t="shared" si="11"/>
        <v>-4.5053066385439969E-3</v>
      </c>
      <c r="AN17" s="1908">
        <f t="shared" si="11"/>
        <v>-8.7924547497286055E-3</v>
      </c>
      <c r="AO17" s="1908">
        <f t="shared" si="11"/>
        <v>-1.0850012673233598E-2</v>
      </c>
      <c r="AP17" s="1908">
        <f t="shared" si="11"/>
        <v>-1.8562309714294723E-2</v>
      </c>
      <c r="AQ17" s="1908">
        <f t="shared" si="11"/>
        <v>-1.6920615402784878E-2</v>
      </c>
      <c r="AR17" s="1085"/>
      <c r="AS17" s="4"/>
      <c r="AT17" s="1099"/>
      <c r="AU17" s="574"/>
      <c r="AV17" s="574"/>
      <c r="AW17" s="574"/>
      <c r="AX17" s="574"/>
      <c r="AY17" s="574"/>
      <c r="AZ17" s="574"/>
      <c r="BA17" s="574"/>
      <c r="BB17" s="574"/>
      <c r="BC17" s="574"/>
      <c r="BD17" s="574"/>
      <c r="BE17" s="241"/>
      <c r="BF17" s="4"/>
      <c r="BG17" s="647"/>
      <c r="BH17" s="647"/>
      <c r="BI17" s="647"/>
      <c r="BJ17" s="647"/>
      <c r="BK17" s="647"/>
      <c r="BL17" s="647"/>
      <c r="BM17" s="647"/>
      <c r="BN17" s="647"/>
      <c r="BO17" s="647"/>
      <c r="BP17" s="647"/>
      <c r="BQ17" s="4"/>
      <c r="BR17" s="4"/>
      <c r="BS17" s="4"/>
      <c r="BT17" s="4"/>
      <c r="BU17" s="4"/>
    </row>
    <row r="18" spans="1:73" outlineLevel="1" x14ac:dyDescent="0.25">
      <c r="A18" s="489"/>
      <c r="B18" s="489" t="s">
        <v>7</v>
      </c>
      <c r="C18" s="492" t="s">
        <v>585</v>
      </c>
      <c r="D18" s="492"/>
      <c r="E18" s="499"/>
      <c r="F18" s="1702"/>
      <c r="G18" s="1702">
        <f>-Ввод!H81/VLOOKUP(Баланс!$B$7,Баланс!$A$1:$B$3,2,0)</f>
        <v>-21.251521</v>
      </c>
      <c r="H18" s="1702">
        <f>-Ввод!I81/VLOOKUP(Баланс!$B$7,Баланс!$A$1:$B$3,2,0)</f>
        <v>-21.008637</v>
      </c>
      <c r="I18" s="1702">
        <f>-Ввод!J81/VLOOKUP(Баланс!$B$7,Баланс!$A$1:$B$3,2,0)</f>
        <v>-22.801814</v>
      </c>
      <c r="J18" s="1702">
        <f>-Ввод!K81/VLOOKUP(Баланс!$B$7,Баланс!$A$1:$B$3,2,0)</f>
        <v>-21.304551</v>
      </c>
      <c r="K18" s="1702">
        <f>-Ввод!L81/VLOOKUP(Баланс!$B$7,Баланс!$A$1:$B$3,2,0)</f>
        <v>-19.165164000000001</v>
      </c>
      <c r="L18" s="1702">
        <f>-Ввод!M81/VLOOKUP(Баланс!$B$7,Баланс!$A$1:$B$3,2,0)</f>
        <v>-34.590034000000003</v>
      </c>
      <c r="M18" s="1702">
        <f>-Ввод!N81/VLOOKUP(Баланс!$B$7,Баланс!$A$1:$B$3,2,0)</f>
        <v>-36.453817999999998</v>
      </c>
      <c r="N18" s="1702">
        <f>-Ввод!O81/VLOOKUP(Баланс!$B$7,Баланс!$A$1:$B$3,2,0)</f>
        <v>-59.891244999999998</v>
      </c>
      <c r="O18" s="1702">
        <f>-Ввод!P81/VLOOKUP(Баланс!$B$7,Баланс!$A$1:$B$3,2,0)</f>
        <v>0</v>
      </c>
      <c r="P18" s="1702"/>
      <c r="Q18" s="497"/>
      <c r="R18" s="647">
        <f t="shared" si="8"/>
        <v>-6.7704650265570973E-2</v>
      </c>
      <c r="S18" s="9"/>
      <c r="T18" s="66"/>
      <c r="U18" s="1026">
        <v>14</v>
      </c>
      <c r="V18" s="574">
        <f>HLOOKUP(V$8,'Банк. система_ввод'!$K$94:$W$151,$U18,0)</f>
        <v>0</v>
      </c>
      <c r="W18" s="574">
        <f>HLOOKUP(W$8,'Банк. система_ввод'!$K$94:$W$151,$U18,0)</f>
        <v>0</v>
      </c>
      <c r="X18" s="574">
        <f>HLOOKUP(X$8,'Банк. система_ввод'!$K$94:$W$151,$U18,0)</f>
        <v>-2296.7636400000001</v>
      </c>
      <c r="Y18" s="574">
        <f>HLOOKUP(Y$8,'Банк. система_ввод'!$K$94:$W$151,$U18,0)</f>
        <v>-2714.4729430000002</v>
      </c>
      <c r="Z18" s="574">
        <f>HLOOKUP(Z$8,'Банк. система_ввод'!$K$94:$W$151,$U18,0)</f>
        <v>-2225.5054640000003</v>
      </c>
      <c r="AA18" s="574">
        <f>HLOOKUP(AA$8,'Банк. система_ввод'!$K$94:$W$151,$U18,0)</f>
        <v>-2449.183896</v>
      </c>
      <c r="AB18" s="574">
        <f>HLOOKUP(AB$8,'Банк. система_ввод'!$K$94:$W$151,$U18,0)</f>
        <v>-4999.0080980000002</v>
      </c>
      <c r="AC18" s="574">
        <f>HLOOKUP(AC$8,'Банк. система_ввод'!$K$94:$W$151,$U18,0)</f>
        <v>-5676.9607979999992</v>
      </c>
      <c r="AD18" s="574">
        <f>HLOOKUP(AD$8,'Банк. система_ввод'!$K$94:$W$151,$U18,0)</f>
        <v>-13267.464641999999</v>
      </c>
      <c r="AE18" s="574">
        <f>HLOOKUP(AE$8,'Банк. система_ввод'!$K$94:$W$151,$U18,0)</f>
        <v>-17871.475077999999</v>
      </c>
      <c r="AF18" s="43"/>
      <c r="AG18" s="4"/>
      <c r="AH18" s="1908">
        <f t="shared" si="11"/>
        <v>0</v>
      </c>
      <c r="AI18" s="1908">
        <f t="shared" si="11"/>
        <v>0</v>
      </c>
      <c r="AJ18" s="1908">
        <f t="shared" si="11"/>
        <v>-2.7976369784555179E-2</v>
      </c>
      <c r="AK18" s="1908">
        <f t="shared" si="11"/>
        <v>-3.1017555367255322E-2</v>
      </c>
      <c r="AL18" s="1908">
        <f t="shared" si="11"/>
        <v>-2.308385551899245E-2</v>
      </c>
      <c r="AM18" s="1908">
        <f t="shared" si="11"/>
        <v>-2.1813213582688784E-2</v>
      </c>
      <c r="AN18" s="1908">
        <f t="shared" si="11"/>
        <v>-3.9153387269826326E-2</v>
      </c>
      <c r="AO18" s="1908">
        <f t="shared" si="11"/>
        <v>-3.7515164918251971E-2</v>
      </c>
      <c r="AP18" s="1908">
        <f t="shared" si="11"/>
        <v>-7.2285291956503586E-2</v>
      </c>
      <c r="AQ18" s="1908">
        <f t="shared" si="11"/>
        <v>-8.7150238847024955E-2</v>
      </c>
      <c r="AR18" s="1085"/>
      <c r="AS18" s="4"/>
      <c r="AT18" s="1099"/>
      <c r="AU18" s="574"/>
      <c r="AV18" s="574"/>
      <c r="AW18" s="574"/>
      <c r="AX18" s="574"/>
      <c r="AY18" s="574"/>
      <c r="AZ18" s="574"/>
      <c r="BA18" s="574"/>
      <c r="BB18" s="574"/>
      <c r="BC18" s="574"/>
      <c r="BD18" s="574"/>
      <c r="BE18" s="43"/>
      <c r="BF18" s="4"/>
      <c r="BG18" s="647"/>
      <c r="BH18" s="647"/>
      <c r="BI18" s="647"/>
      <c r="BJ18" s="647"/>
      <c r="BK18" s="647"/>
      <c r="BL18" s="647"/>
      <c r="BM18" s="647"/>
      <c r="BN18" s="647"/>
      <c r="BO18" s="647"/>
      <c r="BP18" s="647"/>
      <c r="BQ18" s="4"/>
      <c r="BR18" s="4"/>
      <c r="BS18" s="4"/>
      <c r="BT18" s="4"/>
      <c r="BU18" s="4"/>
    </row>
    <row r="19" spans="1:73" outlineLevel="1" x14ac:dyDescent="0.25">
      <c r="A19" s="489"/>
      <c r="B19" s="493" t="s">
        <v>9</v>
      </c>
      <c r="C19" s="492" t="s">
        <v>586</v>
      </c>
      <c r="D19" s="492"/>
      <c r="E19" s="499"/>
      <c r="F19" s="1702"/>
      <c r="G19" s="1702">
        <f>-Ввод!H82/VLOOKUP(Баланс!$B$7,Баланс!$A$1:$B$3,2,0)</f>
        <v>-1.904298</v>
      </c>
      <c r="H19" s="1702">
        <f>-Ввод!I82/VLOOKUP(Баланс!$B$7,Баланс!$A$1:$B$3,2,0)</f>
        <v>-0.28405900000000001</v>
      </c>
      <c r="I19" s="1702">
        <f>-Ввод!J82/VLOOKUP(Баланс!$B$7,Баланс!$A$1:$B$3,2,0)</f>
        <v>-5.4558000000000002E-2</v>
      </c>
      <c r="J19" s="1702">
        <f>-Ввод!K82/VLOOKUP(Баланс!$B$7,Баланс!$A$1:$B$3,2,0)</f>
        <v>-6.1276999999999998E-2</v>
      </c>
      <c r="K19" s="1702">
        <f>-Ввод!L82/VLOOKUP(Баланс!$B$7,Баланс!$A$1:$B$3,2,0)</f>
        <v>-1.8495999999999999E-2</v>
      </c>
      <c r="L19" s="1702">
        <f>-Ввод!M82/VLOOKUP(Баланс!$B$7,Баланс!$A$1:$B$3,2,0)</f>
        <v>-1.0499999999999999E-3</v>
      </c>
      <c r="M19" s="1702">
        <f>-Ввод!N82/VLOOKUP(Баланс!$B$7,Баланс!$A$1:$B$3,2,0)</f>
        <v>-7.6499999999999997E-3</v>
      </c>
      <c r="N19" s="1702">
        <f>-Ввод!O82/VLOOKUP(Баланс!$B$7,Баланс!$A$1:$B$3,2,0)</f>
        <v>-3.4129999999999998E-3</v>
      </c>
      <c r="O19" s="1702">
        <f>-Ввод!P82/VLOOKUP(Баланс!$B$7,Баланс!$A$1:$B$3,2,0)</f>
        <v>0</v>
      </c>
      <c r="P19" s="1702"/>
      <c r="Q19" s="497"/>
      <c r="R19" s="647">
        <f t="shared" si="8"/>
        <v>-3.8582596063313383E-6</v>
      </c>
      <c r="S19" s="9"/>
      <c r="T19" s="66"/>
      <c r="U19" s="1026">
        <v>19</v>
      </c>
      <c r="V19" s="574">
        <f>HLOOKUP(V$8,'Банк. система_ввод'!$K$94:$W$151,$U19,0)</f>
        <v>0</v>
      </c>
      <c r="W19" s="574">
        <f>HLOOKUP(W$8,'Банк. система_ввод'!$K$94:$W$151,$U19,0)</f>
        <v>0</v>
      </c>
      <c r="X19" s="574">
        <f>HLOOKUP(X$8,'Банк. система_ввод'!$K$94:$W$151,$U19,0)</f>
        <v>-147.70097000000001</v>
      </c>
      <c r="Y19" s="574">
        <f>HLOOKUP(Y$8,'Банк. система_ввод'!$K$94:$W$151,$U19,0)</f>
        <v>-146.86059900000001</v>
      </c>
      <c r="Z19" s="574">
        <f>HLOOKUP(Z$8,'Банк. система_ввод'!$K$94:$W$151,$U19,0)</f>
        <v>-162.99029300000001</v>
      </c>
      <c r="AA19" s="574">
        <f>HLOOKUP(AA$8,'Банк. система_ввод'!$K$94:$W$151,$U19,0)</f>
        <v>-181.25210999999999</v>
      </c>
      <c r="AB19" s="574">
        <f>HLOOKUP(AB$8,'Банк. система_ввод'!$K$94:$W$151,$U19,0)</f>
        <v>-194.21290999999999</v>
      </c>
      <c r="AC19" s="574">
        <f>HLOOKUP(AC$8,'Банк. система_ввод'!$K$94:$W$151,$U19,0)</f>
        <v>-200.10617400000001</v>
      </c>
      <c r="AD19" s="574">
        <f>HLOOKUP(AD$8,'Банк. система_ввод'!$K$94:$W$151,$U19,0)</f>
        <v>-300.30246</v>
      </c>
      <c r="AE19" s="574">
        <f>HLOOKUP(AE$8,'Банк. система_ввод'!$K$94:$W$151,$U19,0)</f>
        <v>-355.881708</v>
      </c>
      <c r="AF19" s="43"/>
      <c r="AG19" s="4"/>
      <c r="AH19" s="1908">
        <f t="shared" si="11"/>
        <v>0</v>
      </c>
      <c r="AI19" s="1908">
        <f t="shared" si="11"/>
        <v>0</v>
      </c>
      <c r="AJ19" s="1908">
        <f t="shared" si="11"/>
        <v>-1.7991128396030735E-3</v>
      </c>
      <c r="AK19" s="1908">
        <f t="shared" si="11"/>
        <v>-1.6781367346091029E-3</v>
      </c>
      <c r="AL19" s="1908">
        <f t="shared" si="11"/>
        <v>-1.6906021735160503E-3</v>
      </c>
      <c r="AM19" s="1908">
        <f t="shared" si="11"/>
        <v>-1.614289149214217E-3</v>
      </c>
      <c r="AN19" s="1908">
        <f t="shared" si="11"/>
        <v>-1.5211204160825759E-3</v>
      </c>
      <c r="AO19" s="1908">
        <f t="shared" si="11"/>
        <v>-1.3223653264287393E-3</v>
      </c>
      <c r="AP19" s="1908">
        <f t="shared" si="11"/>
        <v>-1.6361416127417662E-3</v>
      </c>
      <c r="AQ19" s="1908">
        <f t="shared" si="11"/>
        <v>-1.7354569624567389E-3</v>
      </c>
      <c r="AR19" s="1085"/>
      <c r="AS19" s="4"/>
      <c r="AT19" s="1099"/>
      <c r="AU19" s="574"/>
      <c r="AV19" s="574"/>
      <c r="AW19" s="574"/>
      <c r="AX19" s="574"/>
      <c r="AY19" s="574"/>
      <c r="AZ19" s="574"/>
      <c r="BA19" s="574"/>
      <c r="BB19" s="574"/>
      <c r="BC19" s="574"/>
      <c r="BD19" s="574"/>
      <c r="BE19" s="43"/>
      <c r="BF19" s="4"/>
      <c r="BG19" s="647"/>
      <c r="BH19" s="647"/>
      <c r="BI19" s="647"/>
      <c r="BJ19" s="647"/>
      <c r="BK19" s="647"/>
      <c r="BL19" s="647"/>
      <c r="BM19" s="647"/>
      <c r="BN19" s="647"/>
      <c r="BO19" s="647"/>
      <c r="BP19" s="647"/>
      <c r="BQ19" s="4"/>
      <c r="BR19" s="4"/>
      <c r="BS19" s="4"/>
      <c r="BT19" s="4"/>
      <c r="BU19" s="4"/>
    </row>
    <row r="20" spans="1:73" s="2" customFormat="1" x14ac:dyDescent="0.25">
      <c r="A20" s="857"/>
      <c r="B20" s="504" t="s">
        <v>370</v>
      </c>
      <c r="C20" s="505"/>
      <c r="D20" s="505"/>
      <c r="E20" s="506"/>
      <c r="F20" s="1703"/>
      <c r="G20" s="1703">
        <f t="shared" ref="G20" si="13">G10+G16</f>
        <v>8.769439000000002</v>
      </c>
      <c r="H20" s="1703">
        <f t="shared" ref="H20:L20" si="14">H10+H16</f>
        <v>10.866066000000004</v>
      </c>
      <c r="I20" s="1703">
        <f t="shared" si="14"/>
        <v>10.906251000000001</v>
      </c>
      <c r="J20" s="1703">
        <f t="shared" si="14"/>
        <v>13.19669</v>
      </c>
      <c r="K20" s="1703">
        <f t="shared" si="14"/>
        <v>14.292773999999998</v>
      </c>
      <c r="L20" s="1703">
        <f t="shared" si="14"/>
        <v>15.006205000000001</v>
      </c>
      <c r="M20" s="1703">
        <f t="shared" ref="M20:O20" si="15">M10+M16</f>
        <v>30.819716999999997</v>
      </c>
      <c r="N20" s="1703">
        <f t="shared" si="15"/>
        <v>44.429507000000001</v>
      </c>
      <c r="O20" s="1703">
        <f t="shared" si="15"/>
        <v>0</v>
      </c>
      <c r="P20" s="1750"/>
      <c r="Q20" s="500"/>
      <c r="R20" s="648">
        <f t="shared" si="8"/>
        <v>5.0225775618902853E-2</v>
      </c>
      <c r="S20" s="17"/>
      <c r="T20" s="502"/>
      <c r="U20" s="1026">
        <v>20</v>
      </c>
      <c r="V20" s="575">
        <f>HLOOKUP(V$8,'Банк. система_ввод'!$K$94:$W$151,$U20,0)</f>
        <v>1621.3999999999996</v>
      </c>
      <c r="W20" s="575">
        <f>HLOOKUP(W$8,'Банк. система_ввод'!$K$94:$W$151,$U20,0)</f>
        <v>2592.9000000000005</v>
      </c>
      <c r="X20" s="575">
        <f>HLOOKUP(X$8,'Банк. система_ввод'!$K$94:$W$151,$U20,0)</f>
        <v>3189.5617400000001</v>
      </c>
      <c r="Y20" s="575">
        <f>HLOOKUP(Y$8,'Банк. система_ввод'!$K$94:$W$151,$U20,0)</f>
        <v>3334.3795459999988</v>
      </c>
      <c r="Z20" s="575">
        <f>HLOOKUP(Z$8,'Банк. система_ввод'!$K$94:$W$151,$U20,0)</f>
        <v>3613.630365999999</v>
      </c>
      <c r="AA20" s="575">
        <f>HLOOKUP(AA$8,'Банк. система_ввод'!$K$94:$W$151,$U20,0)</f>
        <v>4081.1174890000011</v>
      </c>
      <c r="AB20" s="575">
        <f>HLOOKUP(AB$8,'Банк. система_ввод'!$K$94:$W$151,$U20,0)</f>
        <v>4196.5447879999992</v>
      </c>
      <c r="AC20" s="575">
        <f>HLOOKUP(AC$8,'Банк. система_ввод'!$K$94:$W$151,$U20,0)</f>
        <v>6001.0780769999983</v>
      </c>
      <c r="AD20" s="575">
        <f>HLOOKUP(AD$8,'Банк. система_ввод'!$K$94:$W$151,$U20,0)</f>
        <v>6658.3820049999995</v>
      </c>
      <c r="AE20" s="575">
        <f>HLOOKUP(AE$8,'Банк. система_ввод'!$K$94:$W$151,$U20,0)</f>
        <v>7771.2597979999991</v>
      </c>
      <c r="AF20" s="46"/>
      <c r="AG20" s="12"/>
      <c r="AH20" s="648">
        <f t="shared" si="11"/>
        <v>2.1490003020868568E-2</v>
      </c>
      <c r="AI20" s="648">
        <f t="shared" si="11"/>
        <v>3.4104960907505755E-2</v>
      </c>
      <c r="AJ20" s="648">
        <f t="shared" si="11"/>
        <v>3.8851345926439886E-2</v>
      </c>
      <c r="AK20" s="648">
        <f t="shared" si="11"/>
        <v>3.8101062104968129E-2</v>
      </c>
      <c r="AL20" s="648">
        <f t="shared" si="11"/>
        <v>3.7482056376468988E-2</v>
      </c>
      <c r="AM20" s="648">
        <f t="shared" si="11"/>
        <v>3.6347735092082924E-2</v>
      </c>
      <c r="AN20" s="648">
        <f t="shared" si="11"/>
        <v>3.2868309084250494E-2</v>
      </c>
      <c r="AO20" s="648">
        <f t="shared" si="11"/>
        <v>3.9657035120847665E-2</v>
      </c>
      <c r="AP20" s="648">
        <f t="shared" si="11"/>
        <v>3.6276945156930966E-2</v>
      </c>
      <c r="AQ20" s="648">
        <f t="shared" si="11"/>
        <v>3.7896544330115578E-2</v>
      </c>
      <c r="AR20" s="594"/>
      <c r="AS20" s="12"/>
      <c r="AT20" s="1099"/>
      <c r="AU20" s="575">
        <f t="shared" ref="AU20:BD20" si="16">AU10+AU16</f>
        <v>431.629391</v>
      </c>
      <c r="AV20" s="575">
        <f t="shared" si="16"/>
        <v>499.02216800000002</v>
      </c>
      <c r="AW20" s="575">
        <f t="shared" si="16"/>
        <v>541.26105799999993</v>
      </c>
      <c r="AX20" s="575">
        <f t="shared" si="16"/>
        <v>546.66757499999994</v>
      </c>
      <c r="AY20" s="575">
        <f t="shared" si="16"/>
        <v>526.66695300000003</v>
      </c>
      <c r="AZ20" s="575">
        <f t="shared" si="16"/>
        <v>527.42625599999997</v>
      </c>
      <c r="BA20" s="575">
        <f t="shared" si="16"/>
        <v>633.31449900000007</v>
      </c>
      <c r="BB20" s="575">
        <f t="shared" si="16"/>
        <v>698.16282799999999</v>
      </c>
      <c r="BC20" s="575">
        <f t="shared" si="16"/>
        <v>682.89081499999998</v>
      </c>
      <c r="BD20" s="575">
        <f t="shared" si="16"/>
        <v>645.23963733333335</v>
      </c>
      <c r="BE20" s="46"/>
      <c r="BF20" s="12"/>
      <c r="BG20" s="648">
        <f t="shared" ref="BG20:BP22" si="17">AU20/AU$289</f>
        <v>2.7386443558328904E-2</v>
      </c>
      <c r="BH20" s="648">
        <f t="shared" si="17"/>
        <v>2.9186772367679834E-2</v>
      </c>
      <c r="BI20" s="648">
        <f t="shared" si="17"/>
        <v>3.0615697350537777E-2</v>
      </c>
      <c r="BJ20" s="648">
        <f t="shared" si="17"/>
        <v>2.9882314424559905E-2</v>
      </c>
      <c r="BK20" s="648">
        <f t="shared" si="17"/>
        <v>2.5999524301426769E-2</v>
      </c>
      <c r="BL20" s="648">
        <f t="shared" si="17"/>
        <v>2.313867380834712E-2</v>
      </c>
      <c r="BM20" s="648">
        <f t="shared" si="17"/>
        <v>2.6770066213152494E-2</v>
      </c>
      <c r="BN20" s="648">
        <f t="shared" si="17"/>
        <v>2.9544486298744958E-2</v>
      </c>
      <c r="BO20" s="648">
        <f t="shared" si="17"/>
        <v>2.8799786809850497E-2</v>
      </c>
      <c r="BP20" s="648">
        <f t="shared" si="17"/>
        <v>2.6632970406418158E-2</v>
      </c>
      <c r="BQ20" s="12"/>
      <c r="BR20" s="12"/>
      <c r="BS20" s="12"/>
      <c r="BT20" s="12"/>
      <c r="BU20" s="12"/>
    </row>
    <row r="21" spans="1:73" ht="25.5" customHeight="1" x14ac:dyDescent="0.25">
      <c r="A21" s="489">
        <v>3</v>
      </c>
      <c r="B21" s="494" t="s">
        <v>372</v>
      </c>
      <c r="C21" s="492"/>
      <c r="D21" s="492"/>
      <c r="E21" s="497"/>
      <c r="F21" s="1701"/>
      <c r="G21" s="1701">
        <f>Ввод!H95/VLOOKUP(Баланс!$B$7,Баланс!$A$1:$B$3,2,0)</f>
        <v>4.4695010000000002</v>
      </c>
      <c r="H21" s="1701">
        <f>Ввод!I95/VLOOKUP(Баланс!$B$7,Баланс!$A$1:$B$3,2,0)</f>
        <v>5.5808819999999999</v>
      </c>
      <c r="I21" s="1701">
        <f>Ввод!J95/VLOOKUP(Баланс!$B$7,Баланс!$A$1:$B$3,2,0)</f>
        <v>6.994739</v>
      </c>
      <c r="J21" s="1701">
        <f>Ввод!K95/VLOOKUP(Баланс!$B$7,Баланс!$A$1:$B$3,2,0)</f>
        <v>7.9181549999999996</v>
      </c>
      <c r="K21" s="1701">
        <f>Ввод!L95/VLOOKUP(Баланс!$B$7,Баланс!$A$1:$B$3,2,0)</f>
        <v>8.8337039999999991</v>
      </c>
      <c r="L21" s="1701">
        <f>Ввод!M95/VLOOKUP(Баланс!$B$7,Баланс!$A$1:$B$3,2,0)</f>
        <v>9.3264189999999996</v>
      </c>
      <c r="M21" s="1701">
        <f>Ввод!N95/VLOOKUP(Баланс!$B$7,Баланс!$A$1:$B$3,2,0)</f>
        <v>11.177948000000001</v>
      </c>
      <c r="N21" s="1701">
        <f>Ввод!O95/VLOOKUP(Баланс!$B$7,Баланс!$A$1:$B$3,2,0)</f>
        <v>11.764283000000001</v>
      </c>
      <c r="O21" s="1701">
        <f>Ввод!P95/VLOOKUP(Баланс!$B$7,Баланс!$A$1:$B$3,2,0)</f>
        <v>0</v>
      </c>
      <c r="P21" s="1701"/>
      <c r="Q21" s="497"/>
      <c r="R21" s="647">
        <f t="shared" si="8"/>
        <v>1.3299050072180034E-2</v>
      </c>
      <c r="S21" s="9"/>
      <c r="T21" s="66"/>
      <c r="U21" s="1026">
        <v>21</v>
      </c>
      <c r="V21" s="573">
        <f>HLOOKUP(V$8,'Банк. система_ввод'!$K$94:$W$151,$U21,0)</f>
        <v>974.7</v>
      </c>
      <c r="W21" s="573">
        <f>HLOOKUP(W$8,'Банк. система_ввод'!$K$94:$W$151,$U21,0)</f>
        <v>1180.5999999999999</v>
      </c>
      <c r="X21" s="573">
        <f>HLOOKUP(X$8,'Банк. система_ввод'!$K$94:$W$151,$U21,0)</f>
        <v>1396.8643939999999</v>
      </c>
      <c r="Y21" s="573">
        <f>HLOOKUP(Y$8,'Банк. система_ввод'!$K$94:$W$151,$U21,0)</f>
        <v>1616.360733</v>
      </c>
      <c r="Z21" s="573">
        <f>HLOOKUP(Z$8,'Банк. система_ввод'!$K$94:$W$151,$U21,0)</f>
        <v>1775.589246</v>
      </c>
      <c r="AA21" s="573">
        <f>HLOOKUP(AA$8,'Банк. система_ввод'!$K$94:$W$151,$U21,0)</f>
        <v>2180.1526050000002</v>
      </c>
      <c r="AB21" s="573">
        <f>HLOOKUP(AB$8,'Банк. система_ввод'!$K$94:$W$151,$U21,0)</f>
        <v>2218.343691</v>
      </c>
      <c r="AC21" s="573">
        <f>HLOOKUP(AC$8,'Банк. система_ввод'!$K$94:$W$151,$U21,0)</f>
        <v>2623.6674210000001</v>
      </c>
      <c r="AD21" s="573">
        <f>HLOOKUP(AD$8,'Банк. система_ввод'!$K$94:$W$151,$U21,0)</f>
        <v>3048.576008</v>
      </c>
      <c r="AE21" s="573">
        <f>HLOOKUP(AE$8,'Банк. система_ввод'!$K$94:$W$151,$U21,0)</f>
        <v>3331.2069000000006</v>
      </c>
      <c r="AF21" s="43"/>
      <c r="AG21" s="4"/>
      <c r="AH21" s="647">
        <f t="shared" si="11"/>
        <v>1.2918654215147773E-2</v>
      </c>
      <c r="AI21" s="647">
        <f t="shared" si="11"/>
        <v>1.5528680954684437E-2</v>
      </c>
      <c r="AJ21" s="647">
        <f t="shared" si="11"/>
        <v>1.7014896154234911E-2</v>
      </c>
      <c r="AK21" s="647">
        <f t="shared" si="11"/>
        <v>1.8469721224730916E-2</v>
      </c>
      <c r="AL21" s="647">
        <f t="shared" si="11"/>
        <v>1.8417139961576269E-2</v>
      </c>
      <c r="AM21" s="647">
        <f t="shared" si="11"/>
        <v>1.9417135027463183E-2</v>
      </c>
      <c r="AN21" s="647">
        <f t="shared" si="11"/>
        <v>1.7374580702529389E-2</v>
      </c>
      <c r="AO21" s="647">
        <f t="shared" si="11"/>
        <v>1.7338029888128857E-2</v>
      </c>
      <c r="AP21" s="647">
        <f t="shared" si="11"/>
        <v>1.6609594427881062E-2</v>
      </c>
      <c r="AQ21" s="647">
        <f t="shared" si="11"/>
        <v>1.6244628701143949E-2</v>
      </c>
      <c r="AR21" s="547"/>
      <c r="AS21" s="4"/>
      <c r="AT21" s="1775" t="s">
        <v>3374</v>
      </c>
      <c r="AU21" s="573">
        <f>HLOOKUP(AU$8,'Банк. система_ввод'!$G$164:$W$194,6,0)-HLOOKUP(AU$8,'Банк. система_ввод'!$G$164:$W$194,9,0)-HLOOKUP(AU$8,'Банк. система_ввод'!$G$164:$W$194,15,0)</f>
        <v>93.244092000000023</v>
      </c>
      <c r="AV21" s="573">
        <f>HLOOKUP(AV$8,'Банк. система_ввод'!$G$164:$W$194,6,0)-HLOOKUP(AV$8,'Банк. система_ввод'!$G$164:$W$194,9,0)-HLOOKUP(AV$8,'Банк. система_ввод'!$G$164:$W$194,15,0)</f>
        <v>99.371724999999998</v>
      </c>
      <c r="AW21" s="573">
        <f>HLOOKUP(AW$8,'Банк. система_ввод'!$G$164:$W$194,6,0)-HLOOKUP(AW$8,'Банк. система_ввод'!$G$164:$W$194,9,0)-HLOOKUP(AW$8,'Банк. система_ввод'!$G$164:$W$194,15,0)</f>
        <v>99.566786999999977</v>
      </c>
      <c r="AX21" s="573">
        <f>HLOOKUP(AX$8,'Банк. система_ввод'!$G$164:$W$194,6,0)-HLOOKUP(AX$8,'Банк. система_ввод'!$G$164:$W$194,9,0)-HLOOKUP(AX$8,'Банк. система_ввод'!$G$164:$W$194,15,0)</f>
        <v>91.828643</v>
      </c>
      <c r="AY21" s="573">
        <f>HLOOKUP(AY$8,'Банк. система_ввод'!$G$164:$W$194,6,0)-HLOOKUP(AY$8,'Банк. система_ввод'!$G$164:$W$194,9,0)-HLOOKUP(AY$8,'Банк. система_ввод'!$G$164:$W$194,15,0)</f>
        <v>87.222511000000026</v>
      </c>
      <c r="AZ21" s="573">
        <f>HLOOKUP(AZ$8,'Банк. система_ввод'!$G$164:$W$194,6,0)-HLOOKUP(AZ$8,'Банк. система_ввод'!$G$164:$W$194,9,0)-HLOOKUP(AZ$8,'Банк. система_ввод'!$G$164:$W$194,15,0)</f>
        <v>104.70231699999997</v>
      </c>
      <c r="BA21" s="573">
        <f>HLOOKUP(BA$8,'Банк. система_ввод'!$G$164:$W$194,6,0)-HLOOKUP(BA$8,'Банк. система_ввод'!$G$164:$W$194,9,0)-HLOOKUP(BA$8,'Банк. система_ввод'!$G$164:$W$194,15,0)</f>
        <v>105.779841</v>
      </c>
      <c r="BB21" s="573">
        <f>HLOOKUP(BB$8,'Банк. система_ввод'!$G$164:$W$194,6,0)-HLOOKUP(BB$8,'Банк. система_ввод'!$G$164:$W$194,9,0)-HLOOKUP(BB$8,'Банк. система_ввод'!$G$164:$W$194,15,0)</f>
        <v>96.879016000000007</v>
      </c>
      <c r="BC21" s="573">
        <f>HLOOKUP(BC$8,'Банк. система_ввод'!$G$164:$W$194,6,0)-HLOOKUP(BC$8,'Банк. система_ввод'!$G$164:$W$194,9,0)-HLOOKUP(BC$8,'Банк. система_ввод'!$G$164:$W$194,15,0)</f>
        <v>111.055553</v>
      </c>
      <c r="BD21" s="573">
        <f>HLOOKUP(BD$8,'Банк. система_ввод'!$G$164:$W$194,6,0)-HLOOKUP(BD$8,'Банк. система_ввод'!$G$164:$W$194,9,0)-HLOOKUP(BD$8,'Банк. система_ввод'!$G$164:$W$194,15,0)</f>
        <v>118.94629466666672</v>
      </c>
      <c r="BE21" s="43"/>
      <c r="BF21" s="4"/>
      <c r="BG21" s="647">
        <f t="shared" si="17"/>
        <v>5.9162423040502081E-3</v>
      </c>
      <c r="BH21" s="647">
        <f t="shared" si="17"/>
        <v>5.812046244323717E-3</v>
      </c>
      <c r="BI21" s="647">
        <f t="shared" si="17"/>
        <v>5.6318602121888817E-3</v>
      </c>
      <c r="BJ21" s="647">
        <f t="shared" si="17"/>
        <v>5.0195996777505272E-3</v>
      </c>
      <c r="BK21" s="647">
        <f t="shared" si="17"/>
        <v>4.3058403065892844E-3</v>
      </c>
      <c r="BL21" s="647">
        <f t="shared" si="17"/>
        <v>4.5933867199079237E-3</v>
      </c>
      <c r="BM21" s="647">
        <f t="shared" si="17"/>
        <v>4.4712908863732536E-3</v>
      </c>
      <c r="BN21" s="647">
        <f t="shared" si="17"/>
        <v>4.0996750987835374E-3</v>
      </c>
      <c r="BO21" s="647">
        <f t="shared" si="17"/>
        <v>4.6835836420644388E-3</v>
      </c>
      <c r="BP21" s="647">
        <f t="shared" si="17"/>
        <v>4.9096381600219063E-3</v>
      </c>
      <c r="BQ21" s="4"/>
      <c r="BR21" s="4"/>
      <c r="BS21" s="4"/>
      <c r="BT21" s="4"/>
      <c r="BU21" s="4"/>
    </row>
    <row r="22" spans="1:73" x14ac:dyDescent="0.25">
      <c r="A22" s="489">
        <v>4</v>
      </c>
      <c r="B22" s="494" t="s">
        <v>373</v>
      </c>
      <c r="C22" s="492"/>
      <c r="D22" s="492"/>
      <c r="E22" s="497"/>
      <c r="F22" s="1701"/>
      <c r="G22" s="1701">
        <f>-Ввод!H96/VLOOKUP(Баланс!$B$7,Баланс!$A$1:$B$3,2,0)</f>
        <v>-1.354409</v>
      </c>
      <c r="H22" s="1701">
        <f>-Ввод!I96/VLOOKUP(Баланс!$B$7,Баланс!$A$1:$B$3,2,0)</f>
        <v>-1.7397830000000001</v>
      </c>
      <c r="I22" s="1701">
        <f>-Ввод!J96/VLOOKUP(Баланс!$B$7,Баланс!$A$1:$B$3,2,0)</f>
        <v>-2.3294290000000002</v>
      </c>
      <c r="J22" s="1701">
        <f>-Ввод!K96/VLOOKUP(Баланс!$B$7,Баланс!$A$1:$B$3,2,0)</f>
        <v>-3.039552</v>
      </c>
      <c r="K22" s="1701">
        <f>-Ввод!L96/VLOOKUP(Баланс!$B$7,Баланс!$A$1:$B$3,2,0)</f>
        <v>-2.293031</v>
      </c>
      <c r="L22" s="1701">
        <f>-Ввод!M96/VLOOKUP(Баланс!$B$7,Баланс!$A$1:$B$3,2,0)</f>
        <v>-2.4307639999999999</v>
      </c>
      <c r="M22" s="1701">
        <f>-Ввод!N96/VLOOKUP(Баланс!$B$7,Баланс!$A$1:$B$3,2,0)</f>
        <v>-3.423457</v>
      </c>
      <c r="N22" s="1701">
        <f>-Ввод!O96/VLOOKUP(Баланс!$B$7,Баланс!$A$1:$B$3,2,0)</f>
        <v>-4.5509019999999998</v>
      </c>
      <c r="O22" s="1701">
        <f>-Ввод!P96/VLOOKUP(Баланс!$B$7,Баланс!$A$1:$B$3,2,0)</f>
        <v>0</v>
      </c>
      <c r="P22" s="1701"/>
      <c r="Q22" s="500"/>
      <c r="R22" s="647">
        <f t="shared" si="8"/>
        <v>-5.1446121766693526E-3</v>
      </c>
      <c r="S22" s="17"/>
      <c r="T22" s="66"/>
      <c r="U22" s="1026">
        <v>28</v>
      </c>
      <c r="V22" s="573">
        <f>HLOOKUP(V$8,'Банк. система_ввод'!$K$94:$W$151,$U22,0)</f>
        <v>-202.3</v>
      </c>
      <c r="W22" s="573">
        <f>HLOOKUP(W$8,'Банк. система_ввод'!$K$94:$W$151,$U22,0)</f>
        <v>-254.4</v>
      </c>
      <c r="X22" s="573">
        <f>HLOOKUP(X$8,'Банк. система_ввод'!$K$94:$W$151,$U22,0)</f>
        <v>-356.18191000000002</v>
      </c>
      <c r="Y22" s="573">
        <f>HLOOKUP(Y$8,'Банк. система_ввод'!$K$94:$W$151,$U22,0)</f>
        <v>-443.15333299999998</v>
      </c>
      <c r="Z22" s="573">
        <f>HLOOKUP(Z$8,'Банк. система_ввод'!$K$94:$W$151,$U22,0)</f>
        <v>-490.82061999999996</v>
      </c>
      <c r="AA22" s="573">
        <f>HLOOKUP(AA$8,'Банк. система_ввод'!$K$94:$W$151,$U22,0)</f>
        <v>-644.331324</v>
      </c>
      <c r="AB22" s="573">
        <f>HLOOKUP(AB$8,'Банк. система_ввод'!$K$94:$W$151,$U22,0)</f>
        <v>-595.45047199999999</v>
      </c>
      <c r="AC22" s="573">
        <f>HLOOKUP(AC$8,'Банк. система_ввод'!$K$94:$W$151,$U22,0)</f>
        <v>-674.14804500000002</v>
      </c>
      <c r="AD22" s="573">
        <f>HLOOKUP(AD$8,'Банк. система_ввод'!$K$94:$W$151,$U22,0)</f>
        <v>-854.60092699999996</v>
      </c>
      <c r="AE22" s="573">
        <f>HLOOKUP(AE$8,'Банк. система_ввод'!$K$94:$W$151,$U22,0)</f>
        <v>-959.46800200000007</v>
      </c>
      <c r="AF22" s="46"/>
      <c r="AG22" s="4"/>
      <c r="AH22" s="647">
        <f t="shared" si="11"/>
        <v>-2.6812801351435256E-3</v>
      </c>
      <c r="AI22" s="647">
        <f t="shared" si="11"/>
        <v>-3.3461768887614106E-3</v>
      </c>
      <c r="AJ22" s="647">
        <f t="shared" si="11"/>
        <v>-4.3385730473899141E-3</v>
      </c>
      <c r="AK22" s="647">
        <f t="shared" si="11"/>
        <v>-5.0637944570262874E-3</v>
      </c>
      <c r="AL22" s="647">
        <f t="shared" si="11"/>
        <v>-5.0909927929173992E-3</v>
      </c>
      <c r="AM22" s="647">
        <f t="shared" si="11"/>
        <v>-5.7386204487883206E-3</v>
      </c>
      <c r="AN22" s="647">
        <f t="shared" si="11"/>
        <v>-4.663705773860276E-3</v>
      </c>
      <c r="AO22" s="647">
        <f t="shared" si="11"/>
        <v>-4.4549849800622418E-3</v>
      </c>
      <c r="AP22" s="647">
        <f t="shared" si="11"/>
        <v>-4.6561328167354617E-3</v>
      </c>
      <c r="AQ22" s="647">
        <f t="shared" si="11"/>
        <v>-4.6788452086594916E-3</v>
      </c>
      <c r="AR22" s="547"/>
      <c r="AS22" s="4"/>
      <c r="AT22" s="1099"/>
      <c r="AU22" s="573"/>
      <c r="AV22" s="573"/>
      <c r="AW22" s="573"/>
      <c r="AX22" s="573"/>
      <c r="AY22" s="573"/>
      <c r="AZ22" s="573"/>
      <c r="BA22" s="573"/>
      <c r="BB22" s="573"/>
      <c r="BC22" s="573"/>
      <c r="BD22" s="573"/>
      <c r="BE22" s="46"/>
      <c r="BF22" s="4"/>
      <c r="BG22" s="647">
        <f t="shared" si="17"/>
        <v>0</v>
      </c>
      <c r="BH22" s="647">
        <f t="shared" si="17"/>
        <v>0</v>
      </c>
      <c r="BI22" s="647">
        <f t="shared" si="17"/>
        <v>0</v>
      </c>
      <c r="BJ22" s="647">
        <f t="shared" si="17"/>
        <v>0</v>
      </c>
      <c r="BK22" s="647">
        <f t="shared" si="17"/>
        <v>0</v>
      </c>
      <c r="BL22" s="647">
        <f t="shared" si="17"/>
        <v>0</v>
      </c>
      <c r="BM22" s="647">
        <f t="shared" si="17"/>
        <v>0</v>
      </c>
      <c r="BN22" s="647">
        <f t="shared" si="17"/>
        <v>0</v>
      </c>
      <c r="BO22" s="647">
        <f t="shared" si="17"/>
        <v>0</v>
      </c>
      <c r="BP22" s="647">
        <f t="shared" si="17"/>
        <v>0</v>
      </c>
      <c r="BQ22" s="4"/>
      <c r="BR22" s="4"/>
      <c r="BS22" s="4"/>
      <c r="BT22" s="4"/>
      <c r="BU22" s="4"/>
    </row>
    <row r="23" spans="1:73" x14ac:dyDescent="0.25">
      <c r="A23" s="489" t="s">
        <v>1541</v>
      </c>
      <c r="B23" s="494" t="s">
        <v>3409</v>
      </c>
      <c r="C23" s="492"/>
      <c r="D23" s="492"/>
      <c r="E23" s="497"/>
      <c r="F23" s="1701"/>
      <c r="G23" s="1701">
        <f>-Ввод!H102/VLOOKUP(Баланс!$B$7,Баланс!$A$1:$B$3,2,0)</f>
        <v>-25.075105000000001</v>
      </c>
      <c r="H23" s="1701">
        <f>-Ввод!I102/VLOOKUP(Баланс!$B$7,Баланс!$A$1:$B$3,2,0)</f>
        <v>-16.853565</v>
      </c>
      <c r="I23" s="1701">
        <f>-Ввод!J102/VLOOKUP(Баланс!$B$7,Баланс!$A$1:$B$3,2,0)</f>
        <v>-15.033435000000001</v>
      </c>
      <c r="J23" s="1701">
        <f>-Ввод!K102/VLOOKUP(Баланс!$B$7,Баланс!$A$1:$B$3,2,0)</f>
        <v>-17.938236</v>
      </c>
      <c r="K23" s="1701">
        <f>-Ввод!L102/VLOOKUP(Баланс!$B$7,Баланс!$A$1:$B$3,2,0)</f>
        <v>-21.594560000000001</v>
      </c>
      <c r="L23" s="1701">
        <f>-Ввод!M102/VLOOKUP(Баланс!$B$7,Баланс!$A$1:$B$3,2,0)</f>
        <v>-28.587485999999998</v>
      </c>
      <c r="M23" s="1701">
        <f>-Ввод!N102/VLOOKUP(Баланс!$B$7,Баланс!$A$1:$B$3,2,0)</f>
        <v>-26.956295999999998</v>
      </c>
      <c r="N23" s="1701">
        <f>-Ввод!O102/VLOOKUP(Баланс!$B$7,Баланс!$A$1:$B$3,2,0)</f>
        <v>-28.723624000000001</v>
      </c>
      <c r="O23" s="1701">
        <f>-Ввод!P102/VLOOKUP(Баланс!$B$7,Баланс!$A$1:$B$3,2,0)</f>
        <v>0</v>
      </c>
      <c r="P23" s="1701"/>
      <c r="Q23" s="500"/>
      <c r="R23" s="647">
        <f t="shared" si="8"/>
        <v>-3.247090484226469E-2</v>
      </c>
      <c r="S23" s="17"/>
      <c r="T23" s="66"/>
      <c r="U23" s="1026"/>
      <c r="V23" s="1723">
        <f>SUM(V24:V25)</f>
        <v>-1239.9000000000001</v>
      </c>
      <c r="W23" s="1723">
        <f t="shared" ref="W23:AE23" si="18">SUM(W24:W25)</f>
        <v>-1821.3</v>
      </c>
      <c r="X23" s="1723">
        <f t="shared" si="18"/>
        <v>-1975.749343</v>
      </c>
      <c r="Y23" s="1723">
        <f t="shared" si="18"/>
        <v>-2175.6118160000001</v>
      </c>
      <c r="Z23" s="1723">
        <f t="shared" si="18"/>
        <v>-2272.4462370000001</v>
      </c>
      <c r="AA23" s="1723">
        <f t="shared" si="18"/>
        <v>-2571.4294150000005</v>
      </c>
      <c r="AB23" s="1723">
        <f t="shared" si="18"/>
        <v>-2745.7974489999997</v>
      </c>
      <c r="AC23" s="1723">
        <f t="shared" si="18"/>
        <v>-3229.990033</v>
      </c>
      <c r="AD23" s="1723">
        <f t="shared" si="18"/>
        <v>-3995.1314090000001</v>
      </c>
      <c r="AE23" s="1723">
        <f t="shared" si="18"/>
        <v>-4485.3818490000003</v>
      </c>
      <c r="AF23" s="46"/>
      <c r="AG23" s="4"/>
      <c r="AH23" s="1925">
        <f>V23/V$289</f>
        <v>-1.643360968642836E-2</v>
      </c>
      <c r="AI23" s="1925">
        <f t="shared" ref="AI23:AQ23" si="19">W23/W$289</f>
        <v>-2.3955943268479392E-2</v>
      </c>
      <c r="AJ23" s="1925">
        <f t="shared" si="19"/>
        <v>-2.4066165650967874E-2</v>
      </c>
      <c r="AK23" s="1925">
        <f t="shared" si="19"/>
        <v>-2.4860133579321847E-2</v>
      </c>
      <c r="AL23" s="1925">
        <f t="shared" si="19"/>
        <v>-2.357074447047328E-2</v>
      </c>
      <c r="AM23" s="1925">
        <f t="shared" si="19"/>
        <v>-2.2901971196940898E-2</v>
      </c>
      <c r="AN23" s="1925">
        <f t="shared" si="19"/>
        <v>-2.1505720490472825E-2</v>
      </c>
      <c r="AO23" s="1925">
        <f t="shared" si="19"/>
        <v>-2.1344802806282325E-2</v>
      </c>
      <c r="AP23" s="1925">
        <f t="shared" si="19"/>
        <v>-2.1766723944374431E-2</v>
      </c>
      <c r="AQ23" s="1925">
        <f t="shared" si="19"/>
        <v>-2.1872962234755072E-2</v>
      </c>
      <c r="AR23" s="547"/>
      <c r="AS23" s="4"/>
      <c r="AT23" s="1099"/>
      <c r="AU23" s="1723">
        <f>SUM(AU24:AU25)</f>
        <v>-416.93779199999994</v>
      </c>
      <c r="AV23" s="1723">
        <f t="shared" ref="AV23:BD23" si="20">SUM(AV24:AV25)</f>
        <v>-442.873807</v>
      </c>
      <c r="AW23" s="1723">
        <f t="shared" si="20"/>
        <v>-459.31667800000002</v>
      </c>
      <c r="AX23" s="1723">
        <f t="shared" si="20"/>
        <v>-466.14507399999997</v>
      </c>
      <c r="AY23" s="1723">
        <f t="shared" si="20"/>
        <v>-498.96256199999993</v>
      </c>
      <c r="AZ23" s="1723">
        <f t="shared" si="20"/>
        <v>-510.15765399999998</v>
      </c>
      <c r="BA23" s="1723">
        <f t="shared" si="20"/>
        <v>-538.05618200000004</v>
      </c>
      <c r="BB23" s="1723">
        <f t="shared" si="20"/>
        <v>-592.72556499999996</v>
      </c>
      <c r="BC23" s="1723">
        <f t="shared" si="20"/>
        <v>-580.80401399999994</v>
      </c>
      <c r="BD23" s="1723">
        <f t="shared" si="20"/>
        <v>-520.84293866666712</v>
      </c>
      <c r="BE23" s="46"/>
      <c r="BF23" s="4"/>
      <c r="BG23" s="1925">
        <f>AU23/AU$289</f>
        <v>-2.6454276622562698E-2</v>
      </c>
      <c r="BH23" s="1925">
        <f t="shared" ref="BH23:BP23" si="21">AV23/AV$289</f>
        <v>-2.5902771101977921E-2</v>
      </c>
      <c r="BI23" s="1925">
        <f t="shared" si="21"/>
        <v>-2.5980624679823938E-2</v>
      </c>
      <c r="BJ23" s="1925">
        <f t="shared" si="21"/>
        <v>-2.54807387629086E-2</v>
      </c>
      <c r="BK23" s="1925">
        <f t="shared" si="21"/>
        <v>-2.4631864942969296E-2</v>
      </c>
      <c r="BL23" s="1925">
        <f t="shared" si="21"/>
        <v>-2.238108439322295E-2</v>
      </c>
      <c r="BM23" s="1925">
        <f t="shared" si="21"/>
        <v>-2.2743517859261941E-2</v>
      </c>
      <c r="BN23" s="1925">
        <f t="shared" si="21"/>
        <v>-2.5082647817592434E-2</v>
      </c>
      <c r="BO23" s="1925">
        <f t="shared" si="21"/>
        <v>-2.4494445399013638E-2</v>
      </c>
      <c r="BP23" s="1925">
        <f t="shared" si="21"/>
        <v>-2.1498360871365831E-2</v>
      </c>
      <c r="BQ23" s="4"/>
      <c r="BR23" s="4"/>
      <c r="BS23" s="4"/>
      <c r="BT23" s="4"/>
      <c r="BU23" s="4"/>
    </row>
    <row r="24" spans="1:73" s="783" customFormat="1" ht="14.25" x14ac:dyDescent="0.2">
      <c r="A24" s="1920" t="s">
        <v>483</v>
      </c>
      <c r="B24" s="1921" t="s">
        <v>1151</v>
      </c>
      <c r="C24" s="1922"/>
      <c r="D24" s="1922"/>
      <c r="E24" s="1923"/>
      <c r="F24" s="1924"/>
      <c r="G24" s="1924">
        <f>SUM(Ввод!H731:H734,Ввод!H740)/VLOOKUP(Баланс!$B$7,Баланс!$A$1:$B$3,2,0)</f>
        <v>-8.1739390000000007</v>
      </c>
      <c r="H24" s="1924">
        <f>SUM(Ввод!I731:I734,Ввод!I740)/VLOOKUP(Баланс!$B$7,Баланс!$A$1:$B$3,2,0)</f>
        <v>-12.652687999999999</v>
      </c>
      <c r="I24" s="1924">
        <f>SUM(Ввод!J731:J734,Ввод!J740)/VLOOKUP(Баланс!$B$7,Баланс!$A$1:$B$3,2,0)</f>
        <v>-12.75043</v>
      </c>
      <c r="J24" s="1924">
        <f>SUM(Ввод!K731:K734,Ввод!K740)/VLOOKUP(Баланс!$B$7,Баланс!$A$1:$B$3,2,0)</f>
        <v>-13.602803</v>
      </c>
      <c r="K24" s="1924">
        <f>SUM(Ввод!L731:L734,Ввод!L740)/VLOOKUP(Баланс!$B$7,Баланс!$A$1:$B$3,2,0)</f>
        <v>-16.602952999999999</v>
      </c>
      <c r="L24" s="1924">
        <f>SUM(Ввод!M731:M734,Ввод!M740)/VLOOKUP(Баланс!$B$7,Баланс!$A$1:$B$3,2,0)</f>
        <v>0</v>
      </c>
      <c r="M24" s="1918">
        <f>SUM(Ввод!N731:N734,Ввод!N740)/VLOOKUP(Баланс!$B$7,Баланс!$A$1:$B$3,2,0)</f>
        <v>0</v>
      </c>
      <c r="N24" s="1918">
        <f>SUM(Ввод!O731:O734,Ввод!O740)/VLOOKUP(Баланс!$B$7,Баланс!$A$1:$B$3,2,0)</f>
        <v>0</v>
      </c>
      <c r="O24" s="1918">
        <f>SUM(Ввод!P731:P734,Ввод!P740)/VLOOKUP(Баланс!$B$7,Баланс!$A$1:$B$3,2,0)</f>
        <v>0</v>
      </c>
      <c r="P24" s="1912"/>
      <c r="Q24" s="1913"/>
      <c r="R24" s="1914"/>
      <c r="S24" s="1915"/>
      <c r="T24" s="782"/>
      <c r="U24" s="925">
        <v>31</v>
      </c>
      <c r="V24" s="1722">
        <f>HLOOKUP(V$8,'Банк. система_ввод'!$K$94:$W$151,$U24,0)</f>
        <v>-1239.9000000000001</v>
      </c>
      <c r="W24" s="1722">
        <f>HLOOKUP(W$8,'Банк. система_ввод'!$K$94:$W$151,$U24,0)</f>
        <v>-1821.3</v>
      </c>
      <c r="X24" s="1722">
        <f>HLOOKUP(X$8,'Банк. система_ввод'!$K$94:$W$151,$U24,0)</f>
        <v>-1873.3037629999999</v>
      </c>
      <c r="Y24" s="1722">
        <f>HLOOKUP(Y$8,'Банк. система_ввод'!$K$94:$W$151,$U24,0)</f>
        <v>-2066.5873369999999</v>
      </c>
      <c r="Z24" s="1722">
        <f>HLOOKUP(Z$8,'Банк. система_ввод'!$K$94:$W$151,$U24,0)</f>
        <v>-2118.1850380000001</v>
      </c>
      <c r="AA24" s="1722">
        <f>HLOOKUP(AA$8,'Банк. система_ввод'!$K$94:$W$151,$U24,0)</f>
        <v>-2415.8212780000003</v>
      </c>
      <c r="AB24" s="1722">
        <f>HLOOKUP(AB$8,'Банк. система_ввод'!$K$94:$W$151,$U24,0)</f>
        <v>-2578.6204029999999</v>
      </c>
      <c r="AC24" s="1722">
        <f>HLOOKUP(AC$8,'Банк. система_ввод'!$K$94:$W$151,$U24,0)</f>
        <v>-3070.0103340000001</v>
      </c>
      <c r="AD24" s="1722">
        <f>HLOOKUP(AD$8,'Банк. система_ввод'!$K$94:$W$151,$U24,0)</f>
        <v>-3660.895622</v>
      </c>
      <c r="AE24" s="1722">
        <f>HLOOKUP(AE$8,'Банк. система_ввод'!$K$94:$W$151,$U24,0)</f>
        <v>-4151.750849</v>
      </c>
      <c r="AF24" s="1916"/>
      <c r="AG24" s="776"/>
      <c r="AH24" s="1914">
        <f>V24/V$289</f>
        <v>-1.643360968642836E-2</v>
      </c>
      <c r="AI24" s="1914">
        <f t="shared" ref="AI24:AQ27" si="22">W24/W$289</f>
        <v>-2.3955943268479392E-2</v>
      </c>
      <c r="AJ24" s="1914">
        <f t="shared" si="22"/>
        <v>-2.281829870507995E-2</v>
      </c>
      <c r="AK24" s="1914">
        <f t="shared" si="22"/>
        <v>-2.3614340055209099E-2</v>
      </c>
      <c r="AL24" s="1914">
        <f t="shared" si="22"/>
        <v>-2.1970684040380106E-2</v>
      </c>
      <c r="AM24" s="1914">
        <f t="shared" si="22"/>
        <v>-2.1516075457086947E-2</v>
      </c>
      <c r="AN24" s="1914">
        <f t="shared" si="22"/>
        <v>-2.0196351212338971E-2</v>
      </c>
      <c r="AO24" s="1914">
        <f t="shared" si="22"/>
        <v>-2.0287606005897213E-2</v>
      </c>
      <c r="AP24" s="1914">
        <f t="shared" si="22"/>
        <v>-1.9945702965797722E-2</v>
      </c>
      <c r="AQ24" s="1914">
        <f t="shared" si="22"/>
        <v>-2.0246010838193253E-2</v>
      </c>
      <c r="AR24" s="1917"/>
      <c r="AS24" s="776"/>
      <c r="AT24" s="1097" t="s">
        <v>3375</v>
      </c>
      <c r="AU24" s="1722">
        <f>HLOOKUP(AU$8,'Банк. система_ввод'!$G$164:$W$194,17,0)+HLOOKUP(AU$8,'Банк. система_ввод'!$G$164:$W$194,18,0)+HLOOKUP(AU$8,'Банк. система_ввод'!$G$164:$W$194,20,0)</f>
        <v>-244.52374899999998</v>
      </c>
      <c r="AV24" s="1722">
        <f>HLOOKUP(AV$8,'Банк. система_ввод'!$G$164:$W$194,17,0)+HLOOKUP(AV$8,'Банк. система_ввод'!$G$164:$W$194,18,0)+HLOOKUP(AV$8,'Банк. система_ввод'!$G$164:$W$194,20,0)</f>
        <v>-259.24232899999998</v>
      </c>
      <c r="AW24" s="1722">
        <f>HLOOKUP(AW$8,'Банк. система_ввод'!$G$164:$W$194,17,0)+HLOOKUP(AW$8,'Банк. система_ввод'!$G$164:$W$194,18,0)+HLOOKUP(AW$8,'Банк. система_ввод'!$G$164:$W$194,20,0)</f>
        <v>-267.15211700000003</v>
      </c>
      <c r="AX24" s="1722">
        <f>HLOOKUP(AX$8,'Банк. система_ввод'!$G$164:$W$194,17,0)+HLOOKUP(AX$8,'Банк. система_ввод'!$G$164:$W$194,18,0)+HLOOKUP(AX$8,'Банк. система_ввод'!$G$164:$W$194,20,0)</f>
        <v>-275.71671499999997</v>
      </c>
      <c r="AY24" s="1722">
        <f>HLOOKUP(AY$8,'Банк. система_ввод'!$G$164:$W$194,17,0)+HLOOKUP(AY$8,'Банк. система_ввод'!$G$164:$W$194,18,0)+HLOOKUP(AY$8,'Банк. система_ввод'!$G$164:$W$194,20,0)</f>
        <v>-302.26399799999996</v>
      </c>
      <c r="AZ24" s="1722">
        <f>HLOOKUP(AZ$8,'Банк. система_ввод'!$G$164:$W$194,17,0)+HLOOKUP(AZ$8,'Банк. система_ввод'!$G$164:$W$194,18,0)+HLOOKUP(AZ$8,'Банк. система_ввод'!$G$164:$W$194,20,0)</f>
        <v>-304.27952999999997</v>
      </c>
      <c r="BA24" s="1722">
        <f>HLOOKUP(BA$8,'Банк. система_ввод'!$G$164:$W$194,17,0)+HLOOKUP(BA$8,'Банк. система_ввод'!$G$164:$W$194,18,0)+HLOOKUP(BA$8,'Банк. система_ввод'!$G$164:$W$194,20,0)</f>
        <v>-313.23245400000002</v>
      </c>
      <c r="BB24" s="1722">
        <f>HLOOKUP(BB$8,'Банк. система_ввод'!$G$164:$W$194,17,0)+HLOOKUP(BB$8,'Банк. система_ввод'!$G$164:$W$194,18,0)+HLOOKUP(BB$8,'Банк. система_ввод'!$G$164:$W$194,20,0)</f>
        <v>-339.30957599999999</v>
      </c>
      <c r="BC24" s="1722">
        <f>HLOOKUP(BC$8,'Банк. система_ввод'!$G$164:$W$194,17,0)+HLOOKUP(BC$8,'Банк. система_ввод'!$G$164:$W$194,18,0)+HLOOKUP(BC$8,'Банк. система_ввод'!$G$164:$W$194,20,0)</f>
        <v>-335.98101099999997</v>
      </c>
      <c r="BD24" s="1722">
        <f>HLOOKUP(BD$8,'Банк. система_ввод'!$G$164:$W$194,17,0)+HLOOKUP(BD$8,'Банк. система_ввод'!$G$164:$W$194,18,0)+HLOOKUP(BD$8,'Банк. система_ввод'!$G$164:$W$194,20,0)</f>
        <v>-350.57385066666671</v>
      </c>
      <c r="BE24" s="1916"/>
      <c r="BF24" s="776"/>
      <c r="BG24" s="1914">
        <f>AU24/AU$289</f>
        <v>-1.5514781871421456E-2</v>
      </c>
      <c r="BH24" s="1914">
        <f t="shared" ref="BH24:BP27" si="23">AV24/AV$289</f>
        <v>-1.5162546535588302E-2</v>
      </c>
      <c r="BI24" s="1914">
        <f t="shared" si="23"/>
        <v>-1.5111097020076882E-2</v>
      </c>
      <c r="BJ24" s="1914">
        <f t="shared" si="23"/>
        <v>-1.5071414414393925E-2</v>
      </c>
      <c r="BK24" s="1914">
        <f t="shared" si="23"/>
        <v>-1.4921612447264013E-2</v>
      </c>
      <c r="BL24" s="1914">
        <f t="shared" si="23"/>
        <v>-1.3349022182974469E-2</v>
      </c>
      <c r="BM24" s="1914">
        <f t="shared" si="23"/>
        <v>-1.324026774521744E-2</v>
      </c>
      <c r="BN24" s="1914">
        <f t="shared" si="23"/>
        <v>-1.4358723663192449E-2</v>
      </c>
      <c r="BO24" s="1914">
        <f t="shared" si="23"/>
        <v>-1.4169441551147579E-2</v>
      </c>
      <c r="BP24" s="1914">
        <f t="shared" si="23"/>
        <v>-1.4470318390012289E-2</v>
      </c>
      <c r="BQ24" s="776"/>
      <c r="BR24" s="776"/>
      <c r="BS24" s="776"/>
      <c r="BT24" s="776"/>
      <c r="BU24" s="776"/>
    </row>
    <row r="25" spans="1:73" s="783" customFormat="1" ht="14.25" customHeight="1" x14ac:dyDescent="0.2">
      <c r="A25" s="1920" t="s">
        <v>484</v>
      </c>
      <c r="B25" s="1921" t="s">
        <v>1132</v>
      </c>
      <c r="C25" s="1922"/>
      <c r="D25" s="1922"/>
      <c r="E25" s="1923"/>
      <c r="F25" s="1924"/>
      <c r="G25" s="1924">
        <f>SUM(Ввод!H742:H747)/VLOOKUP(Баланс!$B$7,Баланс!$A$1:$B$3,2,0)</f>
        <v>-16.901166</v>
      </c>
      <c r="H25" s="1924">
        <f>SUM(Ввод!I742:I747)/VLOOKUP(Баланс!$B$7,Баланс!$A$1:$B$3,2,0)</f>
        <v>-4.2008770000000002</v>
      </c>
      <c r="I25" s="1924">
        <f>SUM(Ввод!J742:J747)/VLOOKUP(Баланс!$B$7,Баланс!$A$1:$B$3,2,0)</f>
        <v>-2.2830050000000002</v>
      </c>
      <c r="J25" s="1924">
        <f>SUM(Ввод!K742:K747)/VLOOKUP(Баланс!$B$7,Баланс!$A$1:$B$3,2,0)</f>
        <v>-4.3354330000000001</v>
      </c>
      <c r="K25" s="1924">
        <f>SUM(Ввод!L742:L747)/VLOOKUP(Баланс!$B$7,Баланс!$A$1:$B$3,2,0)</f>
        <v>-4.9916070000000001</v>
      </c>
      <c r="L25" s="1924">
        <f>SUM(Ввод!M742:M747)/VLOOKUP(Баланс!$B$7,Баланс!$A$1:$B$3,2,0)</f>
        <v>-28.587485999999998</v>
      </c>
      <c r="M25" s="1919">
        <f>SUM(Ввод!N742:N747)/VLOOKUP(Баланс!$B$7,Баланс!$A$1:$B$3,2,0)</f>
        <v>0</v>
      </c>
      <c r="N25" s="1919">
        <f>SUM(Ввод!O742:O747)/VLOOKUP(Баланс!$B$7,Баланс!$A$1:$B$3,2,0)</f>
        <v>0</v>
      </c>
      <c r="O25" s="1919">
        <f>SUM(Ввод!P742:P747)/VLOOKUP(Баланс!$B$7,Баланс!$A$1:$B$3,2,0)</f>
        <v>0</v>
      </c>
      <c r="P25" s="1912"/>
      <c r="Q25" s="1913"/>
      <c r="R25" s="1914"/>
      <c r="S25" s="1915"/>
      <c r="T25" s="782"/>
      <c r="U25" s="925">
        <v>32</v>
      </c>
      <c r="V25" s="1722">
        <f>HLOOKUP(V$8,'Банк. система_ввод'!$K$94:$W$151,$U25,0)</f>
        <v>0</v>
      </c>
      <c r="W25" s="1722">
        <f>HLOOKUP(W$8,'Банк. система_ввод'!$K$94:$W$151,$U25,0)</f>
        <v>0</v>
      </c>
      <c r="X25" s="1722">
        <f>HLOOKUP(X$8,'Банк. система_ввод'!$K$94:$W$151,$U25,0)</f>
        <v>-102.44557999999995</v>
      </c>
      <c r="Y25" s="1722">
        <f>HLOOKUP(Y$8,'Банк. система_ввод'!$K$94:$W$151,$U25,0)</f>
        <v>-109.0244790000001</v>
      </c>
      <c r="Z25" s="1722">
        <f>HLOOKUP(Z$8,'Банк. система_ввод'!$K$94:$W$151,$U25,0)</f>
        <v>-154.26119900000015</v>
      </c>
      <c r="AA25" s="1722">
        <f>HLOOKUP(AA$8,'Банк. система_ввод'!$K$94:$W$151,$U25,0)</f>
        <v>-155.608137</v>
      </c>
      <c r="AB25" s="1722">
        <f>HLOOKUP(AB$8,'Банк. система_ввод'!$K$94:$W$151,$U25,0)</f>
        <v>-167.17704599999999</v>
      </c>
      <c r="AC25" s="1722">
        <f>HLOOKUP(AC$8,'Банк. система_ввод'!$K$94:$W$151,$U25,0)</f>
        <v>-159.97969900000001</v>
      </c>
      <c r="AD25" s="1722">
        <f>HLOOKUP(AD$8,'Банк. система_ввод'!$K$94:$W$151,$U25,0)</f>
        <v>-334.23578700000002</v>
      </c>
      <c r="AE25" s="1722">
        <f>HLOOKUP(AE$8,'Банк. система_ввод'!$K$94:$W$151,$U25,0)</f>
        <v>-333.63099999999997</v>
      </c>
      <c r="AF25" s="1916"/>
      <c r="AG25" s="776"/>
      <c r="AH25" s="1914">
        <f>V25/V$289</f>
        <v>0</v>
      </c>
      <c r="AI25" s="1914">
        <f t="shared" si="22"/>
        <v>0</v>
      </c>
      <c r="AJ25" s="1914">
        <f t="shared" si="22"/>
        <v>-1.2478669458879229E-3</v>
      </c>
      <c r="AK25" s="1914">
        <f t="shared" si="22"/>
        <v>-1.2457935241127463E-3</v>
      </c>
      <c r="AL25" s="1914">
        <f t="shared" si="22"/>
        <v>-1.6000604300931724E-3</v>
      </c>
      <c r="AM25" s="1914">
        <f t="shared" si="22"/>
        <v>-1.385895739853949E-3</v>
      </c>
      <c r="AN25" s="1914">
        <f t="shared" si="22"/>
        <v>-1.3093692781338579E-3</v>
      </c>
      <c r="AO25" s="1914">
        <f t="shared" si="22"/>
        <v>-1.057196800385112E-3</v>
      </c>
      <c r="AP25" s="1914">
        <f t="shared" si="22"/>
        <v>-1.8210209785767106E-3</v>
      </c>
      <c r="AQ25" s="1914">
        <f t="shared" si="22"/>
        <v>-1.6269513965618155E-3</v>
      </c>
      <c r="AR25" s="1917"/>
      <c r="AS25" s="776"/>
      <c r="AT25" s="1097">
        <v>19</v>
      </c>
      <c r="AU25" s="1722">
        <f>HLOOKUP(AU$8,'Банк. система_ввод'!$G$164:$W$194,19,0)</f>
        <v>-172.41404299999999</v>
      </c>
      <c r="AV25" s="1722">
        <f>HLOOKUP(AV$8,'Банк. система_ввод'!$G$164:$W$194,19,0)</f>
        <v>-183.63147800000002</v>
      </c>
      <c r="AW25" s="1722">
        <f>HLOOKUP(AW$8,'Банк. система_ввод'!$G$164:$W$194,19,0)</f>
        <v>-192.16456099999999</v>
      </c>
      <c r="AX25" s="1722">
        <f>HLOOKUP(AX$8,'Банк. система_ввод'!$G$164:$W$194,19,0)</f>
        <v>-190.428359</v>
      </c>
      <c r="AY25" s="1722">
        <f>HLOOKUP(AY$8,'Банк. система_ввод'!$G$164:$W$194,19,0)</f>
        <v>-196.698564</v>
      </c>
      <c r="AZ25" s="1722">
        <f>HLOOKUP(AZ$8,'Банк. система_ввод'!$G$164:$W$194,19,0)</f>
        <v>-205.87812400000001</v>
      </c>
      <c r="BA25" s="1722">
        <f>HLOOKUP(BA$8,'Банк. система_ввод'!$G$164:$W$194,19,0)</f>
        <v>-224.82372800000002</v>
      </c>
      <c r="BB25" s="1722">
        <f>HLOOKUP(BB$8,'Банк. система_ввод'!$G$164:$W$194,19,0)</f>
        <v>-253.415989</v>
      </c>
      <c r="BC25" s="1722">
        <f>HLOOKUP(BC$8,'Банк. система_ввод'!$G$164:$W$194,19,0)</f>
        <v>-244.823003</v>
      </c>
      <c r="BD25" s="1722">
        <f>HLOOKUP(BD$8,'Банк. система_ввод'!$G$164:$W$194,19,0)</f>
        <v>-170.26908800000041</v>
      </c>
      <c r="BE25" s="1916"/>
      <c r="BF25" s="776"/>
      <c r="BG25" s="1914">
        <f>AU25/AU$289</f>
        <v>-1.0939494751141246E-2</v>
      </c>
      <c r="BH25" s="1914">
        <f t="shared" si="23"/>
        <v>-1.0740224566389619E-2</v>
      </c>
      <c r="BI25" s="1914">
        <f t="shared" si="23"/>
        <v>-1.0869527659747056E-2</v>
      </c>
      <c r="BJ25" s="1914">
        <f t="shared" si="23"/>
        <v>-1.0409324348514675E-2</v>
      </c>
      <c r="BK25" s="1914">
        <f t="shared" si="23"/>
        <v>-9.7102524957052867E-3</v>
      </c>
      <c r="BL25" s="1914">
        <f t="shared" si="23"/>
        <v>-9.0320622102484805E-3</v>
      </c>
      <c r="BM25" s="1914">
        <f t="shared" si="23"/>
        <v>-9.5032501140445026E-3</v>
      </c>
      <c r="BN25" s="1914">
        <f t="shared" si="23"/>
        <v>-1.0723924154399985E-2</v>
      </c>
      <c r="BO25" s="1914">
        <f t="shared" si="23"/>
        <v>-1.032500384786606E-2</v>
      </c>
      <c r="BP25" s="1914">
        <f t="shared" si="23"/>
        <v>-7.0280424813535429E-3</v>
      </c>
      <c r="BQ25" s="776"/>
      <c r="BR25" s="776"/>
      <c r="BS25" s="776"/>
      <c r="BT25" s="776"/>
      <c r="BU25" s="776"/>
    </row>
    <row r="26" spans="1:73" s="526" customFormat="1" ht="23.25" customHeight="1" x14ac:dyDescent="0.25">
      <c r="A26" s="858"/>
      <c r="B26" s="521" t="s">
        <v>816</v>
      </c>
      <c r="C26" s="522"/>
      <c r="D26" s="522"/>
      <c r="E26" s="523"/>
      <c r="F26" s="1704"/>
      <c r="G26" s="1704">
        <f>SUM(G21:G23)</f>
        <v>-21.960013</v>
      </c>
      <c r="H26" s="1704">
        <f t="shared" ref="H26:N26" si="24">SUM(H21:H23)</f>
        <v>-13.012466</v>
      </c>
      <c r="I26" s="1704">
        <f t="shared" si="24"/>
        <v>-10.368125000000001</v>
      </c>
      <c r="J26" s="1704">
        <f t="shared" si="24"/>
        <v>-13.059633</v>
      </c>
      <c r="K26" s="1704">
        <f t="shared" si="24"/>
        <v>-15.053887000000003</v>
      </c>
      <c r="L26" s="1704">
        <f t="shared" si="24"/>
        <v>-21.691831000000001</v>
      </c>
      <c r="M26" s="1704">
        <f t="shared" si="24"/>
        <v>-19.201804999999997</v>
      </c>
      <c r="N26" s="1704">
        <f t="shared" si="24"/>
        <v>-21.510242999999999</v>
      </c>
      <c r="O26" s="1751">
        <f t="shared" ref="O26" si="25">SUM(O21:O25)</f>
        <v>0</v>
      </c>
      <c r="P26" s="1751"/>
      <c r="Q26" s="529"/>
      <c r="R26" s="649">
        <f t="shared" ref="R26:R53" si="26">N26/$N$289</f>
        <v>-2.4316466946754007E-2</v>
      </c>
      <c r="S26" s="14"/>
      <c r="T26" s="524"/>
      <c r="U26" s="1026">
        <v>33</v>
      </c>
      <c r="V26" s="577">
        <f>HLOOKUP(V$8,'Банк. система_ввод'!$K$94:$W$151,$U26,0)</f>
        <v>-467.5</v>
      </c>
      <c r="W26" s="577">
        <f>HLOOKUP(W$8,'Банк. система_ввод'!$K$94:$W$151,$U26,0)</f>
        <v>-895.1</v>
      </c>
      <c r="X26" s="577">
        <f>HLOOKUP(X$8,'Банк. система_ввод'!$K$94:$W$151,$U26,0)</f>
        <v>-935.06685899999991</v>
      </c>
      <c r="Y26" s="577">
        <f>HLOOKUP(Y$8,'Банк. система_ввод'!$K$94:$W$151,$U26,0)</f>
        <v>-1002.4044160000001</v>
      </c>
      <c r="Z26" s="577">
        <f>HLOOKUP(Z$8,'Банк. система_ввод'!$K$94:$W$151,$U26,0)</f>
        <v>-987.67761100000018</v>
      </c>
      <c r="AA26" s="577">
        <f>HLOOKUP(AA$8,'Банк. система_ввод'!$K$94:$W$151,$U26,0)</f>
        <v>-1035.6081340000001</v>
      </c>
      <c r="AB26" s="577">
        <f>HLOOKUP(AB$8,'Банк. система_ввод'!$K$94:$W$151,$U26,0)</f>
        <v>-1122.9042299999999</v>
      </c>
      <c r="AC26" s="577">
        <f>HLOOKUP(AC$8,'Банк. система_ввод'!$K$94:$W$151,$U26,0)</f>
        <v>-1280.4706569999998</v>
      </c>
      <c r="AD26" s="577">
        <f>HLOOKUP(AD$8,'Банк. система_ввод'!$K$94:$W$151,$U26,0)</f>
        <v>-1801.156328</v>
      </c>
      <c r="AE26" s="577">
        <f>HLOOKUP(AE$8,'Банк. система_ввод'!$K$94:$W$151,$U26,0)</f>
        <v>-2113.6429509999994</v>
      </c>
      <c r="AF26" s="525"/>
      <c r="AG26" s="13"/>
      <c r="AH26" s="649">
        <f>V26/V$289</f>
        <v>-6.1962356064241136E-3</v>
      </c>
      <c r="AI26" s="649">
        <f t="shared" si="22"/>
        <v>-1.1773439202556362E-2</v>
      </c>
      <c r="AJ26" s="649">
        <f t="shared" si="22"/>
        <v>-1.1389842544122874E-2</v>
      </c>
      <c r="AK26" s="649">
        <f t="shared" si="22"/>
        <v>-1.1454206811617218E-2</v>
      </c>
      <c r="AL26" s="649">
        <f t="shared" si="22"/>
        <v>-1.024459730181441E-2</v>
      </c>
      <c r="AM26" s="649">
        <f t="shared" si="22"/>
        <v>-9.2234566182660335E-3</v>
      </c>
      <c r="AN26" s="649">
        <f t="shared" si="22"/>
        <v>-8.7948455618037137E-3</v>
      </c>
      <c r="AO26" s="649">
        <f t="shared" si="22"/>
        <v>-8.4617578982157087E-3</v>
      </c>
      <c r="AP26" s="649">
        <f t="shared" si="22"/>
        <v>-9.8132623332288314E-3</v>
      </c>
      <c r="AQ26" s="649">
        <f t="shared" si="22"/>
        <v>-1.030717874227061E-2</v>
      </c>
      <c r="AR26" s="1758"/>
      <c r="AS26" s="13"/>
      <c r="AT26" s="1100"/>
      <c r="AU26" s="577">
        <f>AU21+AU23</f>
        <v>-323.69369999999992</v>
      </c>
      <c r="AV26" s="577">
        <f t="shared" ref="AV26:BD26" si="27">AV21+AV23</f>
        <v>-343.50208199999997</v>
      </c>
      <c r="AW26" s="577">
        <f t="shared" si="27"/>
        <v>-359.74989100000005</v>
      </c>
      <c r="AX26" s="577">
        <f t="shared" si="27"/>
        <v>-374.31643099999997</v>
      </c>
      <c r="AY26" s="577">
        <f t="shared" si="27"/>
        <v>-411.74005099999988</v>
      </c>
      <c r="AZ26" s="577">
        <f t="shared" si="27"/>
        <v>-405.45533699999999</v>
      </c>
      <c r="BA26" s="577">
        <f t="shared" si="27"/>
        <v>-432.276341</v>
      </c>
      <c r="BB26" s="577">
        <f t="shared" si="27"/>
        <v>-495.84654899999998</v>
      </c>
      <c r="BC26" s="577">
        <f t="shared" si="27"/>
        <v>-469.74846099999991</v>
      </c>
      <c r="BD26" s="577">
        <f t="shared" si="27"/>
        <v>-401.89664400000038</v>
      </c>
      <c r="BE26" s="525"/>
      <c r="BF26" s="13"/>
      <c r="BG26" s="649">
        <f>AU26/AU$289</f>
        <v>-2.0538034318512491E-2</v>
      </c>
      <c r="BH26" s="649">
        <f t="shared" si="23"/>
        <v>-2.0090724857654202E-2</v>
      </c>
      <c r="BI26" s="649">
        <f t="shared" si="23"/>
        <v>-2.0348764467635054E-2</v>
      </c>
      <c r="BJ26" s="649">
        <f t="shared" si="23"/>
        <v>-2.0461139085158071E-2</v>
      </c>
      <c r="BK26" s="649">
        <f t="shared" si="23"/>
        <v>-2.0326024636380013E-2</v>
      </c>
      <c r="BL26" s="649">
        <f t="shared" si="23"/>
        <v>-1.7787697673315027E-2</v>
      </c>
      <c r="BM26" s="649">
        <f t="shared" si="23"/>
        <v>-1.8272226972888689E-2</v>
      </c>
      <c r="BN26" s="649">
        <f t="shared" si="23"/>
        <v>-2.0982972718808897E-2</v>
      </c>
      <c r="BO26" s="649">
        <f t="shared" si="23"/>
        <v>-1.9810861756949197E-2</v>
      </c>
      <c r="BP26" s="649">
        <f t="shared" si="23"/>
        <v>-1.6588722711343925E-2</v>
      </c>
      <c r="BQ26" s="13"/>
      <c r="BR26" s="13"/>
      <c r="BS26" s="13"/>
      <c r="BT26" s="13"/>
      <c r="BU26" s="13"/>
    </row>
    <row r="27" spans="1:73" ht="27.75" customHeight="1" x14ac:dyDescent="0.25">
      <c r="A27" s="516"/>
      <c r="B27" s="516" t="s">
        <v>978</v>
      </c>
      <c r="C27" s="517"/>
      <c r="D27" s="517"/>
      <c r="E27" s="518"/>
      <c r="F27" s="1705"/>
      <c r="G27" s="1705">
        <f t="shared" ref="G27:K27" si="28">G20+G26</f>
        <v>-13.190573999999998</v>
      </c>
      <c r="H27" s="1705">
        <f t="shared" si="28"/>
        <v>-2.1463999999999963</v>
      </c>
      <c r="I27" s="1705">
        <f t="shared" si="28"/>
        <v>0.5381260000000001</v>
      </c>
      <c r="J27" s="1705">
        <f t="shared" si="28"/>
        <v>0.13705700000000043</v>
      </c>
      <c r="K27" s="1705">
        <f t="shared" si="28"/>
        <v>-0.76111300000000526</v>
      </c>
      <c r="L27" s="1705">
        <f t="shared" ref="L27:O27" si="29">L20+L26</f>
        <v>-6.6856259999999992</v>
      </c>
      <c r="M27" s="1705">
        <f t="shared" si="29"/>
        <v>11.617912</v>
      </c>
      <c r="N27" s="1705">
        <f t="shared" si="29"/>
        <v>22.919264000000002</v>
      </c>
      <c r="O27" s="1705">
        <f t="shared" si="29"/>
        <v>0</v>
      </c>
      <c r="P27" s="1752"/>
      <c r="Q27" s="497"/>
      <c r="R27" s="650">
        <f t="shared" si="26"/>
        <v>2.5909308672148849E-2</v>
      </c>
      <c r="S27" s="4"/>
      <c r="T27" s="66"/>
      <c r="U27" s="1026">
        <v>34</v>
      </c>
      <c r="V27" s="578">
        <f>HLOOKUP(V$8,'Банк. система_ввод'!$K$94:$W$151,$U27,0)</f>
        <v>1153.8999999999996</v>
      </c>
      <c r="W27" s="578">
        <f>HLOOKUP(W$8,'Банк. система_ввод'!$K$94:$W$151,$U27,0)</f>
        <v>1697.8000000000006</v>
      </c>
      <c r="X27" s="578">
        <f>HLOOKUP(X$8,'Банк. система_ввод'!$K$94:$W$151,$U27,0)</f>
        <v>2254.4948810000001</v>
      </c>
      <c r="Y27" s="578">
        <f>HLOOKUP(Y$8,'Банк. система_ввод'!$K$94:$W$151,$U27,0)</f>
        <v>2331.9751299999989</v>
      </c>
      <c r="Z27" s="578">
        <f>HLOOKUP(Z$8,'Банк. система_ввод'!$K$94:$W$151,$U27,0)</f>
        <v>2625.9527549999989</v>
      </c>
      <c r="AA27" s="578">
        <f>HLOOKUP(AA$8,'Банк. система_ввод'!$K$94:$W$151,$U27,0)</f>
        <v>3045.5093550000011</v>
      </c>
      <c r="AB27" s="578">
        <f>HLOOKUP(AB$8,'Банк. система_ввод'!$K$94:$W$151,$U27,0)</f>
        <v>3073.6405579999991</v>
      </c>
      <c r="AC27" s="578">
        <f>HLOOKUP(AC$8,'Банк. система_ввод'!$K$94:$W$151,$U27,0)</f>
        <v>4720.6074199999985</v>
      </c>
      <c r="AD27" s="578">
        <f>HLOOKUP(AD$8,'Банк. система_ввод'!$K$94:$W$151,$U27,0)</f>
        <v>4857.2256769999995</v>
      </c>
      <c r="AE27" s="578">
        <f>HLOOKUP(AE$8,'Банк. система_ввод'!$K$94:$W$151,$U27,0)</f>
        <v>5657.6168469999993</v>
      </c>
      <c r="AF27" s="43"/>
      <c r="AG27" s="4"/>
      <c r="AH27" s="650">
        <f>V27/V$289</f>
        <v>1.5293767414444454E-2</v>
      </c>
      <c r="AI27" s="650">
        <f t="shared" si="22"/>
        <v>2.2331521704949391E-2</v>
      </c>
      <c r="AJ27" s="650">
        <f t="shared" si="22"/>
        <v>2.746150338231701E-2</v>
      </c>
      <c r="AK27" s="650">
        <f t="shared" si="22"/>
        <v>2.6646855293350914E-2</v>
      </c>
      <c r="AL27" s="650">
        <f t="shared" si="22"/>
        <v>2.7237459074654576E-2</v>
      </c>
      <c r="AM27" s="650">
        <f t="shared" si="22"/>
        <v>2.712427847381689E-2</v>
      </c>
      <c r="AN27" s="650">
        <f t="shared" si="22"/>
        <v>2.407346352244678E-2</v>
      </c>
      <c r="AO27" s="650">
        <f t="shared" si="22"/>
        <v>3.1195277222631955E-2</v>
      </c>
      <c r="AP27" s="650">
        <f t="shared" si="22"/>
        <v>2.6463682823702133E-2</v>
      </c>
      <c r="AQ27" s="650">
        <f t="shared" si="22"/>
        <v>2.7589365587844968E-2</v>
      </c>
      <c r="AR27" s="1759"/>
      <c r="AS27" s="4"/>
      <c r="AT27" s="1099"/>
      <c r="AU27" s="578">
        <f t="shared" ref="AU27:BD27" si="30">AU20+AU26</f>
        <v>107.93569100000008</v>
      </c>
      <c r="AV27" s="578">
        <f t="shared" si="30"/>
        <v>155.52008600000005</v>
      </c>
      <c r="AW27" s="578">
        <f t="shared" si="30"/>
        <v>181.51116699999989</v>
      </c>
      <c r="AX27" s="578">
        <f t="shared" si="30"/>
        <v>172.35114399999998</v>
      </c>
      <c r="AY27" s="578">
        <f t="shared" si="30"/>
        <v>114.92690200000015</v>
      </c>
      <c r="AZ27" s="578">
        <f t="shared" si="30"/>
        <v>121.97091899999998</v>
      </c>
      <c r="BA27" s="578">
        <f t="shared" si="30"/>
        <v>201.03815800000007</v>
      </c>
      <c r="BB27" s="578">
        <f t="shared" si="30"/>
        <v>202.31627900000001</v>
      </c>
      <c r="BC27" s="578">
        <f t="shared" si="30"/>
        <v>213.14235400000007</v>
      </c>
      <c r="BD27" s="578">
        <f t="shared" si="30"/>
        <v>243.34299333333297</v>
      </c>
      <c r="BE27" s="43"/>
      <c r="BF27" s="4"/>
      <c r="BG27" s="650">
        <f>AU27/AU$289</f>
        <v>6.8484092398164121E-3</v>
      </c>
      <c r="BH27" s="650">
        <f t="shared" si="23"/>
        <v>9.0960475100256323E-3</v>
      </c>
      <c r="BI27" s="650">
        <f t="shared" si="23"/>
        <v>1.0266932882902721E-2</v>
      </c>
      <c r="BJ27" s="650">
        <f t="shared" si="23"/>
        <v>9.4211753394018317E-3</v>
      </c>
      <c r="BK27" s="650">
        <f t="shared" si="23"/>
        <v>5.6734996650467575E-3</v>
      </c>
      <c r="BL27" s="650">
        <f t="shared" si="23"/>
        <v>5.3509761350320944E-3</v>
      </c>
      <c r="BM27" s="650">
        <f t="shared" si="23"/>
        <v>8.4978392402638089E-3</v>
      </c>
      <c r="BN27" s="650">
        <f t="shared" si="23"/>
        <v>8.5615135799360573E-3</v>
      </c>
      <c r="BO27" s="650">
        <f t="shared" si="23"/>
        <v>8.9889250529013014E-3</v>
      </c>
      <c r="BP27" s="650">
        <f t="shared" si="23"/>
        <v>1.0044247695074235E-2</v>
      </c>
      <c r="BQ27" s="4"/>
      <c r="BR27" s="528"/>
      <c r="BS27" s="4"/>
      <c r="BT27" s="4"/>
      <c r="BU27" s="4"/>
    </row>
    <row r="28" spans="1:73" ht="24.75" customHeight="1" x14ac:dyDescent="0.25">
      <c r="A28" s="856" t="s">
        <v>819</v>
      </c>
      <c r="B28" s="491"/>
      <c r="C28" s="509"/>
      <c r="D28" s="509"/>
      <c r="E28" s="510"/>
      <c r="F28" s="1699"/>
      <c r="G28" s="1699"/>
      <c r="H28" s="1699"/>
      <c r="I28" s="1700"/>
      <c r="J28" s="1700"/>
      <c r="K28" s="1699"/>
      <c r="L28" s="1699"/>
      <c r="M28" s="1699"/>
      <c r="N28" s="1699"/>
      <c r="O28" s="1699"/>
      <c r="P28" s="1699"/>
      <c r="Q28" s="510"/>
      <c r="R28" s="651">
        <f t="shared" si="26"/>
        <v>0</v>
      </c>
      <c r="S28" s="509"/>
      <c r="T28" s="66"/>
      <c r="U28" s="1026">
        <v>35</v>
      </c>
      <c r="V28" s="571">
        <f>HLOOKUP(V$8,'Банк. система_ввод'!$K$94:$W$151,$U28,0)</f>
        <v>0</v>
      </c>
      <c r="W28" s="571">
        <f>HLOOKUP(W$8,'Банк. система_ввод'!$K$94:$W$151,$U28,0)</f>
        <v>0</v>
      </c>
      <c r="X28" s="572">
        <f>HLOOKUP(X$8,'Банк. система_ввод'!$K$94:$W$151,$U28,0)</f>
        <v>0</v>
      </c>
      <c r="Y28" s="572">
        <f>HLOOKUP(Y$8,'Банк. система_ввод'!$K$94:$W$151,$U28,0)</f>
        <v>0</v>
      </c>
      <c r="Z28" s="572">
        <f>HLOOKUP(Z$8,'Банк. система_ввод'!$K$94:$W$151,$U28,0)</f>
        <v>0</v>
      </c>
      <c r="AA28" s="572">
        <f>HLOOKUP(AA$8,'Банк. система_ввод'!$K$94:$W$151,$U28,0)</f>
        <v>0</v>
      </c>
      <c r="AB28" s="572">
        <f>HLOOKUP(AB$8,'Банк. система_ввод'!$K$94:$W$151,$U28,0)</f>
        <v>0</v>
      </c>
      <c r="AC28" s="572">
        <f>HLOOKUP(AC$8,'Банк. система_ввод'!$K$94:$W$151,$U28,0)</f>
        <v>0</v>
      </c>
      <c r="AD28" s="572">
        <f>HLOOKUP(AD$8,'Банк. система_ввод'!$K$94:$W$151,$U28,0)</f>
        <v>0</v>
      </c>
      <c r="AE28" s="572">
        <f>HLOOKUP(AE$8,'Банк. система_ввод'!$K$94:$W$151,$U28,0)</f>
        <v>0</v>
      </c>
      <c r="AF28" s="4"/>
      <c r="AG28" s="4"/>
      <c r="AH28" s="651"/>
      <c r="AI28" s="651"/>
      <c r="AJ28" s="651"/>
      <c r="AK28" s="651"/>
      <c r="AL28" s="651"/>
      <c r="AM28" s="651"/>
      <c r="AN28" s="651"/>
      <c r="AO28" s="651"/>
      <c r="AP28" s="651"/>
      <c r="AQ28" s="651"/>
      <c r="AR28" s="570"/>
      <c r="AS28" s="4"/>
      <c r="AT28" s="1099"/>
      <c r="AU28" s="571"/>
      <c r="AV28" s="571"/>
      <c r="AW28" s="572"/>
      <c r="AX28" s="572"/>
      <c r="AY28" s="572"/>
      <c r="AZ28" s="572"/>
      <c r="BA28" s="572"/>
      <c r="BB28" s="572"/>
      <c r="BC28" s="572"/>
      <c r="BD28" s="572"/>
      <c r="BE28" s="12"/>
      <c r="BF28" s="4"/>
      <c r="BG28" s="651"/>
      <c r="BH28" s="651"/>
      <c r="BI28" s="651"/>
      <c r="BJ28" s="651"/>
      <c r="BK28" s="651"/>
      <c r="BL28" s="651"/>
      <c r="BM28" s="651"/>
      <c r="BN28" s="651"/>
      <c r="BO28" s="651"/>
      <c r="BP28" s="651"/>
      <c r="BQ28" s="4"/>
      <c r="BR28" s="12"/>
      <c r="BS28" s="4"/>
      <c r="BT28" s="4"/>
      <c r="BU28" s="4"/>
    </row>
    <row r="29" spans="1:73" x14ac:dyDescent="0.25">
      <c r="A29" s="489">
        <v>6</v>
      </c>
      <c r="B29" s="494" t="s">
        <v>820</v>
      </c>
      <c r="C29" s="492"/>
      <c r="D29" s="492"/>
      <c r="E29" s="499"/>
      <c r="F29" s="1701"/>
      <c r="G29" s="1701">
        <f t="shared" ref="G29" si="31">SUM(G30:G33)</f>
        <v>14.734512000000002</v>
      </c>
      <c r="H29" s="1701">
        <f t="shared" ref="H29:O29" si="32">SUM(H30:H33)</f>
        <v>14.228079999999999</v>
      </c>
      <c r="I29" s="1701">
        <f t="shared" si="32"/>
        <v>6.8194189999999999</v>
      </c>
      <c r="J29" s="1701">
        <f t="shared" si="32"/>
        <v>-26.532415</v>
      </c>
      <c r="K29" s="1701">
        <f t="shared" si="32"/>
        <v>5.8788780000000003</v>
      </c>
      <c r="L29" s="1701">
        <f t="shared" si="32"/>
        <v>1.0588660000000001</v>
      </c>
      <c r="M29" s="1701">
        <f t="shared" si="32"/>
        <v>-5.1399800000000004</v>
      </c>
      <c r="N29" s="1701">
        <f t="shared" si="32"/>
        <v>-1.9017249999999994</v>
      </c>
      <c r="O29" s="1701">
        <f t="shared" si="32"/>
        <v>0</v>
      </c>
      <c r="P29" s="1701"/>
      <c r="Q29" s="499"/>
      <c r="R29" s="647">
        <f t="shared" si="26"/>
        <v>-2.1498238352916678E-3</v>
      </c>
      <c r="S29" s="9"/>
      <c r="T29" s="66"/>
      <c r="U29" s="1026">
        <v>36</v>
      </c>
      <c r="V29" s="1016">
        <f>HLOOKUP(V$8,'Банк. система_ввод'!$K$94:$W$151,$U29,0)</f>
        <v>640.09999999999991</v>
      </c>
      <c r="W29" s="1016">
        <f>HLOOKUP(W$8,'Банк. система_ввод'!$K$94:$W$151,$U29,0)</f>
        <v>258.2</v>
      </c>
      <c r="X29" s="1016">
        <f>HLOOKUP(X$8,'Банк. система_ввод'!$K$94:$W$151,$U29,0)</f>
        <v>157.27817899999999</v>
      </c>
      <c r="Y29" s="1016">
        <f>HLOOKUP(Y$8,'Банк. система_ввод'!$K$94:$W$151,$U29,0)</f>
        <v>428.85386199999999</v>
      </c>
      <c r="Z29" s="1016">
        <f>HLOOKUP(Z$8,'Банк. система_ввод'!$K$94:$W$151,$U29,0)</f>
        <v>337.32999200000006</v>
      </c>
      <c r="AA29" s="1016">
        <f>HLOOKUP(AA$8,'Банк. система_ввод'!$K$94:$W$151,$U29,0)</f>
        <v>-53.766841000000007</v>
      </c>
      <c r="AB29" s="1016">
        <f>HLOOKUP(AB$8,'Банк. система_ввод'!$K$94:$W$151,$U29,0)</f>
        <v>-106.948812</v>
      </c>
      <c r="AC29" s="1016">
        <f>HLOOKUP(AC$8,'Банк. система_ввод'!$K$94:$W$151,$U29,0)</f>
        <v>-33.909755000000004</v>
      </c>
      <c r="AD29" s="1016">
        <f>HLOOKUP(AD$8,'Банк. система_ввод'!$K$94:$W$151,$U29,0)</f>
        <v>90.370060999999993</v>
      </c>
      <c r="AE29" s="1016">
        <f>HLOOKUP(AE$8,'Банк. система_ввод'!$K$94:$W$151,$U29,0)</f>
        <v>338.51511199999999</v>
      </c>
      <c r="AF29" s="4"/>
      <c r="AG29" s="4"/>
      <c r="AH29" s="1909">
        <f t="shared" ref="AH29:AQ29" si="33">V29/V$289</f>
        <v>8.4838725383359886E-3</v>
      </c>
      <c r="AI29" s="1909">
        <f t="shared" si="33"/>
        <v>3.39615909071618E-3</v>
      </c>
      <c r="AJ29" s="1909">
        <f t="shared" si="33"/>
        <v>1.9157707036608523E-3</v>
      </c>
      <c r="AK29" s="1909">
        <f t="shared" si="33"/>
        <v>4.9003982313948124E-3</v>
      </c>
      <c r="AL29" s="1909">
        <f t="shared" si="33"/>
        <v>3.4989250413050791E-3</v>
      </c>
      <c r="AM29" s="1909">
        <f t="shared" si="33"/>
        <v>-4.7886464887954186E-4</v>
      </c>
      <c r="AN29" s="1909">
        <f t="shared" si="33"/>
        <v>-8.3764782376710787E-4</v>
      </c>
      <c r="AO29" s="1909">
        <f t="shared" si="33"/>
        <v>-2.2408646041922515E-4</v>
      </c>
      <c r="AP29" s="1909">
        <f t="shared" si="33"/>
        <v>4.9236432278347564E-4</v>
      </c>
      <c r="AQ29" s="1909">
        <f t="shared" si="33"/>
        <v>1.6507687661688494E-3</v>
      </c>
      <c r="AR29" s="547"/>
      <c r="AS29" s="4"/>
      <c r="AT29" s="1099" t="s">
        <v>3376</v>
      </c>
      <c r="AU29" s="573">
        <f>HLOOKUP(AU$8,'Банк. система_ввод'!$G$164:$W$194,9,0)+HLOOKUP(AU$8,'Банк. система_ввод'!$G$164:$W$194,21,0)</f>
        <v>26.427273000000003</v>
      </c>
      <c r="AV29" s="573">
        <f>HLOOKUP(AV$8,'Банк. система_ввод'!$G$164:$W$194,9,0)+HLOOKUP(AV$8,'Банк. система_ввод'!$G$164:$W$194,21,0)</f>
        <v>29.949319000000003</v>
      </c>
      <c r="AW29" s="573">
        <f>HLOOKUP(AW$8,'Банк. система_ввод'!$G$164:$W$194,9,0)+HLOOKUP(AW$8,'Банк. система_ввод'!$G$164:$W$194,21,0)</f>
        <v>26.947137999999999</v>
      </c>
      <c r="AX29" s="573">
        <f>HLOOKUP(AX$8,'Банк. система_ввод'!$G$164:$W$194,9,0)+HLOOKUP(AX$8,'Банк. система_ввод'!$G$164:$W$194,21,0)</f>
        <v>37.236858999999995</v>
      </c>
      <c r="AY29" s="573">
        <f>HLOOKUP(AY$8,'Банк. система_ввод'!$G$164:$W$194,9,0)+HLOOKUP(AY$8,'Банк. система_ввод'!$G$164:$W$194,21,0)</f>
        <v>42.849010999999997</v>
      </c>
      <c r="AZ29" s="573">
        <f>HLOOKUP(AZ$8,'Банк. система_ввод'!$G$164:$W$194,9,0)+HLOOKUP(AZ$8,'Банк. система_ввод'!$G$164:$W$194,21,0)</f>
        <v>36.461496000000004</v>
      </c>
      <c r="BA29" s="573">
        <f>HLOOKUP(BA$8,'Банк. система_ввод'!$G$164:$W$194,9,0)+HLOOKUP(BA$8,'Банк. система_ввод'!$G$164:$W$194,21,0)</f>
        <v>39.812868999999999</v>
      </c>
      <c r="BB29" s="573">
        <f>HLOOKUP(BB$8,'Банк. система_ввод'!$G$164:$W$194,9,0)+HLOOKUP(BB$8,'Банк. система_ввод'!$G$164:$W$194,21,0)</f>
        <v>44.998853000000004</v>
      </c>
      <c r="BC29" s="573">
        <f>HLOOKUP(BC$8,'Банк. система_ввод'!$G$164:$W$194,9,0)+HLOOKUP(BC$8,'Банк. система_ввод'!$G$164:$W$194,21,0)</f>
        <v>69.817996000000008</v>
      </c>
      <c r="BD29" s="573">
        <f>HLOOKUP(BD$8,'Банк. система_ввод'!$G$164:$W$194,9,0)+HLOOKUP(BD$8,'Банк. система_ввод'!$G$164:$W$194,21,0)</f>
        <v>71.386645333333334</v>
      </c>
      <c r="BE29" s="530"/>
      <c r="BF29" s="4"/>
      <c r="BG29" s="647">
        <f t="shared" ref="BG29:BP29" si="34">AU29/AU$289</f>
        <v>1.6767834524388295E-3</v>
      </c>
      <c r="BH29" s="647">
        <f t="shared" si="34"/>
        <v>1.75167359743431E-3</v>
      </c>
      <c r="BI29" s="647">
        <f t="shared" si="34"/>
        <v>1.5242282984843441E-3</v>
      </c>
      <c r="BJ29" s="647">
        <f t="shared" si="34"/>
        <v>2.0354664876931893E-3</v>
      </c>
      <c r="BK29" s="647">
        <f t="shared" si="34"/>
        <v>2.1152910704587209E-3</v>
      </c>
      <c r="BL29" s="647">
        <f t="shared" si="34"/>
        <v>1.5995992859869179E-3</v>
      </c>
      <c r="BM29" s="647">
        <f t="shared" si="34"/>
        <v>1.682881318757817E-3</v>
      </c>
      <c r="BN29" s="647">
        <f t="shared" si="34"/>
        <v>1.9042377259273656E-3</v>
      </c>
      <c r="BO29" s="647">
        <f t="shared" si="34"/>
        <v>2.944458112664753E-3</v>
      </c>
      <c r="BP29" s="647">
        <f t="shared" si="34"/>
        <v>2.9465617153242997E-3</v>
      </c>
      <c r="BQ29" s="4"/>
      <c r="BR29" s="4"/>
      <c r="BS29" s="4"/>
      <c r="BT29" s="4"/>
      <c r="BU29" s="4"/>
    </row>
    <row r="30" spans="1:73" outlineLevel="1" x14ac:dyDescent="0.25">
      <c r="A30" s="489"/>
      <c r="B30" s="489" t="s">
        <v>29</v>
      </c>
      <c r="C30" s="492" t="s">
        <v>589</v>
      </c>
      <c r="D30" s="492"/>
      <c r="E30" s="499"/>
      <c r="F30" s="1702"/>
      <c r="G30" s="1702">
        <f>Ввод!H87/VLOOKUP(Баланс!$B$7,Баланс!$A$1:$B$3,2,0)</f>
        <v>-1.688868</v>
      </c>
      <c r="H30" s="1702">
        <f>Ввод!I87/VLOOKUP(Баланс!$B$7,Баланс!$A$1:$B$3,2,0)</f>
        <v>-0.92117400000000005</v>
      </c>
      <c r="I30" s="1702">
        <f>Ввод!J87/VLOOKUP(Баланс!$B$7,Баланс!$A$1:$B$3,2,0)</f>
        <v>6.616841</v>
      </c>
      <c r="J30" s="1702">
        <f>Ввод!K87/VLOOKUP(Баланс!$B$7,Баланс!$A$1:$B$3,2,0)</f>
        <v>-27.294511</v>
      </c>
      <c r="K30" s="1702">
        <f>Ввод!L87/VLOOKUP(Баланс!$B$7,Баланс!$A$1:$B$3,2,0)</f>
        <v>6.5959630000000002</v>
      </c>
      <c r="L30" s="1702">
        <f>Ввод!M87/VLOOKUP(Баланс!$B$7,Баланс!$A$1:$B$3,2,0)</f>
        <v>1.1431100000000001</v>
      </c>
      <c r="M30" s="1702">
        <f>Ввод!N87/VLOOKUP(Баланс!$B$7,Баланс!$A$1:$B$3,2,0)</f>
        <v>-3.4759280000000001</v>
      </c>
      <c r="N30" s="1702">
        <f>Ввод!O87/VLOOKUP(Баланс!$B$7,Баланс!$A$1:$B$3,2,0)</f>
        <v>-2.8460320000000001</v>
      </c>
      <c r="O30" s="1702">
        <f>Ввод!P87/VLOOKUP(Баланс!$B$7,Баланс!$A$1:$B$3,2,0)</f>
        <v>0</v>
      </c>
      <c r="P30" s="1702"/>
      <c r="Q30" s="499"/>
      <c r="R30" s="647">
        <f t="shared" si="26"/>
        <v>-3.2173250231252249E-3</v>
      </c>
      <c r="S30" s="9"/>
      <c r="T30" s="66"/>
      <c r="U30" s="1026"/>
      <c r="V30" s="574"/>
      <c r="W30" s="574"/>
      <c r="X30" s="574"/>
      <c r="Y30" s="574"/>
      <c r="Z30" s="574"/>
      <c r="AA30" s="574"/>
      <c r="AB30" s="574"/>
      <c r="AC30" s="574"/>
      <c r="AD30" s="574"/>
      <c r="AE30" s="574"/>
      <c r="AF30" s="4"/>
      <c r="AG30" s="4"/>
      <c r="AH30" s="647"/>
      <c r="AI30" s="647"/>
      <c r="AJ30" s="647"/>
      <c r="AK30" s="647"/>
      <c r="AL30" s="647"/>
      <c r="AM30" s="647"/>
      <c r="AN30" s="647"/>
      <c r="AO30" s="647"/>
      <c r="AP30" s="647"/>
      <c r="AQ30" s="647"/>
      <c r="AR30" s="547"/>
      <c r="AS30" s="4"/>
      <c r="AT30" s="1099"/>
      <c r="AU30" s="574"/>
      <c r="AV30" s="574"/>
      <c r="AW30" s="574"/>
      <c r="AX30" s="574"/>
      <c r="AY30" s="574"/>
      <c r="AZ30" s="574"/>
      <c r="BA30" s="574"/>
      <c r="BB30" s="574"/>
      <c r="BC30" s="574"/>
      <c r="BD30" s="574"/>
      <c r="BE30" s="531"/>
      <c r="BF30" s="4"/>
      <c r="BG30" s="647"/>
      <c r="BH30" s="647"/>
      <c r="BI30" s="647"/>
      <c r="BJ30" s="647"/>
      <c r="BK30" s="647"/>
      <c r="BL30" s="647"/>
      <c r="BM30" s="647"/>
      <c r="BN30" s="647"/>
      <c r="BO30" s="647"/>
      <c r="BP30" s="647"/>
      <c r="BQ30" s="4"/>
      <c r="BR30" s="4"/>
      <c r="BS30" s="4"/>
      <c r="BT30" s="4"/>
      <c r="BU30" s="4"/>
    </row>
    <row r="31" spans="1:73" outlineLevel="1" x14ac:dyDescent="0.25">
      <c r="A31" s="489"/>
      <c r="B31" s="489" t="s">
        <v>31</v>
      </c>
      <c r="C31" s="492" t="s">
        <v>1052</v>
      </c>
      <c r="D31" s="492"/>
      <c r="E31" s="499"/>
      <c r="F31" s="1702"/>
      <c r="G31" s="1702">
        <f>Ввод!H88/VLOOKUP(Баланс!$B$7,Баланс!$A$1:$B$3,2,0)</f>
        <v>0</v>
      </c>
      <c r="H31" s="1702">
        <f>Ввод!I88/VLOOKUP(Баланс!$B$7,Баланс!$A$1:$B$3,2,0)</f>
        <v>-0.47046100000000002</v>
      </c>
      <c r="I31" s="1702">
        <f>Ввод!J88/VLOOKUP(Баланс!$B$7,Баланс!$A$1:$B$3,2,0)</f>
        <v>-1.378185</v>
      </c>
      <c r="J31" s="1702">
        <f>Ввод!K88/VLOOKUP(Баланс!$B$7,Баланс!$A$1:$B$3,2,0)</f>
        <v>-8.7969999999999993E-3</v>
      </c>
      <c r="K31" s="1702">
        <f>Ввод!L88/VLOOKUP(Баланс!$B$7,Баланс!$A$1:$B$3,2,0)</f>
        <v>0</v>
      </c>
      <c r="L31" s="1702">
        <f>Ввод!M88/VLOOKUP(Баланс!$B$7,Баланс!$A$1:$B$3,2,0)</f>
        <v>0</v>
      </c>
      <c r="M31" s="1702">
        <f>Ввод!N88/VLOOKUP(Баланс!$B$7,Баланс!$A$1:$B$3,2,0)</f>
        <v>-0.15734000000000001</v>
      </c>
      <c r="N31" s="1702">
        <f>Ввод!O88/VLOOKUP(Баланс!$B$7,Баланс!$A$1:$B$3,2,0)</f>
        <v>-0.80177900000000002</v>
      </c>
      <c r="O31" s="1702">
        <f>Ввод!P88/VLOOKUP(Баланс!$B$7,Баланс!$A$1:$B$3,2,0)</f>
        <v>0</v>
      </c>
      <c r="P31" s="1702"/>
      <c r="Q31" s="499"/>
      <c r="R31" s="647">
        <f t="shared" si="26"/>
        <v>-9.0637900055808213E-4</v>
      </c>
      <c r="S31" s="9"/>
      <c r="T31" s="66"/>
      <c r="U31" s="1026"/>
      <c r="V31" s="574"/>
      <c r="W31" s="574"/>
      <c r="X31" s="574"/>
      <c r="Y31" s="574"/>
      <c r="Z31" s="574"/>
      <c r="AA31" s="574"/>
      <c r="AB31" s="574"/>
      <c r="AC31" s="574"/>
      <c r="AD31" s="574"/>
      <c r="AE31" s="574"/>
      <c r="AF31" s="4"/>
      <c r="AG31" s="4"/>
      <c r="AH31" s="647"/>
      <c r="AI31" s="647"/>
      <c r="AJ31" s="647"/>
      <c r="AK31" s="647"/>
      <c r="AL31" s="647"/>
      <c r="AM31" s="647"/>
      <c r="AN31" s="647"/>
      <c r="AO31" s="647"/>
      <c r="AP31" s="647"/>
      <c r="AQ31" s="647"/>
      <c r="AR31" s="547"/>
      <c r="AS31" s="4"/>
      <c r="AT31" s="1099"/>
      <c r="AU31" s="574"/>
      <c r="AV31" s="574"/>
      <c r="AW31" s="574"/>
      <c r="AX31" s="574"/>
      <c r="AY31" s="574"/>
      <c r="AZ31" s="574"/>
      <c r="BA31" s="574"/>
      <c r="BB31" s="574"/>
      <c r="BC31" s="574"/>
      <c r="BD31" s="574"/>
      <c r="BE31" s="531"/>
      <c r="BF31" s="4"/>
      <c r="BG31" s="647"/>
      <c r="BH31" s="647"/>
      <c r="BI31" s="647"/>
      <c r="BJ31" s="647"/>
      <c r="BK31" s="647"/>
      <c r="BL31" s="647"/>
      <c r="BM31" s="647"/>
      <c r="BN31" s="647"/>
      <c r="BO31" s="647"/>
      <c r="BP31" s="647"/>
      <c r="BQ31" s="4"/>
      <c r="BR31" s="4"/>
      <c r="BS31" s="4"/>
      <c r="BT31" s="4"/>
      <c r="BU31" s="4"/>
    </row>
    <row r="32" spans="1:73" outlineLevel="1" x14ac:dyDescent="0.25">
      <c r="A32" s="489"/>
      <c r="B32" s="489" t="s">
        <v>34</v>
      </c>
      <c r="C32" s="492" t="s">
        <v>1220</v>
      </c>
      <c r="D32" s="492"/>
      <c r="E32" s="499"/>
      <c r="F32" s="1702"/>
      <c r="G32" s="1702">
        <f>Ввод!H89/VLOOKUP(Баланс!$B$7,Баланс!$A$1:$B$3,2,0)</f>
        <v>16.433696000000001</v>
      </c>
      <c r="H32" s="1702">
        <f>Ввод!I89/VLOOKUP(Баланс!$B$7,Баланс!$A$1:$B$3,2,0)</f>
        <v>15.638104999999999</v>
      </c>
      <c r="I32" s="1702">
        <f>Ввод!J89/VLOOKUP(Баланс!$B$7,Баланс!$A$1:$B$3,2,0)</f>
        <v>0.70768500000000001</v>
      </c>
      <c r="J32" s="1702">
        <f>Ввод!K89/VLOOKUP(Баланс!$B$7,Баланс!$A$1:$B$3,2,0)</f>
        <v>0.38122499999999998</v>
      </c>
      <c r="K32" s="1702">
        <f>Ввод!L89/VLOOKUP(Баланс!$B$7,Баланс!$A$1:$B$3,2,0)</f>
        <v>-0.73448899999999995</v>
      </c>
      <c r="L32" s="1702">
        <f>Ввод!M89/VLOOKUP(Баланс!$B$7,Баланс!$A$1:$B$3,2,0)</f>
        <v>-0.158605</v>
      </c>
      <c r="M32" s="1702">
        <f>Ввод!N89/VLOOKUP(Баланс!$B$7,Баланс!$A$1:$B$3,2,0)</f>
        <v>-0.74563000000000001</v>
      </c>
      <c r="N32" s="1702">
        <f>Ввод!O89/VLOOKUP(Баланс!$B$7,Баланс!$A$1:$B$3,2,0)</f>
        <v>-1.802559</v>
      </c>
      <c r="O32" s="1702">
        <f>Ввод!P89/VLOOKUP(Баланс!$B$7,Баланс!$A$1:$B$3,2,0)</f>
        <v>0</v>
      </c>
      <c r="P32" s="1702"/>
      <c r="Q32" s="499"/>
      <c r="R32" s="647">
        <f t="shared" si="26"/>
        <v>-2.0377206497887521E-3</v>
      </c>
      <c r="S32" s="9"/>
      <c r="T32" s="66"/>
      <c r="U32" s="1026"/>
      <c r="V32" s="574"/>
      <c r="W32" s="574"/>
      <c r="X32" s="574"/>
      <c r="Y32" s="574"/>
      <c r="Z32" s="574"/>
      <c r="AA32" s="574"/>
      <c r="AB32" s="574"/>
      <c r="AC32" s="574"/>
      <c r="AD32" s="574"/>
      <c r="AE32" s="574"/>
      <c r="AF32" s="4"/>
      <c r="AG32" s="4"/>
      <c r="AH32" s="647"/>
      <c r="AI32" s="647"/>
      <c r="AJ32" s="647"/>
      <c r="AK32" s="647"/>
      <c r="AL32" s="647"/>
      <c r="AM32" s="647"/>
      <c r="AN32" s="647"/>
      <c r="AO32" s="647"/>
      <c r="AP32" s="647"/>
      <c r="AQ32" s="647"/>
      <c r="AR32" s="547"/>
      <c r="AS32" s="4"/>
      <c r="AT32" s="1099"/>
      <c r="AU32" s="574"/>
      <c r="AV32" s="574"/>
      <c r="AW32" s="574"/>
      <c r="AX32" s="574"/>
      <c r="AY32" s="574"/>
      <c r="AZ32" s="574"/>
      <c r="BA32" s="574"/>
      <c r="BB32" s="574"/>
      <c r="BC32" s="574"/>
      <c r="BD32" s="574"/>
      <c r="BE32" s="530"/>
      <c r="BF32" s="4"/>
      <c r="BG32" s="647"/>
      <c r="BH32" s="647"/>
      <c r="BI32" s="647"/>
      <c r="BJ32" s="647"/>
      <c r="BK32" s="647"/>
      <c r="BL32" s="647"/>
      <c r="BM32" s="647"/>
      <c r="BN32" s="647"/>
      <c r="BO32" s="647"/>
      <c r="BP32" s="647"/>
      <c r="BQ32" s="4"/>
      <c r="BR32" s="4"/>
      <c r="BS32" s="4"/>
      <c r="BT32" s="4"/>
      <c r="BU32" s="4"/>
    </row>
    <row r="33" spans="1:73" outlineLevel="1" x14ac:dyDescent="0.25">
      <c r="A33" s="489"/>
      <c r="B33" s="489" t="s">
        <v>1061</v>
      </c>
      <c r="C33" s="492" t="s">
        <v>1221</v>
      </c>
      <c r="D33" s="492"/>
      <c r="E33" s="499"/>
      <c r="F33" s="1702"/>
      <c r="G33" s="1702">
        <f>Ввод!H90/VLOOKUP(Баланс!$B$7,Баланс!$A$1:$B$3,2,0)</f>
        <v>-1.0316000000000001E-2</v>
      </c>
      <c r="H33" s="1702">
        <f>Ввод!I90/VLOOKUP(Баланс!$B$7,Баланс!$A$1:$B$3,2,0)</f>
        <v>-1.839E-2</v>
      </c>
      <c r="I33" s="1702">
        <f>Ввод!J90/VLOOKUP(Баланс!$B$7,Баланс!$A$1:$B$3,2,0)</f>
        <v>0.87307800000000002</v>
      </c>
      <c r="J33" s="1702">
        <f>Ввод!K90/VLOOKUP(Баланс!$B$7,Баланс!$A$1:$B$3,2,0)</f>
        <v>0.38966800000000001</v>
      </c>
      <c r="K33" s="1702">
        <f>Ввод!L90/VLOOKUP(Баланс!$B$7,Баланс!$A$1:$B$3,2,0)</f>
        <v>1.7403999999999999E-2</v>
      </c>
      <c r="L33" s="1702">
        <f>Ввод!M90/VLOOKUP(Баланс!$B$7,Баланс!$A$1:$B$3,2,0)</f>
        <v>7.4360999999999997E-2</v>
      </c>
      <c r="M33" s="1702">
        <f>Ввод!N90/VLOOKUP(Баланс!$B$7,Баланс!$A$1:$B$3,2,0)</f>
        <v>-0.76108200000000004</v>
      </c>
      <c r="N33" s="1702">
        <f>Ввод!O90/VLOOKUP(Баланс!$B$7,Баланс!$A$1:$B$3,2,0)</f>
        <v>3.548645</v>
      </c>
      <c r="O33" s="1702">
        <f>Ввод!P90/VLOOKUP(Баланс!$B$7,Баланс!$A$1:$B$3,2,0)</f>
        <v>0</v>
      </c>
      <c r="P33" s="1702"/>
      <c r="Q33" s="499"/>
      <c r="R33" s="647">
        <f t="shared" si="26"/>
        <v>4.0116008381803903E-3</v>
      </c>
      <c r="S33" s="9"/>
      <c r="T33" s="66"/>
      <c r="U33" s="1026"/>
      <c r="V33" s="574"/>
      <c r="W33" s="574"/>
      <c r="X33" s="574"/>
      <c r="Y33" s="574"/>
      <c r="Z33" s="574"/>
      <c r="AA33" s="574"/>
      <c r="AB33" s="574"/>
      <c r="AC33" s="574"/>
      <c r="AD33" s="574"/>
      <c r="AE33" s="574"/>
      <c r="AF33" s="4"/>
      <c r="AG33" s="4"/>
      <c r="AH33" s="647"/>
      <c r="AI33" s="647"/>
      <c r="AJ33" s="647"/>
      <c r="AK33" s="647"/>
      <c r="AL33" s="647"/>
      <c r="AM33" s="647"/>
      <c r="AN33" s="647"/>
      <c r="AO33" s="647"/>
      <c r="AP33" s="647"/>
      <c r="AQ33" s="647"/>
      <c r="AR33" s="547"/>
      <c r="AS33" s="4"/>
      <c r="AT33" s="1099"/>
      <c r="AU33" s="574"/>
      <c r="AV33" s="574"/>
      <c r="AW33" s="574"/>
      <c r="AX33" s="574"/>
      <c r="AY33" s="574"/>
      <c r="AZ33" s="574"/>
      <c r="BA33" s="574"/>
      <c r="BB33" s="574"/>
      <c r="BC33" s="574"/>
      <c r="BD33" s="574"/>
      <c r="BE33" s="530"/>
      <c r="BF33" s="4"/>
      <c r="BG33" s="647"/>
      <c r="BH33" s="647"/>
      <c r="BI33" s="647"/>
      <c r="BJ33" s="647"/>
      <c r="BK33" s="647"/>
      <c r="BL33" s="647"/>
      <c r="BM33" s="647"/>
      <c r="BN33" s="647"/>
      <c r="BO33" s="647"/>
      <c r="BP33" s="647"/>
      <c r="BQ33" s="4"/>
      <c r="BR33" s="4"/>
      <c r="BS33" s="4"/>
      <c r="BT33" s="4"/>
      <c r="BU33" s="4"/>
    </row>
    <row r="34" spans="1:73" x14ac:dyDescent="0.25">
      <c r="A34" s="489">
        <v>7</v>
      </c>
      <c r="B34" s="494" t="s">
        <v>979</v>
      </c>
      <c r="C34" s="492"/>
      <c r="D34" s="492"/>
      <c r="E34" s="497"/>
      <c r="F34" s="1701"/>
      <c r="G34" s="1701">
        <f>Ввод!H91/VLOOKUP(Баланс!$B$7,Баланс!$A$1:$B$3,2,0)</f>
        <v>-0.23677599999999999</v>
      </c>
      <c r="H34" s="1701">
        <f>Ввод!I91/VLOOKUP(Баланс!$B$7,Баланс!$A$1:$B$3,2,0)</f>
        <v>7.3534000000000002E-2</v>
      </c>
      <c r="I34" s="1701">
        <f>Ввод!J91/VLOOKUP(Баланс!$B$7,Баланс!$A$1:$B$3,2,0)</f>
        <v>0.39339800000000003</v>
      </c>
      <c r="J34" s="1701">
        <f>Ввод!K91/VLOOKUP(Баланс!$B$7,Баланс!$A$1:$B$3,2,0)</f>
        <v>7.212275</v>
      </c>
      <c r="K34" s="1836">
        <f>Ввод!L91/VLOOKUP(Баланс!$B$7,Баланс!$A$1:$B$3,2,0)</f>
        <v>0</v>
      </c>
      <c r="L34" s="1821">
        <f>Ввод!M91/VLOOKUP(Баланс!$B$7,Баланс!$A$1:$B$3,2,0)</f>
        <v>0</v>
      </c>
      <c r="M34" s="1821">
        <f>Ввод!N91/VLOOKUP(Баланс!$B$7,Баланс!$A$1:$B$3,2,0)</f>
        <v>0</v>
      </c>
      <c r="N34" s="1821">
        <f>Ввод!O91/VLOOKUP(Баланс!$B$7,Баланс!$A$1:$B$3,2,0)</f>
        <v>0</v>
      </c>
      <c r="O34" s="1821">
        <f>Ввод!P91/VLOOKUP(Баланс!$B$7,Баланс!$A$1:$B$3,2,0)</f>
        <v>0</v>
      </c>
      <c r="P34" s="1701"/>
      <c r="Q34" s="500"/>
      <c r="R34" s="647">
        <f t="shared" si="26"/>
        <v>0</v>
      </c>
      <c r="S34" s="17"/>
      <c r="T34" s="66"/>
      <c r="U34" s="2210">
        <v>41</v>
      </c>
      <c r="V34" s="2202">
        <f>HLOOKUP(V$8,'Банк. система_ввод'!$K$94:$W$151,$U34,0)</f>
        <v>450.39999999999401</v>
      </c>
      <c r="W34" s="2202">
        <f>HLOOKUP(W$8,'Банк. система_ввод'!$K$94:$W$151,$U34,0)</f>
        <v>92</v>
      </c>
      <c r="X34" s="2202">
        <f>HLOOKUP(X$8,'Банк. система_ввод'!$K$94:$W$151,$U34,0)</f>
        <v>353.64498900000001</v>
      </c>
      <c r="Y34" s="2202">
        <f>HLOOKUP(Y$8,'Банк. система_ввод'!$K$94:$W$151,$U34,0)</f>
        <v>-46.427084999999998</v>
      </c>
      <c r="Z34" s="2202">
        <f>HLOOKUP(Z$8,'Банк. система_ввод'!$K$94:$W$151,$U34,0)</f>
        <v>428.07030700000001</v>
      </c>
      <c r="AA34" s="2202">
        <f>HLOOKUP(AA$8,'Банк. система_ввод'!$K$94:$W$151,$U34,0)</f>
        <v>58.533833000000001</v>
      </c>
      <c r="AB34" s="2202">
        <f>HLOOKUP(AB$8,'Банк. система_ввод'!$K$94:$W$151,$U34,0)</f>
        <v>-211.68178499999999</v>
      </c>
      <c r="AC34" s="2202">
        <f>HLOOKUP(AC$8,'Банк. система_ввод'!$K$94:$W$151,$U34,0)</f>
        <v>1135.077828</v>
      </c>
      <c r="AD34" s="2202">
        <f>HLOOKUP(AD$8,'Банк. система_ввод'!$K$94:$W$151,$U34,0)</f>
        <v>848.22810900000104</v>
      </c>
      <c r="AE34" s="2202">
        <f>HLOOKUP(AE$8,'Банк. система_ввод'!$K$94:$W$151,$U34,0)</f>
        <v>647.05055600000003</v>
      </c>
      <c r="AF34" s="4"/>
      <c r="AG34" s="4"/>
      <c r="AH34" s="2212">
        <f t="shared" ref="AH34:AQ34" si="35">V34/V$289</f>
        <v>5.9695925500179324E-3</v>
      </c>
      <c r="AI34" s="2212">
        <f t="shared" si="35"/>
        <v>1.2100954157470509E-3</v>
      </c>
      <c r="AJ34" s="2212">
        <f t="shared" si="35"/>
        <v>4.3076713739333443E-3</v>
      </c>
      <c r="AK34" s="2212">
        <f t="shared" si="35"/>
        <v>-5.3050986683854699E-4</v>
      </c>
      <c r="AL34" s="2212">
        <f t="shared" si="35"/>
        <v>4.4401208078807671E-3</v>
      </c>
      <c r="AM34" s="2212">
        <f t="shared" si="35"/>
        <v>5.2132100130485145E-4</v>
      </c>
      <c r="AN34" s="2212">
        <f t="shared" si="35"/>
        <v>-1.6579406841507208E-3</v>
      </c>
      <c r="AO34" s="2212">
        <f t="shared" si="35"/>
        <v>7.5009557803311176E-3</v>
      </c>
      <c r="AP34" s="2212">
        <f t="shared" si="35"/>
        <v>4.621411713484333E-3</v>
      </c>
      <c r="AQ34" s="2212">
        <f t="shared" si="35"/>
        <v>3.1553416970554276E-3</v>
      </c>
      <c r="AR34" s="1760"/>
      <c r="AS34" s="4"/>
      <c r="AT34" s="1099"/>
      <c r="AU34" s="586"/>
      <c r="AV34" s="586"/>
      <c r="AW34" s="586"/>
      <c r="AX34" s="586"/>
      <c r="AY34" s="586"/>
      <c r="AZ34" s="586"/>
      <c r="BA34" s="586"/>
      <c r="BB34" s="586"/>
      <c r="BC34" s="586"/>
      <c r="BD34" s="586"/>
      <c r="BE34" s="46"/>
      <c r="BF34" s="4"/>
      <c r="BG34" s="647"/>
      <c r="BH34" s="647"/>
      <c r="BI34" s="647"/>
      <c r="BJ34" s="647"/>
      <c r="BK34" s="647"/>
      <c r="BL34" s="647"/>
      <c r="BM34" s="647"/>
      <c r="BN34" s="647"/>
      <c r="BO34" s="647"/>
      <c r="BP34" s="647"/>
      <c r="BQ34" s="4"/>
      <c r="BR34" s="4"/>
      <c r="BS34" s="4"/>
      <c r="BT34" s="4"/>
      <c r="BU34" s="4"/>
    </row>
    <row r="35" spans="1:73" ht="14.25" customHeight="1" x14ac:dyDescent="0.25">
      <c r="A35" s="493">
        <v>8</v>
      </c>
      <c r="B35" s="494" t="s">
        <v>822</v>
      </c>
      <c r="C35" s="492"/>
      <c r="D35" s="492"/>
      <c r="E35" s="497"/>
      <c r="F35" s="1701"/>
      <c r="G35" s="1701">
        <f>Ввод!H92/VLOOKUP(Баланс!$B$7,Баланс!$A$1:$B$3,2,0)</f>
        <v>2.0157780000000001</v>
      </c>
      <c r="H35" s="1701">
        <f>Ввод!I92/VLOOKUP(Баланс!$B$7,Баланс!$A$1:$B$3,2,0)</f>
        <v>1.6195740000000001</v>
      </c>
      <c r="I35" s="1701">
        <f>Ввод!J92/VLOOKUP(Баланс!$B$7,Баланс!$A$1:$B$3,2,0)</f>
        <v>-4.663411</v>
      </c>
      <c r="J35" s="1701">
        <f>Ввод!K92/VLOOKUP(Баланс!$B$7,Баланс!$A$1:$B$3,2,0)</f>
        <v>23.020743</v>
      </c>
      <c r="K35" s="1836">
        <f>Ввод!L92/VLOOKUP(Баланс!$B$7,Баланс!$A$1:$B$3,2,0)</f>
        <v>0</v>
      </c>
      <c r="L35" s="1821">
        <f>Ввод!M92/VLOOKUP(Баланс!$B$7,Баланс!$A$1:$B$3,2,0)</f>
        <v>0</v>
      </c>
      <c r="M35" s="1821">
        <f>Ввод!N92/VLOOKUP(Баланс!$B$7,Баланс!$A$1:$B$3,2,0)</f>
        <v>0</v>
      </c>
      <c r="N35" s="1821">
        <f>Ввод!O92/VLOOKUP(Баланс!$B$7,Баланс!$A$1:$B$3,2,0)</f>
        <v>0</v>
      </c>
      <c r="O35" s="1821">
        <f>Ввод!P92/VLOOKUP(Баланс!$B$7,Баланс!$A$1:$B$3,2,0)</f>
        <v>0</v>
      </c>
      <c r="P35" s="1701"/>
      <c r="Q35" s="497"/>
      <c r="R35" s="647">
        <f t="shared" si="26"/>
        <v>0</v>
      </c>
      <c r="S35" s="9"/>
      <c r="T35" s="66"/>
      <c r="U35" s="2211"/>
      <c r="V35" s="2203" t="e" vm="1">
        <f>HLOOKUP(V$8,'Банк. система_ввод'!$K$94:$W$151,$U35,0)</f>
        <v>#VALUE!</v>
      </c>
      <c r="W35" s="2203" t="e" vm="1">
        <f>HLOOKUP(W$8,'Банк. система_ввод'!$K$94:$W$151,$U35,0)</f>
        <v>#VALUE!</v>
      </c>
      <c r="X35" s="2203" t="e" vm="1">
        <f>HLOOKUP(X$8,'Банк. система_ввод'!$K$94:$W$151,$U35,0)</f>
        <v>#VALUE!</v>
      </c>
      <c r="Y35" s="2203" t="e" vm="1">
        <f>HLOOKUP(Y$8,'Банк. система_ввод'!$K$94:$W$151,$U35,0)</f>
        <v>#VALUE!</v>
      </c>
      <c r="Z35" s="2203" t="e" vm="1">
        <f>HLOOKUP(Z$8,'Банк. система_ввод'!$K$94:$W$151,$U35,0)</f>
        <v>#VALUE!</v>
      </c>
      <c r="AA35" s="2203" t="e" vm="1">
        <f>HLOOKUP(AA$8,'Банк. система_ввод'!$K$94:$W$151,$U35,0)</f>
        <v>#VALUE!</v>
      </c>
      <c r="AB35" s="2203" t="e" vm="1">
        <f>HLOOKUP(AB$8,'Банк. система_ввод'!$K$94:$W$151,$U35,0)</f>
        <v>#VALUE!</v>
      </c>
      <c r="AC35" s="2203" t="e" vm="1">
        <f>HLOOKUP(AC$8,'Банк. система_ввод'!$K$94:$W$151,$U35,0)</f>
        <v>#VALUE!</v>
      </c>
      <c r="AD35" s="2203" t="e" vm="1">
        <f>HLOOKUP(AD$8,'Банк. система_ввод'!$K$94:$W$151,$U35,0)</f>
        <v>#VALUE!</v>
      </c>
      <c r="AE35" s="2203" t="e" vm="1">
        <f>HLOOKUP(AE$8,'Банк. система_ввод'!$K$94:$W$151,$U35,0)</f>
        <v>#VALUE!</v>
      </c>
      <c r="AF35" s="4"/>
      <c r="AG35" s="4"/>
      <c r="AH35" s="2213"/>
      <c r="AI35" s="2213"/>
      <c r="AJ35" s="2213"/>
      <c r="AK35" s="2213"/>
      <c r="AL35" s="2213"/>
      <c r="AM35" s="2213"/>
      <c r="AN35" s="2213"/>
      <c r="AO35" s="2213"/>
      <c r="AP35" s="2213"/>
      <c r="AQ35" s="2213"/>
      <c r="AR35" s="1720"/>
      <c r="AS35" s="4"/>
      <c r="AT35" s="1099"/>
      <c r="AU35" s="1761"/>
      <c r="AV35" s="1761"/>
      <c r="AW35" s="1761"/>
      <c r="AX35" s="1761"/>
      <c r="AY35" s="1761"/>
      <c r="AZ35" s="1761"/>
      <c r="BA35" s="1761"/>
      <c r="BB35" s="1761"/>
      <c r="BC35" s="1761"/>
      <c r="BD35" s="1761"/>
      <c r="BE35" s="43"/>
      <c r="BF35" s="4"/>
      <c r="BG35" s="647"/>
      <c r="BH35" s="647"/>
      <c r="BI35" s="647"/>
      <c r="BJ35" s="647"/>
      <c r="BK35" s="647"/>
      <c r="BL35" s="647"/>
      <c r="BM35" s="647"/>
      <c r="BN35" s="647"/>
      <c r="BO35" s="647"/>
      <c r="BP35" s="647"/>
      <c r="BQ35" s="4"/>
      <c r="BR35" s="4"/>
      <c r="BS35" s="4"/>
      <c r="BT35" s="4"/>
      <c r="BU35" s="4"/>
    </row>
    <row r="36" spans="1:73" ht="14.25" customHeight="1" x14ac:dyDescent="0.25">
      <c r="A36" s="493">
        <v>9</v>
      </c>
      <c r="B36" s="494" t="s">
        <v>1053</v>
      </c>
      <c r="C36" s="492"/>
      <c r="D36" s="492"/>
      <c r="E36" s="497"/>
      <c r="F36" s="1701"/>
      <c r="G36" s="1701">
        <f>Ввод!H93/VLOOKUP(Баланс!$B$7,Баланс!$A$1:$B$3,2,0)</f>
        <v>0.14477000000000001</v>
      </c>
      <c r="H36" s="1701">
        <f>Ввод!I93/VLOOKUP(Баланс!$B$7,Баланс!$A$1:$B$3,2,0)</f>
        <v>0.38240099999999999</v>
      </c>
      <c r="I36" s="1701">
        <f>Ввод!J93/VLOOKUP(Баланс!$B$7,Баланс!$A$1:$B$3,2,0)</f>
        <v>5.1630000000000002E-2</v>
      </c>
      <c r="J36" s="1701">
        <f>Ввод!K93/VLOOKUP(Баланс!$B$7,Баланс!$A$1:$B$3,2,0)</f>
        <v>0.20968899999999999</v>
      </c>
      <c r="K36" s="1701">
        <f>Ввод!L93/VLOOKUP(Баланс!$B$7,Баланс!$A$1:$B$3,2,0)</f>
        <v>-4.0142999999999998E-2</v>
      </c>
      <c r="L36" s="1701">
        <f>Ввод!M93/VLOOKUP(Баланс!$B$7,Баланс!$A$1:$B$3,2,0)</f>
        <v>-0.225665</v>
      </c>
      <c r="M36" s="1701">
        <f>Ввод!N93/VLOOKUP(Баланс!$B$7,Баланс!$A$1:$B$3,2,0)</f>
        <v>0.60929100000000003</v>
      </c>
      <c r="N36" s="1701">
        <f>Ввод!O93/VLOOKUP(Баланс!$B$7,Баланс!$A$1:$B$3,2,0)</f>
        <v>1.146075</v>
      </c>
      <c r="O36" s="1701">
        <f>Ввод!P93/VLOOKUP(Баланс!$B$7,Баланс!$A$1:$B$3,2,0)</f>
        <v>0</v>
      </c>
      <c r="P36" s="1701"/>
      <c r="Q36" s="497"/>
      <c r="R36" s="647">
        <f t="shared" si="26"/>
        <v>1.2955918190232019E-3</v>
      </c>
      <c r="S36" s="9"/>
      <c r="T36" s="66"/>
      <c r="U36" s="2211"/>
      <c r="V36" s="2204" t="e" vm="1">
        <f>HLOOKUP(V$8,'Банк. система_ввод'!$K$94:$W$151,$U36,0)</f>
        <v>#VALUE!</v>
      </c>
      <c r="W36" s="2204" t="e" vm="1">
        <f>HLOOKUP(W$8,'Банк. система_ввод'!$K$94:$W$151,$U36,0)</f>
        <v>#VALUE!</v>
      </c>
      <c r="X36" s="2204" t="e" vm="1">
        <f>HLOOKUP(X$8,'Банк. система_ввод'!$K$94:$W$151,$U36,0)</f>
        <v>#VALUE!</v>
      </c>
      <c r="Y36" s="2204" t="e" vm="1">
        <f>HLOOKUP(Y$8,'Банк. система_ввод'!$K$94:$W$151,$U36,0)</f>
        <v>#VALUE!</v>
      </c>
      <c r="Z36" s="2204" t="e" vm="1">
        <f>HLOOKUP(Z$8,'Банк. система_ввод'!$K$94:$W$151,$U36,0)</f>
        <v>#VALUE!</v>
      </c>
      <c r="AA36" s="2204" t="e" vm="1">
        <f>HLOOKUP(AA$8,'Банк. система_ввод'!$K$94:$W$151,$U36,0)</f>
        <v>#VALUE!</v>
      </c>
      <c r="AB36" s="2204" t="e" vm="1">
        <f>HLOOKUP(AB$8,'Банк. система_ввод'!$K$94:$W$151,$U36,0)</f>
        <v>#VALUE!</v>
      </c>
      <c r="AC36" s="2204" t="e" vm="1">
        <f>HLOOKUP(AC$8,'Банк. система_ввод'!$K$94:$W$151,$U36,0)</f>
        <v>#VALUE!</v>
      </c>
      <c r="AD36" s="2204" t="e" vm="1">
        <f>HLOOKUP(AD$8,'Банк. система_ввод'!$K$94:$W$151,$U36,0)</f>
        <v>#VALUE!</v>
      </c>
      <c r="AE36" s="2204" t="e" vm="1">
        <f>HLOOKUP(AE$8,'Банк. система_ввод'!$K$94:$W$151,$U36,0)</f>
        <v>#VALUE!</v>
      </c>
      <c r="AF36" s="4"/>
      <c r="AG36" s="4"/>
      <c r="AH36" s="2214"/>
      <c r="AI36" s="2214"/>
      <c r="AJ36" s="2214"/>
      <c r="AK36" s="2214"/>
      <c r="AL36" s="2214"/>
      <c r="AM36" s="2214"/>
      <c r="AN36" s="2214"/>
      <c r="AO36" s="2214"/>
      <c r="AP36" s="2214"/>
      <c r="AQ36" s="2214"/>
      <c r="AR36" s="1720"/>
      <c r="AS36" s="4"/>
      <c r="AT36" s="1099"/>
      <c r="AU36" s="587"/>
      <c r="AV36" s="587"/>
      <c r="AW36" s="587"/>
      <c r="AX36" s="587"/>
      <c r="AY36" s="587"/>
      <c r="AZ36" s="587"/>
      <c r="BA36" s="587"/>
      <c r="BB36" s="587"/>
      <c r="BC36" s="587"/>
      <c r="BD36" s="587"/>
      <c r="BE36" s="43"/>
      <c r="BF36" s="4"/>
      <c r="BG36" s="647"/>
      <c r="BH36" s="647"/>
      <c r="BI36" s="647"/>
      <c r="BJ36" s="647"/>
      <c r="BK36" s="647"/>
      <c r="BL36" s="647"/>
      <c r="BM36" s="647"/>
      <c r="BN36" s="647"/>
      <c r="BO36" s="647"/>
      <c r="BP36" s="647"/>
      <c r="BQ36" s="4"/>
      <c r="BR36" s="4"/>
      <c r="BS36" s="4"/>
      <c r="BT36" s="4"/>
      <c r="BU36" s="4"/>
    </row>
    <row r="37" spans="1:73" ht="27.75" customHeight="1" x14ac:dyDescent="0.25">
      <c r="A37" s="516"/>
      <c r="B37" s="516" t="s">
        <v>1553</v>
      </c>
      <c r="C37" s="517"/>
      <c r="D37" s="517"/>
      <c r="E37" s="518"/>
      <c r="F37" s="1705"/>
      <c r="G37" s="1705">
        <f t="shared" ref="G37:J37" si="36">SUM(G29,G34:G36)</f>
        <v>16.658284000000002</v>
      </c>
      <c r="H37" s="1705">
        <f t="shared" si="36"/>
        <v>16.303588999999999</v>
      </c>
      <c r="I37" s="1705">
        <f t="shared" si="36"/>
        <v>2.6010360000000001</v>
      </c>
      <c r="J37" s="1705">
        <f t="shared" si="36"/>
        <v>3.9102919999999974</v>
      </c>
      <c r="K37" s="1705">
        <f>SUM(K29,K34:K36)</f>
        <v>5.8387350000000007</v>
      </c>
      <c r="L37" s="1705">
        <f t="shared" ref="L37:O37" si="37">SUM(L29,L34:L36)</f>
        <v>0.83320100000000008</v>
      </c>
      <c r="M37" s="1705">
        <f t="shared" si="37"/>
        <v>-4.5306890000000006</v>
      </c>
      <c r="N37" s="1705">
        <f t="shared" si="37"/>
        <v>-0.75564999999999949</v>
      </c>
      <c r="O37" s="1705">
        <f t="shared" si="37"/>
        <v>0</v>
      </c>
      <c r="P37" s="1752"/>
      <c r="Q37" s="497"/>
      <c r="R37" s="650">
        <f t="shared" si="26"/>
        <v>-8.5423201626846576E-4</v>
      </c>
      <c r="S37" s="4"/>
      <c r="T37" s="66"/>
      <c r="U37" s="1026">
        <v>44</v>
      </c>
      <c r="V37" s="578">
        <f>HLOOKUP(V$8,'Банк. система_ввод'!$K$94:$W$151,$U37,0)</f>
        <v>1090.4999999999939</v>
      </c>
      <c r="W37" s="578">
        <f>HLOOKUP(W$8,'Банк. система_ввод'!$K$94:$W$151,$U37,0)</f>
        <v>350.2</v>
      </c>
      <c r="X37" s="578">
        <f>HLOOKUP(X$8,'Банк. система_ввод'!$K$94:$W$151,$U37,0)</f>
        <v>510.92316800000003</v>
      </c>
      <c r="Y37" s="578">
        <f>HLOOKUP(Y$8,'Банк. система_ввод'!$K$94:$W$151,$U37,0)</f>
        <v>382.42677700000002</v>
      </c>
      <c r="Z37" s="578">
        <f>HLOOKUP(Z$8,'Банк. система_ввод'!$K$94:$W$151,$U37,0)</f>
        <v>765.40029900000013</v>
      </c>
      <c r="AA37" s="578">
        <f>HLOOKUP(AA$8,'Банк. система_ввод'!$K$94:$W$151,$U37,0)</f>
        <v>4.7669919999999948</v>
      </c>
      <c r="AB37" s="578">
        <f>HLOOKUP(AB$8,'Банк. система_ввод'!$K$94:$W$151,$U37,0)</f>
        <v>-318.63059699999997</v>
      </c>
      <c r="AC37" s="578">
        <f>HLOOKUP(AC$8,'Банк. система_ввод'!$K$94:$W$151,$U37,0)</f>
        <v>1101.168073</v>
      </c>
      <c r="AD37" s="578">
        <f>HLOOKUP(AD$8,'Банк. система_ввод'!$K$94:$W$151,$U37,0)</f>
        <v>938.59817000000101</v>
      </c>
      <c r="AE37" s="578">
        <f>HLOOKUP(AE$8,'Банк. система_ввод'!$K$94:$W$151,$U37,0)</f>
        <v>985.56566799999996</v>
      </c>
      <c r="AF37" s="4"/>
      <c r="AG37" s="4"/>
      <c r="AH37" s="650">
        <f t="shared" ref="AH37:AQ37" si="38">V37/V$289</f>
        <v>1.445346508835392E-2</v>
      </c>
      <c r="AI37" s="650">
        <f t="shared" si="38"/>
        <v>4.6062545064632305E-3</v>
      </c>
      <c r="AJ37" s="650">
        <f t="shared" si="38"/>
        <v>6.2234420775941967E-3</v>
      </c>
      <c r="AK37" s="650">
        <f t="shared" si="38"/>
        <v>4.369888364556266E-3</v>
      </c>
      <c r="AL37" s="650">
        <f t="shared" si="38"/>
        <v>7.9390458491858471E-3</v>
      </c>
      <c r="AM37" s="650">
        <f t="shared" si="38"/>
        <v>4.2456352425309538E-5</v>
      </c>
      <c r="AN37" s="650">
        <f t="shared" si="38"/>
        <v>-2.4955885079178284E-3</v>
      </c>
      <c r="AO37" s="650">
        <f t="shared" si="38"/>
        <v>7.276869319911893E-3</v>
      </c>
      <c r="AP37" s="650">
        <f t="shared" si="38"/>
        <v>5.1137760362678086E-3</v>
      </c>
      <c r="AQ37" s="650">
        <f t="shared" si="38"/>
        <v>4.8061104632242764E-3</v>
      </c>
      <c r="AR37" s="1759"/>
      <c r="AS37" s="4"/>
      <c r="AT37" s="1099"/>
      <c r="AU37" s="578">
        <f t="shared" ref="AU37:BD37" si="39">SUM(AU29:AU35)</f>
        <v>26.427273000000003</v>
      </c>
      <c r="AV37" s="578">
        <f t="shared" si="39"/>
        <v>29.949319000000003</v>
      </c>
      <c r="AW37" s="578">
        <f t="shared" si="39"/>
        <v>26.947137999999999</v>
      </c>
      <c r="AX37" s="578">
        <f t="shared" si="39"/>
        <v>37.236858999999995</v>
      </c>
      <c r="AY37" s="578">
        <f t="shared" si="39"/>
        <v>42.849010999999997</v>
      </c>
      <c r="AZ37" s="578">
        <f t="shared" si="39"/>
        <v>36.461496000000004</v>
      </c>
      <c r="BA37" s="578">
        <f t="shared" si="39"/>
        <v>39.812868999999999</v>
      </c>
      <c r="BB37" s="578">
        <f t="shared" si="39"/>
        <v>44.998853000000004</v>
      </c>
      <c r="BC37" s="578">
        <f t="shared" si="39"/>
        <v>69.817996000000008</v>
      </c>
      <c r="BD37" s="578">
        <f t="shared" si="39"/>
        <v>71.386645333333334</v>
      </c>
      <c r="BE37" s="43"/>
      <c r="BF37" s="4"/>
      <c r="BG37" s="650">
        <f t="shared" ref="BG37:BP37" si="40">AU37/AU$289</f>
        <v>1.6767834524388295E-3</v>
      </c>
      <c r="BH37" s="650">
        <f t="shared" si="40"/>
        <v>1.75167359743431E-3</v>
      </c>
      <c r="BI37" s="650">
        <f t="shared" si="40"/>
        <v>1.5242282984843441E-3</v>
      </c>
      <c r="BJ37" s="650">
        <f t="shared" si="40"/>
        <v>2.0354664876931893E-3</v>
      </c>
      <c r="BK37" s="650">
        <f t="shared" si="40"/>
        <v>2.1152910704587209E-3</v>
      </c>
      <c r="BL37" s="650">
        <f t="shared" si="40"/>
        <v>1.5995992859869179E-3</v>
      </c>
      <c r="BM37" s="650">
        <f t="shared" si="40"/>
        <v>1.682881318757817E-3</v>
      </c>
      <c r="BN37" s="650">
        <f t="shared" si="40"/>
        <v>1.9042377259273656E-3</v>
      </c>
      <c r="BO37" s="650">
        <f t="shared" si="40"/>
        <v>2.944458112664753E-3</v>
      </c>
      <c r="BP37" s="650">
        <f t="shared" si="40"/>
        <v>2.9465617153242997E-3</v>
      </c>
      <c r="BQ37" s="4"/>
      <c r="BR37" s="528"/>
      <c r="BS37" s="4"/>
      <c r="BT37" s="4"/>
      <c r="BU37" s="4"/>
    </row>
    <row r="38" spans="1:73" ht="24.75" customHeight="1" x14ac:dyDescent="0.25">
      <c r="A38" s="856" t="s">
        <v>825</v>
      </c>
      <c r="B38" s="491"/>
      <c r="C38" s="509"/>
      <c r="D38" s="509"/>
      <c r="E38" s="510"/>
      <c r="F38" s="1699"/>
      <c r="G38" s="1699"/>
      <c r="H38" s="1699"/>
      <c r="I38" s="1700"/>
      <c r="J38" s="1700"/>
      <c r="K38" s="1699"/>
      <c r="L38" s="1699"/>
      <c r="M38" s="1699"/>
      <c r="N38" s="1699"/>
      <c r="O38" s="1699"/>
      <c r="P38" s="1699"/>
      <c r="Q38" s="510"/>
      <c r="R38" s="651">
        <f t="shared" si="26"/>
        <v>0</v>
      </c>
      <c r="S38" s="509"/>
      <c r="T38" s="66"/>
      <c r="U38" s="1026">
        <v>45</v>
      </c>
      <c r="V38" s="571">
        <f>HLOOKUP(V$8,'Банк. система_ввод'!$K$94:$W$151,$U38,0)</f>
        <v>0</v>
      </c>
      <c r="W38" s="571">
        <f>HLOOKUP(W$8,'Банк. система_ввод'!$K$94:$W$151,$U38,0)</f>
        <v>0</v>
      </c>
      <c r="X38" s="572">
        <f>HLOOKUP(X$8,'Банк. система_ввод'!$K$94:$W$151,$U38,0)</f>
        <v>0</v>
      </c>
      <c r="Y38" s="572">
        <f>HLOOKUP(Y$8,'Банк. система_ввод'!$K$94:$W$151,$U38,0)</f>
        <v>0</v>
      </c>
      <c r="Z38" s="572">
        <f>HLOOKUP(Z$8,'Банк. система_ввод'!$K$94:$W$151,$U38,0)</f>
        <v>0</v>
      </c>
      <c r="AA38" s="572">
        <f>HLOOKUP(AA$8,'Банк. система_ввод'!$K$94:$W$151,$U38,0)</f>
        <v>0</v>
      </c>
      <c r="AB38" s="572">
        <f>HLOOKUP(AB$8,'Банк. система_ввод'!$K$94:$W$151,$U38,0)</f>
        <v>0</v>
      </c>
      <c r="AC38" s="572">
        <f>HLOOKUP(AC$8,'Банк. система_ввод'!$K$94:$W$151,$U38,0)</f>
        <v>0</v>
      </c>
      <c r="AD38" s="572">
        <f>HLOOKUP(AD$8,'Банк. система_ввод'!$K$94:$W$151,$U38,0)</f>
        <v>0</v>
      </c>
      <c r="AE38" s="572">
        <f>HLOOKUP(AE$8,'Банк. система_ввод'!$K$94:$W$151,$U38,0)</f>
        <v>0</v>
      </c>
      <c r="AF38" s="12"/>
      <c r="AG38" s="4"/>
      <c r="AH38" s="651"/>
      <c r="AI38" s="651"/>
      <c r="AJ38" s="651"/>
      <c r="AK38" s="651"/>
      <c r="AL38" s="651"/>
      <c r="AM38" s="651"/>
      <c r="AN38" s="651"/>
      <c r="AO38" s="651"/>
      <c r="AP38" s="651"/>
      <c r="AQ38" s="651"/>
      <c r="AR38" s="570"/>
      <c r="AS38" s="4"/>
      <c r="AT38" s="1099"/>
      <c r="AU38" s="571"/>
      <c r="AV38" s="571"/>
      <c r="AW38" s="572"/>
      <c r="AX38" s="572"/>
      <c r="AY38" s="572"/>
      <c r="AZ38" s="572"/>
      <c r="BA38" s="572"/>
      <c r="BB38" s="572"/>
      <c r="BC38" s="572"/>
      <c r="BD38" s="572"/>
      <c r="BE38" s="12"/>
      <c r="BF38" s="4"/>
      <c r="BG38" s="651"/>
      <c r="BH38" s="651"/>
      <c r="BI38" s="651"/>
      <c r="BJ38" s="651"/>
      <c r="BK38" s="651"/>
      <c r="BL38" s="651"/>
      <c r="BM38" s="651"/>
      <c r="BN38" s="651"/>
      <c r="BO38" s="651"/>
      <c r="BP38" s="651"/>
      <c r="BQ38" s="4"/>
      <c r="BR38" s="12"/>
      <c r="BS38" s="4"/>
      <c r="BT38" s="4"/>
      <c r="BU38" s="4"/>
    </row>
    <row r="39" spans="1:73" x14ac:dyDescent="0.25">
      <c r="A39" s="489">
        <v>15</v>
      </c>
      <c r="B39" s="494" t="s">
        <v>980</v>
      </c>
      <c r="C39" s="492"/>
      <c r="D39" s="492"/>
      <c r="E39" s="499"/>
      <c r="F39" s="1701"/>
      <c r="G39" s="1701">
        <f>SUM(G40:G43)</f>
        <v>-6.9225379999999994</v>
      </c>
      <c r="H39" s="1701">
        <f t="shared" ref="H39:K39" si="41">SUM(H40:H43)</f>
        <v>-13.505129999999999</v>
      </c>
      <c r="I39" s="1701">
        <f t="shared" si="41"/>
        <v>-1.436242</v>
      </c>
      <c r="J39" s="1701">
        <f t="shared" si="41"/>
        <v>-16.947576000000002</v>
      </c>
      <c r="K39" s="1701">
        <f t="shared" si="41"/>
        <v>-1.125642</v>
      </c>
      <c r="L39" s="1701">
        <f t="shared" ref="L39:O39" si="42">SUM(L40:L43)</f>
        <v>-8.2751300000000008</v>
      </c>
      <c r="M39" s="1701">
        <f t="shared" si="42"/>
        <v>-30.735536</v>
      </c>
      <c r="N39" s="1701">
        <f t="shared" si="42"/>
        <v>-13.613894999999999</v>
      </c>
      <c r="O39" s="1701">
        <f t="shared" si="42"/>
        <v>0</v>
      </c>
      <c r="P39" s="1701"/>
      <c r="Q39" s="499"/>
      <c r="R39" s="647">
        <f t="shared" si="26"/>
        <v>-1.5389962251197238E-2</v>
      </c>
      <c r="S39" s="9"/>
      <c r="T39" s="66"/>
      <c r="U39" s="1026">
        <v>46</v>
      </c>
      <c r="V39" s="1016">
        <f>HLOOKUP(V$8,'Банк. система_ввод'!$K$94:$W$151,$U39,0)</f>
        <v>-1716.6000000000004</v>
      </c>
      <c r="W39" s="1016">
        <f>HLOOKUP(W$8,'Банк. система_ввод'!$K$94:$W$151,$U39,0)</f>
        <v>-1433.2999999999997</v>
      </c>
      <c r="X39" s="1016">
        <f>HLOOKUP(X$8,'Банк. система_ввод'!$K$94:$W$151,$U39,0)</f>
        <v>-1631.8136549999999</v>
      </c>
      <c r="Y39" s="1016">
        <f>HLOOKUP(Y$8,'Банк. система_ввод'!$K$94:$W$151,$U39,0)</f>
        <v>-874.59689200000003</v>
      </c>
      <c r="Z39" s="1016">
        <f>HLOOKUP(Z$8,'Банк. система_ввод'!$K$94:$W$151,$U39,0)</f>
        <v>-1760.1126589999999</v>
      </c>
      <c r="AA39" s="1016">
        <f>HLOOKUP(AA$8,'Банк. система_ввод'!$K$94:$W$151,$U39,0)</f>
        <v>-486.255269</v>
      </c>
      <c r="AB39" s="1016">
        <f>HLOOKUP(AB$8,'Банк. система_ввод'!$K$94:$W$151,$U39,0)</f>
        <v>-2410.6403359999999</v>
      </c>
      <c r="AC39" s="1016">
        <f>HLOOKUP(AC$8,'Банк. система_ввод'!$K$94:$W$151,$U39,0)</f>
        <v>-2058.4029190000001</v>
      </c>
      <c r="AD39" s="1016">
        <f>HLOOKUP(AD$8,'Банк. система_ввод'!$K$94:$W$151,$U39,0)</f>
        <v>-1882.720069</v>
      </c>
      <c r="AE39" s="1016">
        <f>HLOOKUP(AE$8,'Банк. система_ввод'!$K$94:$W$151,$U39,0)</f>
        <v>-2273.372492</v>
      </c>
      <c r="AF39" s="241"/>
      <c r="AG39" s="4"/>
      <c r="AH39" s="647">
        <f t="shared" ref="AH39:AQ45" si="43">V39/V$289</f>
        <v>-2.2751781907994942E-2</v>
      </c>
      <c r="AI39" s="647">
        <f t="shared" si="43"/>
        <v>-1.8852497384676606E-2</v>
      </c>
      <c r="AJ39" s="647">
        <f t="shared" si="43"/>
        <v>-1.9876761124521521E-2</v>
      </c>
      <c r="AK39" s="647">
        <f t="shared" si="43"/>
        <v>-9.9937844625034526E-3</v>
      </c>
      <c r="AL39" s="647">
        <f t="shared" si="43"/>
        <v>-1.8256610453105414E-2</v>
      </c>
      <c r="AM39" s="647">
        <f t="shared" si="43"/>
        <v>-4.3307446434413385E-3</v>
      </c>
      <c r="AN39" s="647">
        <f t="shared" si="43"/>
        <v>-1.8880692488062512E-2</v>
      </c>
      <c r="AO39" s="647">
        <f t="shared" si="43"/>
        <v>-1.3602582036800648E-2</v>
      </c>
      <c r="AP39" s="647">
        <f t="shared" si="43"/>
        <v>-1.0257647073670157E-2</v>
      </c>
      <c r="AQ39" s="647">
        <f t="shared" si="43"/>
        <v>-1.1086099765203517E-2</v>
      </c>
      <c r="AR39" s="547"/>
      <c r="AS39" s="4"/>
      <c r="AT39" s="1099">
        <v>5</v>
      </c>
      <c r="AU39" s="573">
        <f>HLOOKUP(AU$8,'Банк. система_ввод'!$G$164:$W$194,5,0)</f>
        <v>-37.138911</v>
      </c>
      <c r="AV39" s="573">
        <f>HLOOKUP(AV$8,'Банк. система_ввод'!$G$164:$W$194,5,0)</f>
        <v>-51.135244</v>
      </c>
      <c r="AW39" s="573">
        <f>HLOOKUP(AW$8,'Банк. система_ввод'!$G$164:$W$194,5,0)</f>
        <v>-50.033506000000003</v>
      </c>
      <c r="AX39" s="573">
        <f>HLOOKUP(AX$8,'Банк. система_ввод'!$G$164:$W$194,5,0)</f>
        <v>-55.101123000000001</v>
      </c>
      <c r="AY39" s="573">
        <f>HLOOKUP(AY$8,'Банк. система_ввод'!$G$164:$W$194,5,0)</f>
        <v>-132.259534</v>
      </c>
      <c r="AZ39" s="573">
        <f>HLOOKUP(AZ$8,'Банк. система_ввод'!$G$164:$W$194,5,0)</f>
        <v>30.997741000000001</v>
      </c>
      <c r="BA39" s="573">
        <f>HLOOKUP(BA$8,'Банк. система_ввод'!$G$164:$W$194,5,0)</f>
        <v>-51.629048000000004</v>
      </c>
      <c r="BB39" s="573">
        <f>HLOOKUP(BB$8,'Банк. система_ввод'!$G$164:$W$194,5,0)</f>
        <v>-86.610377999999997</v>
      </c>
      <c r="BC39" s="573">
        <f>HLOOKUP(BC$8,'Банк. система_ввод'!$G$164:$W$194,5,0)</f>
        <v>-89.905548999999993</v>
      </c>
      <c r="BD39" s="573">
        <f>HLOOKUP(BD$8,'Банк. система_ввод'!$G$164:$W$194,5,0)</f>
        <v>-97.792246666666657</v>
      </c>
      <c r="BE39" s="241"/>
      <c r="BF39" s="4"/>
      <c r="BG39" s="647">
        <f t="shared" ref="BG39:BP39" si="44">AU39/AU$289</f>
        <v>-2.3564259318923451E-3</v>
      </c>
      <c r="BH39" s="647">
        <f t="shared" si="44"/>
        <v>-2.9907944422095612E-3</v>
      </c>
      <c r="BI39" s="647">
        <f t="shared" si="44"/>
        <v>-2.8300773802986509E-3</v>
      </c>
      <c r="BJ39" s="647">
        <f t="shared" si="44"/>
        <v>-3.0119750245518944E-3</v>
      </c>
      <c r="BK39" s="647">
        <f t="shared" si="44"/>
        <v>-6.5291451243351126E-3</v>
      </c>
      <c r="BL39" s="647">
        <f t="shared" si="44"/>
        <v>1.3598993406855114E-3</v>
      </c>
      <c r="BM39" s="647">
        <f t="shared" si="44"/>
        <v>-2.1823486366795283E-3</v>
      </c>
      <c r="BN39" s="647">
        <f t="shared" si="44"/>
        <v>-3.6651322922481937E-3</v>
      </c>
      <c r="BO39" s="647">
        <f t="shared" si="44"/>
        <v>-3.791617323513961E-3</v>
      </c>
      <c r="BP39" s="647">
        <f t="shared" si="44"/>
        <v>-4.0364817360173796E-3</v>
      </c>
      <c r="BQ39" s="4"/>
      <c r="BR39" s="4"/>
      <c r="BS39" s="4"/>
      <c r="BT39" s="4"/>
      <c r="BU39" s="4"/>
    </row>
    <row r="40" spans="1:73" outlineLevel="1" x14ac:dyDescent="0.25">
      <c r="A40" s="489"/>
      <c r="B40" s="489" t="s">
        <v>831</v>
      </c>
      <c r="C40" s="492" t="s">
        <v>981</v>
      </c>
      <c r="D40" s="492"/>
      <c r="E40" s="499"/>
      <c r="F40" s="1702"/>
      <c r="G40" s="1702">
        <f>Ввод!H84/VLOOKUP(Баланс!$B$7,Баланс!$A$1:$B$3,2,0)</f>
        <v>-7.3702589999999999</v>
      </c>
      <c r="H40" s="1702">
        <f>Ввод!I84/VLOOKUP(Баланс!$B$7,Баланс!$A$1:$B$3,2,0)</f>
        <v>-13.131603</v>
      </c>
      <c r="I40" s="1702">
        <f>Ввод!J84/VLOOKUP(Баланс!$B$7,Баланс!$A$1:$B$3,2,0)</f>
        <v>-0.18968399999999999</v>
      </c>
      <c r="J40" s="1702">
        <f>Ввод!K84/VLOOKUP(Баланс!$B$7,Баланс!$A$1:$B$3,2,0)</f>
        <v>-15.941611</v>
      </c>
      <c r="K40" s="1702">
        <f>Ввод!L84/VLOOKUP(Баланс!$B$7,Баланс!$A$1:$B$3,2,0)</f>
        <v>-0.41733100000000001</v>
      </c>
      <c r="L40" s="1702">
        <f>Ввод!M84/VLOOKUP(Баланс!$B$7,Баланс!$A$1:$B$3,2,0)</f>
        <v>-2.1569229999999999</v>
      </c>
      <c r="M40" s="1702">
        <f>Ввод!N84/VLOOKUP(Баланс!$B$7,Баланс!$A$1:$B$3,2,0)</f>
        <v>-9.1252300000000002</v>
      </c>
      <c r="N40" s="1702">
        <f>Ввод!O84/VLOOKUP(Баланс!$B$7,Баланс!$A$1:$B$3,2,0)</f>
        <v>-2.7804090000000001</v>
      </c>
      <c r="O40" s="1702">
        <f>Ввод!P84/VLOOKUP(Баланс!$B$7,Баланс!$A$1:$B$3,2,0)</f>
        <v>0</v>
      </c>
      <c r="P40" s="1702"/>
      <c r="Q40" s="499"/>
      <c r="R40" s="647">
        <f t="shared" si="26"/>
        <v>-3.1431408537298889E-3</v>
      </c>
      <c r="S40" s="9"/>
      <c r="T40" s="66"/>
      <c r="U40" s="1026">
        <v>47</v>
      </c>
      <c r="V40" s="574">
        <f>HLOOKUP(V$8,'Банк. система_ввод'!$K$94:$W$151,$U40,0)</f>
        <v>0</v>
      </c>
      <c r="W40" s="574">
        <f>HLOOKUP(W$8,'Банк. система_ввод'!$K$94:$W$151,$U40,0)</f>
        <v>-972.89999999999964</v>
      </c>
      <c r="X40" s="574">
        <f>HLOOKUP(X$8,'Банк. система_ввод'!$K$94:$W$151,$U40,0)</f>
        <v>-1320.904644</v>
      </c>
      <c r="Y40" s="574">
        <f>HLOOKUP(Y$8,'Банк. система_ввод'!$K$94:$W$151,$U40,0)</f>
        <v>-241.434426</v>
      </c>
      <c r="Z40" s="574">
        <f>HLOOKUP(Z$8,'Банк. система_ввод'!$K$94:$W$151,$U40,0)</f>
        <v>-1193.355716</v>
      </c>
      <c r="AA40" s="574">
        <f>HLOOKUP(AA$8,'Банк. система_ввод'!$K$94:$W$151,$U40,0)</f>
        <v>-294.83792699999998</v>
      </c>
      <c r="AB40" s="574">
        <f>HLOOKUP(AB$8,'Банк. система_ввод'!$K$94:$W$151,$U40,0)</f>
        <v>-1310.3445360000001</v>
      </c>
      <c r="AC40" s="574">
        <f>HLOOKUP(AC$8,'Банк. система_ввод'!$K$94:$W$151,$U40,0)</f>
        <v>-1222.6792250000001</v>
      </c>
      <c r="AD40" s="574">
        <f>HLOOKUP(AD$8,'Банк. система_ввод'!$K$94:$W$151,$U40,0)</f>
        <v>-1189.370885</v>
      </c>
      <c r="AE40" s="574">
        <f>HLOOKUP(AE$8,'Банк. система_ввод'!$K$94:$W$151,$U40,0)</f>
        <v>-2002.439126</v>
      </c>
      <c r="AF40" s="241"/>
      <c r="AG40" s="4"/>
      <c r="AH40" s="647">
        <f t="shared" si="43"/>
        <v>0</v>
      </c>
      <c r="AI40" s="647">
        <f t="shared" si="43"/>
        <v>-1.2796759021525059E-2</v>
      </c>
      <c r="AJ40" s="647">
        <f t="shared" si="43"/>
        <v>-1.6089647244102234E-2</v>
      </c>
      <c r="AK40" s="647">
        <f t="shared" si="43"/>
        <v>-2.7588065282905666E-3</v>
      </c>
      <c r="AL40" s="647">
        <f t="shared" si="43"/>
        <v>-1.2377974970861622E-2</v>
      </c>
      <c r="AM40" s="647">
        <f t="shared" si="43"/>
        <v>-2.6259206931875906E-3</v>
      </c>
      <c r="AN40" s="647">
        <f t="shared" si="43"/>
        <v>-1.02629213774298E-2</v>
      </c>
      <c r="AO40" s="647">
        <f t="shared" si="43"/>
        <v>-8.0798537104845303E-3</v>
      </c>
      <c r="AP40" s="647">
        <f t="shared" si="43"/>
        <v>-6.4800641257883864E-3</v>
      </c>
      <c r="AQ40" s="647">
        <f t="shared" si="43"/>
        <v>-9.7648933479674294E-3</v>
      </c>
      <c r="AR40" s="547"/>
      <c r="AS40" s="4"/>
      <c r="AT40" s="1099"/>
      <c r="AU40" s="574"/>
      <c r="AV40" s="574"/>
      <c r="AW40" s="574"/>
      <c r="AX40" s="574"/>
      <c r="AY40" s="574"/>
      <c r="AZ40" s="574"/>
      <c r="BA40" s="574"/>
      <c r="BB40" s="574"/>
      <c r="BC40" s="574"/>
      <c r="BD40" s="574"/>
      <c r="BE40" s="241"/>
      <c r="BF40" s="4"/>
      <c r="BG40" s="647"/>
      <c r="BH40" s="647"/>
      <c r="BI40" s="647"/>
      <c r="BJ40" s="647"/>
      <c r="BK40" s="647"/>
      <c r="BL40" s="647"/>
      <c r="BM40" s="647"/>
      <c r="BN40" s="647"/>
      <c r="BO40" s="647"/>
      <c r="BP40" s="647"/>
      <c r="BQ40" s="4"/>
      <c r="BR40" s="4"/>
      <c r="BS40" s="4"/>
      <c r="BT40" s="4"/>
      <c r="BU40" s="4"/>
    </row>
    <row r="41" spans="1:73" outlineLevel="1" x14ac:dyDescent="0.25">
      <c r="A41" s="489"/>
      <c r="B41" s="489" t="s">
        <v>832</v>
      </c>
      <c r="C41" s="492" t="s">
        <v>1489</v>
      </c>
      <c r="D41" s="492"/>
      <c r="E41" s="499"/>
      <c r="F41" s="1702"/>
      <c r="G41" s="1702">
        <f>Ввод!H97/VLOOKUP(Баланс!$B$7,Баланс!$A$1:$B$3,2,0)</f>
        <v>2.4923000000000001E-2</v>
      </c>
      <c r="H41" s="1702">
        <f>Ввод!I97/VLOOKUP(Баланс!$B$7,Баланс!$A$1:$B$3,2,0)</f>
        <v>-0.500274</v>
      </c>
      <c r="I41" s="1702">
        <f>Ввод!J97/VLOOKUP(Баланс!$B$7,Баланс!$A$1:$B$3,2,0)</f>
        <v>-0.38029800000000002</v>
      </c>
      <c r="J41" s="1702">
        <f>Ввод!K97/VLOOKUP(Баланс!$B$7,Баланс!$A$1:$B$3,2,0)</f>
        <v>-1.8325000000000001E-2</v>
      </c>
      <c r="K41" s="1702">
        <f>Ввод!L97/VLOOKUP(Баланс!$B$7,Баланс!$A$1:$B$3,2,0)</f>
        <v>-3.5469999999999998E-3</v>
      </c>
      <c r="L41" s="1702">
        <f>Ввод!M97/VLOOKUP(Баланс!$B$7,Баланс!$A$1:$B$3,2,0)</f>
        <v>-0.45046999999999998</v>
      </c>
      <c r="M41" s="1702">
        <f>Ввод!N97/VLOOKUP(Баланс!$B$7,Баланс!$A$1:$B$3,2,0)</f>
        <v>-0.31688899999999998</v>
      </c>
      <c r="N41" s="1702">
        <f>Ввод!O97/VLOOKUP(Баланс!$B$7,Баланс!$A$1:$B$3,2,0)</f>
        <v>-0.75696399999999997</v>
      </c>
      <c r="O41" s="1702">
        <f>Ввод!P97/VLOOKUP(Баланс!$B$7,Баланс!$A$1:$B$3,2,0)</f>
        <v>0</v>
      </c>
      <c r="P41" s="1702"/>
      <c r="Q41" s="499"/>
      <c r="R41" s="647">
        <f t="shared" si="26"/>
        <v>-8.5571744056460442E-4</v>
      </c>
      <c r="S41" s="9"/>
      <c r="T41" s="66"/>
      <c r="U41" s="1026">
        <v>48</v>
      </c>
      <c r="V41" s="2205">
        <f>HLOOKUP(V$8,'Банк. система_ввод'!$K$94:$W$151,$U41,0)</f>
        <v>0</v>
      </c>
      <c r="W41" s="2205">
        <f>HLOOKUP(W$8,'Банк. система_ввод'!$K$94:$W$151,$U41,0)</f>
        <v>-460.40000000000009</v>
      </c>
      <c r="X41" s="2205">
        <f>HLOOKUP(X$8,'Банк. система_ввод'!$K$94:$W$151,$U41,0)</f>
        <v>-310.90901100000002</v>
      </c>
      <c r="Y41" s="2205">
        <f>HLOOKUP(Y$8,'Банк. система_ввод'!$K$94:$W$151,$U41,0)</f>
        <v>-633.16246599999999</v>
      </c>
      <c r="Z41" s="2205">
        <f>HLOOKUP(Z$8,'Банк. система_ввод'!$K$94:$W$151,$U41,0)</f>
        <v>-566.75694299999998</v>
      </c>
      <c r="AA41" s="2205">
        <f>HLOOKUP(AA$8,'Банк. система_ввод'!$K$94:$W$151,$U41,0)</f>
        <v>-191.41734199999999</v>
      </c>
      <c r="AB41" s="2205">
        <f>HLOOKUP(AB$8,'Банк. система_ввод'!$K$94:$W$151,$U41,0)</f>
        <v>-1099.1073120000001</v>
      </c>
      <c r="AC41" s="2205">
        <f>HLOOKUP(AC$8,'Банк. система_ввод'!$K$94:$W$151,$U41,0)</f>
        <v>-834.56552899999997</v>
      </c>
      <c r="AD41" s="2205">
        <f>HLOOKUP(AD$8,'Банк. система_ввод'!$K$94:$W$151,$U41,0)</f>
        <v>-693.34918400000004</v>
      </c>
      <c r="AE41" s="2205">
        <f>HLOOKUP(AE$8,'Банк. система_ввод'!$K$94:$W$151,$U41,0)</f>
        <v>-270.93336599999998</v>
      </c>
      <c r="AF41" s="241"/>
      <c r="AG41" s="4"/>
      <c r="AH41" s="2212">
        <f t="shared" si="43"/>
        <v>0</v>
      </c>
      <c r="AI41" s="2212">
        <f t="shared" si="43"/>
        <v>-6.0557383631515476E-3</v>
      </c>
      <c r="AJ41" s="2212">
        <f t="shared" si="43"/>
        <v>-3.7871138804192904E-3</v>
      </c>
      <c r="AK41" s="2212">
        <f t="shared" si="43"/>
        <v>-7.2349779342128859E-3</v>
      </c>
      <c r="AL41" s="2212">
        <f t="shared" si="43"/>
        <v>-5.8786354822437928E-3</v>
      </c>
      <c r="AM41" s="2212">
        <f t="shared" si="43"/>
        <v>-1.7048239502537479E-3</v>
      </c>
      <c r="AN41" s="2212">
        <f t="shared" si="43"/>
        <v>-8.6084625978203079E-3</v>
      </c>
      <c r="AO41" s="2212">
        <f t="shared" si="43"/>
        <v>-5.5150748031505435E-3</v>
      </c>
      <c r="AP41" s="2212">
        <f t="shared" si="43"/>
        <v>-3.7775829478817712E-3</v>
      </c>
      <c r="AQ41" s="2212">
        <f t="shared" si="43"/>
        <v>-1.3212064172360887E-3</v>
      </c>
      <c r="AR41" s="1760"/>
      <c r="AS41" s="4"/>
      <c r="AT41" s="1099"/>
      <c r="AU41" s="574"/>
      <c r="AV41" s="574"/>
      <c r="AW41" s="574"/>
      <c r="AX41" s="574"/>
      <c r="AY41" s="574"/>
      <c r="AZ41" s="574"/>
      <c r="BA41" s="574"/>
      <c r="BB41" s="574"/>
      <c r="BC41" s="574"/>
      <c r="BD41" s="574"/>
      <c r="BE41" s="241"/>
      <c r="BF41" s="4"/>
      <c r="BG41" s="647"/>
      <c r="BH41" s="647"/>
      <c r="BI41" s="647"/>
      <c r="BJ41" s="647"/>
      <c r="BK41" s="647"/>
      <c r="BL41" s="647"/>
      <c r="BM41" s="647"/>
      <c r="BN41" s="647"/>
      <c r="BO41" s="647"/>
      <c r="BP41" s="647"/>
      <c r="BQ41" s="4"/>
      <c r="BR41" s="4"/>
      <c r="BS41" s="4"/>
      <c r="BT41" s="4"/>
      <c r="BU41" s="4"/>
    </row>
    <row r="42" spans="1:73" outlineLevel="1" x14ac:dyDescent="0.25">
      <c r="A42" s="489"/>
      <c r="B42" s="489" t="s">
        <v>833</v>
      </c>
      <c r="C42" s="492" t="s">
        <v>1344</v>
      </c>
      <c r="D42" s="492"/>
      <c r="E42" s="499"/>
      <c r="F42" s="1702"/>
      <c r="G42" s="1702">
        <f>Ввод!H98/VLOOKUP(Баланс!$B$7,Баланс!$A$1:$B$3,2,0)</f>
        <v>-0.11570800000000001</v>
      </c>
      <c r="H42" s="1702">
        <f>Ввод!I98/VLOOKUP(Баланс!$B$7,Баланс!$A$1:$B$3,2,0)</f>
        <v>-6.2725000000000003E-2</v>
      </c>
      <c r="I42" s="1702">
        <f>Ввод!J98/VLOOKUP(Баланс!$B$7,Баланс!$A$1:$B$3,2,0)</f>
        <v>-0.22415599999999999</v>
      </c>
      <c r="J42" s="1702">
        <f>Ввод!K98/VLOOKUP(Баланс!$B$7,Баланс!$A$1:$B$3,2,0)</f>
        <v>7.9958000000000001E-2</v>
      </c>
      <c r="K42" s="1702">
        <f>Ввод!L98/VLOOKUP(Баланс!$B$7,Баланс!$A$1:$B$3,2,0)</f>
        <v>-0.12911300000000001</v>
      </c>
      <c r="L42" s="1702">
        <f>Ввод!M98/VLOOKUP(Баланс!$B$7,Баланс!$A$1:$B$3,2,0)</f>
        <v>0.15268899999999999</v>
      </c>
      <c r="M42" s="1702">
        <f>Ввод!N98/VLOOKUP(Баланс!$B$7,Баланс!$A$1:$B$3,2,0)</f>
        <v>-3.7615759999999998</v>
      </c>
      <c r="N42" s="1702">
        <f>Ввод!O98/VLOOKUP(Баланс!$B$7,Баланс!$A$1:$B$3,2,0)</f>
        <v>-0.121754</v>
      </c>
      <c r="O42" s="1702">
        <f>Ввод!P98/VLOOKUP(Баланс!$B$7,Баланс!$A$1:$B$3,2,0)</f>
        <v>0</v>
      </c>
      <c r="P42" s="1702"/>
      <c r="Q42" s="499"/>
      <c r="R42" s="647">
        <f t="shared" si="26"/>
        <v>-1.3763801350989328E-4</v>
      </c>
      <c r="S42" s="9"/>
      <c r="T42" s="66"/>
      <c r="U42" s="1026"/>
      <c r="V42" s="2206" t="e" vm="1">
        <f>HLOOKUP(V$8,'Банк. система_ввод'!$K$94:$W$151,$U42,0)</f>
        <v>#VALUE!</v>
      </c>
      <c r="W42" s="2206" t="e" vm="1">
        <f>HLOOKUP(W$8,'Банк. система_ввод'!$K$94:$W$151,$U42,0)</f>
        <v>#VALUE!</v>
      </c>
      <c r="X42" s="2206" t="e" vm="1">
        <f>HLOOKUP(X$8,'Банк. система_ввод'!$K$94:$W$151,$U42,0)</f>
        <v>#VALUE!</v>
      </c>
      <c r="Y42" s="2206" t="e" vm="1">
        <f>HLOOKUP(Y$8,'Банк. система_ввод'!$K$94:$W$151,$U42,0)</f>
        <v>#VALUE!</v>
      </c>
      <c r="Z42" s="2206" t="e" vm="1">
        <f>HLOOKUP(Z$8,'Банк. система_ввод'!$K$94:$W$151,$U42,0)</f>
        <v>#VALUE!</v>
      </c>
      <c r="AA42" s="2206" t="e" vm="1">
        <f>HLOOKUP(AA$8,'Банк. система_ввод'!$K$94:$W$151,$U42,0)</f>
        <v>#VALUE!</v>
      </c>
      <c r="AB42" s="2206" t="e" vm="1">
        <f>HLOOKUP(AB$8,'Банк. система_ввод'!$K$94:$W$151,$U42,0)</f>
        <v>#VALUE!</v>
      </c>
      <c r="AC42" s="2206" t="e" vm="1">
        <f>HLOOKUP(AC$8,'Банк. система_ввод'!$K$94:$W$151,$U42,0)</f>
        <v>#VALUE!</v>
      </c>
      <c r="AD42" s="2206" t="e" vm="1">
        <f>HLOOKUP(AD$8,'Банк. система_ввод'!$K$94:$W$151,$U42,0)</f>
        <v>#VALUE!</v>
      </c>
      <c r="AE42" s="2206" t="e" vm="1">
        <f>HLOOKUP(AE$8,'Банк. система_ввод'!$K$94:$W$151,$U42,0)</f>
        <v>#VALUE!</v>
      </c>
      <c r="AF42" s="241"/>
      <c r="AG42" s="4"/>
      <c r="AH42" s="2213" t="e" vm="2">
        <f t="shared" si="43"/>
        <v>#VALUE!</v>
      </c>
      <c r="AI42" s="2213" t="e" vm="2">
        <f t="shared" si="43"/>
        <v>#VALUE!</v>
      </c>
      <c r="AJ42" s="2213" t="e" vm="2">
        <f t="shared" si="43"/>
        <v>#VALUE!</v>
      </c>
      <c r="AK42" s="2213" t="e" vm="2">
        <f t="shared" si="43"/>
        <v>#VALUE!</v>
      </c>
      <c r="AL42" s="2213" t="e" vm="2">
        <f t="shared" si="43"/>
        <v>#VALUE!</v>
      </c>
      <c r="AM42" s="2213" t="e" vm="2">
        <f t="shared" si="43"/>
        <v>#VALUE!</v>
      </c>
      <c r="AN42" s="2213" t="e" vm="2">
        <f t="shared" si="43"/>
        <v>#VALUE!</v>
      </c>
      <c r="AO42" s="2213" t="e" vm="2">
        <f t="shared" si="43"/>
        <v>#VALUE!</v>
      </c>
      <c r="AP42" s="2213" t="e" vm="2">
        <f t="shared" si="43"/>
        <v>#VALUE!</v>
      </c>
      <c r="AQ42" s="2213" t="e" vm="2">
        <f t="shared" si="43"/>
        <v>#VALUE!</v>
      </c>
      <c r="AR42" s="1720"/>
      <c r="AS42" s="4"/>
      <c r="AT42" s="1099"/>
      <c r="AU42" s="574"/>
      <c r="AV42" s="574"/>
      <c r="AW42" s="574"/>
      <c r="AX42" s="574"/>
      <c r="AY42" s="574"/>
      <c r="AZ42" s="574"/>
      <c r="BA42" s="574"/>
      <c r="BB42" s="574"/>
      <c r="BC42" s="574"/>
      <c r="BD42" s="574"/>
      <c r="BE42" s="241"/>
      <c r="BF42" s="4"/>
      <c r="BG42" s="647"/>
      <c r="BH42" s="647"/>
      <c r="BI42" s="647"/>
      <c r="BJ42" s="647"/>
      <c r="BK42" s="647"/>
      <c r="BL42" s="647"/>
      <c r="BM42" s="647"/>
      <c r="BN42" s="647"/>
      <c r="BO42" s="647"/>
      <c r="BP42" s="647"/>
      <c r="BQ42" s="4"/>
      <c r="BR42" s="4"/>
      <c r="BS42" s="4"/>
      <c r="BT42" s="4"/>
      <c r="BU42" s="4"/>
    </row>
    <row r="43" spans="1:73" outlineLevel="1" x14ac:dyDescent="0.25">
      <c r="A43" s="489"/>
      <c r="B43" s="489" t="s">
        <v>982</v>
      </c>
      <c r="C43" s="492" t="s">
        <v>595</v>
      </c>
      <c r="D43" s="492"/>
      <c r="E43" s="499"/>
      <c r="F43" s="1702"/>
      <c r="G43" s="1702">
        <f>Ввод!H99/VLOOKUP(Баланс!$B$7,Баланс!$A$1:$B$3,2,0)</f>
        <v>0.53850600000000004</v>
      </c>
      <c r="H43" s="1702">
        <f>Ввод!I99/VLOOKUP(Баланс!$B$7,Баланс!$A$1:$B$3,2,0)</f>
        <v>0.189472</v>
      </c>
      <c r="I43" s="1702">
        <f>Ввод!J99/VLOOKUP(Баланс!$B$7,Баланс!$A$1:$B$3,2,0)</f>
        <v>-0.64210400000000001</v>
      </c>
      <c r="J43" s="1702">
        <f>Ввод!K99/VLOOKUP(Баланс!$B$7,Баланс!$A$1:$B$3,2,0)</f>
        <v>-1.067598</v>
      </c>
      <c r="K43" s="1702">
        <f>Ввод!L99/VLOOKUP(Баланс!$B$7,Баланс!$A$1:$B$3,2,0)</f>
        <v>-0.57565100000000002</v>
      </c>
      <c r="L43" s="1702">
        <f>Ввод!M99/VLOOKUP(Баланс!$B$7,Баланс!$A$1:$B$3,2,0)</f>
        <v>-5.8204260000000003</v>
      </c>
      <c r="M43" s="1702">
        <f>Ввод!N99/VLOOKUP(Баланс!$B$7,Баланс!$A$1:$B$3,2,0)</f>
        <v>-17.531841</v>
      </c>
      <c r="N43" s="1702">
        <f>Ввод!O99/VLOOKUP(Баланс!$B$7,Баланс!$A$1:$B$3,2,0)</f>
        <v>-9.9547679999999996</v>
      </c>
      <c r="O43" s="1702">
        <f>Ввод!P99/VLOOKUP(Баланс!$B$7,Баланс!$A$1:$B$3,2,0)</f>
        <v>0</v>
      </c>
      <c r="P43" s="1702"/>
      <c r="Q43" s="499"/>
      <c r="R43" s="647">
        <f t="shared" si="26"/>
        <v>-1.1253465943392852E-2</v>
      </c>
      <c r="S43" s="9"/>
      <c r="T43" s="66"/>
      <c r="U43" s="1026"/>
      <c r="V43" s="2207" t="e" vm="1">
        <f>HLOOKUP(V$8,'Банк. система_ввод'!$K$94:$W$151,$U43,0)</f>
        <v>#VALUE!</v>
      </c>
      <c r="W43" s="2207" t="e" vm="1">
        <f>HLOOKUP(W$8,'Банк. система_ввод'!$K$94:$W$151,$U43,0)</f>
        <v>#VALUE!</v>
      </c>
      <c r="X43" s="2207" t="e" vm="1">
        <f>HLOOKUP(X$8,'Банк. система_ввод'!$K$94:$W$151,$U43,0)</f>
        <v>#VALUE!</v>
      </c>
      <c r="Y43" s="2207" t="e" vm="1">
        <f>HLOOKUP(Y$8,'Банк. система_ввод'!$K$94:$W$151,$U43,0)</f>
        <v>#VALUE!</v>
      </c>
      <c r="Z43" s="2207" t="e" vm="1">
        <f>HLOOKUP(Z$8,'Банк. система_ввод'!$K$94:$W$151,$U43,0)</f>
        <v>#VALUE!</v>
      </c>
      <c r="AA43" s="2207" t="e" vm="1">
        <f>HLOOKUP(AA$8,'Банк. система_ввод'!$K$94:$W$151,$U43,0)</f>
        <v>#VALUE!</v>
      </c>
      <c r="AB43" s="2207" t="e" vm="1">
        <f>HLOOKUP(AB$8,'Банк. система_ввод'!$K$94:$W$151,$U43,0)</f>
        <v>#VALUE!</v>
      </c>
      <c r="AC43" s="2207" t="e" vm="1">
        <f>HLOOKUP(AC$8,'Банк. система_ввод'!$K$94:$W$151,$U43,0)</f>
        <v>#VALUE!</v>
      </c>
      <c r="AD43" s="2207" t="e" vm="1">
        <f>HLOOKUP(AD$8,'Банк. система_ввод'!$K$94:$W$151,$U43,0)</f>
        <v>#VALUE!</v>
      </c>
      <c r="AE43" s="2207" t="e" vm="1">
        <f>HLOOKUP(AE$8,'Банк. система_ввод'!$K$94:$W$151,$U43,0)</f>
        <v>#VALUE!</v>
      </c>
      <c r="AF43" s="241"/>
      <c r="AG43" s="4"/>
      <c r="AH43" s="2215" t="e" vm="2">
        <f t="shared" si="43"/>
        <v>#VALUE!</v>
      </c>
      <c r="AI43" s="2215" t="e" vm="2">
        <f t="shared" si="43"/>
        <v>#VALUE!</v>
      </c>
      <c r="AJ43" s="2215" t="e" vm="2">
        <f t="shared" si="43"/>
        <v>#VALUE!</v>
      </c>
      <c r="AK43" s="2215" t="e" vm="2">
        <f t="shared" si="43"/>
        <v>#VALUE!</v>
      </c>
      <c r="AL43" s="2215" t="e" vm="2">
        <f t="shared" si="43"/>
        <v>#VALUE!</v>
      </c>
      <c r="AM43" s="2215" t="e" vm="2">
        <f t="shared" si="43"/>
        <v>#VALUE!</v>
      </c>
      <c r="AN43" s="2215" t="e" vm="2">
        <f t="shared" si="43"/>
        <v>#VALUE!</v>
      </c>
      <c r="AO43" s="2215" t="e" vm="2">
        <f t="shared" si="43"/>
        <v>#VALUE!</v>
      </c>
      <c r="AP43" s="2215" t="e" vm="2">
        <f t="shared" si="43"/>
        <v>#VALUE!</v>
      </c>
      <c r="AQ43" s="2215" t="e" vm="2">
        <f t="shared" si="43"/>
        <v>#VALUE!</v>
      </c>
      <c r="AR43" s="1720"/>
      <c r="AS43" s="4"/>
      <c r="AT43" s="1099"/>
      <c r="AU43" s="574"/>
      <c r="AV43" s="574"/>
      <c r="AW43" s="574"/>
      <c r="AX43" s="574"/>
      <c r="AY43" s="574"/>
      <c r="AZ43" s="574"/>
      <c r="BA43" s="574"/>
      <c r="BB43" s="574"/>
      <c r="BC43" s="574"/>
      <c r="BD43" s="574"/>
      <c r="BE43" s="241"/>
      <c r="BF43" s="4"/>
      <c r="BG43" s="647"/>
      <c r="BH43" s="647"/>
      <c r="BI43" s="647"/>
      <c r="BJ43" s="647"/>
      <c r="BK43" s="647"/>
      <c r="BL43" s="647"/>
      <c r="BM43" s="647"/>
      <c r="BN43" s="647"/>
      <c r="BO43" s="647"/>
      <c r="BP43" s="647"/>
      <c r="BQ43" s="4"/>
      <c r="BR43" s="4"/>
      <c r="BS43" s="4"/>
      <c r="BT43" s="4"/>
      <c r="BU43" s="4"/>
    </row>
    <row r="44" spans="1:73" x14ac:dyDescent="0.25">
      <c r="A44" s="489">
        <v>16</v>
      </c>
      <c r="B44" s="494" t="s">
        <v>592</v>
      </c>
      <c r="C44" s="492"/>
      <c r="D44" s="492"/>
      <c r="E44" s="497"/>
      <c r="F44" s="1701"/>
      <c r="G44" s="1701">
        <f>Ввод!H94/VLOOKUP(Баланс!$B$7,Баланс!$A$1:$B$3,2,0)</f>
        <v>3.3593630000000001</v>
      </c>
      <c r="H44" s="1701">
        <f>Ввод!I94/VLOOKUP(Баланс!$B$7,Баланс!$A$1:$B$3,2,0)</f>
        <v>1.648614</v>
      </c>
      <c r="I44" s="1701">
        <f>Ввод!J94/VLOOKUP(Баланс!$B$7,Баланс!$A$1:$B$3,2,0)</f>
        <v>2.5901540000000001</v>
      </c>
      <c r="J44" s="1701">
        <f>Ввод!K94/VLOOKUP(Баланс!$B$7,Баланс!$A$1:$B$3,2,0)</f>
        <v>1.262634</v>
      </c>
      <c r="K44" s="1836">
        <f>Ввод!L94/VLOOKUP(Баланс!$B$7,Баланс!$A$1:$B$3,2,0)</f>
        <v>0</v>
      </c>
      <c r="L44" s="1821">
        <f>Ввод!M94/VLOOKUP(Баланс!$B$7,Баланс!$A$1:$B$3,2,0)</f>
        <v>0</v>
      </c>
      <c r="M44" s="1821">
        <f>Ввод!N94/VLOOKUP(Баланс!$B$7,Баланс!$A$1:$B$3,2,0)</f>
        <v>0</v>
      </c>
      <c r="N44" s="1821">
        <f>Ввод!O94/VLOOKUP(Баланс!$B$7,Баланс!$A$1:$B$3,2,0)</f>
        <v>0</v>
      </c>
      <c r="O44" s="1821">
        <f>Ввод!P94/VLOOKUP(Баланс!$B$7,Баланс!$A$1:$B$3,2,0)</f>
        <v>0</v>
      </c>
      <c r="P44" s="1701"/>
      <c r="Q44" s="500"/>
      <c r="R44" s="647">
        <f t="shared" si="26"/>
        <v>0</v>
      </c>
      <c r="S44" s="9"/>
      <c r="T44" s="66"/>
      <c r="U44" s="1026">
        <v>51</v>
      </c>
      <c r="V44" s="573">
        <f>HLOOKUP(V$8,'Банк. система_ввод'!$K$94:$W$151,$U44,0)</f>
        <v>0</v>
      </c>
      <c r="W44" s="573">
        <f>HLOOKUP(W$8,'Банк. система_ввод'!$K$94:$W$151,$U44,0)</f>
        <v>0</v>
      </c>
      <c r="X44" s="573">
        <f>HLOOKUP(X$8,'Банк. система_ввод'!$K$94:$W$151,$U44,0)</f>
        <v>89.122749999999996</v>
      </c>
      <c r="Y44" s="573">
        <f>HLOOKUP(Y$8,'Банк. система_ввод'!$K$94:$W$151,$U44,0)</f>
        <v>105.768697</v>
      </c>
      <c r="Z44" s="573">
        <f>HLOOKUP(Z$8,'Банк. система_ввод'!$K$94:$W$151,$U44,0)</f>
        <v>138.29815500000001</v>
      </c>
      <c r="AA44" s="573">
        <f>HLOOKUP(AA$8,'Банк. система_ввод'!$K$94:$W$151,$U44,0)</f>
        <v>164.614001</v>
      </c>
      <c r="AB44" s="573">
        <f>HLOOKUP(AB$8,'Банк. система_ввод'!$K$94:$W$151,$U44,0)</f>
        <v>91.19538</v>
      </c>
      <c r="AC44" s="573">
        <f>HLOOKUP(AC$8,'Банк. система_ввод'!$K$94:$W$151,$U44,0)</f>
        <v>273.15018700000002</v>
      </c>
      <c r="AD44" s="573">
        <f>HLOOKUP(AD$8,'Банк. система_ввод'!$K$94:$W$151,$U44,0)</f>
        <v>642.62147800000002</v>
      </c>
      <c r="AE44" s="573">
        <f>HLOOKUP(AE$8,'Банк. система_ввод'!$K$94:$W$151,$U44,0)</f>
        <v>31.727209999999999</v>
      </c>
      <c r="AF44" s="46"/>
      <c r="AG44" s="4"/>
      <c r="AH44" s="647">
        <f t="shared" si="43"/>
        <v>0</v>
      </c>
      <c r="AI44" s="647">
        <f t="shared" si="43"/>
        <v>0</v>
      </c>
      <c r="AJ44" s="647">
        <f t="shared" si="43"/>
        <v>1.0855845010749408E-3</v>
      </c>
      <c r="AK44" s="647">
        <f t="shared" si="43"/>
        <v>1.208590575117017E-3</v>
      </c>
      <c r="AL44" s="647">
        <f t="shared" si="43"/>
        <v>1.4344851900858881E-3</v>
      </c>
      <c r="AM44" s="647">
        <f t="shared" si="43"/>
        <v>1.4661048394031843E-3</v>
      </c>
      <c r="AN44" s="647">
        <f t="shared" si="43"/>
        <v>7.1426330191133331E-4</v>
      </c>
      <c r="AO44" s="647">
        <f t="shared" si="43"/>
        <v>1.8050634269601606E-3</v>
      </c>
      <c r="AP44" s="647">
        <f t="shared" si="43"/>
        <v>3.501202558904837E-3</v>
      </c>
      <c r="AQ44" s="647">
        <f t="shared" si="43"/>
        <v>1.5471772292895445E-4</v>
      </c>
      <c r="AR44" s="547"/>
      <c r="AS44" s="4"/>
      <c r="AT44" s="1099"/>
      <c r="AU44" s="573"/>
      <c r="AV44" s="573"/>
      <c r="AW44" s="573"/>
      <c r="AX44" s="573"/>
      <c r="AY44" s="573"/>
      <c r="AZ44" s="573"/>
      <c r="BA44" s="573"/>
      <c r="BB44" s="573"/>
      <c r="BC44" s="573"/>
      <c r="BD44" s="573"/>
      <c r="BE44" s="46"/>
      <c r="BF44" s="4"/>
      <c r="BG44" s="647"/>
      <c r="BH44" s="647"/>
      <c r="BI44" s="647"/>
      <c r="BJ44" s="647"/>
      <c r="BK44" s="647"/>
      <c r="BL44" s="647"/>
      <c r="BM44" s="647"/>
      <c r="BN44" s="647"/>
      <c r="BO44" s="647"/>
      <c r="BP44" s="647"/>
      <c r="BQ44" s="4"/>
      <c r="BR44" s="4"/>
      <c r="BS44" s="4"/>
      <c r="BT44" s="4"/>
      <c r="BU44" s="4"/>
    </row>
    <row r="45" spans="1:73" x14ac:dyDescent="0.25">
      <c r="A45" s="489">
        <v>17</v>
      </c>
      <c r="B45" s="494" t="s">
        <v>3398</v>
      </c>
      <c r="C45" s="492"/>
      <c r="D45" s="492"/>
      <c r="E45" s="497"/>
      <c r="F45" s="1701"/>
      <c r="G45" s="1701">
        <f>Ввод!H100/VLOOKUP(Баланс!$B$7,Баланс!$A$1:$B$3,2,0)</f>
        <v>1.347032</v>
      </c>
      <c r="H45" s="1701">
        <f>Ввод!I100/VLOOKUP(Баланс!$B$7,Баланс!$A$1:$B$3,2,0)</f>
        <v>1.578875</v>
      </c>
      <c r="I45" s="1701">
        <f>Ввод!J100/VLOOKUP(Баланс!$B$7,Баланс!$A$1:$B$3,2,0)</f>
        <v>3.430955</v>
      </c>
      <c r="J45" s="1701">
        <f>Ввод!K100/VLOOKUP(Баланс!$B$7,Баланс!$A$1:$B$3,2,0)</f>
        <v>17.993069999999999</v>
      </c>
      <c r="K45" s="1701">
        <f>Ввод!L100/VLOOKUP(Баланс!$B$7,Баланс!$A$1:$B$3,2,0)</f>
        <v>5.7410509999999997</v>
      </c>
      <c r="L45" s="1701">
        <f>Ввод!M100/VLOOKUP(Баланс!$B$7,Баланс!$A$1:$B$3,2,0)</f>
        <v>7.1433239999999998</v>
      </c>
      <c r="M45" s="1701">
        <f>Ввод!N100/VLOOKUP(Баланс!$B$7,Баланс!$A$1:$B$3,2,0)</f>
        <v>10.015694</v>
      </c>
      <c r="N45" s="1701">
        <f>Ввод!O100/VLOOKUP(Баланс!$B$7,Баланс!$A$1:$B$3,2,0)</f>
        <v>0.87798799999999999</v>
      </c>
      <c r="O45" s="1701">
        <f>Ввод!P100/VLOOKUP(Баланс!$B$7,Баланс!$A$1:$B$3,2,0)</f>
        <v>0</v>
      </c>
      <c r="P45" s="1701"/>
      <c r="Q45" s="500"/>
      <c r="R45" s="647">
        <f t="shared" si="26"/>
        <v>9.9253021835442106E-4</v>
      </c>
      <c r="S45" s="17"/>
      <c r="T45" s="66"/>
      <c r="U45" s="1026">
        <v>52</v>
      </c>
      <c r="V45" s="573">
        <f>HLOOKUP(V$8,'Банк. система_ввод'!$K$94:$W$151,$U45,0)</f>
        <v>-335.19999999999982</v>
      </c>
      <c r="W45" s="573">
        <f>HLOOKUP(W$8,'Банк. система_ввод'!$K$94:$W$151,$U45,0)</f>
        <v>170.40000000000009</v>
      </c>
      <c r="X45" s="573">
        <f>HLOOKUP(X$8,'Банк. система_ввод'!$K$94:$W$151,$U45,0)</f>
        <v>122.10129999999999</v>
      </c>
      <c r="Y45" s="573">
        <f>HLOOKUP(Y$8,'Банк. система_ввод'!$K$94:$W$151,$U45,0)</f>
        <v>92.258907999999991</v>
      </c>
      <c r="Z45" s="573">
        <f>HLOOKUP(Z$8,'Банк. система_ввод'!$K$94:$W$151,$U45,0)</f>
        <v>204.05188999999999</v>
      </c>
      <c r="AA45" s="573">
        <f>HLOOKUP(AA$8,'Банк. система_ввод'!$K$94:$W$151,$U45,0)</f>
        <v>175.44922200000002</v>
      </c>
      <c r="AB45" s="573">
        <f>HLOOKUP(AB$8,'Банк. система_ввод'!$K$94:$W$151,$U45,0)</f>
        <v>-180.04246799999999</v>
      </c>
      <c r="AC45" s="573">
        <f>HLOOKUP(AC$8,'Банк. система_ввод'!$K$94:$W$151,$U45,0)</f>
        <v>51.270985999999979</v>
      </c>
      <c r="AD45" s="573">
        <f>HLOOKUP(AD$8,'Банк. система_ввод'!$K$94:$W$151,$U45,0)</f>
        <v>208.27966600000002</v>
      </c>
      <c r="AE45" s="573">
        <f>HLOOKUP(AE$8,'Банк. система_ввод'!$K$94:$W$151,$U45,0)</f>
        <v>133.27268400000003</v>
      </c>
      <c r="AF45" s="46"/>
      <c r="AG45" s="4"/>
      <c r="AH45" s="647">
        <f t="shared" si="43"/>
        <v>-4.4427340647558537E-3</v>
      </c>
      <c r="AI45" s="647">
        <f t="shared" si="43"/>
        <v>2.2413071613401913E-3</v>
      </c>
      <c r="AJ45" s="647">
        <f t="shared" si="43"/>
        <v>1.4872889227621642E-3</v>
      </c>
      <c r="AK45" s="647">
        <f t="shared" si="43"/>
        <v>1.0542178342178871E-3</v>
      </c>
      <c r="AL45" s="647">
        <f t="shared" si="43"/>
        <v>2.116509900034709E-3</v>
      </c>
      <c r="AM45" s="647">
        <f t="shared" si="43"/>
        <v>1.5626067763441559E-3</v>
      </c>
      <c r="AN45" s="647">
        <f t="shared" si="43"/>
        <v>-1.4101342379180344E-3</v>
      </c>
      <c r="AO45" s="647">
        <f t="shared" si="43"/>
        <v>3.3881500396990894E-4</v>
      </c>
      <c r="AP45" s="647">
        <f t="shared" si="43"/>
        <v>1.1347726842815622E-3</v>
      </c>
      <c r="AQ45" s="647">
        <f t="shared" si="43"/>
        <v>6.4990417364495982E-4</v>
      </c>
      <c r="AR45" s="547"/>
      <c r="AS45" s="4"/>
      <c r="AT45" s="1099" t="s">
        <v>3377</v>
      </c>
      <c r="AU45" s="573">
        <f>HLOOKUP(AU$8,'Банк. система_ввод'!$G$164:$W$194,15,0)+HLOOKUP(AU$8,'Банк. система_ввод'!$G$164:$W$194,24,0)</f>
        <v>137.27048999999997</v>
      </c>
      <c r="AV45" s="573">
        <f>HLOOKUP(AV$8,'Банк. система_ввод'!$G$164:$W$194,15,0)+HLOOKUP(AV$8,'Банк. система_ввод'!$G$164:$W$194,24,0)</f>
        <v>127.90812</v>
      </c>
      <c r="AW45" s="573">
        <f>HLOOKUP(AW$8,'Банк. система_ввод'!$G$164:$W$194,15,0)+HLOOKUP(AW$8,'Банк. система_ввод'!$G$164:$W$194,24,0)</f>
        <v>139.63007899999999</v>
      </c>
      <c r="AX45" s="573">
        <f>HLOOKUP(AX$8,'Банк. система_ввод'!$G$164:$W$194,15,0)+HLOOKUP(AX$8,'Банк. система_ввод'!$G$164:$W$194,24,0)</f>
        <v>139.45259000000001</v>
      </c>
      <c r="AY45" s="573">
        <f>HLOOKUP(AY$8,'Банк. система_ввод'!$G$164:$W$194,15,0)+HLOOKUP(AY$8,'Банк. система_ввод'!$G$164:$W$194,24,0)</f>
        <v>158.19073799999998</v>
      </c>
      <c r="AZ45" s="573">
        <f>HLOOKUP(AZ$8,'Банк. система_ввод'!$G$164:$W$194,15,0)+HLOOKUP(AZ$8,'Банк. система_ввод'!$G$164:$W$194,24,0)</f>
        <v>162.31006600000001</v>
      </c>
      <c r="BA45" s="573">
        <f>HLOOKUP(BA$8,'Банк. система_ввод'!$G$164:$W$194,15,0)+HLOOKUP(BA$8,'Банк. система_ввод'!$G$164:$W$194,24,0)</f>
        <v>141.11488499999999</v>
      </c>
      <c r="BB45" s="573">
        <f>HLOOKUP(BB$8,'Банк. система_ввод'!$G$164:$W$194,15,0)+HLOOKUP(BB$8,'Банк. система_ввод'!$G$164:$W$194,24,0)</f>
        <v>152.89712399999999</v>
      </c>
      <c r="BC45" s="573">
        <f>HLOOKUP(BC$8,'Банк. система_ввод'!$G$164:$W$194,15,0)+HLOOKUP(BC$8,'Банк. система_ввод'!$G$164:$W$194,24,0)</f>
        <v>141.902604</v>
      </c>
      <c r="BD45" s="573">
        <f>HLOOKUP(BD$8,'Банк. система_ввод'!$G$164:$W$194,15,0)+HLOOKUP(BD$8,'Банк. система_ввод'!$G$164:$W$194,24,0)</f>
        <v>151.77916266666665</v>
      </c>
      <c r="BE45" s="46"/>
      <c r="BF45" s="4"/>
      <c r="BG45" s="647">
        <f t="shared" ref="BG45:BP45" si="45">AU45/AU$289</f>
        <v>8.7096722442822506E-3</v>
      </c>
      <c r="BH45" s="647">
        <f t="shared" si="45"/>
        <v>7.4810808453260455E-3</v>
      </c>
      <c r="BI45" s="647">
        <f t="shared" si="45"/>
        <v>7.8979859653891468E-3</v>
      </c>
      <c r="BJ45" s="647">
        <f t="shared" si="45"/>
        <v>7.6228522273325593E-3</v>
      </c>
      <c r="BK45" s="647">
        <f t="shared" si="45"/>
        <v>7.8092690522232827E-3</v>
      </c>
      <c r="BL45" s="647">
        <f t="shared" si="45"/>
        <v>7.1206915284575687E-3</v>
      </c>
      <c r="BM45" s="647">
        <f t="shared" si="45"/>
        <v>5.9648955156976421E-3</v>
      </c>
      <c r="BN45" s="647">
        <f t="shared" si="45"/>
        <v>6.4702198455279377E-3</v>
      </c>
      <c r="BO45" s="647">
        <f t="shared" si="45"/>
        <v>5.9845068248027882E-3</v>
      </c>
      <c r="BP45" s="647">
        <f t="shared" si="45"/>
        <v>6.2648506287036687E-3</v>
      </c>
      <c r="BQ45" s="4"/>
      <c r="BR45" s="4"/>
      <c r="BS45" s="4"/>
      <c r="BT45" s="4"/>
      <c r="BU45" s="4"/>
    </row>
    <row r="46" spans="1:73" x14ac:dyDescent="0.25">
      <c r="A46" s="489" t="s">
        <v>1512</v>
      </c>
      <c r="B46" s="494" t="s">
        <v>3399</v>
      </c>
      <c r="C46" s="492"/>
      <c r="D46" s="492"/>
      <c r="E46" s="497"/>
      <c r="F46" s="1701"/>
      <c r="G46" s="1701">
        <f>Ввод!H709/VLOOKUP(Баланс!$B$7,Баланс!$A$1:$B$3,2,0)</f>
        <v>0.17365900000000001</v>
      </c>
      <c r="H46" s="1701">
        <f>Ввод!I709/VLOOKUP(Баланс!$B$7,Баланс!$A$1:$B$3,2,0)</f>
        <v>0.246835</v>
      </c>
      <c r="I46" s="1701">
        <f>Ввод!J709/VLOOKUP(Баланс!$B$7,Баланс!$A$1:$B$3,2,0)</f>
        <v>2.4592299999999998</v>
      </c>
      <c r="J46" s="1701">
        <f>Ввод!K709/VLOOKUP(Баланс!$B$7,Баланс!$A$1:$B$3,2,0)</f>
        <v>14.261777</v>
      </c>
      <c r="K46" s="1701">
        <f>Ввод!L709/VLOOKUP(Баланс!$B$7,Баланс!$A$1:$B$3,2,0)</f>
        <v>8.5627370000000003</v>
      </c>
      <c r="L46" s="1836">
        <f>Ввод!M709/VLOOKUP(Баланс!$B$7,Баланс!$A$1:$B$3,2,0)</f>
        <v>0</v>
      </c>
      <c r="M46" s="1932">
        <f>Ввод!N709/VLOOKUP(Баланс!$B$7,Баланс!$A$1:$B$3,2,0)</f>
        <v>0</v>
      </c>
      <c r="N46" s="1932">
        <f>Ввод!O709/VLOOKUP(Баланс!$B$7,Баланс!$A$1:$B$3,2,0)</f>
        <v>0</v>
      </c>
      <c r="O46" s="1932">
        <f>Ввод!P709/VLOOKUP(Баланс!$B$7,Баланс!$A$1:$B$3,2,0)</f>
        <v>0</v>
      </c>
      <c r="P46" s="1701"/>
      <c r="Q46" s="500"/>
      <c r="R46" s="647">
        <f t="shared" si="26"/>
        <v>0</v>
      </c>
      <c r="S46" s="17"/>
      <c r="T46" s="66"/>
      <c r="U46" s="1026"/>
      <c r="V46" s="573"/>
      <c r="W46" s="573"/>
      <c r="X46" s="573"/>
      <c r="Y46" s="573"/>
      <c r="Z46" s="573"/>
      <c r="AA46" s="573"/>
      <c r="AB46" s="573"/>
      <c r="AC46" s="573"/>
      <c r="AD46" s="573"/>
      <c r="AE46" s="573"/>
      <c r="AF46" s="46"/>
      <c r="AG46" s="4"/>
      <c r="AH46" s="647"/>
      <c r="AI46" s="647"/>
      <c r="AJ46" s="647"/>
      <c r="AK46" s="647"/>
      <c r="AL46" s="647"/>
      <c r="AM46" s="647"/>
      <c r="AN46" s="647"/>
      <c r="AO46" s="647"/>
      <c r="AP46" s="647"/>
      <c r="AQ46" s="647"/>
      <c r="AR46" s="547"/>
      <c r="AS46" s="4"/>
      <c r="AT46" s="1099"/>
      <c r="AU46" s="573"/>
      <c r="AV46" s="573"/>
      <c r="AW46" s="573"/>
      <c r="AX46" s="573"/>
      <c r="AY46" s="573"/>
      <c r="AZ46" s="573"/>
      <c r="BA46" s="573"/>
      <c r="BB46" s="573"/>
      <c r="BC46" s="573"/>
      <c r="BD46" s="573"/>
      <c r="BE46" s="46"/>
      <c r="BF46" s="4"/>
      <c r="BG46" s="647"/>
      <c r="BH46" s="647"/>
      <c r="BI46" s="647"/>
      <c r="BJ46" s="647"/>
      <c r="BK46" s="647"/>
      <c r="BL46" s="647"/>
      <c r="BM46" s="647"/>
      <c r="BN46" s="647"/>
      <c r="BO46" s="647"/>
      <c r="BP46" s="647"/>
      <c r="BQ46" s="4"/>
      <c r="BR46" s="4"/>
      <c r="BS46" s="4"/>
      <c r="BT46" s="4"/>
      <c r="BU46" s="4"/>
    </row>
    <row r="47" spans="1:73" ht="15.75" x14ac:dyDescent="0.25">
      <c r="A47" s="1822"/>
      <c r="B47" s="1842" t="s">
        <v>3338</v>
      </c>
      <c r="C47" s="1823"/>
      <c r="D47" s="1823"/>
      <c r="E47" s="2112"/>
      <c r="F47" s="2113"/>
      <c r="G47" s="2113">
        <f>Ввод!H108/VLOOKUP(Баланс!$B$7,Баланс!$A$1:$B$3,2,0)</f>
        <v>0</v>
      </c>
      <c r="H47" s="2113">
        <f>Ввод!I108/VLOOKUP(Баланс!$B$7,Баланс!$A$1:$B$3,2,0)</f>
        <v>0</v>
      </c>
      <c r="I47" s="2113">
        <f>Ввод!J108/VLOOKUP(Баланс!$B$7,Баланс!$A$1:$B$3,2,0)</f>
        <v>0</v>
      </c>
      <c r="J47" s="2113">
        <f>Ввод!K108/VLOOKUP(Баланс!$B$7,Баланс!$A$1:$B$3,2,0)</f>
        <v>0</v>
      </c>
      <c r="K47" s="2113">
        <f>Ввод!L108/VLOOKUP(Баланс!$B$7,Баланс!$A$1:$B$3,2,0)</f>
        <v>-2.290978</v>
      </c>
      <c r="L47" s="1824">
        <f>Ввод!M108/VLOOKUP(Баланс!$B$7,Баланс!$A$1:$B$3,2,0)</f>
        <v>8.9751510000000003</v>
      </c>
      <c r="M47" s="1824">
        <f>Ввод!N108/VLOOKUP(Баланс!$B$7,Баланс!$A$1:$B$3,2,0)</f>
        <v>22.913733000000001</v>
      </c>
      <c r="N47" s="1824">
        <f>Ввод!O108/VLOOKUP(Баланс!$B$7,Баланс!$A$1:$B$3,2,0)</f>
        <v>9.9096089999999997</v>
      </c>
      <c r="O47" s="1824">
        <f>Ввод!P108/VLOOKUP(Баланс!$B$7,Баланс!$A$1:$B$3,2,0)</f>
        <v>0</v>
      </c>
      <c r="P47" s="1701"/>
      <c r="Q47" s="500"/>
      <c r="R47" s="647">
        <f t="shared" si="26"/>
        <v>1.1202415505197037E-2</v>
      </c>
      <c r="S47" s="17"/>
      <c r="T47" s="66"/>
      <c r="U47" s="1026"/>
      <c r="V47" s="573"/>
      <c r="W47" s="573"/>
      <c r="X47" s="573"/>
      <c r="Y47" s="573"/>
      <c r="Z47" s="573"/>
      <c r="AA47" s="573"/>
      <c r="AB47" s="573"/>
      <c r="AC47" s="573"/>
      <c r="AD47" s="573"/>
      <c r="AE47" s="573"/>
      <c r="AF47" s="46"/>
      <c r="AG47" s="4"/>
      <c r="AH47" s="647"/>
      <c r="AI47" s="647"/>
      <c r="AJ47" s="647"/>
      <c r="AK47" s="647"/>
      <c r="AL47" s="647"/>
      <c r="AM47" s="647"/>
      <c r="AN47" s="647"/>
      <c r="AO47" s="647"/>
      <c r="AP47" s="647"/>
      <c r="AQ47" s="647"/>
      <c r="AR47" s="547"/>
      <c r="AS47" s="4"/>
      <c r="AT47" s="1099"/>
      <c r="AU47" s="573"/>
      <c r="AV47" s="573"/>
      <c r="AW47" s="573"/>
      <c r="AX47" s="573"/>
      <c r="AY47" s="573"/>
      <c r="AZ47" s="573"/>
      <c r="BA47" s="573"/>
      <c r="BB47" s="573"/>
      <c r="BC47" s="573"/>
      <c r="BD47" s="573"/>
      <c r="BE47" s="46"/>
      <c r="BF47" s="4"/>
      <c r="BG47" s="647"/>
      <c r="BH47" s="647"/>
      <c r="BI47" s="647"/>
      <c r="BJ47" s="647"/>
      <c r="BK47" s="647"/>
      <c r="BL47" s="647"/>
      <c r="BM47" s="647"/>
      <c r="BN47" s="647"/>
      <c r="BO47" s="647"/>
      <c r="BP47" s="647"/>
      <c r="BQ47" s="4"/>
      <c r="BR47" s="4"/>
      <c r="BS47" s="4"/>
      <c r="BT47" s="4"/>
      <c r="BU47" s="4"/>
    </row>
    <row r="48" spans="1:73" ht="23.25" customHeight="1" x14ac:dyDescent="0.25">
      <c r="A48" s="516"/>
      <c r="B48" s="516" t="s">
        <v>828</v>
      </c>
      <c r="C48" s="517"/>
      <c r="D48" s="517"/>
      <c r="E48" s="518"/>
      <c r="F48" s="1705"/>
      <c r="G48" s="1705">
        <f>SUM(G39,G44:G45,G47)</f>
        <v>-2.2161429999999993</v>
      </c>
      <c r="H48" s="1705">
        <f t="shared" ref="H48:O48" si="46">SUM(H39,H44:H45,H47)</f>
        <v>-10.277640999999999</v>
      </c>
      <c r="I48" s="1705">
        <f t="shared" si="46"/>
        <v>4.584867</v>
      </c>
      <c r="J48" s="1705">
        <f t="shared" si="46"/>
        <v>2.3081279999999982</v>
      </c>
      <c r="K48" s="1705">
        <f t="shared" si="46"/>
        <v>2.3244309999999997</v>
      </c>
      <c r="L48" s="1705">
        <f t="shared" si="46"/>
        <v>7.8433449999999993</v>
      </c>
      <c r="M48" s="1705">
        <f t="shared" si="46"/>
        <v>2.1938910000000007</v>
      </c>
      <c r="N48" s="1705">
        <f t="shared" si="46"/>
        <v>-2.8262979999999995</v>
      </c>
      <c r="O48" s="1705">
        <f t="shared" si="46"/>
        <v>0</v>
      </c>
      <c r="P48" s="1752"/>
      <c r="Q48" s="497"/>
      <c r="R48" s="650">
        <f t="shared" si="26"/>
        <v>-3.1950165276457801E-3</v>
      </c>
      <c r="S48" s="4"/>
      <c r="T48" s="66"/>
      <c r="U48" s="1026">
        <v>53</v>
      </c>
      <c r="V48" s="578">
        <f>HLOOKUP(V$8,'Банк. система_ввод'!$K$94:$W$151,$U48,0)</f>
        <v>-2051.8000000000002</v>
      </c>
      <c r="W48" s="578">
        <f>HLOOKUP(W$8,'Банк. система_ввод'!$K$94:$W$151,$U48,0)</f>
        <v>-1262.8999999999996</v>
      </c>
      <c r="X48" s="578">
        <f>HLOOKUP(X$8,'Банк. система_ввод'!$K$94:$W$151,$U48,0)</f>
        <v>-1420.5896049999999</v>
      </c>
      <c r="Y48" s="578">
        <f>HLOOKUP(Y$8,'Банк. система_ввод'!$K$94:$W$151,$U48,0)</f>
        <v>-676.56928700000003</v>
      </c>
      <c r="Z48" s="578">
        <f>HLOOKUP(Z$8,'Банк. система_ввод'!$K$94:$W$151,$U48,0)</f>
        <v>-1417.762614</v>
      </c>
      <c r="AA48" s="578">
        <f>HLOOKUP(AA$8,'Банк. система_ввод'!$K$94:$W$151,$U48,0)</f>
        <v>-146.19204599999995</v>
      </c>
      <c r="AB48" s="578">
        <f>HLOOKUP(AB$8,'Банк. система_ввод'!$K$94:$W$151,$U48,0)</f>
        <v>-2499.4874239999999</v>
      </c>
      <c r="AC48" s="578">
        <f>HLOOKUP(AC$8,'Банк. система_ввод'!$K$94:$W$151,$U48,0)</f>
        <v>-1733.9817460000002</v>
      </c>
      <c r="AD48" s="578">
        <f>HLOOKUP(AD$8,'Банк. система_ввод'!$K$94:$W$151,$U48,0)</f>
        <v>-1031.818925</v>
      </c>
      <c r="AE48" s="578">
        <f>HLOOKUP(AE$8,'Банк. система_ввод'!$K$94:$W$151,$U48,0)</f>
        <v>-2108.3725979999999</v>
      </c>
      <c r="AF48" s="43"/>
      <c r="AG48" s="4"/>
      <c r="AH48" s="650">
        <f t="shared" ref="AH48:AQ50" si="47">V48/V$289</f>
        <v>-2.7194515972750796E-2</v>
      </c>
      <c r="AI48" s="650">
        <f t="shared" si="47"/>
        <v>-1.6611190223336417E-2</v>
      </c>
      <c r="AJ48" s="650">
        <f t="shared" si="47"/>
        <v>-1.7303887700684417E-2</v>
      </c>
      <c r="AK48" s="650">
        <f t="shared" si="47"/>
        <v>-7.7309760531685491E-3</v>
      </c>
      <c r="AL48" s="650">
        <f t="shared" si="47"/>
        <v>-1.4705615362984818E-2</v>
      </c>
      <c r="AM48" s="650">
        <f t="shared" si="47"/>
        <v>-1.3020330276939983E-3</v>
      </c>
      <c r="AN48" s="650">
        <f t="shared" si="47"/>
        <v>-1.9576563424069212E-2</v>
      </c>
      <c r="AO48" s="650">
        <f t="shared" si="47"/>
        <v>-1.1458703605870578E-2</v>
      </c>
      <c r="AP48" s="650">
        <f t="shared" si="47"/>
        <v>-5.6216718304837581E-3</v>
      </c>
      <c r="AQ48" s="650">
        <f t="shared" si="47"/>
        <v>-1.0281477868629603E-2</v>
      </c>
      <c r="AR48" s="1759"/>
      <c r="AS48" s="4"/>
      <c r="AT48" s="1099"/>
      <c r="AU48" s="578">
        <f t="shared" ref="AU48:BD48" si="48">SUM(AU39:AU45)</f>
        <v>100.13157899999996</v>
      </c>
      <c r="AV48" s="578">
        <f t="shared" si="48"/>
        <v>76.772875999999997</v>
      </c>
      <c r="AW48" s="578">
        <f t="shared" si="48"/>
        <v>89.596572999999992</v>
      </c>
      <c r="AX48" s="578">
        <f t="shared" si="48"/>
        <v>84.351467000000014</v>
      </c>
      <c r="AY48" s="578">
        <f t="shared" si="48"/>
        <v>25.93120399999998</v>
      </c>
      <c r="AZ48" s="578">
        <f t="shared" si="48"/>
        <v>193.307807</v>
      </c>
      <c r="BA48" s="578">
        <f t="shared" si="48"/>
        <v>89.485836999999975</v>
      </c>
      <c r="BB48" s="578">
        <f t="shared" si="48"/>
        <v>66.286745999999994</v>
      </c>
      <c r="BC48" s="578">
        <f t="shared" si="48"/>
        <v>51.997055000000003</v>
      </c>
      <c r="BD48" s="578">
        <f t="shared" si="48"/>
        <v>53.986915999999994</v>
      </c>
      <c r="BE48" s="43"/>
      <c r="BF48" s="4"/>
      <c r="BG48" s="650">
        <f t="shared" ref="BG48:BP50" si="49">AU48/AU$289</f>
        <v>6.3532463123899055E-3</v>
      </c>
      <c r="BH48" s="650">
        <f t="shared" si="49"/>
        <v>4.4902864031164842E-3</v>
      </c>
      <c r="BI48" s="650">
        <f t="shared" si="49"/>
        <v>5.0679085850904955E-3</v>
      </c>
      <c r="BJ48" s="650">
        <f t="shared" si="49"/>
        <v>4.6108772027806649E-3</v>
      </c>
      <c r="BK48" s="650">
        <f t="shared" si="49"/>
        <v>1.2801239278881706E-3</v>
      </c>
      <c r="BL48" s="650">
        <f t="shared" si="49"/>
        <v>8.4805908691430783E-3</v>
      </c>
      <c r="BM48" s="650">
        <f t="shared" si="49"/>
        <v>3.7825468790181143E-3</v>
      </c>
      <c r="BN48" s="650">
        <f t="shared" si="49"/>
        <v>2.805087553279744E-3</v>
      </c>
      <c r="BO48" s="650">
        <f t="shared" si="49"/>
        <v>2.1928895012888277E-3</v>
      </c>
      <c r="BP48" s="650">
        <f t="shared" si="49"/>
        <v>2.2283688926862891E-3</v>
      </c>
      <c r="BQ48" s="4"/>
      <c r="BR48" s="528"/>
      <c r="BS48" s="4"/>
      <c r="BT48" s="4"/>
      <c r="BU48" s="4"/>
    </row>
    <row r="49" spans="1:73" ht="27.75" customHeight="1" x14ac:dyDescent="0.25">
      <c r="A49" s="516"/>
      <c r="B49" s="516" t="s">
        <v>37</v>
      </c>
      <c r="C49" s="517"/>
      <c r="D49" s="517"/>
      <c r="E49" s="518"/>
      <c r="F49" s="1705"/>
      <c r="G49" s="1705">
        <f t="shared" ref="G49:K49" si="50">G27+G37+G48</f>
        <v>1.2515670000000045</v>
      </c>
      <c r="H49" s="1705">
        <f t="shared" si="50"/>
        <v>3.8795480000000033</v>
      </c>
      <c r="I49" s="1705">
        <f t="shared" si="50"/>
        <v>7.7240289999999998</v>
      </c>
      <c r="J49" s="1705">
        <f t="shared" si="50"/>
        <v>6.355476999999996</v>
      </c>
      <c r="K49" s="1705">
        <f t="shared" si="50"/>
        <v>7.4020529999999951</v>
      </c>
      <c r="L49" s="1705">
        <f t="shared" ref="L49:O49" si="51">L27+L37+L48</f>
        <v>1.99092</v>
      </c>
      <c r="M49" s="1705">
        <f t="shared" si="51"/>
        <v>9.2811140000000005</v>
      </c>
      <c r="N49" s="1705">
        <f t="shared" si="51"/>
        <v>19.337316000000001</v>
      </c>
      <c r="O49" s="1705">
        <f t="shared" si="51"/>
        <v>0</v>
      </c>
      <c r="P49" s="1752"/>
      <c r="Q49" s="497"/>
      <c r="R49" s="650">
        <f t="shared" si="26"/>
        <v>2.1860060128234601E-2</v>
      </c>
      <c r="S49" s="4"/>
      <c r="T49" s="66"/>
      <c r="U49" s="1026">
        <v>54</v>
      </c>
      <c r="V49" s="578">
        <f>HLOOKUP(V$8,'Банк. система_ввод'!$K$94:$W$151,$U49,0)</f>
        <v>192.59999999999309</v>
      </c>
      <c r="W49" s="578">
        <f>HLOOKUP(W$8,'Банк. система_ввод'!$K$94:$W$151,$U49,0)</f>
        <v>785.10000000000082</v>
      </c>
      <c r="X49" s="578">
        <f>HLOOKUP(X$8,'Банк. система_ввод'!$K$94:$W$151,$U49,0)</f>
        <v>1344.828444</v>
      </c>
      <c r="Y49" s="578">
        <f>HLOOKUP(Y$8,'Банк. система_ввод'!$K$94:$W$151,$U49,0)</f>
        <v>2037.832619999999</v>
      </c>
      <c r="Z49" s="578">
        <f>HLOOKUP(Z$8,'Банк. система_ввод'!$K$94:$W$151,$U49,0)</f>
        <v>1973.5904399999993</v>
      </c>
      <c r="AA49" s="578">
        <f>HLOOKUP(AA$8,'Банк. система_ввод'!$K$94:$W$151,$U49,0)</f>
        <v>2904.0843010000008</v>
      </c>
      <c r="AB49" s="578">
        <f>HLOOKUP(AB$8,'Банк. система_ввод'!$K$94:$W$151,$U49,0)</f>
        <v>255.52253699999937</v>
      </c>
      <c r="AC49" s="578">
        <f>HLOOKUP(AC$8,'Банк. система_ввод'!$K$94:$W$151,$U49,0)</f>
        <v>4087.7937469999979</v>
      </c>
      <c r="AD49" s="578">
        <f>HLOOKUP(AD$8,'Банк. система_ввод'!$K$94:$W$151,$U49,0)</f>
        <v>4764.0049220000001</v>
      </c>
      <c r="AE49" s="578">
        <f>HLOOKUP(AE$8,'Банк. система_ввод'!$K$94:$W$151,$U49,0)</f>
        <v>4534.8099169999996</v>
      </c>
      <c r="AF49" s="43"/>
      <c r="AG49" s="4"/>
      <c r="AH49" s="650">
        <f t="shared" si="47"/>
        <v>2.5527165300475753E-3</v>
      </c>
      <c r="AI49" s="650">
        <f t="shared" si="47"/>
        <v>1.0326585988076203E-2</v>
      </c>
      <c r="AJ49" s="650">
        <f t="shared" si="47"/>
        <v>1.6381057759226787E-2</v>
      </c>
      <c r="AK49" s="650">
        <f t="shared" si="47"/>
        <v>2.3285767604738633E-2</v>
      </c>
      <c r="AL49" s="650">
        <f t="shared" si="47"/>
        <v>2.0470889560855608E-2</v>
      </c>
      <c r="AM49" s="650">
        <f t="shared" si="47"/>
        <v>2.58647017985482E-2</v>
      </c>
      <c r="AN49" s="650">
        <f t="shared" si="47"/>
        <v>2.0013115904597405E-3</v>
      </c>
      <c r="AO49" s="650">
        <f t="shared" si="47"/>
        <v>2.7013442936673265E-2</v>
      </c>
      <c r="AP49" s="650">
        <f t="shared" si="47"/>
        <v>2.5955787029486182E-2</v>
      </c>
      <c r="AQ49" s="650">
        <f t="shared" si="47"/>
        <v>2.2113998182439643E-2</v>
      </c>
      <c r="AR49" s="1759"/>
      <c r="AS49" s="4"/>
      <c r="AT49" s="1099"/>
      <c r="AU49" s="578">
        <f t="shared" ref="AU49:BD49" si="52">AU27+AU37+AU48</f>
        <v>234.49454300000005</v>
      </c>
      <c r="AV49" s="578">
        <f t="shared" si="52"/>
        <v>262.24228100000005</v>
      </c>
      <c r="AW49" s="578">
        <f t="shared" si="52"/>
        <v>298.05487799999986</v>
      </c>
      <c r="AX49" s="578">
        <f t="shared" si="52"/>
        <v>293.93946999999997</v>
      </c>
      <c r="AY49" s="578">
        <f t="shared" si="52"/>
        <v>183.70711700000012</v>
      </c>
      <c r="AZ49" s="578">
        <f t="shared" si="52"/>
        <v>351.74022200000002</v>
      </c>
      <c r="BA49" s="578">
        <f t="shared" si="52"/>
        <v>330.33686400000005</v>
      </c>
      <c r="BB49" s="578">
        <f t="shared" si="52"/>
        <v>313.601878</v>
      </c>
      <c r="BC49" s="578">
        <f t="shared" si="52"/>
        <v>334.95740500000005</v>
      </c>
      <c r="BD49" s="578">
        <f t="shared" si="52"/>
        <v>368.7165546666663</v>
      </c>
      <c r="BE49" s="43"/>
      <c r="BF49" s="4"/>
      <c r="BG49" s="650">
        <f t="shared" si="49"/>
        <v>1.4878439004645147E-2</v>
      </c>
      <c r="BH49" s="650">
        <f t="shared" si="49"/>
        <v>1.5338007510576426E-2</v>
      </c>
      <c r="BI49" s="650">
        <f t="shared" si="49"/>
        <v>1.6859069766477559E-2</v>
      </c>
      <c r="BJ49" s="650">
        <f t="shared" si="49"/>
        <v>1.6067519029875684E-2</v>
      </c>
      <c r="BK49" s="650">
        <f t="shared" si="49"/>
        <v>9.0689146633936481E-3</v>
      </c>
      <c r="BL49" s="650">
        <f t="shared" si="49"/>
        <v>1.5431166290162092E-2</v>
      </c>
      <c r="BM49" s="650">
        <f t="shared" si="49"/>
        <v>1.396326743803974E-2</v>
      </c>
      <c r="BN49" s="650">
        <f t="shared" si="49"/>
        <v>1.3270838859143168E-2</v>
      </c>
      <c r="BO49" s="650">
        <f t="shared" si="49"/>
        <v>1.4126272666854881E-2</v>
      </c>
      <c r="BP49" s="650">
        <f t="shared" si="49"/>
        <v>1.5219178303084823E-2</v>
      </c>
      <c r="BQ49" s="4"/>
      <c r="BR49" s="528"/>
      <c r="BS49" s="4"/>
      <c r="BT49" s="4"/>
      <c r="BU49" s="4"/>
    </row>
    <row r="50" spans="1:73" ht="24" customHeight="1" x14ac:dyDescent="0.25">
      <c r="A50" s="854"/>
      <c r="B50" s="4" t="s">
        <v>600</v>
      </c>
      <c r="C50" s="43"/>
      <c r="D50" s="43"/>
      <c r="E50" s="497"/>
      <c r="F50" s="1701"/>
      <c r="G50" s="1701">
        <f>-Ввод!H104/VLOOKUP(Баланс!$B$7,Баланс!$A$1:$B$3,2,0)</f>
        <v>-0.45497700000000002</v>
      </c>
      <c r="H50" s="1701">
        <f>-Ввод!I104/VLOOKUP(Баланс!$B$7,Баланс!$A$1:$B$3,2,0)</f>
        <v>-1.168933</v>
      </c>
      <c r="I50" s="1701">
        <f>-Ввод!J104/VLOOKUP(Баланс!$B$7,Баланс!$A$1:$B$3,2,0)</f>
        <v>-1.4712080000000001</v>
      </c>
      <c r="J50" s="1701">
        <f>-Ввод!K104/VLOOKUP(Баланс!$B$7,Баланс!$A$1:$B$3,2,0)</f>
        <v>-1.9980389999999999</v>
      </c>
      <c r="K50" s="1701">
        <f>-Ввод!L104/VLOOKUP(Баланс!$B$7,Баланс!$A$1:$B$3,2,0)</f>
        <v>-1.098274</v>
      </c>
      <c r="L50" s="1701">
        <f>-Ввод!M104/VLOOKUP(Баланс!$B$7,Баланс!$A$1:$B$3,2,0)</f>
        <v>-0.43377199999999999</v>
      </c>
      <c r="M50" s="1701">
        <f>-Ввод!N104/VLOOKUP(Баланс!$B$7,Баланс!$A$1:$B$3,2,0)</f>
        <v>-2.8707560000000001</v>
      </c>
      <c r="N50" s="1701">
        <f>-Ввод!O104/VLOOKUP(Баланс!$B$7,Баланс!$A$1:$B$3,2,0)</f>
        <v>-3.935762</v>
      </c>
      <c r="O50" s="1701">
        <f>-Ввод!P104/VLOOKUP(Баланс!$B$7,Баланс!$A$1:$B$3,2,0)</f>
        <v>0</v>
      </c>
      <c r="P50" s="1701"/>
      <c r="Q50" s="497"/>
      <c r="R50" s="647">
        <f t="shared" si="26"/>
        <v>-4.4492210796172986E-3</v>
      </c>
      <c r="S50" s="9"/>
      <c r="T50" s="66"/>
      <c r="U50" s="1026">
        <v>55</v>
      </c>
      <c r="V50" s="573">
        <f>HLOOKUP(V$8,'Банк. система_ввод'!$K$94:$W$151,$U50,0)</f>
        <v>0</v>
      </c>
      <c r="W50" s="573">
        <f>HLOOKUP(W$8,'Банк. система_ввод'!$K$94:$W$151,$U50,0)</f>
        <v>0</v>
      </c>
      <c r="X50" s="573">
        <f>HLOOKUP(X$8,'Банк. система_ввод'!$K$94:$W$151,$U50,0)</f>
        <v>-346.93974700000001</v>
      </c>
      <c r="Y50" s="573">
        <f>HLOOKUP(Y$8,'Банк. система_ввод'!$K$94:$W$151,$U50,0)</f>
        <v>-321.74955499999999</v>
      </c>
      <c r="Z50" s="573">
        <f>HLOOKUP(Z$8,'Банк. система_ввод'!$K$94:$W$151,$U50,0)</f>
        <v>-365.46755899999999</v>
      </c>
      <c r="AA50" s="573">
        <f>HLOOKUP(AA$8,'Банк. система_ввод'!$K$94:$W$151,$U50,0)</f>
        <v>-535.45748400000002</v>
      </c>
      <c r="AB50" s="573">
        <f>HLOOKUP(AB$8,'Банк. система_ввод'!$K$94:$W$151,$U50,0)</f>
        <v>-56.519430999999997</v>
      </c>
      <c r="AC50" s="573">
        <f>HLOOKUP(AC$8,'Банк. система_ввод'!$K$94:$W$151,$U50,0)</f>
        <v>-804.47727599999996</v>
      </c>
      <c r="AD50" s="573">
        <f>HLOOKUP(AD$8,'Банк. система_ввод'!$K$94:$W$151,$U50,0)</f>
        <v>-722.33883199999991</v>
      </c>
      <c r="AE50" s="573">
        <f>HLOOKUP(AE$8,'Банк. система_ввод'!$K$94:$W$151,$U50,0)</f>
        <v>-845.88261299999999</v>
      </c>
      <c r="AF50" s="4"/>
      <c r="AG50" s="4"/>
      <c r="AH50" s="647">
        <f t="shared" si="47"/>
        <v>0</v>
      </c>
      <c r="AI50" s="647">
        <f t="shared" si="47"/>
        <v>0</v>
      </c>
      <c r="AJ50" s="647">
        <f t="shared" si="47"/>
        <v>-4.225996304535724E-3</v>
      </c>
      <c r="AK50" s="647">
        <f t="shared" si="47"/>
        <v>-3.6765459984922973E-3</v>
      </c>
      <c r="AL50" s="647">
        <f t="shared" si="47"/>
        <v>-3.7907794275515859E-3</v>
      </c>
      <c r="AM50" s="647">
        <f t="shared" si="47"/>
        <v>-4.7689552760888983E-3</v>
      </c>
      <c r="AN50" s="647">
        <f t="shared" si="47"/>
        <v>-4.4267325173939483E-4</v>
      </c>
      <c r="AO50" s="647">
        <f t="shared" si="47"/>
        <v>-5.3162420449967872E-3</v>
      </c>
      <c r="AP50" s="647">
        <f t="shared" si="47"/>
        <v>-3.9355276061823919E-3</v>
      </c>
      <c r="AQ50" s="647">
        <f t="shared" si="47"/>
        <v>-4.1249461187590711E-3</v>
      </c>
      <c r="AR50" s="547"/>
      <c r="AS50" s="4"/>
      <c r="AT50" s="1099">
        <v>23</v>
      </c>
      <c r="AU50" s="573">
        <f>HLOOKUP(AU$8,'Банк. система_ввод'!$G$164:$W$194,23,0)</f>
        <v>-70.569873999999999</v>
      </c>
      <c r="AV50" s="573">
        <f>HLOOKUP(AV$8,'Банк. система_ввод'!$G$164:$W$194,23,0)</f>
        <v>-97.814974000000007</v>
      </c>
      <c r="AW50" s="573">
        <f>HLOOKUP(AW$8,'Банк. система_ввод'!$G$164:$W$194,23,0)</f>
        <v>-61.002480000000006</v>
      </c>
      <c r="AX50" s="573">
        <f>HLOOKUP(AX$8,'Банк. система_ввод'!$G$164:$W$194,23,0)</f>
        <v>-60.926404999999995</v>
      </c>
      <c r="AY50" s="573">
        <f>HLOOKUP(AY$8,'Банк. система_ввод'!$G$164:$W$194,23,0)</f>
        <v>-36.339601000000002</v>
      </c>
      <c r="AZ50" s="573">
        <f>HLOOKUP(AZ$8,'Банк. система_ввод'!$G$164:$W$194,23,0)</f>
        <v>-72.408598999999995</v>
      </c>
      <c r="BA50" s="573">
        <f>HLOOKUP(BA$8,'Банк. система_ввод'!$G$164:$W$194,23,0)</f>
        <v>-67.317034000000007</v>
      </c>
      <c r="BB50" s="573">
        <f>HLOOKUP(BB$8,'Банк. система_ввод'!$G$164:$W$194,23,0)</f>
        <v>-59.052087</v>
      </c>
      <c r="BC50" s="573">
        <f>HLOOKUP(BC$8,'Банк. система_ввод'!$G$164:$W$194,23,0)</f>
        <v>-66.364909000000011</v>
      </c>
      <c r="BD50" s="573">
        <f>HLOOKUP(BD$8,'Банк. система_ввод'!$G$164:$W$194,23,0)</f>
        <v>-75.396030666666675</v>
      </c>
      <c r="BE50" s="4"/>
      <c r="BF50" s="4"/>
      <c r="BG50" s="647">
        <f t="shared" si="49"/>
        <v>-4.4775863542141931E-3</v>
      </c>
      <c r="BH50" s="647">
        <f t="shared" si="49"/>
        <v>-5.7209951047475739E-3</v>
      </c>
      <c r="BI50" s="647">
        <f t="shared" si="49"/>
        <v>-3.4505225116569058E-3</v>
      </c>
      <c r="BJ50" s="647">
        <f t="shared" si="49"/>
        <v>-3.3304005472943564E-3</v>
      </c>
      <c r="BK50" s="647">
        <f t="shared" si="49"/>
        <v>-1.7939465043739938E-3</v>
      </c>
      <c r="BL50" s="647">
        <f t="shared" si="49"/>
        <v>-3.1766316790653088E-3</v>
      </c>
      <c r="BM50" s="647">
        <f t="shared" si="49"/>
        <v>-2.8454763949009761E-3</v>
      </c>
      <c r="BN50" s="647">
        <f t="shared" si="49"/>
        <v>-2.498935069748221E-3</v>
      </c>
      <c r="BO50" s="647">
        <f t="shared" si="49"/>
        <v>-2.798829899118103E-3</v>
      </c>
      <c r="BP50" s="647">
        <f t="shared" si="49"/>
        <v>-3.1120534718008627E-3</v>
      </c>
      <c r="BQ50" s="4"/>
      <c r="BR50" s="4"/>
      <c r="BS50" s="4"/>
      <c r="BT50" s="4"/>
      <c r="BU50" s="4"/>
    </row>
    <row r="51" spans="1:73" ht="27.75" customHeight="1" x14ac:dyDescent="0.25">
      <c r="A51" s="1233"/>
      <c r="B51" s="1233" t="s">
        <v>1054</v>
      </c>
      <c r="C51" s="1234"/>
      <c r="D51" s="1234"/>
      <c r="E51" s="1235"/>
      <c r="F51" s="1706"/>
      <c r="G51" s="1706">
        <f>Ввод!H105/VLOOKUP(Баланс!$B$7,Баланс!$A$1:$B$3,2,0)</f>
        <v>0.88191299999999995</v>
      </c>
      <c r="H51" s="1706">
        <f>Ввод!I105/VLOOKUP(Баланс!$B$7,Баланс!$A$1:$B$3,2,0)</f>
        <v>2.7278129999999998</v>
      </c>
      <c r="I51" s="1706">
        <f>Ввод!J105/VLOOKUP(Баланс!$B$7,Баланс!$A$1:$B$3,2,0)</f>
        <v>6.247687</v>
      </c>
      <c r="J51" s="1706">
        <f>Ввод!K105/VLOOKUP(Баланс!$B$7,Баланс!$A$1:$B$3,2,0)</f>
        <v>4.3676729999999999</v>
      </c>
      <c r="K51" s="1706">
        <f>Ввод!L105/VLOOKUP(Баланс!$B$7,Баланс!$A$1:$B$3,2,0)</f>
        <v>6.1237740000000001</v>
      </c>
      <c r="L51" s="1706">
        <f>Ввод!M105/VLOOKUP(Баланс!$B$7,Баланс!$A$1:$B$3,2,0)</f>
        <v>1.456653</v>
      </c>
      <c r="M51" s="1706">
        <f>Ввод!N105/VLOOKUP(Баланс!$B$7,Баланс!$A$1:$B$3,2,0)</f>
        <v>6.3108959999999996</v>
      </c>
      <c r="N51" s="1706">
        <f>Ввод!O105/VLOOKUP(Баланс!$B$7,Баланс!$A$1:$B$3,2,0)</f>
        <v>15.315232</v>
      </c>
      <c r="O51" s="1706">
        <f>Ввод!P105/VLOOKUP(Баланс!$B$7,Баланс!$A$1:$B$3,2,0)</f>
        <v>0</v>
      </c>
      <c r="P51" s="1753"/>
      <c r="Q51" s="631"/>
      <c r="R51" s="1232">
        <f t="shared" si="26"/>
        <v>1.7313255489948172E-2</v>
      </c>
      <c r="S51" s="4"/>
      <c r="T51" s="66"/>
      <c r="U51" s="1026">
        <v>56</v>
      </c>
      <c r="V51" s="578">
        <f>HLOOKUP(V$8,'Банк. система_ввод'!$K$94:$W$151,$U51,0)</f>
        <v>0</v>
      </c>
      <c r="W51" s="578">
        <f>HLOOKUP(W$8,'Банк. система_ввод'!$K$94:$W$151,$U51,0)</f>
        <v>0</v>
      </c>
      <c r="X51" s="578">
        <f>HLOOKUP(X$8,'Банк. система_ввод'!$K$94:$W$151,$U51,0)</f>
        <v>-165.37343999999999</v>
      </c>
      <c r="Y51" s="578">
        <f>HLOOKUP(Y$8,'Банк. система_ввод'!$K$94:$W$151,$U51,0)</f>
        <v>188.18244799999999</v>
      </c>
      <c r="Z51" s="578">
        <f>HLOOKUP(Z$8,'Банк. система_ввод'!$K$94:$W$151,$U51,0)</f>
        <v>22.378857</v>
      </c>
      <c r="AA51" s="578">
        <f>HLOOKUP(AA$8,'Банк. система_ввод'!$K$94:$W$151,$U51,0)</f>
        <v>-353.25487099999998</v>
      </c>
      <c r="AB51" s="578">
        <f>HLOOKUP(AB$8,'Банк. система_ввод'!$K$94:$W$151,$U51,0)</f>
        <v>-38.495564999999999</v>
      </c>
      <c r="AC51" s="578">
        <f>HLOOKUP(AC$8,'Банк. система_ввод'!$K$94:$W$151,$U51,0)</f>
        <v>-121.222724</v>
      </c>
      <c r="AD51" s="578">
        <f>HLOOKUP(AD$8,'Банк. система_ввод'!$K$94:$W$151,$U51,0)</f>
        <v>-442.23089900000002</v>
      </c>
      <c r="AE51" s="578">
        <f>HLOOKUP(AE$8,'Банк. система_ввод'!$K$94:$W$151,$U51,0)</f>
        <v>374.84340300000002</v>
      </c>
      <c r="AF51" s="43"/>
      <c r="AG51" s="4"/>
      <c r="AH51" s="650"/>
      <c r="AI51" s="650"/>
      <c r="AJ51" s="650"/>
      <c r="AK51" s="650"/>
      <c r="AL51" s="650"/>
      <c r="AM51" s="650"/>
      <c r="AN51" s="650"/>
      <c r="AO51" s="650"/>
      <c r="AP51" s="650"/>
      <c r="AQ51" s="650"/>
      <c r="AR51" s="1759"/>
      <c r="AS51" s="4"/>
      <c r="AT51" s="1099"/>
      <c r="AU51" s="578"/>
      <c r="AV51" s="578"/>
      <c r="AW51" s="578"/>
      <c r="AX51" s="578"/>
      <c r="AY51" s="578"/>
      <c r="AZ51" s="578"/>
      <c r="BA51" s="578"/>
      <c r="BB51" s="578"/>
      <c r="BC51" s="578"/>
      <c r="BD51" s="578"/>
      <c r="BE51" s="43"/>
      <c r="BF51" s="4"/>
      <c r="BG51" s="650"/>
      <c r="BH51" s="650"/>
      <c r="BI51" s="650"/>
      <c r="BJ51" s="650"/>
      <c r="BK51" s="650"/>
      <c r="BL51" s="650"/>
      <c r="BM51" s="650"/>
      <c r="BN51" s="650"/>
      <c r="BO51" s="650"/>
      <c r="BP51" s="650"/>
      <c r="BQ51" s="4"/>
      <c r="BR51" s="528"/>
      <c r="BS51" s="4"/>
      <c r="BT51" s="4"/>
      <c r="BU51" s="4"/>
    </row>
    <row r="52" spans="1:73" ht="24" customHeight="1" thickBot="1" x14ac:dyDescent="0.3">
      <c r="A52" s="1236"/>
      <c r="B52" s="1237" t="s">
        <v>1055</v>
      </c>
      <c r="C52" s="1238"/>
      <c r="D52" s="1238"/>
      <c r="E52" s="1239"/>
      <c r="F52" s="1707"/>
      <c r="G52" s="1707">
        <f>Ввод!H106/VLOOKUP(Баланс!$B$7,Баланс!$A$1:$B$3,2,0)</f>
        <v>-8.5322999999999996E-2</v>
      </c>
      <c r="H52" s="1707">
        <f>Ввод!I106/VLOOKUP(Баланс!$B$7,Баланс!$A$1:$B$3,2,0)</f>
        <v>-1.7198000000000001E-2</v>
      </c>
      <c r="I52" s="1707">
        <f>Ввод!J106/VLOOKUP(Баланс!$B$7,Баланс!$A$1:$B$3,2,0)</f>
        <v>5.1339999999999997E-3</v>
      </c>
      <c r="J52" s="1707">
        <f>Ввод!K106/VLOOKUP(Баланс!$B$7,Баланс!$A$1:$B$3,2,0)</f>
        <v>-1.0234999999999999E-2</v>
      </c>
      <c r="K52" s="1707">
        <f>Ввод!L106/VLOOKUP(Баланс!$B$7,Баланс!$A$1:$B$3,2,0)</f>
        <v>0.180005</v>
      </c>
      <c r="L52" s="1707">
        <f>Ввод!M106/VLOOKUP(Баланс!$B$7,Баланс!$A$1:$B$3,2,0)</f>
        <v>0.100495</v>
      </c>
      <c r="M52" s="1707">
        <f>Ввод!N106/VLOOKUP(Баланс!$B$7,Баланс!$A$1:$B$3,2,0)</f>
        <v>9.9461999999999995E-2</v>
      </c>
      <c r="N52" s="1707">
        <f>Ввод!O106/VLOOKUP(Баланс!$B$7,Баланс!$A$1:$B$3,2,0)</f>
        <v>8.6321999999999996E-2</v>
      </c>
      <c r="O52" s="1707">
        <f>Ввод!P106/VLOOKUP(Баланс!$B$7,Баланс!$A$1:$B$3,2,0)</f>
        <v>0</v>
      </c>
      <c r="P52" s="1754"/>
      <c r="Q52" s="631"/>
      <c r="R52" s="1231">
        <f t="shared" si="26"/>
        <v>9.7583558669127972E-5</v>
      </c>
      <c r="S52" s="9"/>
      <c r="T52" s="66"/>
      <c r="U52" s="1026">
        <v>57</v>
      </c>
      <c r="V52" s="573">
        <f>HLOOKUP(V$8,'Банк. система_ввод'!$K$94:$W$151,$U52,0)</f>
        <v>0</v>
      </c>
      <c r="W52" s="573">
        <f>HLOOKUP(W$8,'Банк. система_ввод'!$K$94:$W$151,$U52,0)</f>
        <v>0</v>
      </c>
      <c r="X52" s="573">
        <f>HLOOKUP(X$8,'Банк. система_ввод'!$K$94:$W$151,$U52,0)</f>
        <v>0</v>
      </c>
      <c r="Y52" s="573">
        <f>HLOOKUP(Y$8,'Банк. система_ввод'!$K$94:$W$151,$U52,0)</f>
        <v>0</v>
      </c>
      <c r="Z52" s="573">
        <f>HLOOKUP(Z$8,'Банк. система_ввод'!$K$94:$W$151,$U52,0)</f>
        <v>0</v>
      </c>
      <c r="AA52" s="573">
        <f>HLOOKUP(AA$8,'Банк. система_ввод'!$K$94:$W$151,$U52,0)</f>
        <v>0</v>
      </c>
      <c r="AB52" s="573">
        <f>HLOOKUP(AB$8,'Банк. система_ввод'!$K$94:$W$151,$U52,0)</f>
        <v>0</v>
      </c>
      <c r="AC52" s="573">
        <f>HLOOKUP(AC$8,'Банк. система_ввод'!$K$94:$W$151,$U52,0)</f>
        <v>0</v>
      </c>
      <c r="AD52" s="573">
        <f>HLOOKUP(AD$8,'Банк. система_ввод'!$K$94:$W$151,$U52,0)</f>
        <v>0</v>
      </c>
      <c r="AE52" s="573">
        <f>HLOOKUP(AE$8,'Банк. система_ввод'!$K$94:$W$151,$U52,0)</f>
        <v>0</v>
      </c>
      <c r="AF52" s="4"/>
      <c r="AG52" s="4"/>
      <c r="AH52" s="647"/>
      <c r="AI52" s="647"/>
      <c r="AJ52" s="647"/>
      <c r="AK52" s="647"/>
      <c r="AL52" s="647"/>
      <c r="AM52" s="647"/>
      <c r="AN52" s="647"/>
      <c r="AO52" s="647"/>
      <c r="AP52" s="647"/>
      <c r="AQ52" s="647"/>
      <c r="AR52" s="547"/>
      <c r="AS52" s="4"/>
      <c r="AT52" s="1099"/>
      <c r="AU52" s="573"/>
      <c r="AV52" s="573"/>
      <c r="AW52" s="573"/>
      <c r="AX52" s="573"/>
      <c r="AY52" s="573"/>
      <c r="AZ52" s="573"/>
      <c r="BA52" s="573"/>
      <c r="BB52" s="573"/>
      <c r="BC52" s="573"/>
      <c r="BD52" s="573"/>
      <c r="BE52" s="4"/>
      <c r="BF52" s="4"/>
      <c r="BG52" s="647"/>
      <c r="BH52" s="647"/>
      <c r="BI52" s="647"/>
      <c r="BJ52" s="647"/>
      <c r="BK52" s="647"/>
      <c r="BL52" s="647"/>
      <c r="BM52" s="647"/>
      <c r="BN52" s="647"/>
      <c r="BO52" s="647"/>
      <c r="BP52" s="647"/>
      <c r="BQ52" s="4"/>
      <c r="BR52" s="4"/>
      <c r="BS52" s="4"/>
      <c r="BT52" s="4"/>
      <c r="BU52" s="4"/>
    </row>
    <row r="53" spans="1:73" ht="27.75" customHeight="1" thickBot="1" x14ac:dyDescent="0.3">
      <c r="A53" s="513"/>
      <c r="B53" s="513" t="s">
        <v>395</v>
      </c>
      <c r="C53" s="514"/>
      <c r="D53" s="514"/>
      <c r="E53" s="527"/>
      <c r="F53" s="1708"/>
      <c r="G53" s="1708">
        <f t="shared" ref="G53:J53" si="53">SUM(G49:G50)</f>
        <v>0.79659000000000457</v>
      </c>
      <c r="H53" s="1708">
        <f t="shared" si="53"/>
        <v>2.7106150000000033</v>
      </c>
      <c r="I53" s="1708">
        <f t="shared" si="53"/>
        <v>6.252821</v>
      </c>
      <c r="J53" s="1708">
        <f t="shared" si="53"/>
        <v>4.3574379999999966</v>
      </c>
      <c r="K53" s="1708">
        <f>SUM(K49:K50)</f>
        <v>6.3037789999999951</v>
      </c>
      <c r="L53" s="1708">
        <f t="shared" ref="L53:O53" si="54">SUM(L49:L50)</f>
        <v>1.557148</v>
      </c>
      <c r="M53" s="1708">
        <f t="shared" si="54"/>
        <v>6.4103580000000004</v>
      </c>
      <c r="N53" s="1708">
        <f t="shared" si="54"/>
        <v>15.401554000000001</v>
      </c>
      <c r="O53" s="1708">
        <f t="shared" si="54"/>
        <v>0</v>
      </c>
      <c r="P53" s="1752"/>
      <c r="Q53" s="497"/>
      <c r="R53" s="652">
        <f t="shared" si="26"/>
        <v>1.7410839048617302E-2</v>
      </c>
      <c r="S53" s="4"/>
      <c r="T53" s="66"/>
      <c r="U53" s="1026">
        <v>58</v>
      </c>
      <c r="V53" s="579">
        <f>HLOOKUP(V$8,'Банк. система_ввод'!$K$94:$W$151,$U53,0)</f>
        <v>192.59999999999309</v>
      </c>
      <c r="W53" s="579">
        <f>HLOOKUP(W$8,'Банк. система_ввод'!$K$94:$W$151,$U53,0)</f>
        <v>785.10000000000082</v>
      </c>
      <c r="X53" s="579">
        <f>HLOOKUP(X$8,'Банк. система_ввод'!$K$94:$W$151,$U53,0)</f>
        <v>832.51525700000002</v>
      </c>
      <c r="Y53" s="579">
        <f>HLOOKUP(Y$8,'Банк. система_ввод'!$K$94:$W$151,$U53,0)</f>
        <v>1904.2655129999989</v>
      </c>
      <c r="Z53" s="579">
        <f>HLOOKUP(Z$8,'Банк. система_ввод'!$K$94:$W$151,$U53,0)</f>
        <v>1630.5017379999992</v>
      </c>
      <c r="AA53" s="579">
        <f>HLOOKUP(AA$8,'Банк. система_ввод'!$K$94:$W$151,$U53,0)</f>
        <v>2015.3719460000007</v>
      </c>
      <c r="AB53" s="579">
        <f>HLOOKUP(AB$8,'Банк. система_ввод'!$K$94:$W$151,$U53,0)</f>
        <v>160.50754099999938</v>
      </c>
      <c r="AC53" s="579">
        <f>HLOOKUP(AC$8,'Банк. система_ввод'!$K$94:$W$151,$U53,0)</f>
        <v>3162.0937469999976</v>
      </c>
      <c r="AD53" s="579">
        <f>HLOOKUP(AD$8,'Банк. система_ввод'!$K$94:$W$151,$U53,0)</f>
        <v>3599.435191</v>
      </c>
      <c r="AE53" s="579">
        <f>HLOOKUP(AE$8,'Банк. система_ввод'!$K$94:$W$151,$U53,0)</f>
        <v>4063.7707069999997</v>
      </c>
      <c r="AF53" s="43"/>
      <c r="AG53" s="4"/>
      <c r="AH53" s="652">
        <f t="shared" ref="AH53:AQ53" si="55">V53/V$289</f>
        <v>2.5527165300475753E-3</v>
      </c>
      <c r="AI53" s="652">
        <f t="shared" si="55"/>
        <v>1.0326585988076203E-2</v>
      </c>
      <c r="AJ53" s="652">
        <f t="shared" si="55"/>
        <v>1.0140684167708258E-2</v>
      </c>
      <c r="AK53" s="652">
        <f t="shared" si="55"/>
        <v>2.1759532043135316E-2</v>
      </c>
      <c r="AL53" s="652">
        <f t="shared" si="55"/>
        <v>1.691223281735248E-2</v>
      </c>
      <c r="AM53" s="652">
        <f t="shared" si="55"/>
        <v>1.7949545878713037E-2</v>
      </c>
      <c r="AN53" s="652">
        <f t="shared" si="55"/>
        <v>1.2571321728834101E-3</v>
      </c>
      <c r="AO53" s="652">
        <f t="shared" si="55"/>
        <v>2.089612252518469E-2</v>
      </c>
      <c r="AP53" s="652">
        <f t="shared" si="55"/>
        <v>1.9610847338254266E-2</v>
      </c>
      <c r="AQ53" s="652">
        <f t="shared" si="55"/>
        <v>1.9816975721862314E-2</v>
      </c>
      <c r="AR53" s="1759"/>
      <c r="AS53" s="4"/>
      <c r="AT53" s="1099">
        <v>25</v>
      </c>
      <c r="AU53" s="579">
        <f t="shared" ref="AU53" si="56">SUM(AU49:AU50)</f>
        <v>163.92466900000005</v>
      </c>
      <c r="AV53" s="579">
        <f t="shared" ref="AV53:BD53" si="57">SUM(AV49:AV50)</f>
        <v>164.42730700000004</v>
      </c>
      <c r="AW53" s="579">
        <f t="shared" si="57"/>
        <v>237.05239799999987</v>
      </c>
      <c r="AX53" s="579">
        <f t="shared" si="57"/>
        <v>233.01306499999998</v>
      </c>
      <c r="AY53" s="579">
        <f t="shared" si="57"/>
        <v>147.36751600000014</v>
      </c>
      <c r="AZ53" s="579">
        <f t="shared" si="57"/>
        <v>279.33162300000004</v>
      </c>
      <c r="BA53" s="579">
        <f t="shared" si="57"/>
        <v>263.01983000000007</v>
      </c>
      <c r="BB53" s="579">
        <f t="shared" si="57"/>
        <v>254.549791</v>
      </c>
      <c r="BC53" s="579">
        <f t="shared" si="57"/>
        <v>268.59249600000004</v>
      </c>
      <c r="BD53" s="579">
        <f t="shared" si="57"/>
        <v>293.32052399999964</v>
      </c>
      <c r="BE53" s="43"/>
      <c r="BF53" s="4"/>
      <c r="BG53" s="652">
        <f t="shared" ref="BG53:BP53" si="58">AU53/AU$289</f>
        <v>1.0400852650430956E-2</v>
      </c>
      <c r="BH53" s="652">
        <f t="shared" si="58"/>
        <v>9.6170124058288526E-3</v>
      </c>
      <c r="BI53" s="652">
        <f t="shared" si="58"/>
        <v>1.3408547254820656E-2</v>
      </c>
      <c r="BJ53" s="652">
        <f t="shared" si="58"/>
        <v>1.2737118482581329E-2</v>
      </c>
      <c r="BK53" s="652">
        <f t="shared" si="58"/>
        <v>7.2749681590196557E-3</v>
      </c>
      <c r="BL53" s="652">
        <f t="shared" si="58"/>
        <v>1.2254534611096785E-2</v>
      </c>
      <c r="BM53" s="652">
        <f t="shared" si="58"/>
        <v>1.1117791043138765E-2</v>
      </c>
      <c r="BN53" s="652">
        <f t="shared" si="58"/>
        <v>1.0771903789394946E-2</v>
      </c>
      <c r="BO53" s="652">
        <f t="shared" si="58"/>
        <v>1.1327442767736779E-2</v>
      </c>
      <c r="BP53" s="652">
        <f t="shared" si="58"/>
        <v>1.210712483128396E-2</v>
      </c>
      <c r="BQ53" s="4"/>
      <c r="BR53" s="528"/>
      <c r="BS53" s="4"/>
      <c r="BT53" s="4"/>
      <c r="BU53" s="4"/>
    </row>
    <row r="54" spans="1:73" s="28" customFormat="1" ht="16.5" outlineLevel="1" x14ac:dyDescent="0.3">
      <c r="A54" s="859"/>
      <c r="B54" s="471" t="s">
        <v>1500</v>
      </c>
      <c r="C54" s="12"/>
      <c r="D54" s="541"/>
      <c r="E54" s="542"/>
      <c r="F54" s="1709"/>
      <c r="G54" s="1709">
        <f>G53-Ввод!H107/VLOOKUP(Баланс!$B$7,Баланс!$A$1:$B$3,2,0)</f>
        <v>4.5519144009631418E-15</v>
      </c>
      <c r="H54" s="1709">
        <f>H53-Ввод!I107/VLOOKUP(Баланс!$B$7,Баланс!$A$1:$B$3,2,0)</f>
        <v>0</v>
      </c>
      <c r="I54" s="1709">
        <f>I53-Ввод!J107/VLOOKUP(Баланс!$B$7,Баланс!$A$1:$B$3,2,0)</f>
        <v>0</v>
      </c>
      <c r="J54" s="1709">
        <f>J53-Ввод!K107/VLOOKUP(Баланс!$B$7,Баланс!$A$1:$B$3,2,0)</f>
        <v>0</v>
      </c>
      <c r="K54" s="1709">
        <f>K53-Ввод!L107/VLOOKUP(Баланс!$B$7,Баланс!$A$1:$B$3,2,0)</f>
        <v>0</v>
      </c>
      <c r="L54" s="1709">
        <f>L53-Ввод!M107/VLOOKUP(Баланс!$B$7,Баланс!$A$1:$B$3,2,0)</f>
        <v>0</v>
      </c>
      <c r="M54" s="1709">
        <f>M53-Ввод!N107/VLOOKUP(Баланс!$B$7,Баланс!$A$1:$B$3,2,0)</f>
        <v>0</v>
      </c>
      <c r="N54" s="1709">
        <f>N53-Ввод!O107/VLOOKUP(Баланс!$B$7,Баланс!$A$1:$B$3,2,0)</f>
        <v>0</v>
      </c>
      <c r="O54" s="1709">
        <f>O53-Ввод!P107/VLOOKUP(Баланс!$B$7,Баланс!$A$1:$B$3,2,0)</f>
        <v>0</v>
      </c>
      <c r="P54" s="1709"/>
      <c r="Q54" s="12"/>
      <c r="R54" s="12"/>
      <c r="S54" s="11"/>
      <c r="T54" s="11"/>
      <c r="U54" s="1024"/>
      <c r="V54" s="1084">
        <f t="shared" ref="V54:AA54" si="59">V20+V26+V37+V48+V50+V51-V53</f>
        <v>0</v>
      </c>
      <c r="W54" s="1084">
        <f t="shared" si="59"/>
        <v>0</v>
      </c>
      <c r="X54" s="1084">
        <f t="shared" si="59"/>
        <v>0</v>
      </c>
      <c r="Y54" s="1084">
        <f t="shared" si="59"/>
        <v>0</v>
      </c>
      <c r="Z54" s="1084">
        <f t="shared" si="59"/>
        <v>0</v>
      </c>
      <c r="AA54" s="1084">
        <f t="shared" si="59"/>
        <v>0</v>
      </c>
      <c r="AB54" s="1084"/>
      <c r="AC54" s="1084"/>
      <c r="AD54" s="1084"/>
      <c r="AE54" s="1084"/>
      <c r="AF54" s="11"/>
      <c r="AG54" s="11"/>
      <c r="AH54" s="11"/>
      <c r="AI54" s="11"/>
      <c r="AJ54" s="11"/>
      <c r="AK54" s="11"/>
      <c r="AL54" s="11"/>
      <c r="AM54" s="11"/>
      <c r="AN54" s="11"/>
      <c r="AO54" s="11"/>
      <c r="AP54" s="11"/>
      <c r="AQ54" s="11"/>
      <c r="AR54" s="11"/>
      <c r="AS54" s="11"/>
      <c r="AT54" s="1101"/>
      <c r="AU54" s="1776">
        <f>AU53-HLOOKUP(AU$8,'Банк. система_ввод'!$G$164:$W$194,25,0)</f>
        <v>0</v>
      </c>
      <c r="AV54" s="1776">
        <f>AV53-HLOOKUP(AV$8,'Банк. система_ввод'!$G$164:$W$194,25,0)</f>
        <v>0</v>
      </c>
      <c r="AW54" s="1776">
        <f>AW53-HLOOKUP(AW$8,'Банк. система_ввод'!$G$164:$W$194,25,0)</f>
        <v>-2.0000001370590326E-6</v>
      </c>
      <c r="AX54" s="1776">
        <f>AX53-HLOOKUP(AX$8,'Банк. система_ввод'!$G$164:$W$194,25,0)</f>
        <v>0</v>
      </c>
      <c r="AY54" s="1776">
        <f>AY53-HLOOKUP(AY$8,'Банк. система_ввод'!$G$164:$W$194,25,0)</f>
        <v>-9.9999985536669556E-7</v>
      </c>
      <c r="AZ54" s="1776">
        <f>AZ53-HLOOKUP(AZ$8,'Банк. система_ввод'!$G$164:$W$194,25,0)</f>
        <v>-9.9999999747524271E-7</v>
      </c>
      <c r="BA54" s="1776">
        <f>BA53-HLOOKUP(BA$8,'Банк. система_ввод'!$G$164:$W$194,25,0)</f>
        <v>0</v>
      </c>
      <c r="BB54" s="1776">
        <f>BB53-HLOOKUP(BB$8,'Банк. система_ввод'!$G$164:$W$194,25,0)</f>
        <v>9.9999999747524271E-7</v>
      </c>
      <c r="BC54" s="1776">
        <f>BC53-HLOOKUP(BC$8,'Банк. система_ввод'!$G$164:$W$194,25,0)</f>
        <v>0</v>
      </c>
      <c r="BD54" s="1776">
        <f>BD53-HLOOKUP(BD$8,'Банк. система_ввод'!$G$164:$W$194,25,0)</f>
        <v>0</v>
      </c>
      <c r="BE54" s="11"/>
      <c r="BF54" s="11"/>
      <c r="BG54" s="11"/>
      <c r="BH54" s="11"/>
      <c r="BI54" s="11"/>
      <c r="BJ54" s="11"/>
      <c r="BK54" s="11"/>
      <c r="BL54" s="11"/>
      <c r="BM54" s="11"/>
      <c r="BN54" s="11"/>
      <c r="BO54" s="11"/>
      <c r="BP54" s="11"/>
      <c r="BQ54" s="11"/>
      <c r="BR54" s="11"/>
      <c r="BS54" s="11"/>
      <c r="BT54" s="11"/>
      <c r="BU54" s="11"/>
    </row>
    <row r="55" spans="1:73" ht="16.5" x14ac:dyDescent="0.3">
      <c r="A55" s="854"/>
      <c r="B55" s="471" t="s">
        <v>1501</v>
      </c>
      <c r="C55" s="12"/>
      <c r="D55" s="541"/>
      <c r="E55" s="542"/>
      <c r="F55" s="1709"/>
      <c r="G55" s="1709">
        <f t="shared" ref="G55:J55" si="60">SUM(G51:G52)-G53</f>
        <v>-4.6629367034256575E-15</v>
      </c>
      <c r="H55" s="1709">
        <f t="shared" si="60"/>
        <v>-3.5527136788005009E-15</v>
      </c>
      <c r="I55" s="1709">
        <f t="shared" si="60"/>
        <v>0</v>
      </c>
      <c r="J55" s="1709">
        <f t="shared" si="60"/>
        <v>0</v>
      </c>
      <c r="K55" s="1709">
        <f>SUM(K51:K52)-K53</f>
        <v>0</v>
      </c>
      <c r="L55" s="1709">
        <f t="shared" ref="L55:O55" si="61">SUM(L51:L52)-L53</f>
        <v>0</v>
      </c>
      <c r="M55" s="1709">
        <f t="shared" si="61"/>
        <v>0</v>
      </c>
      <c r="N55" s="1709">
        <f t="shared" si="61"/>
        <v>0</v>
      </c>
      <c r="O55" s="1709">
        <f t="shared" si="61"/>
        <v>0</v>
      </c>
      <c r="P55" s="1709"/>
      <c r="Q55" s="497"/>
      <c r="R55" s="43"/>
      <c r="S55" s="9"/>
      <c r="T55" s="66"/>
      <c r="U55" s="1026"/>
      <c r="V55" s="4"/>
      <c r="W55" s="4"/>
      <c r="X55" s="4"/>
      <c r="Y55" s="4"/>
      <c r="Z55" s="4"/>
      <c r="AA55" s="4"/>
      <c r="AB55" s="4"/>
      <c r="AC55" s="4"/>
      <c r="AD55" s="4"/>
      <c r="AE55" s="4"/>
      <c r="AF55" s="4"/>
      <c r="AG55" s="4"/>
      <c r="AH55" s="4"/>
      <c r="AI55" s="4"/>
      <c r="AJ55" s="4"/>
      <c r="AK55" s="4"/>
      <c r="AL55" s="4"/>
      <c r="AM55" s="4"/>
      <c r="AN55" s="4"/>
      <c r="AO55" s="4"/>
      <c r="AP55" s="4"/>
      <c r="AQ55" s="4"/>
      <c r="AR55" s="4"/>
      <c r="AS55" s="4"/>
      <c r="AT55" s="1099"/>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row>
    <row r="56" spans="1:73" ht="39" customHeight="1" x14ac:dyDescent="0.25">
      <c r="A56" s="854"/>
      <c r="B56" s="4"/>
      <c r="C56" s="43"/>
      <c r="D56" s="43"/>
      <c r="E56" s="497"/>
      <c r="F56" s="497"/>
      <c r="G56" s="497"/>
      <c r="H56" s="497"/>
      <c r="I56" s="498"/>
      <c r="J56" s="498"/>
      <c r="K56" s="498"/>
      <c r="L56" s="498"/>
      <c r="M56" s="498"/>
      <c r="N56" s="498"/>
      <c r="O56" s="498"/>
      <c r="P56" s="498"/>
      <c r="Q56" s="497"/>
      <c r="R56" s="43"/>
      <c r="S56" s="9"/>
      <c r="T56" s="66"/>
      <c r="U56" s="1026"/>
      <c r="V56" s="95" t="s">
        <v>864</v>
      </c>
      <c r="W56" s="4"/>
      <c r="X56" s="4"/>
      <c r="Y56" s="4"/>
      <c r="Z56" s="4"/>
      <c r="AA56" s="4"/>
      <c r="AB56" s="4"/>
      <c r="AC56" s="4"/>
      <c r="AD56" s="4"/>
      <c r="AE56" s="4"/>
      <c r="AF56" s="4"/>
      <c r="AG56" s="4"/>
      <c r="AH56" s="4"/>
      <c r="AI56" s="4"/>
      <c r="AJ56" s="4"/>
      <c r="AK56" s="4"/>
      <c r="AL56" s="4"/>
      <c r="AM56" s="4"/>
      <c r="AN56" s="4"/>
      <c r="AO56" s="4"/>
      <c r="AP56" s="4"/>
      <c r="AQ56" s="4"/>
      <c r="AR56" s="4"/>
      <c r="AS56" s="4"/>
      <c r="AT56" s="1099"/>
      <c r="AU56" s="243" t="s">
        <v>181</v>
      </c>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row>
    <row r="57" spans="1:73" x14ac:dyDescent="0.25">
      <c r="A57" s="860"/>
      <c r="B57" s="534" t="s">
        <v>1133</v>
      </c>
      <c r="C57" s="535"/>
      <c r="D57" s="535"/>
      <c r="E57" s="536"/>
      <c r="F57" s="536"/>
      <c r="G57" s="536"/>
      <c r="H57" s="536"/>
      <c r="I57" s="536"/>
      <c r="J57" s="536"/>
      <c r="K57" s="536"/>
      <c r="L57" s="536"/>
      <c r="M57" s="536"/>
      <c r="N57" s="536"/>
      <c r="O57" s="536"/>
      <c r="P57" s="536"/>
      <c r="Q57" s="497"/>
      <c r="R57" s="43"/>
      <c r="S57" s="9"/>
      <c r="T57" s="66"/>
      <c r="U57" s="1026"/>
      <c r="V57" s="534" t="s">
        <v>1069</v>
      </c>
      <c r="W57" s="535"/>
      <c r="X57" s="535"/>
      <c r="Y57" s="535"/>
      <c r="Z57" s="535"/>
      <c r="AA57" s="535"/>
      <c r="AB57" s="535"/>
      <c r="AC57" s="535"/>
      <c r="AD57" s="535"/>
      <c r="AE57" s="535"/>
      <c r="AF57" s="536"/>
      <c r="AG57" s="536"/>
      <c r="AH57" s="536"/>
      <c r="AI57" s="507"/>
      <c r="AJ57" s="507"/>
      <c r="AK57" s="507"/>
      <c r="AL57" s="507"/>
      <c r="AM57" s="507"/>
      <c r="AN57" s="507"/>
      <c r="AO57" s="507"/>
      <c r="AP57" s="507"/>
      <c r="AQ57" s="507"/>
      <c r="AR57" s="507"/>
      <c r="AS57" s="4"/>
      <c r="AT57" s="1099"/>
      <c r="AU57" s="534" t="s">
        <v>1069</v>
      </c>
      <c r="AV57" s="535"/>
      <c r="AW57" s="535"/>
      <c r="AX57" s="535"/>
      <c r="AY57" s="535"/>
      <c r="AZ57" s="535"/>
      <c r="BA57" s="535"/>
      <c r="BB57" s="535"/>
      <c r="BC57" s="535"/>
      <c r="BD57" s="535"/>
      <c r="BE57" s="536"/>
      <c r="BF57" s="536"/>
      <c r="BG57" s="536"/>
      <c r="BH57" s="507"/>
      <c r="BI57" s="507"/>
      <c r="BJ57" s="507"/>
      <c r="BK57" s="507"/>
      <c r="BL57" s="507"/>
      <c r="BM57" s="507"/>
      <c r="BN57" s="507"/>
      <c r="BO57" s="507"/>
      <c r="BP57" s="507"/>
      <c r="BQ57" s="4"/>
      <c r="BR57" s="4"/>
      <c r="BS57" s="4"/>
      <c r="BT57" s="4"/>
      <c r="BU57" s="4"/>
    </row>
    <row r="58" spans="1:73" x14ac:dyDescent="0.25">
      <c r="A58" s="854"/>
      <c r="B58" s="4"/>
      <c r="C58" s="4"/>
      <c r="D58" s="4" t="str">
        <f>D7</f>
        <v>млрд руб.</v>
      </c>
      <c r="F58" s="4"/>
      <c r="G58" s="4" t="s">
        <v>348</v>
      </c>
      <c r="H58" s="4"/>
      <c r="I58" s="4"/>
      <c r="J58" s="4"/>
      <c r="K58" s="4"/>
      <c r="L58" s="4"/>
      <c r="M58" s="4"/>
      <c r="N58" s="4"/>
      <c r="O58" s="4"/>
      <c r="P58" s="4"/>
      <c r="Q58" s="497"/>
      <c r="R58" s="43"/>
      <c r="S58" s="9"/>
      <c r="T58" s="66"/>
      <c r="U58" s="1026"/>
      <c r="V58" s="4" t="s">
        <v>348</v>
      </c>
      <c r="W58" s="4"/>
      <c r="X58" s="4"/>
      <c r="Y58" s="4"/>
      <c r="Z58" s="4"/>
      <c r="AA58" s="4"/>
      <c r="AB58" s="4"/>
      <c r="AC58" s="4"/>
      <c r="AD58" s="4"/>
      <c r="AE58" s="4"/>
      <c r="AF58" s="4"/>
      <c r="AG58" s="4"/>
      <c r="AH58" s="4"/>
      <c r="AI58" s="4"/>
      <c r="AJ58" s="4"/>
      <c r="AK58" s="4"/>
      <c r="AL58" s="4"/>
      <c r="AM58" s="4"/>
      <c r="AN58" s="4"/>
      <c r="AO58" s="4"/>
      <c r="AP58" s="4"/>
      <c r="AQ58" s="4"/>
      <c r="AR58" s="4"/>
      <c r="AS58" s="4"/>
      <c r="AT58" s="1099"/>
      <c r="AU58" s="4" t="s">
        <v>348</v>
      </c>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row>
    <row r="59" spans="1:73" x14ac:dyDescent="0.25">
      <c r="A59" s="855"/>
      <c r="B59" s="15"/>
      <c r="C59" s="15"/>
      <c r="D59" s="15"/>
      <c r="E59" s="539"/>
      <c r="F59" s="539">
        <f t="shared" ref="F59:O59" si="62">F8</f>
        <v>2015</v>
      </c>
      <c r="G59" s="539">
        <f t="shared" si="62"/>
        <v>2017</v>
      </c>
      <c r="H59" s="539">
        <f t="shared" si="62"/>
        <v>2018</v>
      </c>
      <c r="I59" s="539">
        <f t="shared" si="62"/>
        <v>2019</v>
      </c>
      <c r="J59" s="539">
        <f t="shared" si="62"/>
        <v>2020</v>
      </c>
      <c r="K59" s="539">
        <f t="shared" si="62"/>
        <v>2021</v>
      </c>
      <c r="L59" s="539">
        <f t="shared" si="62"/>
        <v>2022</v>
      </c>
      <c r="M59" s="539">
        <f t="shared" si="62"/>
        <v>2023</v>
      </c>
      <c r="N59" s="539">
        <f t="shared" si="62"/>
        <v>2024</v>
      </c>
      <c r="O59" s="539">
        <f t="shared" si="62"/>
        <v>2025</v>
      </c>
      <c r="P59" s="540"/>
      <c r="Q59" s="497"/>
      <c r="R59" s="43"/>
      <c r="S59" s="9"/>
      <c r="T59" s="66"/>
      <c r="U59" s="1026"/>
      <c r="V59" s="539">
        <f t="shared" ref="V59:AE59" si="63">V8</f>
        <v>2015</v>
      </c>
      <c r="W59" s="539">
        <f t="shared" si="63"/>
        <v>2017</v>
      </c>
      <c r="X59" s="539">
        <f t="shared" si="63"/>
        <v>2018</v>
      </c>
      <c r="Y59" s="539">
        <f t="shared" si="63"/>
        <v>2019</v>
      </c>
      <c r="Z59" s="539">
        <f t="shared" si="63"/>
        <v>2020</v>
      </c>
      <c r="AA59" s="539">
        <f t="shared" si="63"/>
        <v>2021</v>
      </c>
      <c r="AB59" s="539">
        <f t="shared" si="63"/>
        <v>2022</v>
      </c>
      <c r="AC59" s="539">
        <f t="shared" si="63"/>
        <v>2023</v>
      </c>
      <c r="AD59" s="539">
        <f t="shared" si="63"/>
        <v>2024</v>
      </c>
      <c r="AE59" s="539">
        <f t="shared" si="63"/>
        <v>2025</v>
      </c>
      <c r="AF59" s="4"/>
      <c r="AG59" s="4"/>
      <c r="AH59" s="4"/>
      <c r="AI59" s="4"/>
      <c r="AJ59" s="4"/>
      <c r="AK59" s="4"/>
      <c r="AL59" s="4"/>
      <c r="AM59" s="4"/>
      <c r="AN59" s="4"/>
      <c r="AO59" s="4"/>
      <c r="AP59" s="4"/>
      <c r="AQ59" s="4"/>
      <c r="AR59" s="4"/>
      <c r="AS59" s="4"/>
      <c r="AT59" s="1099"/>
      <c r="AU59" s="539">
        <f t="shared" ref="AU59:AZ59" si="64">AU8</f>
        <v>2015</v>
      </c>
      <c r="AV59" s="539">
        <f t="shared" si="64"/>
        <v>2017</v>
      </c>
      <c r="AW59" s="539">
        <f t="shared" si="64"/>
        <v>2018</v>
      </c>
      <c r="AX59" s="539">
        <f t="shared" si="64"/>
        <v>2019</v>
      </c>
      <c r="AY59" s="539">
        <f t="shared" si="64"/>
        <v>2020</v>
      </c>
      <c r="AZ59" s="539">
        <f t="shared" si="64"/>
        <v>2021</v>
      </c>
      <c r="BA59" s="539">
        <f t="shared" ref="BA59:BD59" si="65">BA8</f>
        <v>2022</v>
      </c>
      <c r="BB59" s="539">
        <f t="shared" si="65"/>
        <v>2023</v>
      </c>
      <c r="BC59" s="539">
        <f t="shared" si="65"/>
        <v>2024</v>
      </c>
      <c r="BD59" s="539">
        <f t="shared" si="65"/>
        <v>2025</v>
      </c>
      <c r="BE59" s="4"/>
      <c r="BF59" s="4"/>
      <c r="BG59" s="4"/>
      <c r="BH59" s="4"/>
      <c r="BI59" s="4"/>
      <c r="BJ59" s="4"/>
      <c r="BK59" s="4"/>
      <c r="BL59" s="4"/>
      <c r="BM59" s="4"/>
      <c r="BN59" s="4"/>
      <c r="BO59" s="4"/>
      <c r="BP59" s="4"/>
      <c r="BQ59" s="4"/>
      <c r="BR59" s="4"/>
      <c r="BS59" s="4"/>
      <c r="BT59" s="4"/>
      <c r="BU59" s="4"/>
    </row>
    <row r="60" spans="1:73" x14ac:dyDescent="0.25">
      <c r="A60" s="859"/>
      <c r="B60" s="12"/>
      <c r="C60" s="771" t="s">
        <v>1070</v>
      </c>
      <c r="D60" s="12" t="s">
        <v>1071</v>
      </c>
      <c r="E60" s="593"/>
      <c r="F60" s="593"/>
      <c r="G60" s="1933">
        <f t="shared" ref="G60:K60" si="66">SUM(G61:G62)</f>
        <v>36.746875000000003</v>
      </c>
      <c r="H60" s="1933">
        <f t="shared" si="66"/>
        <v>38.276984000000006</v>
      </c>
      <c r="I60" s="1933">
        <f t="shared" si="66"/>
        <v>41.884868000000004</v>
      </c>
      <c r="J60" s="1933">
        <f t="shared" si="66"/>
        <v>42.982433999999998</v>
      </c>
      <c r="K60" s="1933">
        <f t="shared" si="66"/>
        <v>43.312642999999994</v>
      </c>
      <c r="L60" s="1933">
        <f t="shared" ref="L60:O60" si="67">SUM(L61:L62)</f>
        <v>61.443279000000004</v>
      </c>
      <c r="M60" s="1933">
        <f t="shared" si="67"/>
        <v>81.531267999999997</v>
      </c>
      <c r="N60" s="1933">
        <f t="shared" si="67"/>
        <v>131.342896</v>
      </c>
      <c r="O60" s="1933">
        <f t="shared" si="67"/>
        <v>0</v>
      </c>
      <c r="P60" s="593"/>
      <c r="Q60" s="497"/>
      <c r="R60" s="43"/>
      <c r="S60" s="9"/>
      <c r="T60" s="66"/>
      <c r="U60" s="1026"/>
      <c r="V60" s="772">
        <f t="shared" ref="V60:AA60" si="68">SUM(V61:V62)</f>
        <v>6758.4999999999991</v>
      </c>
      <c r="W60" s="772">
        <f t="shared" si="68"/>
        <v>6962.5</v>
      </c>
      <c r="X60" s="772">
        <f t="shared" si="68"/>
        <v>7575.9200700000001</v>
      </c>
      <c r="Y60" s="772">
        <f t="shared" si="68"/>
        <v>8344.3834159999988</v>
      </c>
      <c r="Z60" s="772">
        <f t="shared" si="68"/>
        <v>8198.3744259999985</v>
      </c>
      <c r="AA60" s="772">
        <f t="shared" si="68"/>
        <v>9397.5611600000011</v>
      </c>
      <c r="AB60" s="772">
        <f t="shared" ref="AB60:AE60" si="69">SUM(AB61:AB62)</f>
        <v>12730.708463999999</v>
      </c>
      <c r="AC60" s="772">
        <f t="shared" si="69"/>
        <v>16143.684409999998</v>
      </c>
      <c r="AD60" s="772">
        <f t="shared" si="69"/>
        <v>26681.708487999997</v>
      </c>
      <c r="AE60" s="772">
        <f t="shared" si="69"/>
        <v>32799.651684999997</v>
      </c>
      <c r="AF60" s="4"/>
      <c r="AG60" s="4"/>
      <c r="AH60" s="4"/>
      <c r="AI60" s="4"/>
      <c r="AJ60" s="4"/>
      <c r="AK60" s="4"/>
      <c r="AL60" s="4"/>
      <c r="AM60" s="4"/>
      <c r="AN60" s="4"/>
      <c r="AO60" s="4"/>
      <c r="AP60" s="4"/>
      <c r="AQ60" s="4"/>
      <c r="AR60" s="4"/>
      <c r="AS60" s="4"/>
      <c r="AT60" s="1099"/>
      <c r="AU60" s="772">
        <f t="shared" ref="AU60:AZ60" si="70">SUM(AU61:AU62)</f>
        <v>571.74847799999998</v>
      </c>
      <c r="AV60" s="772">
        <f t="shared" si="70"/>
        <v>671.64805200000001</v>
      </c>
      <c r="AW60" s="772">
        <f t="shared" si="70"/>
        <v>760.62706099999991</v>
      </c>
      <c r="AX60" s="772">
        <f t="shared" si="70"/>
        <v>797.227079</v>
      </c>
      <c r="AY60" s="772">
        <f t="shared" si="70"/>
        <v>690.98811400000011</v>
      </c>
      <c r="AZ60" s="772">
        <f t="shared" si="70"/>
        <v>668.271207</v>
      </c>
      <c r="BA60" s="772">
        <f t="shared" ref="BA60:BD60" si="71">SUM(BA61:BA62)</f>
        <v>856.67342400000007</v>
      </c>
      <c r="BB60" s="772">
        <f t="shared" si="71"/>
        <v>1246.871351</v>
      </c>
      <c r="BC60" s="772">
        <f t="shared" si="71"/>
        <v>1378.8505539999999</v>
      </c>
      <c r="BD60" s="772">
        <f t="shared" si="71"/>
        <v>1365.2309333333335</v>
      </c>
      <c r="BE60" s="4"/>
      <c r="BF60" s="4"/>
      <c r="BG60" s="4"/>
      <c r="BH60" s="4"/>
      <c r="BI60" s="4"/>
      <c r="BJ60" s="4"/>
      <c r="BK60" s="4"/>
      <c r="BL60" s="4"/>
      <c r="BM60" s="4"/>
      <c r="BN60" s="4"/>
      <c r="BO60" s="4"/>
      <c r="BP60" s="4"/>
      <c r="BQ60" s="4"/>
      <c r="BR60" s="4"/>
      <c r="BS60" s="4"/>
      <c r="BT60" s="4"/>
      <c r="BU60" s="4"/>
    </row>
    <row r="61" spans="1:73" x14ac:dyDescent="0.25">
      <c r="A61" s="854"/>
      <c r="B61" s="4"/>
      <c r="C61" s="4"/>
      <c r="D61" s="4" t="s">
        <v>1072</v>
      </c>
      <c r="E61" s="499"/>
      <c r="F61" s="499"/>
      <c r="G61" s="1934">
        <f t="shared" ref="G61:K61" si="72">G10</f>
        <v>32.277374000000002</v>
      </c>
      <c r="H61" s="1934">
        <f t="shared" si="72"/>
        <v>32.696102000000003</v>
      </c>
      <c r="I61" s="1934">
        <f t="shared" si="72"/>
        <v>34.890129000000002</v>
      </c>
      <c r="J61" s="1934">
        <f t="shared" si="72"/>
        <v>35.064278999999999</v>
      </c>
      <c r="K61" s="1934">
        <f t="shared" si="72"/>
        <v>34.478938999999997</v>
      </c>
      <c r="L61" s="1934">
        <f t="shared" ref="L61:O61" si="73">L10</f>
        <v>52.116860000000003</v>
      </c>
      <c r="M61" s="1934">
        <f t="shared" si="73"/>
        <v>70.353319999999997</v>
      </c>
      <c r="N61" s="1934">
        <f t="shared" si="73"/>
        <v>119.578613</v>
      </c>
      <c r="O61" s="1934">
        <f t="shared" si="73"/>
        <v>0</v>
      </c>
      <c r="P61" s="499"/>
      <c r="Q61" s="497"/>
      <c r="R61" s="43"/>
      <c r="S61" s="9"/>
      <c r="T61" s="66"/>
      <c r="U61" s="1026"/>
      <c r="V61" s="576">
        <f t="shared" ref="V61:AA61" si="74">V10</f>
        <v>5783.7999999999993</v>
      </c>
      <c r="W61" s="576">
        <f t="shared" si="74"/>
        <v>5781.9000000000005</v>
      </c>
      <c r="X61" s="576">
        <f t="shared" si="74"/>
        <v>6179.0556759999999</v>
      </c>
      <c r="Y61" s="576">
        <f t="shared" si="74"/>
        <v>6728.0226829999992</v>
      </c>
      <c r="Z61" s="576">
        <f t="shared" si="74"/>
        <v>6422.7851799999989</v>
      </c>
      <c r="AA61" s="576">
        <f t="shared" si="74"/>
        <v>7217.4085550000009</v>
      </c>
      <c r="AB61" s="576">
        <f t="shared" ref="AB61:AE61" si="75">AB10</f>
        <v>10512.364772999999</v>
      </c>
      <c r="AC61" s="576">
        <f t="shared" si="75"/>
        <v>13520.016988999998</v>
      </c>
      <c r="AD61" s="576">
        <f t="shared" si="75"/>
        <v>23633.132479999997</v>
      </c>
      <c r="AE61" s="576">
        <f t="shared" si="75"/>
        <v>29468.444785</v>
      </c>
      <c r="AF61" s="4"/>
      <c r="AG61" s="4"/>
      <c r="AH61" s="4"/>
      <c r="AI61" s="4"/>
      <c r="AJ61" s="4"/>
      <c r="AK61" s="4"/>
      <c r="AL61" s="4"/>
      <c r="AM61" s="4"/>
      <c r="AN61" s="4"/>
      <c r="AO61" s="4"/>
      <c r="AP61" s="4"/>
      <c r="AQ61" s="4"/>
      <c r="AR61" s="4"/>
      <c r="AS61" s="4"/>
      <c r="AT61" s="1099"/>
      <c r="AU61" s="576">
        <f t="shared" ref="AU61:AZ61" si="76">AU10</f>
        <v>478.50438600000001</v>
      </c>
      <c r="AV61" s="576">
        <f t="shared" si="76"/>
        <v>572.27632700000004</v>
      </c>
      <c r="AW61" s="576">
        <f t="shared" si="76"/>
        <v>661.06027399999994</v>
      </c>
      <c r="AX61" s="576">
        <f t="shared" si="76"/>
        <v>705.39843599999995</v>
      </c>
      <c r="AY61" s="576">
        <f t="shared" si="76"/>
        <v>603.76560300000006</v>
      </c>
      <c r="AZ61" s="576">
        <f t="shared" si="76"/>
        <v>563.56889000000001</v>
      </c>
      <c r="BA61" s="576">
        <f t="shared" ref="BA61:BD61" si="77">BA10</f>
        <v>750.89358300000004</v>
      </c>
      <c r="BB61" s="576">
        <f t="shared" si="77"/>
        <v>1149.9923349999999</v>
      </c>
      <c r="BC61" s="576">
        <f t="shared" si="77"/>
        <v>1267.795001</v>
      </c>
      <c r="BD61" s="576">
        <f t="shared" si="77"/>
        <v>1246.2846386666668</v>
      </c>
      <c r="BE61" s="4"/>
      <c r="BF61" s="4"/>
      <c r="BG61" s="4"/>
      <c r="BH61" s="4"/>
      <c r="BI61" s="4"/>
      <c r="BJ61" s="4"/>
      <c r="BK61" s="4"/>
      <c r="BL61" s="4"/>
      <c r="BM61" s="4"/>
      <c r="BN61" s="4"/>
      <c r="BO61" s="4"/>
      <c r="BP61" s="4"/>
      <c r="BQ61" s="4"/>
      <c r="BR61" s="4"/>
      <c r="BS61" s="4"/>
      <c r="BT61" s="4"/>
      <c r="BU61" s="4"/>
    </row>
    <row r="62" spans="1:73" x14ac:dyDescent="0.25">
      <c r="A62" s="854"/>
      <c r="B62" s="4"/>
      <c r="C62" s="4"/>
      <c r="D62" s="4" t="s">
        <v>1073</v>
      </c>
      <c r="E62" s="499"/>
      <c r="F62" s="499"/>
      <c r="G62" s="1934">
        <f t="shared" ref="G62:K62" si="78">G21</f>
        <v>4.4695010000000002</v>
      </c>
      <c r="H62" s="1934">
        <f t="shared" si="78"/>
        <v>5.5808819999999999</v>
      </c>
      <c r="I62" s="1934">
        <f t="shared" si="78"/>
        <v>6.994739</v>
      </c>
      <c r="J62" s="1934">
        <f t="shared" si="78"/>
        <v>7.9181549999999996</v>
      </c>
      <c r="K62" s="1934">
        <f t="shared" si="78"/>
        <v>8.8337039999999991</v>
      </c>
      <c r="L62" s="1934">
        <f t="shared" ref="L62:O62" si="79">L21</f>
        <v>9.3264189999999996</v>
      </c>
      <c r="M62" s="1934">
        <f t="shared" si="79"/>
        <v>11.177948000000001</v>
      </c>
      <c r="N62" s="1934">
        <f t="shared" si="79"/>
        <v>11.764283000000001</v>
      </c>
      <c r="O62" s="1934">
        <f t="shared" si="79"/>
        <v>0</v>
      </c>
      <c r="P62" s="499"/>
      <c r="Q62" s="497"/>
      <c r="R62" s="43"/>
      <c r="S62" s="9"/>
      <c r="T62" s="66"/>
      <c r="U62" s="1026"/>
      <c r="V62" s="576">
        <f t="shared" ref="V62:AA62" si="80">V21</f>
        <v>974.7</v>
      </c>
      <c r="W62" s="576">
        <f t="shared" si="80"/>
        <v>1180.5999999999999</v>
      </c>
      <c r="X62" s="576">
        <f t="shared" si="80"/>
        <v>1396.8643939999999</v>
      </c>
      <c r="Y62" s="576">
        <f t="shared" si="80"/>
        <v>1616.360733</v>
      </c>
      <c r="Z62" s="576">
        <f t="shared" si="80"/>
        <v>1775.589246</v>
      </c>
      <c r="AA62" s="576">
        <f t="shared" si="80"/>
        <v>2180.1526050000002</v>
      </c>
      <c r="AB62" s="576">
        <f t="shared" ref="AB62:AE62" si="81">AB21</f>
        <v>2218.343691</v>
      </c>
      <c r="AC62" s="576">
        <f t="shared" si="81"/>
        <v>2623.6674210000001</v>
      </c>
      <c r="AD62" s="576">
        <f t="shared" si="81"/>
        <v>3048.576008</v>
      </c>
      <c r="AE62" s="576">
        <f t="shared" si="81"/>
        <v>3331.2069000000006</v>
      </c>
      <c r="AF62" s="4"/>
      <c r="AG62" s="4"/>
      <c r="AH62" s="4"/>
      <c r="AI62" s="4"/>
      <c r="AJ62" s="4"/>
      <c r="AK62" s="4"/>
      <c r="AL62" s="4"/>
      <c r="AM62" s="4"/>
      <c r="AN62" s="4"/>
      <c r="AO62" s="4"/>
      <c r="AP62" s="4"/>
      <c r="AQ62" s="4"/>
      <c r="AR62" s="4"/>
      <c r="AS62" s="4"/>
      <c r="AT62" s="1099"/>
      <c r="AU62" s="576">
        <f t="shared" ref="AU62:AZ62" si="82">AU21</f>
        <v>93.244092000000023</v>
      </c>
      <c r="AV62" s="576">
        <f t="shared" si="82"/>
        <v>99.371724999999998</v>
      </c>
      <c r="AW62" s="576">
        <f t="shared" si="82"/>
        <v>99.566786999999977</v>
      </c>
      <c r="AX62" s="576">
        <f t="shared" si="82"/>
        <v>91.828643</v>
      </c>
      <c r="AY62" s="576">
        <f t="shared" si="82"/>
        <v>87.222511000000026</v>
      </c>
      <c r="AZ62" s="576">
        <f t="shared" si="82"/>
        <v>104.70231699999997</v>
      </c>
      <c r="BA62" s="576">
        <f t="shared" ref="BA62:BD62" si="83">BA21</f>
        <v>105.779841</v>
      </c>
      <c r="BB62" s="576">
        <f t="shared" si="83"/>
        <v>96.879016000000007</v>
      </c>
      <c r="BC62" s="576">
        <f t="shared" si="83"/>
        <v>111.055553</v>
      </c>
      <c r="BD62" s="576">
        <f t="shared" si="83"/>
        <v>118.94629466666672</v>
      </c>
      <c r="BE62" s="4"/>
      <c r="BF62" s="4"/>
      <c r="BG62" s="4"/>
      <c r="BH62" s="4"/>
      <c r="BI62" s="4"/>
      <c r="BJ62" s="4"/>
      <c r="BK62" s="4"/>
      <c r="BL62" s="4"/>
      <c r="BM62" s="4"/>
      <c r="BN62" s="4"/>
      <c r="BO62" s="4"/>
      <c r="BP62" s="4"/>
      <c r="BQ62" s="4"/>
      <c r="BR62" s="4"/>
      <c r="BS62" s="4"/>
      <c r="BT62" s="4"/>
      <c r="BU62" s="4"/>
    </row>
    <row r="63" spans="1:73" x14ac:dyDescent="0.25">
      <c r="A63" s="859"/>
      <c r="B63" s="12"/>
      <c r="C63" s="771" t="s">
        <v>1074</v>
      </c>
      <c r="D63" s="12" t="s">
        <v>1075</v>
      </c>
      <c r="E63" s="593"/>
      <c r="F63" s="593"/>
      <c r="G63" s="1933">
        <f t="shared" ref="G63:K63" si="84">SUM(G64:G66)</f>
        <v>20.017647000000004</v>
      </c>
      <c r="H63" s="1933">
        <f t="shared" si="84"/>
        <v>17.952202999999997</v>
      </c>
      <c r="I63" s="1933">
        <f t="shared" si="84"/>
        <v>5.1911900000000006</v>
      </c>
      <c r="J63" s="1933">
        <f t="shared" si="84"/>
        <v>5.1729260000000021</v>
      </c>
      <c r="K63" s="1933">
        <f t="shared" si="84"/>
        <v>5.8387350000000007</v>
      </c>
      <c r="L63" s="1933">
        <f t="shared" ref="L63:O63" si="85">SUM(L64:L66)</f>
        <v>0.83320100000000008</v>
      </c>
      <c r="M63" s="1933">
        <f t="shared" si="85"/>
        <v>-4.5306890000000006</v>
      </c>
      <c r="N63" s="1933">
        <f t="shared" si="85"/>
        <v>-0.75564999999999949</v>
      </c>
      <c r="O63" s="1933">
        <f t="shared" si="85"/>
        <v>0</v>
      </c>
      <c r="P63" s="593"/>
      <c r="Q63" s="497"/>
      <c r="R63" s="43"/>
      <c r="S63" s="9"/>
      <c r="T63" s="66"/>
      <c r="U63" s="1026"/>
      <c r="V63" s="772">
        <f t="shared" ref="V63:AA63" si="86">SUM(V64:V66)</f>
        <v>1090.4999999999939</v>
      </c>
      <c r="W63" s="772">
        <f t="shared" si="86"/>
        <v>350.2</v>
      </c>
      <c r="X63" s="772">
        <f t="shared" si="86"/>
        <v>600.04591800000003</v>
      </c>
      <c r="Y63" s="772">
        <f t="shared" si="86"/>
        <v>488.19547399999999</v>
      </c>
      <c r="Z63" s="772">
        <f t="shared" si="86"/>
        <v>903.69845400000008</v>
      </c>
      <c r="AA63" s="772">
        <f t="shared" si="86"/>
        <v>169.38099299999999</v>
      </c>
      <c r="AB63" s="772">
        <f t="shared" ref="AB63:AE63" si="87">SUM(AB64:AB66)</f>
        <v>-227.43521699999997</v>
      </c>
      <c r="AC63" s="772">
        <f t="shared" si="87"/>
        <v>1374.31826</v>
      </c>
      <c r="AD63" s="772">
        <f t="shared" si="87"/>
        <v>1581.2196480000011</v>
      </c>
      <c r="AE63" s="772">
        <f t="shared" si="87"/>
        <v>1017.292878</v>
      </c>
      <c r="AF63" s="4"/>
      <c r="AG63" s="4"/>
      <c r="AH63" s="4"/>
      <c r="AI63" s="4"/>
      <c r="AJ63" s="4"/>
      <c r="AK63" s="4"/>
      <c r="AL63" s="4"/>
      <c r="AM63" s="4"/>
      <c r="AN63" s="4"/>
      <c r="AO63" s="4"/>
      <c r="AP63" s="4"/>
      <c r="AQ63" s="4"/>
      <c r="AR63" s="4"/>
      <c r="AS63" s="4"/>
      <c r="AT63" s="1099"/>
      <c r="AU63" s="772">
        <f t="shared" ref="AU63:AZ63" si="88">SUM(AU64:AU66)</f>
        <v>26.427273000000003</v>
      </c>
      <c r="AV63" s="772">
        <f t="shared" si="88"/>
        <v>29.949319000000003</v>
      </c>
      <c r="AW63" s="772">
        <f t="shared" si="88"/>
        <v>26.947137999999999</v>
      </c>
      <c r="AX63" s="772">
        <f t="shared" si="88"/>
        <v>37.236858999999995</v>
      </c>
      <c r="AY63" s="772">
        <f t="shared" si="88"/>
        <v>42.849010999999997</v>
      </c>
      <c r="AZ63" s="772">
        <f t="shared" si="88"/>
        <v>36.461496000000004</v>
      </c>
      <c r="BA63" s="772">
        <f t="shared" ref="BA63:BD63" si="89">SUM(BA64:BA66)</f>
        <v>39.812868999999999</v>
      </c>
      <c r="BB63" s="772">
        <f t="shared" si="89"/>
        <v>44.998853000000004</v>
      </c>
      <c r="BC63" s="772">
        <f t="shared" si="89"/>
        <v>69.817996000000008</v>
      </c>
      <c r="BD63" s="772">
        <f t="shared" si="89"/>
        <v>71.386645333333334</v>
      </c>
      <c r="BE63" s="4"/>
      <c r="BF63" s="4"/>
      <c r="BG63" s="4"/>
      <c r="BH63" s="4"/>
      <c r="BI63" s="4"/>
      <c r="BJ63" s="4"/>
      <c r="BK63" s="4"/>
      <c r="BL63" s="4"/>
      <c r="BM63" s="4"/>
      <c r="BN63" s="4"/>
      <c r="BO63" s="4"/>
      <c r="BP63" s="4"/>
      <c r="BQ63" s="4"/>
      <c r="BR63" s="4"/>
      <c r="BS63" s="4"/>
      <c r="BT63" s="4"/>
      <c r="BU63" s="4"/>
    </row>
    <row r="64" spans="1:73" x14ac:dyDescent="0.25">
      <c r="A64" s="854"/>
      <c r="B64" s="4"/>
      <c r="C64" s="4"/>
      <c r="D64" s="4" t="s">
        <v>1076</v>
      </c>
      <c r="E64" s="499"/>
      <c r="F64" s="499"/>
      <c r="G64" s="1934">
        <f t="shared" ref="G64:K64" si="90">G29</f>
        <v>14.734512000000002</v>
      </c>
      <c r="H64" s="1934">
        <f t="shared" si="90"/>
        <v>14.228079999999999</v>
      </c>
      <c r="I64" s="1934">
        <f t="shared" si="90"/>
        <v>6.8194189999999999</v>
      </c>
      <c r="J64" s="1934">
        <f t="shared" si="90"/>
        <v>-26.532415</v>
      </c>
      <c r="K64" s="1934">
        <f t="shared" si="90"/>
        <v>5.8788780000000003</v>
      </c>
      <c r="L64" s="1934">
        <f t="shared" ref="L64:O64" si="91">L29</f>
        <v>1.0588660000000001</v>
      </c>
      <c r="M64" s="1934">
        <f t="shared" si="91"/>
        <v>-5.1399800000000004</v>
      </c>
      <c r="N64" s="1934">
        <f t="shared" si="91"/>
        <v>-1.9017249999999994</v>
      </c>
      <c r="O64" s="1934">
        <f t="shared" si="91"/>
        <v>0</v>
      </c>
      <c r="P64" s="499"/>
      <c r="Q64" s="497"/>
      <c r="R64" s="43"/>
      <c r="S64" s="9"/>
      <c r="T64" s="66"/>
      <c r="U64" s="1026"/>
      <c r="V64" s="576">
        <f t="shared" ref="V64:AA64" si="92">V29</f>
        <v>640.09999999999991</v>
      </c>
      <c r="W64" s="576">
        <f t="shared" si="92"/>
        <v>258.2</v>
      </c>
      <c r="X64" s="576">
        <f t="shared" si="92"/>
        <v>157.27817899999999</v>
      </c>
      <c r="Y64" s="576">
        <f t="shared" si="92"/>
        <v>428.85386199999999</v>
      </c>
      <c r="Z64" s="576">
        <f t="shared" si="92"/>
        <v>337.32999200000006</v>
      </c>
      <c r="AA64" s="576">
        <f t="shared" si="92"/>
        <v>-53.766841000000007</v>
      </c>
      <c r="AB64" s="576">
        <f t="shared" ref="AB64:AE64" si="93">AB29</f>
        <v>-106.948812</v>
      </c>
      <c r="AC64" s="576">
        <f t="shared" si="93"/>
        <v>-33.909755000000004</v>
      </c>
      <c r="AD64" s="576">
        <f t="shared" si="93"/>
        <v>90.370060999999993</v>
      </c>
      <c r="AE64" s="576">
        <f t="shared" si="93"/>
        <v>338.51511199999999</v>
      </c>
      <c r="AF64" s="4"/>
      <c r="AG64" s="4"/>
      <c r="AH64" s="4"/>
      <c r="AI64" s="4"/>
      <c r="AJ64" s="4"/>
      <c r="AK64" s="4"/>
      <c r="AL64" s="4"/>
      <c r="AM64" s="4"/>
      <c r="AN64" s="4"/>
      <c r="AO64" s="4"/>
      <c r="AP64" s="4"/>
      <c r="AQ64" s="4"/>
      <c r="AR64" s="4"/>
      <c r="AS64" s="4"/>
      <c r="AT64" s="1099"/>
      <c r="AU64" s="576">
        <f t="shared" ref="AU64:AZ64" si="94">AU29</f>
        <v>26.427273000000003</v>
      </c>
      <c r="AV64" s="576">
        <f t="shared" si="94"/>
        <v>29.949319000000003</v>
      </c>
      <c r="AW64" s="576">
        <f t="shared" si="94"/>
        <v>26.947137999999999</v>
      </c>
      <c r="AX64" s="576">
        <f t="shared" si="94"/>
        <v>37.236858999999995</v>
      </c>
      <c r="AY64" s="576">
        <f t="shared" si="94"/>
        <v>42.849010999999997</v>
      </c>
      <c r="AZ64" s="576">
        <f t="shared" si="94"/>
        <v>36.461496000000004</v>
      </c>
      <c r="BA64" s="576">
        <f t="shared" ref="BA64:BD64" si="95">BA29</f>
        <v>39.812868999999999</v>
      </c>
      <c r="BB64" s="576">
        <f t="shared" si="95"/>
        <v>44.998853000000004</v>
      </c>
      <c r="BC64" s="576">
        <f t="shared" si="95"/>
        <v>69.817996000000008</v>
      </c>
      <c r="BD64" s="576">
        <f t="shared" si="95"/>
        <v>71.386645333333334</v>
      </c>
      <c r="BE64" s="4"/>
      <c r="BF64" s="4"/>
      <c r="BG64" s="4"/>
      <c r="BH64" s="4"/>
      <c r="BI64" s="4"/>
      <c r="BJ64" s="4"/>
      <c r="BK64" s="4"/>
      <c r="BL64" s="4"/>
      <c r="BM64" s="4"/>
      <c r="BN64" s="4"/>
      <c r="BO64" s="4"/>
      <c r="BP64" s="4"/>
      <c r="BQ64" s="4"/>
      <c r="BR64" s="4"/>
      <c r="BS64" s="4"/>
      <c r="BT64" s="4"/>
      <c r="BU64" s="4"/>
    </row>
    <row r="65" spans="1:73" x14ac:dyDescent="0.25">
      <c r="A65" s="854"/>
      <c r="B65" s="4"/>
      <c r="C65" s="4"/>
      <c r="D65" s="4" t="s">
        <v>1187</v>
      </c>
      <c r="E65" s="499"/>
      <c r="F65" s="499"/>
      <c r="G65" s="1934">
        <f t="shared" ref="G65:K65" si="96">G34+G35+G36</f>
        <v>1.9237720000000003</v>
      </c>
      <c r="H65" s="1934">
        <f t="shared" si="96"/>
        <v>2.0755090000000003</v>
      </c>
      <c r="I65" s="1934">
        <f t="shared" si="96"/>
        <v>-4.2183829999999993</v>
      </c>
      <c r="J65" s="1934">
        <f t="shared" si="96"/>
        <v>30.442707000000002</v>
      </c>
      <c r="K65" s="1934">
        <f t="shared" si="96"/>
        <v>-4.0142999999999998E-2</v>
      </c>
      <c r="L65" s="1934">
        <f t="shared" ref="L65:O65" si="97">L34+L35+L36</f>
        <v>-0.225665</v>
      </c>
      <c r="M65" s="1934">
        <f t="shared" si="97"/>
        <v>0.60929100000000003</v>
      </c>
      <c r="N65" s="1934">
        <f t="shared" si="97"/>
        <v>1.146075</v>
      </c>
      <c r="O65" s="1934">
        <f t="shared" si="97"/>
        <v>0</v>
      </c>
      <c r="P65" s="499"/>
      <c r="Q65" s="497"/>
      <c r="R65" s="43"/>
      <c r="S65" s="9"/>
      <c r="T65" s="66"/>
      <c r="U65" s="1026"/>
      <c r="V65" s="576">
        <f t="shared" ref="V65:AA65" si="98">V34</f>
        <v>450.39999999999401</v>
      </c>
      <c r="W65" s="576">
        <f t="shared" si="98"/>
        <v>92</v>
      </c>
      <c r="X65" s="576">
        <f t="shared" si="98"/>
        <v>353.64498900000001</v>
      </c>
      <c r="Y65" s="576">
        <f t="shared" si="98"/>
        <v>-46.427084999999998</v>
      </c>
      <c r="Z65" s="576">
        <f t="shared" si="98"/>
        <v>428.07030700000001</v>
      </c>
      <c r="AA65" s="576">
        <f t="shared" si="98"/>
        <v>58.533833000000001</v>
      </c>
      <c r="AB65" s="576">
        <f t="shared" ref="AB65:AE65" si="99">AB34</f>
        <v>-211.68178499999999</v>
      </c>
      <c r="AC65" s="576">
        <f t="shared" si="99"/>
        <v>1135.077828</v>
      </c>
      <c r="AD65" s="576">
        <f t="shared" si="99"/>
        <v>848.22810900000104</v>
      </c>
      <c r="AE65" s="576">
        <f t="shared" si="99"/>
        <v>647.05055600000003</v>
      </c>
      <c r="AF65" s="4"/>
      <c r="AG65" s="4"/>
      <c r="AH65" s="4"/>
      <c r="AI65" s="4"/>
      <c r="AJ65" s="4"/>
      <c r="AK65" s="4"/>
      <c r="AL65" s="4"/>
      <c r="AM65" s="4"/>
      <c r="AN65" s="4"/>
      <c r="AO65" s="4"/>
      <c r="AP65" s="4"/>
      <c r="AQ65" s="4"/>
      <c r="AR65" s="4"/>
      <c r="AS65" s="4"/>
      <c r="AT65" s="1099"/>
      <c r="AU65" s="576">
        <f t="shared" ref="AU65:AZ65" si="100">AU34+AU35+AU36</f>
        <v>0</v>
      </c>
      <c r="AV65" s="576">
        <f t="shared" si="100"/>
        <v>0</v>
      </c>
      <c r="AW65" s="576">
        <f t="shared" si="100"/>
        <v>0</v>
      </c>
      <c r="AX65" s="576">
        <f t="shared" si="100"/>
        <v>0</v>
      </c>
      <c r="AY65" s="576">
        <f t="shared" si="100"/>
        <v>0</v>
      </c>
      <c r="AZ65" s="576">
        <f t="shared" si="100"/>
        <v>0</v>
      </c>
      <c r="BA65" s="576">
        <f t="shared" ref="BA65:BD65" si="101">BA34+BA35+BA36</f>
        <v>0</v>
      </c>
      <c r="BB65" s="576">
        <f t="shared" si="101"/>
        <v>0</v>
      </c>
      <c r="BC65" s="576">
        <f t="shared" si="101"/>
        <v>0</v>
      </c>
      <c r="BD65" s="576">
        <f t="shared" si="101"/>
        <v>0</v>
      </c>
      <c r="BE65" s="4"/>
      <c r="BF65" s="4"/>
      <c r="BG65" s="4"/>
      <c r="BH65" s="4"/>
      <c r="BI65" s="4"/>
      <c r="BJ65" s="4"/>
      <c r="BK65" s="4"/>
      <c r="BL65" s="4"/>
      <c r="BM65" s="4"/>
      <c r="BN65" s="4"/>
      <c r="BO65" s="4"/>
      <c r="BP65" s="4"/>
      <c r="BQ65" s="4"/>
      <c r="BR65" s="4"/>
      <c r="BS65" s="4"/>
      <c r="BT65" s="4"/>
      <c r="BU65" s="4"/>
    </row>
    <row r="66" spans="1:73" x14ac:dyDescent="0.25">
      <c r="A66" s="854"/>
      <c r="B66" s="4"/>
      <c r="C66" s="4"/>
      <c r="D66" s="4" t="s">
        <v>1077</v>
      </c>
      <c r="E66" s="499"/>
      <c r="F66" s="499"/>
      <c r="G66" s="1934">
        <f t="shared" ref="G66:K66" si="102">G44</f>
        <v>3.3593630000000001</v>
      </c>
      <c r="H66" s="1934">
        <f t="shared" si="102"/>
        <v>1.648614</v>
      </c>
      <c r="I66" s="1934">
        <f t="shared" si="102"/>
        <v>2.5901540000000001</v>
      </c>
      <c r="J66" s="1934">
        <f t="shared" si="102"/>
        <v>1.262634</v>
      </c>
      <c r="K66" s="1934">
        <f t="shared" si="102"/>
        <v>0</v>
      </c>
      <c r="L66" s="1934">
        <f t="shared" ref="L66:O66" si="103">L44</f>
        <v>0</v>
      </c>
      <c r="M66" s="1934">
        <f t="shared" si="103"/>
        <v>0</v>
      </c>
      <c r="N66" s="1934">
        <f t="shared" si="103"/>
        <v>0</v>
      </c>
      <c r="O66" s="1934">
        <f t="shared" si="103"/>
        <v>0</v>
      </c>
      <c r="P66" s="499"/>
      <c r="Q66" s="497"/>
      <c r="R66" s="43"/>
      <c r="S66" s="9"/>
      <c r="T66" s="66"/>
      <c r="U66" s="1026"/>
      <c r="V66" s="576">
        <f t="shared" ref="V66:AA66" si="104">V44</f>
        <v>0</v>
      </c>
      <c r="W66" s="576">
        <f t="shared" si="104"/>
        <v>0</v>
      </c>
      <c r="X66" s="576">
        <f t="shared" si="104"/>
        <v>89.122749999999996</v>
      </c>
      <c r="Y66" s="576">
        <f t="shared" si="104"/>
        <v>105.768697</v>
      </c>
      <c r="Z66" s="576">
        <f t="shared" si="104"/>
        <v>138.29815500000001</v>
      </c>
      <c r="AA66" s="576">
        <f t="shared" si="104"/>
        <v>164.614001</v>
      </c>
      <c r="AB66" s="576">
        <f t="shared" ref="AB66:AE66" si="105">AB44</f>
        <v>91.19538</v>
      </c>
      <c r="AC66" s="576">
        <f t="shared" si="105"/>
        <v>273.15018700000002</v>
      </c>
      <c r="AD66" s="576">
        <f t="shared" si="105"/>
        <v>642.62147800000002</v>
      </c>
      <c r="AE66" s="576">
        <f t="shared" si="105"/>
        <v>31.727209999999999</v>
      </c>
      <c r="AF66" s="4"/>
      <c r="AG66" s="4"/>
      <c r="AH66" s="4"/>
      <c r="AI66" s="4"/>
      <c r="AJ66" s="4"/>
      <c r="AK66" s="4"/>
      <c r="AL66" s="4"/>
      <c r="AM66" s="4"/>
      <c r="AN66" s="4"/>
      <c r="AO66" s="4"/>
      <c r="AP66" s="4"/>
      <c r="AQ66" s="4"/>
      <c r="AR66" s="4"/>
      <c r="AS66" s="4"/>
      <c r="AT66" s="1099"/>
      <c r="AU66" s="576">
        <f t="shared" ref="AU66:AZ66" si="106">AU44</f>
        <v>0</v>
      </c>
      <c r="AV66" s="576">
        <f t="shared" si="106"/>
        <v>0</v>
      </c>
      <c r="AW66" s="576">
        <f t="shared" si="106"/>
        <v>0</v>
      </c>
      <c r="AX66" s="576">
        <f t="shared" si="106"/>
        <v>0</v>
      </c>
      <c r="AY66" s="576">
        <f t="shared" si="106"/>
        <v>0</v>
      </c>
      <c r="AZ66" s="576">
        <f t="shared" si="106"/>
        <v>0</v>
      </c>
      <c r="BA66" s="576">
        <f t="shared" ref="BA66:BD66" si="107">BA44</f>
        <v>0</v>
      </c>
      <c r="BB66" s="576">
        <f t="shared" si="107"/>
        <v>0</v>
      </c>
      <c r="BC66" s="576">
        <f t="shared" si="107"/>
        <v>0</v>
      </c>
      <c r="BD66" s="576">
        <f t="shared" si="107"/>
        <v>0</v>
      </c>
      <c r="BE66" s="4"/>
      <c r="BF66" s="4"/>
      <c r="BG66" s="4"/>
      <c r="BH66" s="4"/>
      <c r="BI66" s="4"/>
      <c r="BJ66" s="4"/>
      <c r="BK66" s="4"/>
      <c r="BL66" s="4"/>
      <c r="BM66" s="4"/>
      <c r="BN66" s="4"/>
      <c r="BO66" s="4"/>
      <c r="BP66" s="4"/>
      <c r="BQ66" s="4"/>
      <c r="BR66" s="4"/>
      <c r="BS66" s="4"/>
      <c r="BT66" s="4"/>
      <c r="BU66" s="4"/>
    </row>
    <row r="67" spans="1:73" x14ac:dyDescent="0.25">
      <c r="A67" s="861"/>
      <c r="B67" s="773"/>
      <c r="C67" s="773"/>
      <c r="D67" s="773" t="s">
        <v>1134</v>
      </c>
      <c r="E67" s="774"/>
      <c r="F67" s="774"/>
      <c r="G67" s="1935">
        <f t="shared" ref="G67:K67" si="108">G60+G63</f>
        <v>56.764522000000007</v>
      </c>
      <c r="H67" s="1935">
        <f t="shared" si="108"/>
        <v>56.229187000000003</v>
      </c>
      <c r="I67" s="1935">
        <f t="shared" si="108"/>
        <v>47.076058000000003</v>
      </c>
      <c r="J67" s="1935">
        <f t="shared" si="108"/>
        <v>48.155360000000002</v>
      </c>
      <c r="K67" s="1935">
        <f t="shared" si="108"/>
        <v>49.151377999999994</v>
      </c>
      <c r="L67" s="1935">
        <f t="shared" ref="L67:O67" si="109">L60+L63</f>
        <v>62.276480000000006</v>
      </c>
      <c r="M67" s="1935">
        <f t="shared" si="109"/>
        <v>77.000579000000002</v>
      </c>
      <c r="N67" s="1935">
        <f t="shared" si="109"/>
        <v>130.58724599999999</v>
      </c>
      <c r="O67" s="1935">
        <f t="shared" si="109"/>
        <v>0</v>
      </c>
      <c r="P67" s="593"/>
      <c r="Q67" s="497"/>
      <c r="R67" s="43"/>
      <c r="S67" s="9"/>
      <c r="T67" s="66"/>
      <c r="U67" s="1026"/>
      <c r="V67" s="775">
        <f t="shared" ref="V67:AA67" si="110">V60+V63</f>
        <v>7848.9999999999927</v>
      </c>
      <c r="W67" s="775">
        <f t="shared" si="110"/>
        <v>7312.7</v>
      </c>
      <c r="X67" s="775">
        <f t="shared" si="110"/>
        <v>8175.9659879999999</v>
      </c>
      <c r="Y67" s="775">
        <f t="shared" si="110"/>
        <v>8832.5788899999989</v>
      </c>
      <c r="Z67" s="775">
        <f t="shared" si="110"/>
        <v>9102.0728799999979</v>
      </c>
      <c r="AA67" s="775">
        <f t="shared" si="110"/>
        <v>9566.9421530000018</v>
      </c>
      <c r="AB67" s="775">
        <f t="shared" ref="AB67:AE67" si="111">AB60+AB63</f>
        <v>12503.273246999999</v>
      </c>
      <c r="AC67" s="775">
        <f t="shared" si="111"/>
        <v>17518.002669999998</v>
      </c>
      <c r="AD67" s="775">
        <f t="shared" si="111"/>
        <v>28262.928135999999</v>
      </c>
      <c r="AE67" s="775">
        <f t="shared" si="111"/>
        <v>33816.944562999997</v>
      </c>
      <c r="AF67" s="4"/>
      <c r="AG67" s="4"/>
      <c r="AH67" s="4"/>
      <c r="AI67" s="4"/>
      <c r="AJ67" s="4"/>
      <c r="AK67" s="4"/>
      <c r="AL67" s="4"/>
      <c r="AM67" s="4"/>
      <c r="AN67" s="4"/>
      <c r="AO67" s="4"/>
      <c r="AP67" s="4"/>
      <c r="AQ67" s="4"/>
      <c r="AR67" s="4"/>
      <c r="AS67" s="4"/>
      <c r="AT67" s="1099"/>
      <c r="AU67" s="775">
        <f t="shared" ref="AU67:AZ67" si="112">AU60+AU63</f>
        <v>598.17575099999999</v>
      </c>
      <c r="AV67" s="775">
        <f t="shared" si="112"/>
        <v>701.59737100000007</v>
      </c>
      <c r="AW67" s="775">
        <f t="shared" si="112"/>
        <v>787.57419899999991</v>
      </c>
      <c r="AX67" s="775">
        <f t="shared" si="112"/>
        <v>834.46393799999998</v>
      </c>
      <c r="AY67" s="775">
        <f t="shared" si="112"/>
        <v>733.83712500000013</v>
      </c>
      <c r="AZ67" s="775">
        <f t="shared" si="112"/>
        <v>704.73270300000001</v>
      </c>
      <c r="BA67" s="775">
        <f t="shared" ref="BA67:BD67" si="113">BA60+BA63</f>
        <v>896.48629300000005</v>
      </c>
      <c r="BB67" s="775">
        <f t="shared" si="113"/>
        <v>1291.8702040000001</v>
      </c>
      <c r="BC67" s="775">
        <f t="shared" si="113"/>
        <v>1448.6685499999999</v>
      </c>
      <c r="BD67" s="775">
        <f t="shared" si="113"/>
        <v>1436.6175786666668</v>
      </c>
      <c r="BE67" s="4"/>
      <c r="BF67" s="4"/>
      <c r="BG67" s="4"/>
      <c r="BH67" s="4"/>
      <c r="BI67" s="4"/>
      <c r="BJ67" s="4"/>
      <c r="BK67" s="4"/>
      <c r="BL67" s="4"/>
      <c r="BM67" s="4"/>
      <c r="BN67" s="4"/>
      <c r="BO67" s="4"/>
      <c r="BP67" s="4"/>
      <c r="BQ67" s="4"/>
      <c r="BR67" s="4"/>
      <c r="BS67" s="4"/>
      <c r="BT67" s="4"/>
      <c r="BU67" s="4"/>
    </row>
    <row r="68" spans="1:73" x14ac:dyDescent="0.25">
      <c r="A68" s="854"/>
      <c r="B68" s="4"/>
      <c r="C68" s="4"/>
      <c r="D68" s="4"/>
      <c r="E68" s="4"/>
      <c r="F68" s="4"/>
      <c r="G68" s="4"/>
      <c r="H68" s="4"/>
      <c r="I68" s="38"/>
      <c r="J68" s="38"/>
      <c r="K68" s="4"/>
      <c r="L68" s="4"/>
      <c r="M68" s="4"/>
      <c r="N68" s="4"/>
      <c r="O68" s="4"/>
      <c r="P68" s="4"/>
      <c r="Q68" s="497"/>
      <c r="R68" s="43"/>
      <c r="S68" s="9"/>
      <c r="T68" s="66"/>
      <c r="U68" s="1026"/>
      <c r="V68" s="4"/>
      <c r="W68" s="4"/>
      <c r="X68" s="4"/>
      <c r="Y68" s="4"/>
      <c r="Z68" s="4"/>
      <c r="AA68" s="4"/>
      <c r="AB68" s="4"/>
      <c r="AC68" s="4"/>
      <c r="AD68" s="4"/>
      <c r="AE68" s="4"/>
      <c r="AF68" s="4"/>
      <c r="AG68" s="4"/>
      <c r="AH68" s="4"/>
      <c r="AI68" s="4"/>
      <c r="AJ68" s="4"/>
      <c r="AK68" s="4"/>
      <c r="AL68" s="4"/>
      <c r="AM68" s="4"/>
      <c r="AN68" s="4"/>
      <c r="AO68" s="4"/>
      <c r="AP68" s="4"/>
      <c r="AQ68" s="4"/>
      <c r="AR68" s="4"/>
      <c r="AS68" s="4"/>
      <c r="AT68" s="1099"/>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row>
    <row r="69" spans="1:73" s="783" customFormat="1" ht="14.25" x14ac:dyDescent="0.2">
      <c r="A69" s="862"/>
      <c r="B69" s="776"/>
      <c r="C69" s="776"/>
      <c r="D69" s="776" t="s">
        <v>1078</v>
      </c>
      <c r="E69" s="776"/>
      <c r="F69" s="777"/>
      <c r="G69" s="778"/>
      <c r="H69" s="778">
        <f>H67/G67-1</f>
        <v>-9.430802570662089E-3</v>
      </c>
      <c r="I69" s="778">
        <f>I67/H67-1</f>
        <v>-0.16278252431428542</v>
      </c>
      <c r="J69" s="778">
        <f>J67/I67-1</f>
        <v>2.2926770971350097E-2</v>
      </c>
      <c r="K69" s="778">
        <f>K67/J67-1</f>
        <v>2.0683429632755157E-2</v>
      </c>
      <c r="L69" s="778">
        <f t="shared" ref="L69:O69" si="114">L67/K67-1</f>
        <v>0.26703426300682787</v>
      </c>
      <c r="M69" s="778">
        <f t="shared" si="114"/>
        <v>0.2364311374053254</v>
      </c>
      <c r="N69" s="778">
        <f t="shared" si="114"/>
        <v>0.6959255072614452</v>
      </c>
      <c r="O69" s="778">
        <f t="shared" si="114"/>
        <v>-1</v>
      </c>
      <c r="P69" s="778"/>
      <c r="Q69" s="779"/>
      <c r="R69" s="780"/>
      <c r="S69" s="781"/>
      <c r="T69" s="782"/>
      <c r="U69" s="925"/>
      <c r="V69" s="776"/>
      <c r="W69" s="778">
        <f>W67/V67-1</f>
        <v>-6.8327175436360466E-2</v>
      </c>
      <c r="X69" s="778">
        <f>X67/W67-1</f>
        <v>0.11805023971993922</v>
      </c>
      <c r="Y69" s="778">
        <f>Y67/X67-1</f>
        <v>8.0310131299924814E-2</v>
      </c>
      <c r="Z69" s="778">
        <f>Z67/Y67-1</f>
        <v>3.0511359519824088E-2</v>
      </c>
      <c r="AA69" s="778">
        <f>AA67/Z67-1</f>
        <v>5.1072901648751001E-2</v>
      </c>
      <c r="AB69" s="778">
        <f t="shared" ref="AB69:AE69" si="115">AB67/AA67-1</f>
        <v>0.30692472548077676</v>
      </c>
      <c r="AC69" s="778">
        <f t="shared" si="115"/>
        <v>0.40107332887435843</v>
      </c>
      <c r="AD69" s="778">
        <f t="shared" si="115"/>
        <v>0.61336475786711375</v>
      </c>
      <c r="AE69" s="778">
        <f t="shared" si="115"/>
        <v>0.19651242080347475</v>
      </c>
      <c r="AF69" s="776"/>
      <c r="AG69" s="776"/>
      <c r="AH69" s="776"/>
      <c r="AI69" s="776"/>
      <c r="AJ69" s="776"/>
      <c r="AK69" s="776"/>
      <c r="AL69" s="776"/>
      <c r="AM69" s="776"/>
      <c r="AN69" s="776"/>
      <c r="AO69" s="776"/>
      <c r="AP69" s="776"/>
      <c r="AQ69" s="776"/>
      <c r="AR69" s="776"/>
      <c r="AS69" s="776"/>
      <c r="AT69" s="1097"/>
      <c r="AU69" s="776"/>
      <c r="AV69" s="778">
        <f>AV67/AU67-1</f>
        <v>0.17289503933769468</v>
      </c>
      <c r="AW69" s="778">
        <f>AW67/AV67-1</f>
        <v>0.12254439875887146</v>
      </c>
      <c r="AX69" s="778">
        <f>AX67/AW67-1</f>
        <v>5.9536916089349967E-2</v>
      </c>
      <c r="AY69" s="778">
        <f>AY67/AX67-1</f>
        <v>-0.12058857000001344</v>
      </c>
      <c r="AZ69" s="778">
        <f>AZ67/AY67-1</f>
        <v>-3.9660601799071049E-2</v>
      </c>
      <c r="BA69" s="778">
        <f t="shared" ref="BA69:BD69" si="116">BA67/AZ67-1</f>
        <v>0.2720940708210613</v>
      </c>
      <c r="BB69" s="778">
        <f t="shared" si="116"/>
        <v>0.44103731879367403</v>
      </c>
      <c r="BC69" s="778">
        <f t="shared" si="116"/>
        <v>0.12137314222009854</v>
      </c>
      <c r="BD69" s="778">
        <f t="shared" si="116"/>
        <v>-8.3186532442725003E-3</v>
      </c>
      <c r="BE69" s="776"/>
      <c r="BF69" s="776"/>
      <c r="BG69" s="776"/>
      <c r="BH69" s="776"/>
      <c r="BI69" s="776"/>
      <c r="BJ69" s="776"/>
      <c r="BK69" s="776"/>
      <c r="BL69" s="776"/>
      <c r="BM69" s="776"/>
      <c r="BN69" s="776"/>
      <c r="BO69" s="776"/>
      <c r="BP69" s="776"/>
      <c r="BQ69" s="776"/>
      <c r="BR69" s="776"/>
      <c r="BS69" s="776"/>
      <c r="BT69" s="776"/>
      <c r="BU69" s="776"/>
    </row>
    <row r="70" spans="1:73" x14ac:dyDescent="0.25">
      <c r="A70" s="854"/>
      <c r="B70" s="4"/>
      <c r="C70" s="4"/>
      <c r="D70" s="4" t="s">
        <v>1079</v>
      </c>
      <c r="E70" s="4"/>
      <c r="F70" s="36"/>
      <c r="G70" s="784">
        <f>G63/G67</f>
        <v>0.35264362835645829</v>
      </c>
      <c r="H70" s="784">
        <f>H63/H67</f>
        <v>0.3192684077043475</v>
      </c>
      <c r="I70" s="784">
        <f>I63/I67</f>
        <v>0.11027240216247504</v>
      </c>
      <c r="J70" s="784">
        <f>J63/J67</f>
        <v>0.10742160374255331</v>
      </c>
      <c r="K70" s="784">
        <f>K63/K67</f>
        <v>0.11879087092939696</v>
      </c>
      <c r="L70" s="784">
        <f t="shared" ref="L70:O70" si="117">L63/L67</f>
        <v>1.3379063813497486E-2</v>
      </c>
      <c r="M70" s="784">
        <f t="shared" si="117"/>
        <v>-5.883967443933117E-2</v>
      </c>
      <c r="N70" s="784">
        <f t="shared" si="117"/>
        <v>-5.786552846056647E-3</v>
      </c>
      <c r="O70" s="784" t="e">
        <f t="shared" si="117"/>
        <v>#DIV/0!</v>
      </c>
      <c r="P70" s="784"/>
      <c r="Q70" s="497"/>
      <c r="R70" s="43"/>
      <c r="S70" s="9"/>
      <c r="T70" s="66"/>
      <c r="U70" s="1026"/>
      <c r="V70" s="4"/>
      <c r="W70" s="784">
        <f>W63/W67</f>
        <v>4.7889288498092361E-2</v>
      </c>
      <c r="X70" s="784">
        <f>X63/X67</f>
        <v>7.3391440091690366E-2</v>
      </c>
      <c r="Y70" s="784">
        <f>Y63/Y67</f>
        <v>5.5272132870810967E-2</v>
      </c>
      <c r="Z70" s="784">
        <f>Z63/Z67</f>
        <v>9.9284906406945872E-2</v>
      </c>
      <c r="AA70" s="784">
        <f>AA63/AA67</f>
        <v>1.7704820442223067E-2</v>
      </c>
      <c r="AB70" s="784">
        <f t="shared" ref="AB70:AE70" si="118">AB63/AB67</f>
        <v>-1.8190054116794589E-2</v>
      </c>
      <c r="AC70" s="784">
        <f t="shared" si="118"/>
        <v>7.8451766784666227E-2</v>
      </c>
      <c r="AD70" s="784">
        <f t="shared" si="118"/>
        <v>5.5946773822982528E-2</v>
      </c>
      <c r="AE70" s="784">
        <f t="shared" si="118"/>
        <v>3.0082341593718278E-2</v>
      </c>
      <c r="AF70" s="4"/>
      <c r="AG70" s="4"/>
      <c r="AH70" s="4"/>
      <c r="AI70" s="4"/>
      <c r="AJ70" s="4"/>
      <c r="AK70" s="4"/>
      <c r="AL70" s="4"/>
      <c r="AM70" s="4"/>
      <c r="AN70" s="4"/>
      <c r="AO70" s="4"/>
      <c r="AP70" s="4"/>
      <c r="AQ70" s="4"/>
      <c r="AR70" s="4"/>
      <c r="AS70" s="4"/>
      <c r="AT70" s="1099"/>
      <c r="AU70" s="4"/>
      <c r="AV70" s="784">
        <f>AV63/AV67</f>
        <v>4.268733070837006E-2</v>
      </c>
      <c r="AW70" s="784">
        <f>AW63/AW67</f>
        <v>3.4215364132313332E-2</v>
      </c>
      <c r="AX70" s="784">
        <f>AX63/AX67</f>
        <v>4.4623688699175393E-2</v>
      </c>
      <c r="AY70" s="784">
        <f>AY63/AY67</f>
        <v>5.8390356034385679E-2</v>
      </c>
      <c r="AZ70" s="784">
        <f>AZ63/AZ67</f>
        <v>5.1738050249102746E-2</v>
      </c>
      <c r="BA70" s="784">
        <f t="shared" ref="BA70:BD70" si="119">BA63/BA67</f>
        <v>4.4409902650904221E-2</v>
      </c>
      <c r="BB70" s="784">
        <f t="shared" si="119"/>
        <v>3.4832332892786498E-2</v>
      </c>
      <c r="BC70" s="784">
        <f t="shared" si="119"/>
        <v>4.819459634158553E-2</v>
      </c>
      <c r="BD70" s="784">
        <f t="shared" si="119"/>
        <v>4.9690778112006465E-2</v>
      </c>
      <c r="BE70" s="4"/>
      <c r="BF70" s="4"/>
      <c r="BG70" s="4"/>
      <c r="BH70" s="4"/>
      <c r="BI70" s="4"/>
      <c r="BJ70" s="4"/>
      <c r="BK70" s="4"/>
      <c r="BL70" s="4"/>
      <c r="BM70" s="4"/>
      <c r="BN70" s="4"/>
      <c r="BO70" s="4"/>
      <c r="BP70" s="4"/>
      <c r="BQ70" s="4"/>
      <c r="BR70" s="4"/>
      <c r="BS70" s="4"/>
      <c r="BT70" s="4"/>
      <c r="BU70" s="4"/>
    </row>
    <row r="71" spans="1:73" x14ac:dyDescent="0.25">
      <c r="A71" s="854"/>
      <c r="B71" s="4"/>
      <c r="C71" s="43"/>
      <c r="D71" s="43"/>
      <c r="E71" s="497"/>
      <c r="F71" s="497"/>
      <c r="G71" s="497"/>
      <c r="H71" s="497"/>
      <c r="I71" s="498"/>
      <c r="J71" s="498"/>
      <c r="K71" s="498"/>
      <c r="L71" s="498"/>
      <c r="M71" s="498"/>
      <c r="N71" s="498"/>
      <c r="O71" s="498"/>
      <c r="P71" s="498"/>
      <c r="Q71" s="497"/>
      <c r="R71" s="43"/>
      <c r="S71" s="9"/>
      <c r="T71" s="66"/>
      <c r="U71" s="1026"/>
      <c r="V71" s="4"/>
      <c r="W71" s="4"/>
      <c r="X71" s="4"/>
      <c r="Y71" s="4"/>
      <c r="Z71" s="4"/>
      <c r="AA71" s="4"/>
      <c r="AB71" s="4"/>
      <c r="AC71" s="4"/>
      <c r="AD71" s="4"/>
      <c r="AE71" s="4"/>
      <c r="AF71" s="4"/>
      <c r="AG71" s="4"/>
      <c r="AH71" s="4"/>
      <c r="AI71" s="4"/>
      <c r="AJ71" s="4"/>
      <c r="AK71" s="4"/>
      <c r="AL71" s="4"/>
      <c r="AM71" s="4"/>
      <c r="AN71" s="4"/>
      <c r="AO71" s="4"/>
      <c r="AP71" s="4"/>
      <c r="AQ71" s="4"/>
      <c r="AR71" s="4"/>
      <c r="AS71" s="4"/>
      <c r="AT71" s="1099"/>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row>
    <row r="72" spans="1:73" x14ac:dyDescent="0.25">
      <c r="A72" s="854"/>
      <c r="B72" s="243" t="s">
        <v>1080</v>
      </c>
      <c r="C72" s="43"/>
      <c r="D72" s="43"/>
      <c r="E72" s="497"/>
      <c r="F72" s="497"/>
      <c r="G72" s="497"/>
      <c r="H72" s="497"/>
      <c r="I72" s="498"/>
      <c r="J72" s="498"/>
      <c r="K72" s="498"/>
      <c r="L72" s="498"/>
      <c r="M72" s="498"/>
      <c r="N72" s="498"/>
      <c r="O72" s="498"/>
      <c r="P72" s="498"/>
      <c r="Q72" s="497"/>
      <c r="R72" s="43"/>
      <c r="S72" s="9"/>
      <c r="T72" s="66"/>
      <c r="U72" s="1026"/>
      <c r="V72" s="4"/>
      <c r="W72" s="4"/>
      <c r="X72" s="4"/>
      <c r="Y72" s="4"/>
      <c r="Z72" s="4"/>
      <c r="AA72" s="4"/>
      <c r="AB72" s="4"/>
      <c r="AC72" s="4"/>
      <c r="AD72" s="4"/>
      <c r="AE72" s="4"/>
      <c r="AF72" s="4"/>
      <c r="AG72" s="4"/>
      <c r="AH72" s="4"/>
      <c r="AI72" s="4"/>
      <c r="AJ72" s="4"/>
      <c r="AK72" s="4"/>
      <c r="AL72" s="4"/>
      <c r="AM72" s="4"/>
      <c r="AN72" s="4"/>
      <c r="AO72" s="4"/>
      <c r="AP72" s="4"/>
      <c r="AQ72" s="4"/>
      <c r="AR72" s="4"/>
      <c r="AS72" s="4"/>
      <c r="AT72" s="1099"/>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row>
    <row r="73" spans="1:73" x14ac:dyDescent="0.25">
      <c r="A73" s="854"/>
      <c r="B73" s="243"/>
      <c r="C73" s="43"/>
      <c r="D73" s="43"/>
      <c r="E73" s="497"/>
      <c r="F73" s="497"/>
      <c r="G73" s="497"/>
      <c r="H73" s="497"/>
      <c r="I73" s="498"/>
      <c r="J73" s="498"/>
      <c r="K73" s="498"/>
      <c r="L73" s="498"/>
      <c r="M73" s="498"/>
      <c r="N73" s="498"/>
      <c r="O73" s="498"/>
      <c r="P73" s="498"/>
      <c r="Q73" s="497"/>
      <c r="R73" s="43"/>
      <c r="S73" s="9"/>
      <c r="T73" s="66"/>
      <c r="U73" s="1026"/>
      <c r="V73" s="4"/>
      <c r="W73" s="4"/>
      <c r="X73" s="4"/>
      <c r="Y73" s="4"/>
      <c r="Z73" s="4"/>
      <c r="AA73" s="4"/>
      <c r="AB73" s="4"/>
      <c r="AC73" s="4"/>
      <c r="AD73" s="4"/>
      <c r="AE73" s="4"/>
      <c r="AF73" s="4"/>
      <c r="AG73" s="4"/>
      <c r="AH73" s="4"/>
      <c r="AI73" s="4"/>
      <c r="AJ73" s="4"/>
      <c r="AK73" s="4"/>
      <c r="AL73" s="4"/>
      <c r="AM73" s="4"/>
      <c r="AN73" s="4"/>
      <c r="AO73" s="4"/>
      <c r="AP73" s="4"/>
      <c r="AQ73" s="4"/>
      <c r="AR73" s="4"/>
      <c r="AS73" s="4"/>
      <c r="AT73" s="1099"/>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row>
    <row r="74" spans="1:73" ht="20.25" customHeight="1" x14ac:dyDescent="0.25">
      <c r="A74" s="860"/>
      <c r="B74" s="534" t="s">
        <v>1171</v>
      </c>
      <c r="C74" s="535"/>
      <c r="D74" s="535"/>
      <c r="E74" s="536"/>
      <c r="F74" s="536"/>
      <c r="G74" s="536"/>
      <c r="H74" s="536"/>
      <c r="I74" s="536"/>
      <c r="J74" s="536"/>
      <c r="K74" s="536"/>
      <c r="L74" s="536"/>
      <c r="M74" s="536"/>
      <c r="N74" s="536"/>
      <c r="O74" s="536"/>
      <c r="P74" s="536"/>
      <c r="Q74" s="497"/>
      <c r="R74" s="43"/>
      <c r="S74" s="9"/>
      <c r="T74" s="66"/>
      <c r="U74" s="1026"/>
      <c r="V74" s="4"/>
      <c r="W74" s="4"/>
      <c r="X74" s="4"/>
      <c r="Y74" s="4"/>
      <c r="Z74" s="4"/>
      <c r="AA74" s="4"/>
      <c r="AB74" s="4"/>
      <c r="AC74" s="4"/>
      <c r="AD74" s="4"/>
      <c r="AE74" s="4"/>
      <c r="AF74" s="4"/>
      <c r="AG74" s="4"/>
      <c r="AH74" s="4"/>
      <c r="AI74" s="4"/>
      <c r="AJ74" s="4"/>
      <c r="AK74" s="4"/>
      <c r="AL74" s="4"/>
      <c r="AM74" s="4"/>
      <c r="AN74" s="4"/>
      <c r="AO74" s="4"/>
      <c r="AP74" s="4"/>
      <c r="AQ74" s="4"/>
      <c r="AR74" s="4"/>
      <c r="AS74" s="4"/>
      <c r="AT74" s="1099"/>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row>
    <row r="75" spans="1:73" ht="15.75" customHeight="1" x14ac:dyDescent="0.25">
      <c r="A75" s="854"/>
      <c r="B75" s="4"/>
      <c r="C75" s="4"/>
      <c r="D75" s="4" t="str">
        <f>D7</f>
        <v>млрд руб.</v>
      </c>
      <c r="E75" s="4" t="s">
        <v>348</v>
      </c>
      <c r="F75" s="4"/>
      <c r="G75" s="4"/>
      <c r="H75" s="4"/>
      <c r="I75" s="4"/>
      <c r="J75" s="4"/>
      <c r="K75" s="4"/>
      <c r="L75" s="4"/>
      <c r="M75" s="4"/>
      <c r="N75" s="4"/>
      <c r="O75" s="4"/>
      <c r="P75" s="4"/>
      <c r="Q75" s="497"/>
      <c r="R75" s="43"/>
      <c r="S75" s="9"/>
      <c r="T75" s="66"/>
      <c r="U75" s="1026"/>
      <c r="V75" s="4"/>
      <c r="W75" s="4"/>
      <c r="X75" s="4"/>
      <c r="Y75" s="4"/>
      <c r="Z75" s="4"/>
      <c r="AA75" s="4"/>
      <c r="AB75" s="4"/>
      <c r="AC75" s="4"/>
      <c r="AD75" s="4"/>
      <c r="AE75" s="4"/>
      <c r="AF75" s="4"/>
      <c r="AG75" s="4"/>
      <c r="AH75" s="4"/>
      <c r="AI75" s="4"/>
      <c r="AJ75" s="4"/>
      <c r="AK75" s="4"/>
      <c r="AL75" s="4"/>
      <c r="AM75" s="4"/>
      <c r="AN75" s="4"/>
      <c r="AO75" s="4"/>
      <c r="AP75" s="4"/>
      <c r="AQ75" s="4"/>
      <c r="AR75" s="4"/>
      <c r="AS75" s="4"/>
      <c r="AT75" s="1099"/>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row>
    <row r="76" spans="1:73" x14ac:dyDescent="0.25">
      <c r="A76" s="855"/>
      <c r="B76" s="15"/>
      <c r="C76" s="15"/>
      <c r="D76" s="15"/>
      <c r="E76" s="539"/>
      <c r="F76" s="539"/>
      <c r="G76" s="539">
        <f t="shared" ref="G76:J76" si="120">G8</f>
        <v>2017</v>
      </c>
      <c r="H76" s="539">
        <f t="shared" si="120"/>
        <v>2018</v>
      </c>
      <c r="I76" s="539">
        <f t="shared" si="120"/>
        <v>2019</v>
      </c>
      <c r="J76" s="539">
        <f t="shared" si="120"/>
        <v>2020</v>
      </c>
      <c r="K76" s="539">
        <f>K8</f>
        <v>2021</v>
      </c>
      <c r="L76" s="539">
        <f t="shared" ref="L76:O76" si="121">L8</f>
        <v>2022</v>
      </c>
      <c r="M76" s="539">
        <f t="shared" si="121"/>
        <v>2023</v>
      </c>
      <c r="N76" s="539">
        <f t="shared" si="121"/>
        <v>2024</v>
      </c>
      <c r="O76" s="539">
        <f t="shared" si="121"/>
        <v>2025</v>
      </c>
      <c r="P76" s="540"/>
      <c r="Q76" s="497"/>
      <c r="R76" s="43"/>
      <c r="S76" s="9"/>
      <c r="T76" s="66"/>
      <c r="U76" s="1026"/>
      <c r="V76" s="4"/>
      <c r="W76" s="4"/>
      <c r="X76" s="4"/>
      <c r="Y76" s="4"/>
      <c r="Z76" s="4"/>
      <c r="AA76" s="4"/>
      <c r="AB76" s="4"/>
      <c r="AC76" s="4"/>
      <c r="AD76" s="4"/>
      <c r="AE76" s="4"/>
      <c r="AF76" s="4"/>
      <c r="AG76" s="4"/>
      <c r="AH76" s="4"/>
      <c r="AI76" s="4"/>
      <c r="AJ76" s="4"/>
      <c r="AK76" s="4"/>
      <c r="AL76" s="4"/>
      <c r="AM76" s="4"/>
      <c r="AN76" s="4"/>
      <c r="AO76" s="4"/>
      <c r="AP76" s="4"/>
      <c r="AQ76" s="4"/>
      <c r="AR76" s="4"/>
      <c r="AS76" s="4"/>
      <c r="AT76" s="1099"/>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row>
    <row r="77" spans="1:73" x14ac:dyDescent="0.25">
      <c r="A77" s="859"/>
      <c r="B77" s="494">
        <v>271</v>
      </c>
      <c r="C77" s="349" t="s">
        <v>1195</v>
      </c>
      <c r="D77" s="494"/>
      <c r="E77" s="499"/>
      <c r="F77" s="499"/>
      <c r="G77" s="499">
        <f>Ввод!H715/VLOOKUP(Баланс!$B$7,Баланс!$A$1:$B$3,2,0)</f>
        <v>0.25181199999999998</v>
      </c>
      <c r="H77" s="499">
        <f>Ввод!I715/VLOOKUP(Баланс!$B$7,Баланс!$A$1:$B$3,2,0)</f>
        <v>0.22806199999999999</v>
      </c>
      <c r="I77" s="499">
        <f>Ввод!J715/VLOOKUP(Баланс!$B$7,Баланс!$A$1:$B$3,2,0)</f>
        <v>0.222718</v>
      </c>
      <c r="J77" s="499">
        <f>Ввод!K715/VLOOKUP(Баланс!$B$7,Баланс!$A$1:$B$3,2,0)</f>
        <v>0.13997499999999999</v>
      </c>
      <c r="K77" s="499">
        <f>Ввод!L715/VLOOKUP(Баланс!$B$7,Баланс!$A$1:$B$3,2,0)</f>
        <v>0.13569800000000001</v>
      </c>
      <c r="L77" s="1825"/>
      <c r="M77" s="1825"/>
      <c r="N77" s="1825"/>
      <c r="O77" s="1825"/>
      <c r="P77" s="499"/>
      <c r="Q77" s="497"/>
      <c r="R77" s="43"/>
      <c r="S77" s="9"/>
      <c r="T77" s="66"/>
      <c r="U77" s="1026"/>
      <c r="V77" s="4"/>
      <c r="W77" s="4"/>
      <c r="X77" s="4"/>
      <c r="Y77" s="4"/>
      <c r="Z77" s="4"/>
      <c r="AA77" s="4"/>
      <c r="AB77" s="4"/>
      <c r="AC77" s="4"/>
      <c r="AD77" s="4"/>
      <c r="AE77" s="4"/>
      <c r="AF77" s="4"/>
      <c r="AG77" s="4"/>
      <c r="AH77" s="4"/>
      <c r="AI77" s="4"/>
      <c r="AJ77" s="4"/>
      <c r="AK77" s="4"/>
      <c r="AL77" s="4"/>
      <c r="AM77" s="4"/>
      <c r="AN77" s="4"/>
      <c r="AO77" s="4"/>
      <c r="AP77" s="4"/>
      <c r="AQ77" s="4"/>
      <c r="AR77" s="4"/>
      <c r="AS77" s="4"/>
      <c r="AT77" s="1099"/>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row>
    <row r="78" spans="1:73" x14ac:dyDescent="0.25">
      <c r="A78" s="854"/>
      <c r="B78" s="494">
        <v>272</v>
      </c>
      <c r="C78" s="494" t="s">
        <v>1172</v>
      </c>
      <c r="D78" s="494"/>
      <c r="E78" s="499"/>
      <c r="F78" s="499"/>
      <c r="G78" s="499">
        <f>Ввод!H716/VLOOKUP(Баланс!$B$7,Баланс!$A$1:$B$3,2,0)</f>
        <v>2.4479000000000002</v>
      </c>
      <c r="H78" s="499">
        <f>Ввод!I716/VLOOKUP(Баланс!$B$7,Баланс!$A$1:$B$3,2,0)</f>
        <v>3.0793249999999999</v>
      </c>
      <c r="I78" s="499">
        <f>Ввод!J716/VLOOKUP(Баланс!$B$7,Баланс!$A$1:$B$3,2,0)</f>
        <v>4.1080779999999999</v>
      </c>
      <c r="J78" s="499">
        <f>Ввод!K716/VLOOKUP(Баланс!$B$7,Баланс!$A$1:$B$3,2,0)</f>
        <v>4.7309409999999996</v>
      </c>
      <c r="K78" s="499">
        <f>Ввод!L716/VLOOKUP(Баланс!$B$7,Баланс!$A$1:$B$3,2,0)</f>
        <v>5.3975970000000002</v>
      </c>
      <c r="L78" s="1825"/>
      <c r="M78" s="1825"/>
      <c r="N78" s="1825"/>
      <c r="O78" s="1825"/>
      <c r="P78" s="499"/>
      <c r="Q78" s="497"/>
      <c r="R78" s="43"/>
      <c r="S78" s="9"/>
      <c r="T78" s="66"/>
      <c r="U78" s="1026"/>
      <c r="V78" s="4"/>
      <c r="W78" s="4"/>
      <c r="X78" s="4"/>
      <c r="Y78" s="4"/>
      <c r="Z78" s="4"/>
      <c r="AA78" s="4"/>
      <c r="AB78" s="4"/>
      <c r="AC78" s="4"/>
      <c r="AD78" s="4"/>
      <c r="AE78" s="4"/>
      <c r="AF78" s="4"/>
      <c r="AG78" s="4"/>
      <c r="AH78" s="4"/>
      <c r="AI78" s="4"/>
      <c r="AJ78" s="4"/>
      <c r="AK78" s="4"/>
      <c r="AL78" s="4"/>
      <c r="AM78" s="4"/>
      <c r="AN78" s="4"/>
      <c r="AO78" s="4"/>
      <c r="AP78" s="4"/>
      <c r="AQ78" s="4"/>
      <c r="AR78" s="4"/>
      <c r="AS78" s="4"/>
      <c r="AT78" s="1099"/>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row>
    <row r="79" spans="1:73" x14ac:dyDescent="0.25">
      <c r="A79" s="854"/>
      <c r="B79" s="494">
        <v>273</v>
      </c>
      <c r="C79" s="494" t="s">
        <v>1173</v>
      </c>
      <c r="D79" s="494"/>
      <c r="E79" s="499"/>
      <c r="F79" s="499"/>
      <c r="G79" s="499">
        <f>Ввод!H717/VLOOKUP(Баланс!$B$7,Баланс!$A$1:$B$3,2,0)</f>
        <v>2.2505000000000001E-2</v>
      </c>
      <c r="H79" s="499">
        <f>Ввод!I717/VLOOKUP(Баланс!$B$7,Баланс!$A$1:$B$3,2,0)</f>
        <v>4.1653999999999997E-2</v>
      </c>
      <c r="I79" s="499">
        <f>Ввод!J717/VLOOKUP(Баланс!$B$7,Баланс!$A$1:$B$3,2,0)</f>
        <v>5.3173999999999999E-2</v>
      </c>
      <c r="J79" s="499">
        <f>Ввод!K717/VLOOKUP(Баланс!$B$7,Баланс!$A$1:$B$3,2,0)</f>
        <v>8.6049E-2</v>
      </c>
      <c r="K79" s="499">
        <f>Ввод!L717/VLOOKUP(Баланс!$B$7,Баланс!$A$1:$B$3,2,0)</f>
        <v>0.103186</v>
      </c>
      <c r="L79" s="1825"/>
      <c r="M79" s="1825"/>
      <c r="N79" s="1825"/>
      <c r="O79" s="1825"/>
      <c r="P79" s="499"/>
      <c r="Q79" s="497"/>
      <c r="R79" s="43"/>
      <c r="S79" s="9"/>
      <c r="T79" s="66"/>
      <c r="U79" s="1026"/>
      <c r="V79" s="4"/>
      <c r="W79" s="4"/>
      <c r="X79" s="4"/>
      <c r="Y79" s="4"/>
      <c r="Z79" s="4"/>
      <c r="AA79" s="4"/>
      <c r="AB79" s="4"/>
      <c r="AC79" s="4"/>
      <c r="AD79" s="4"/>
      <c r="AE79" s="4"/>
      <c r="AF79" s="4"/>
      <c r="AG79" s="4"/>
      <c r="AH79" s="4"/>
      <c r="AI79" s="4"/>
      <c r="AJ79" s="4"/>
      <c r="AK79" s="4"/>
      <c r="AL79" s="4"/>
      <c r="AM79" s="4"/>
      <c r="AN79" s="4"/>
      <c r="AO79" s="4"/>
      <c r="AP79" s="4"/>
      <c r="AQ79" s="4"/>
      <c r="AR79" s="4"/>
      <c r="AS79" s="4"/>
      <c r="AT79" s="1099"/>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row>
    <row r="80" spans="1:73" x14ac:dyDescent="0.25">
      <c r="A80" s="859"/>
      <c r="B80" s="494">
        <v>274</v>
      </c>
      <c r="C80" s="349" t="s">
        <v>1174</v>
      </c>
      <c r="D80" s="494"/>
      <c r="E80" s="499"/>
      <c r="F80" s="499"/>
      <c r="G80" s="499">
        <f>Ввод!H718/VLOOKUP(Баланс!$B$7,Баланс!$A$1:$B$3,2,0)</f>
        <v>0.87847799999999998</v>
      </c>
      <c r="H80" s="499">
        <f>Ввод!I718/VLOOKUP(Баланс!$B$7,Баланс!$A$1:$B$3,2,0)</f>
        <v>0.95436100000000001</v>
      </c>
      <c r="I80" s="499">
        <f>Ввод!J718/VLOOKUP(Баланс!$B$7,Баланс!$A$1:$B$3,2,0)</f>
        <v>0.95763399999999999</v>
      </c>
      <c r="J80" s="499">
        <f>Ввод!K718/VLOOKUP(Баланс!$B$7,Баланс!$A$1:$B$3,2,0)</f>
        <v>1.0164530000000001</v>
      </c>
      <c r="K80" s="499">
        <f>Ввод!L718/VLOOKUP(Баланс!$B$7,Баланс!$A$1:$B$3,2,0)</f>
        <v>0.93887600000000004</v>
      </c>
      <c r="L80" s="1825"/>
      <c r="M80" s="1825"/>
      <c r="N80" s="1825"/>
      <c r="O80" s="1825"/>
      <c r="P80" s="499"/>
      <c r="Q80" s="497"/>
      <c r="R80" s="43"/>
      <c r="S80" s="9"/>
      <c r="T80" s="66"/>
      <c r="U80" s="1026"/>
      <c r="V80" s="4"/>
      <c r="W80" s="4"/>
      <c r="X80" s="4"/>
      <c r="Y80" s="4"/>
      <c r="Z80" s="4"/>
      <c r="AA80" s="4"/>
      <c r="AB80" s="4"/>
      <c r="AC80" s="4"/>
      <c r="AD80" s="4"/>
      <c r="AE80" s="4"/>
      <c r="AF80" s="4"/>
      <c r="AG80" s="4"/>
      <c r="AH80" s="4"/>
      <c r="AI80" s="4"/>
      <c r="AJ80" s="4"/>
      <c r="AK80" s="4"/>
      <c r="AL80" s="4"/>
      <c r="AM80" s="4"/>
      <c r="AN80" s="4"/>
      <c r="AO80" s="4"/>
      <c r="AP80" s="4"/>
      <c r="AQ80" s="4"/>
      <c r="AR80" s="4"/>
      <c r="AS80" s="4"/>
      <c r="AT80" s="1099"/>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row>
    <row r="81" spans="1:73" x14ac:dyDescent="0.25">
      <c r="A81" s="854"/>
      <c r="B81" s="494">
        <v>275</v>
      </c>
      <c r="C81" s="494" t="s">
        <v>1175</v>
      </c>
      <c r="D81" s="494"/>
      <c r="E81" s="499"/>
      <c r="F81" s="499"/>
      <c r="G81" s="499">
        <f>Ввод!H719/VLOOKUP(Баланс!$B$7,Баланс!$A$1:$B$3,2,0)</f>
        <v>0.48849700000000001</v>
      </c>
      <c r="H81" s="499">
        <f>Ввод!I719/VLOOKUP(Баланс!$B$7,Баланс!$A$1:$B$3,2,0)</f>
        <v>0.93459899999999996</v>
      </c>
      <c r="I81" s="499">
        <f>Ввод!J719/VLOOKUP(Баланс!$B$7,Баланс!$A$1:$B$3,2,0)</f>
        <v>1.3469260000000001</v>
      </c>
      <c r="J81" s="499">
        <f>Ввод!K719/VLOOKUP(Баланс!$B$7,Баланс!$A$1:$B$3,2,0)</f>
        <v>1.603639</v>
      </c>
      <c r="K81" s="499">
        <f>Ввод!L719/VLOOKUP(Баланс!$B$7,Баланс!$A$1:$B$3,2,0)</f>
        <v>1.8589420000000001</v>
      </c>
      <c r="L81" s="1825"/>
      <c r="M81" s="1825"/>
      <c r="N81" s="1825"/>
      <c r="O81" s="1825"/>
      <c r="P81" s="499"/>
      <c r="Q81" s="497"/>
      <c r="R81" s="43"/>
      <c r="S81" s="9"/>
      <c r="T81" s="66"/>
      <c r="U81" s="1026"/>
      <c r="V81" s="4"/>
      <c r="W81" s="4"/>
      <c r="X81" s="4"/>
      <c r="Y81" s="4"/>
      <c r="Z81" s="4"/>
      <c r="AA81" s="4"/>
      <c r="AB81" s="4"/>
      <c r="AC81" s="4"/>
      <c r="AD81" s="4"/>
      <c r="AE81" s="4"/>
      <c r="AF81" s="4"/>
      <c r="AG81" s="4"/>
      <c r="AH81" s="4"/>
      <c r="AI81" s="4"/>
      <c r="AJ81" s="4"/>
      <c r="AK81" s="4"/>
      <c r="AL81" s="4"/>
      <c r="AM81" s="4"/>
      <c r="AN81" s="4"/>
      <c r="AO81" s="4"/>
      <c r="AP81" s="4"/>
      <c r="AQ81" s="4"/>
      <c r="AR81" s="4"/>
      <c r="AS81" s="4"/>
      <c r="AT81" s="1099"/>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row>
    <row r="82" spans="1:73" x14ac:dyDescent="0.25">
      <c r="A82" s="854"/>
      <c r="B82" s="494">
        <v>276</v>
      </c>
      <c r="C82" s="494" t="s">
        <v>1176</v>
      </c>
      <c r="D82" s="494"/>
      <c r="E82" s="499"/>
      <c r="F82" s="499"/>
      <c r="G82" s="499">
        <f>Ввод!H720/VLOOKUP(Баланс!$B$7,Баланс!$A$1:$B$3,2,0)</f>
        <v>0.27499899999999999</v>
      </c>
      <c r="H82" s="499">
        <f>Ввод!I720/VLOOKUP(Баланс!$B$7,Баланс!$A$1:$B$3,2,0)</f>
        <v>0.21625900000000001</v>
      </c>
      <c r="I82" s="499">
        <f>Ввод!J720/VLOOKUP(Баланс!$B$7,Баланс!$A$1:$B$3,2,0)</f>
        <v>0.195913</v>
      </c>
      <c r="J82" s="499">
        <f>Ввод!K720/VLOOKUP(Баланс!$B$7,Баланс!$A$1:$B$3,2,0)</f>
        <v>0.224772</v>
      </c>
      <c r="K82" s="499">
        <f>Ввод!L720/VLOOKUP(Баланс!$B$7,Баланс!$A$1:$B$3,2,0)</f>
        <v>0.25075900000000001</v>
      </c>
      <c r="L82" s="1825"/>
      <c r="M82" s="1825"/>
      <c r="N82" s="1825"/>
      <c r="O82" s="1825"/>
      <c r="P82" s="499"/>
      <c r="Q82" s="497"/>
      <c r="R82" s="43"/>
      <c r="S82" s="9"/>
      <c r="T82" s="66"/>
      <c r="U82" s="1026"/>
      <c r="V82" s="4"/>
      <c r="W82" s="4"/>
      <c r="X82" s="4"/>
      <c r="Y82" s="4"/>
      <c r="Z82" s="4"/>
      <c r="AA82" s="4"/>
      <c r="AB82" s="4"/>
      <c r="AC82" s="4"/>
      <c r="AD82" s="4"/>
      <c r="AE82" s="4"/>
      <c r="AF82" s="4"/>
      <c r="AG82" s="4"/>
      <c r="AH82" s="4"/>
      <c r="AI82" s="4"/>
      <c r="AJ82" s="4"/>
      <c r="AK82" s="4"/>
      <c r="AL82" s="4"/>
      <c r="AM82" s="4"/>
      <c r="AN82" s="4"/>
      <c r="AO82" s="4"/>
      <c r="AP82" s="4"/>
      <c r="AQ82" s="4"/>
      <c r="AR82" s="4"/>
      <c r="AS82" s="4"/>
      <c r="AT82" s="1099"/>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row>
    <row r="83" spans="1:73" x14ac:dyDescent="0.25">
      <c r="A83" s="854"/>
      <c r="B83" s="1152">
        <v>277</v>
      </c>
      <c r="C83" s="494" t="s">
        <v>1196</v>
      </c>
      <c r="D83" s="494"/>
      <c r="E83" s="499"/>
      <c r="F83" s="499"/>
      <c r="G83" s="499">
        <f>Ввод!H721/VLOOKUP(Баланс!$B$7,Баланс!$A$1:$B$3,2,0)</f>
        <v>1.05E-4</v>
      </c>
      <c r="H83" s="499">
        <f>Ввод!I721/VLOOKUP(Баланс!$B$7,Баланс!$A$1:$B$3,2,0)</f>
        <v>7.1000000000000005E-5</v>
      </c>
      <c r="I83" s="499">
        <f>Ввод!J721/VLOOKUP(Баланс!$B$7,Баланс!$A$1:$B$3,2,0)</f>
        <v>8.6000000000000003E-5</v>
      </c>
      <c r="J83" s="499">
        <f>Ввод!K721/VLOOKUP(Баланс!$B$7,Баланс!$A$1:$B$3,2,0)</f>
        <v>1.27E-4</v>
      </c>
      <c r="K83" s="499">
        <f>Ввод!L721/VLOOKUP(Баланс!$B$7,Баланс!$A$1:$B$3,2,0)</f>
        <v>7.7000000000000001E-5</v>
      </c>
      <c r="L83" s="1825"/>
      <c r="M83" s="1825"/>
      <c r="N83" s="1825"/>
      <c r="O83" s="1825"/>
      <c r="P83" s="499"/>
      <c r="Q83" s="497"/>
      <c r="R83" s="43"/>
      <c r="S83" s="9"/>
      <c r="T83" s="66"/>
      <c r="U83" s="1026"/>
      <c r="V83" s="4"/>
      <c r="W83" s="4"/>
      <c r="X83" s="4"/>
      <c r="Y83" s="4"/>
      <c r="Z83" s="4"/>
      <c r="AA83" s="4"/>
      <c r="AB83" s="4"/>
      <c r="AC83" s="4"/>
      <c r="AD83" s="4"/>
      <c r="AE83" s="4"/>
      <c r="AF83" s="4"/>
      <c r="AG83" s="4"/>
      <c r="AH83" s="4"/>
      <c r="AI83" s="4"/>
      <c r="AJ83" s="4"/>
      <c r="AK83" s="4"/>
      <c r="AL83" s="4"/>
      <c r="AM83" s="4"/>
      <c r="AN83" s="4"/>
      <c r="AO83" s="4"/>
      <c r="AP83" s="4"/>
      <c r="AQ83" s="4"/>
      <c r="AR83" s="4"/>
      <c r="AS83" s="4"/>
      <c r="AT83" s="1099"/>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row>
    <row r="84" spans="1:73" x14ac:dyDescent="0.25">
      <c r="A84" s="854"/>
      <c r="B84" s="1152">
        <v>278</v>
      </c>
      <c r="C84" s="494" t="s">
        <v>1177</v>
      </c>
      <c r="D84" s="494"/>
      <c r="E84" s="499"/>
      <c r="F84" s="499"/>
      <c r="G84" s="499">
        <f>Ввод!H722/VLOOKUP(Баланс!$B$7,Баланс!$A$1:$B$3,2,0)</f>
        <v>0.10169300000000001</v>
      </c>
      <c r="H84" s="499">
        <f>Ввод!I722/VLOOKUP(Баланс!$B$7,Баланс!$A$1:$B$3,2,0)</f>
        <v>0.23535700000000001</v>
      </c>
      <c r="I84" s="499">
        <f>Ввод!J722/VLOOKUP(Баланс!$B$7,Баланс!$A$1:$B$3,2,0)</f>
        <v>0.234655</v>
      </c>
      <c r="J84" s="499">
        <f>Ввод!K722/VLOOKUP(Баланс!$B$7,Баланс!$A$1:$B$3,2,0)</f>
        <v>0.28945500000000002</v>
      </c>
      <c r="K84" s="499">
        <f>Ввод!L722/VLOOKUP(Баланс!$B$7,Баланс!$A$1:$B$3,2,0)</f>
        <v>0.38613799999999998</v>
      </c>
      <c r="L84" s="1825"/>
      <c r="M84" s="1825"/>
      <c r="N84" s="1825"/>
      <c r="O84" s="1825"/>
      <c r="P84" s="499"/>
      <c r="Q84" s="497"/>
      <c r="R84" s="43"/>
      <c r="S84" s="9"/>
      <c r="T84" s="66"/>
      <c r="U84" s="1026"/>
      <c r="V84" s="4"/>
      <c r="W84" s="4"/>
      <c r="X84" s="4"/>
      <c r="Y84" s="4"/>
      <c r="Z84" s="4"/>
      <c r="AA84" s="4"/>
      <c r="AB84" s="4"/>
      <c r="AC84" s="4"/>
      <c r="AD84" s="4"/>
      <c r="AE84" s="4"/>
      <c r="AF84" s="4"/>
      <c r="AG84" s="4"/>
      <c r="AH84" s="4"/>
      <c r="AI84" s="4"/>
      <c r="AJ84" s="4"/>
      <c r="AK84" s="4"/>
      <c r="AL84" s="4"/>
      <c r="AM84" s="4"/>
      <c r="AN84" s="4"/>
      <c r="AO84" s="4"/>
      <c r="AP84" s="4"/>
      <c r="AQ84" s="4"/>
      <c r="AR84" s="4"/>
      <c r="AS84" s="4"/>
      <c r="AT84" s="1099"/>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row>
    <row r="85" spans="1:73" x14ac:dyDescent="0.25">
      <c r="A85" s="854"/>
      <c r="B85" s="494">
        <v>279</v>
      </c>
      <c r="C85" s="494" t="s">
        <v>1382</v>
      </c>
      <c r="D85" s="494"/>
      <c r="E85" s="499"/>
      <c r="F85" s="499"/>
      <c r="G85" s="499">
        <f>Ввод!H723/VLOOKUP(Баланс!$B$7,Баланс!$A$1:$B$3,2,0)</f>
        <v>0.10094499999999999</v>
      </c>
      <c r="H85" s="499">
        <f>Ввод!I723/VLOOKUP(Баланс!$B$7,Баланс!$A$1:$B$3,2,0)</f>
        <v>0.127137</v>
      </c>
      <c r="I85" s="499">
        <f>Ввод!J723/VLOOKUP(Баланс!$B$7,Баланс!$A$1:$B$3,2,0)</f>
        <v>0.104807</v>
      </c>
      <c r="J85" s="499">
        <f>Ввод!K723/VLOOKUP(Баланс!$B$7,Баланс!$A$1:$B$3,2,0)</f>
        <v>0.116033</v>
      </c>
      <c r="K85" s="499">
        <f>Ввод!L723/VLOOKUP(Баланс!$B$7,Баланс!$A$1:$B$3,2,0)</f>
        <v>0.139737</v>
      </c>
      <c r="L85" s="1825"/>
      <c r="M85" s="1825"/>
      <c r="N85" s="1825"/>
      <c r="O85" s="1825"/>
      <c r="P85" s="499"/>
      <c r="Q85" s="497"/>
      <c r="R85" s="43"/>
      <c r="S85" s="9"/>
      <c r="T85" s="66"/>
      <c r="U85" s="1026"/>
      <c r="V85" s="4"/>
      <c r="W85" s="4"/>
      <c r="X85" s="4"/>
      <c r="Y85" s="4"/>
      <c r="Z85" s="4"/>
      <c r="AA85" s="4"/>
      <c r="AB85" s="4"/>
      <c r="AC85" s="4"/>
      <c r="AD85" s="4"/>
      <c r="AE85" s="4"/>
      <c r="AF85" s="4"/>
      <c r="AG85" s="4"/>
      <c r="AH85" s="4"/>
      <c r="AI85" s="4"/>
      <c r="AJ85" s="4"/>
      <c r="AK85" s="4"/>
      <c r="AL85" s="4"/>
      <c r="AM85" s="4"/>
      <c r="AN85" s="4"/>
      <c r="AO85" s="4"/>
      <c r="AP85" s="4"/>
      <c r="AQ85" s="4"/>
      <c r="AR85" s="4"/>
      <c r="AS85" s="4"/>
      <c r="AT85" s="1099"/>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row>
    <row r="86" spans="1:73" x14ac:dyDescent="0.25">
      <c r="A86" s="861"/>
      <c r="B86" s="773"/>
      <c r="C86" s="773" t="s">
        <v>1178</v>
      </c>
      <c r="D86" s="773"/>
      <c r="E86" s="774"/>
      <c r="F86" s="774"/>
      <c r="G86" s="774">
        <f t="shared" ref="G86:J86" si="122">SUM(G77:G85)</f>
        <v>4.5669340000000007</v>
      </c>
      <c r="H86" s="774">
        <f t="shared" si="122"/>
        <v>5.8168250000000006</v>
      </c>
      <c r="I86" s="774">
        <f t="shared" si="122"/>
        <v>7.2239909999999998</v>
      </c>
      <c r="J86" s="774">
        <f t="shared" si="122"/>
        <v>8.2074439999999989</v>
      </c>
      <c r="K86" s="774">
        <f>SUM(K77:K85)</f>
        <v>9.2110100000000017</v>
      </c>
      <c r="L86" s="774">
        <f>SUM(L77:L85)</f>
        <v>0</v>
      </c>
      <c r="M86" s="774"/>
      <c r="N86" s="774"/>
      <c r="O86" s="774"/>
      <c r="P86" s="593"/>
      <c r="Q86" s="497"/>
      <c r="R86" s="43"/>
      <c r="S86" s="9"/>
      <c r="T86" s="66"/>
      <c r="U86" s="1026"/>
      <c r="V86" s="4"/>
      <c r="W86" s="4"/>
      <c r="X86" s="4"/>
      <c r="Y86" s="4"/>
      <c r="Z86" s="4"/>
      <c r="AA86" s="4"/>
      <c r="AB86" s="4"/>
      <c r="AC86" s="4"/>
      <c r="AD86" s="4"/>
      <c r="AE86" s="4"/>
      <c r="AF86" s="4"/>
      <c r="AG86" s="4"/>
      <c r="AH86" s="4"/>
      <c r="AI86" s="4"/>
      <c r="AJ86" s="4"/>
      <c r="AK86" s="4"/>
      <c r="AL86" s="4"/>
      <c r="AM86" s="4"/>
      <c r="AN86" s="4"/>
      <c r="AO86" s="4"/>
      <c r="AP86" s="4"/>
      <c r="AQ86" s="4"/>
      <c r="AR86" s="4"/>
      <c r="AS86" s="4"/>
      <c r="AT86" s="1099"/>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row>
    <row r="87" spans="1:73" x14ac:dyDescent="0.25">
      <c r="A87" s="854"/>
      <c r="B87" s="243"/>
      <c r="C87" s="43"/>
      <c r="D87" s="43"/>
      <c r="E87" s="497"/>
      <c r="F87" s="497"/>
      <c r="G87" s="497"/>
      <c r="H87" s="497"/>
      <c r="I87" s="498"/>
      <c r="J87" s="498"/>
      <c r="K87" s="498"/>
      <c r="L87" s="498"/>
      <c r="M87" s="498"/>
      <c r="N87" s="498"/>
      <c r="O87" s="498"/>
      <c r="P87" s="498"/>
      <c r="Q87" s="497"/>
      <c r="R87" s="43"/>
      <c r="S87" s="9"/>
      <c r="T87" s="66"/>
      <c r="U87" s="1026"/>
      <c r="V87" s="4"/>
      <c r="W87" s="4"/>
      <c r="X87" s="4"/>
      <c r="Y87" s="4"/>
      <c r="Z87" s="4"/>
      <c r="AA87" s="4"/>
      <c r="AB87" s="4"/>
      <c r="AC87" s="4"/>
      <c r="AD87" s="4"/>
      <c r="AE87" s="4"/>
      <c r="AF87" s="4"/>
      <c r="AG87" s="4"/>
      <c r="AH87" s="4"/>
      <c r="AI87" s="4"/>
      <c r="AJ87" s="4"/>
      <c r="AK87" s="4"/>
      <c r="AL87" s="4"/>
      <c r="AM87" s="4"/>
      <c r="AN87" s="4"/>
      <c r="AO87" s="4"/>
      <c r="AP87" s="4"/>
      <c r="AQ87" s="4"/>
      <c r="AR87" s="4"/>
      <c r="AS87" s="4"/>
      <c r="AT87" s="1099"/>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row>
    <row r="88" spans="1:73" x14ac:dyDescent="0.25">
      <c r="A88" s="854"/>
      <c r="B88" s="4"/>
      <c r="C88" s="4"/>
      <c r="D88" s="4" t="s">
        <v>1180</v>
      </c>
      <c r="E88" s="4" t="s">
        <v>348</v>
      </c>
      <c r="F88" s="4"/>
      <c r="G88" s="4"/>
      <c r="H88" s="4"/>
      <c r="I88" s="4"/>
      <c r="J88" s="4"/>
      <c r="K88" s="4"/>
      <c r="L88" s="4"/>
      <c r="M88" s="4"/>
      <c r="N88" s="4"/>
      <c r="O88" s="4"/>
      <c r="P88" s="4"/>
      <c r="Q88" s="497"/>
      <c r="R88" s="43"/>
      <c r="S88" s="9"/>
      <c r="T88" s="66"/>
      <c r="U88" s="1026"/>
      <c r="V88" s="4"/>
      <c r="W88" s="4"/>
      <c r="X88" s="4"/>
      <c r="Y88" s="4"/>
      <c r="Z88" s="4"/>
      <c r="AA88" s="4"/>
      <c r="AB88" s="4"/>
      <c r="AC88" s="4"/>
      <c r="AD88" s="4"/>
      <c r="AE88" s="4"/>
      <c r="AF88" s="4"/>
      <c r="AG88" s="4"/>
      <c r="AH88" s="4"/>
      <c r="AI88" s="4"/>
      <c r="AJ88" s="4"/>
      <c r="AK88" s="4"/>
      <c r="AL88" s="4"/>
      <c r="AM88" s="4"/>
      <c r="AN88" s="4"/>
      <c r="AO88" s="4"/>
      <c r="AP88" s="4"/>
      <c r="AQ88" s="4"/>
      <c r="AR88" s="4"/>
      <c r="AS88" s="4"/>
      <c r="AT88" s="1099"/>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row>
    <row r="89" spans="1:73" x14ac:dyDescent="0.25">
      <c r="A89" s="855"/>
      <c r="B89" s="15"/>
      <c r="C89" s="15"/>
      <c r="D89" s="15"/>
      <c r="E89" s="539"/>
      <c r="F89" s="539"/>
      <c r="G89" s="539">
        <f t="shared" ref="G89:O89" si="123">G8</f>
        <v>2017</v>
      </c>
      <c r="H89" s="539">
        <f t="shared" si="123"/>
        <v>2018</v>
      </c>
      <c r="I89" s="539">
        <f t="shared" si="123"/>
        <v>2019</v>
      </c>
      <c r="J89" s="539">
        <f t="shared" si="123"/>
        <v>2020</v>
      </c>
      <c r="K89" s="539">
        <f t="shared" si="123"/>
        <v>2021</v>
      </c>
      <c r="L89" s="539">
        <f t="shared" si="123"/>
        <v>2022</v>
      </c>
      <c r="M89" s="539">
        <f t="shared" si="123"/>
        <v>2023</v>
      </c>
      <c r="N89" s="539">
        <f t="shared" si="123"/>
        <v>2024</v>
      </c>
      <c r="O89" s="539">
        <f t="shared" si="123"/>
        <v>2025</v>
      </c>
      <c r="P89" s="540"/>
      <c r="Q89" s="497"/>
      <c r="R89" s="43"/>
      <c r="S89" s="9"/>
      <c r="T89" s="66"/>
      <c r="U89" s="1026"/>
      <c r="V89" s="4"/>
      <c r="W89" s="4"/>
      <c r="X89" s="4"/>
      <c r="Y89" s="4"/>
      <c r="Z89" s="4"/>
      <c r="AA89" s="4"/>
      <c r="AB89" s="4"/>
      <c r="AC89" s="4"/>
      <c r="AD89" s="4"/>
      <c r="AE89" s="4"/>
      <c r="AF89" s="4"/>
      <c r="AG89" s="4"/>
      <c r="AH89" s="4"/>
      <c r="AI89" s="4"/>
      <c r="AJ89" s="4"/>
      <c r="AK89" s="4"/>
      <c r="AL89" s="4"/>
      <c r="AM89" s="4"/>
      <c r="AN89" s="4"/>
      <c r="AO89" s="4"/>
      <c r="AP89" s="4"/>
      <c r="AQ89" s="4"/>
      <c r="AR89" s="4"/>
      <c r="AS89" s="4"/>
      <c r="AT89" s="1099"/>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row>
    <row r="90" spans="1:73" x14ac:dyDescent="0.25">
      <c r="A90" s="859"/>
      <c r="B90" s="494">
        <v>271</v>
      </c>
      <c r="C90" s="349" t="s">
        <v>1195</v>
      </c>
      <c r="D90" s="494"/>
      <c r="E90" s="890"/>
      <c r="F90" s="890"/>
      <c r="G90" s="890">
        <f t="shared" ref="G90:J90" si="124">G77/G$86</f>
        <v>5.5138086077004822E-2</v>
      </c>
      <c r="H90" s="890">
        <f t="shared" si="124"/>
        <v>3.9207299514769652E-2</v>
      </c>
      <c r="I90" s="890">
        <f t="shared" si="124"/>
        <v>3.0830326339000146E-2</v>
      </c>
      <c r="J90" s="890">
        <f t="shared" si="124"/>
        <v>1.7054639666137229E-2</v>
      </c>
      <c r="K90" s="890">
        <f>K77/K$86</f>
        <v>1.4732152065842941E-2</v>
      </c>
      <c r="L90" s="1826"/>
      <c r="M90" s="1826"/>
      <c r="N90" s="1826"/>
      <c r="O90" s="1826"/>
      <c r="P90" s="890"/>
      <c r="Q90" s="497"/>
      <c r="R90" s="43"/>
      <c r="S90" s="9"/>
      <c r="T90" s="66"/>
      <c r="U90" s="1026"/>
      <c r="V90" s="4"/>
      <c r="W90" s="4"/>
      <c r="X90" s="4"/>
      <c r="Y90" s="4"/>
      <c r="Z90" s="4"/>
      <c r="AA90" s="4"/>
      <c r="AB90" s="4"/>
      <c r="AC90" s="4"/>
      <c r="AD90" s="4"/>
      <c r="AE90" s="4"/>
      <c r="AF90" s="4"/>
      <c r="AG90" s="4"/>
      <c r="AH90" s="4"/>
      <c r="AI90" s="4"/>
      <c r="AJ90" s="4"/>
      <c r="AK90" s="4"/>
      <c r="AL90" s="4"/>
      <c r="AM90" s="4"/>
      <c r="AN90" s="4"/>
      <c r="AO90" s="4"/>
      <c r="AP90" s="4"/>
      <c r="AQ90" s="4"/>
      <c r="AR90" s="4"/>
      <c r="AS90" s="4"/>
      <c r="AT90" s="1099"/>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row>
    <row r="91" spans="1:73" x14ac:dyDescent="0.25">
      <c r="A91" s="854"/>
      <c r="B91" s="494">
        <v>272</v>
      </c>
      <c r="C91" s="494" t="s">
        <v>1172</v>
      </c>
      <c r="D91" s="494"/>
      <c r="E91" s="890"/>
      <c r="F91" s="890"/>
      <c r="G91" s="890">
        <f t="shared" ref="G91:K91" si="125">G78/G$86</f>
        <v>0.53600511853247712</v>
      </c>
      <c r="H91" s="890">
        <f t="shared" si="125"/>
        <v>0.52938243801386486</v>
      </c>
      <c r="I91" s="890">
        <f t="shared" si="125"/>
        <v>0.56867152796840414</v>
      </c>
      <c r="J91" s="890">
        <f t="shared" si="125"/>
        <v>0.5764207468244682</v>
      </c>
      <c r="K91" s="890">
        <f t="shared" si="125"/>
        <v>0.58599404408419919</v>
      </c>
      <c r="L91" s="1826"/>
      <c r="M91" s="1826"/>
      <c r="N91" s="1826"/>
      <c r="O91" s="1826"/>
      <c r="P91" s="890"/>
      <c r="Q91" s="497"/>
      <c r="R91" s="43"/>
      <c r="S91" s="9"/>
      <c r="T91" s="66"/>
      <c r="U91" s="1026"/>
      <c r="V91" s="4"/>
      <c r="W91" s="4"/>
      <c r="X91" s="4"/>
      <c r="Y91" s="4"/>
      <c r="Z91" s="4"/>
      <c r="AA91" s="4"/>
      <c r="AB91" s="4"/>
      <c r="AC91" s="4"/>
      <c r="AD91" s="4"/>
      <c r="AE91" s="4"/>
      <c r="AF91" s="4"/>
      <c r="AG91" s="4"/>
      <c r="AH91" s="4"/>
      <c r="AI91" s="4"/>
      <c r="AJ91" s="4"/>
      <c r="AK91" s="4"/>
      <c r="AL91" s="4"/>
      <c r="AM91" s="4"/>
      <c r="AN91" s="4"/>
      <c r="AO91" s="4"/>
      <c r="AP91" s="4"/>
      <c r="AQ91" s="4"/>
      <c r="AR91" s="4"/>
      <c r="AS91" s="4"/>
      <c r="AT91" s="1099"/>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row>
    <row r="92" spans="1:73" x14ac:dyDescent="0.25">
      <c r="A92" s="854"/>
      <c r="B92" s="494">
        <v>273</v>
      </c>
      <c r="C92" s="494" t="s">
        <v>1173</v>
      </c>
      <c r="D92" s="494"/>
      <c r="E92" s="890"/>
      <c r="F92" s="890"/>
      <c r="G92" s="890">
        <f t="shared" ref="G92:K92" si="126">G79/G$86</f>
        <v>4.9278137148467656E-3</v>
      </c>
      <c r="H92" s="890">
        <f t="shared" si="126"/>
        <v>7.1609512061992569E-3</v>
      </c>
      <c r="I92" s="890">
        <f t="shared" si="126"/>
        <v>7.3607511415781108E-3</v>
      </c>
      <c r="J92" s="890">
        <f t="shared" si="126"/>
        <v>1.0484262822871531E-2</v>
      </c>
      <c r="K92" s="890">
        <f t="shared" si="126"/>
        <v>1.1202463139221429E-2</v>
      </c>
      <c r="L92" s="1826"/>
      <c r="M92" s="1826"/>
      <c r="N92" s="1826"/>
      <c r="O92" s="1826"/>
      <c r="P92" s="890"/>
      <c r="Q92" s="497"/>
      <c r="R92" s="43"/>
      <c r="S92" s="9"/>
      <c r="T92" s="66"/>
      <c r="U92" s="1026"/>
      <c r="V92" s="4"/>
      <c r="W92" s="4"/>
      <c r="X92" s="4"/>
      <c r="Y92" s="4"/>
      <c r="Z92" s="4"/>
      <c r="AA92" s="4"/>
      <c r="AB92" s="4"/>
      <c r="AC92" s="4"/>
      <c r="AD92" s="4"/>
      <c r="AE92" s="4"/>
      <c r="AF92" s="4"/>
      <c r="AG92" s="4"/>
      <c r="AH92" s="4"/>
      <c r="AI92" s="4"/>
      <c r="AJ92" s="4"/>
      <c r="AK92" s="4"/>
      <c r="AL92" s="4"/>
      <c r="AM92" s="4"/>
      <c r="AN92" s="4"/>
      <c r="AO92" s="4"/>
      <c r="AP92" s="4"/>
      <c r="AQ92" s="4"/>
      <c r="AR92" s="4"/>
      <c r="AS92" s="4"/>
      <c r="AT92" s="1099"/>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row>
    <row r="93" spans="1:73" x14ac:dyDescent="0.25">
      <c r="A93" s="859"/>
      <c r="B93" s="494">
        <v>274</v>
      </c>
      <c r="C93" s="349" t="s">
        <v>1174</v>
      </c>
      <c r="D93" s="494"/>
      <c r="E93" s="890"/>
      <c r="F93" s="890"/>
      <c r="G93" s="890">
        <f t="shared" ref="G93:K93" si="127">G80/G$86</f>
        <v>0.19235618469634111</v>
      </c>
      <c r="H93" s="890">
        <f t="shared" si="127"/>
        <v>0.16406905829210952</v>
      </c>
      <c r="I93" s="890">
        <f t="shared" si="127"/>
        <v>0.13256301122191322</v>
      </c>
      <c r="J93" s="890">
        <f t="shared" si="127"/>
        <v>0.12384525559967272</v>
      </c>
      <c r="K93" s="890">
        <f t="shared" si="127"/>
        <v>0.10192975580310952</v>
      </c>
      <c r="L93" s="1826"/>
      <c r="M93" s="1826"/>
      <c r="N93" s="1826"/>
      <c r="O93" s="1826"/>
      <c r="P93" s="890"/>
      <c r="Q93" s="497"/>
      <c r="R93" s="43"/>
      <c r="S93" s="9"/>
      <c r="T93" s="66"/>
      <c r="U93" s="1026"/>
      <c r="V93" s="4"/>
      <c r="W93" s="4"/>
      <c r="X93" s="4"/>
      <c r="Y93" s="4"/>
      <c r="Z93" s="4"/>
      <c r="AA93" s="4"/>
      <c r="AB93" s="4"/>
      <c r="AC93" s="4"/>
      <c r="AD93" s="4"/>
      <c r="AE93" s="4"/>
      <c r="AF93" s="4"/>
      <c r="AG93" s="4"/>
      <c r="AH93" s="4"/>
      <c r="AI93" s="4"/>
      <c r="AJ93" s="4"/>
      <c r="AK93" s="4"/>
      <c r="AL93" s="4"/>
      <c r="AM93" s="4"/>
      <c r="AN93" s="4"/>
      <c r="AO93" s="4"/>
      <c r="AP93" s="4"/>
      <c r="AQ93" s="4"/>
      <c r="AR93" s="4"/>
      <c r="AS93" s="4"/>
      <c r="AT93" s="1099"/>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row>
    <row r="94" spans="1:73" x14ac:dyDescent="0.25">
      <c r="A94" s="854"/>
      <c r="B94" s="494">
        <v>275</v>
      </c>
      <c r="C94" s="494" t="s">
        <v>1175</v>
      </c>
      <c r="D94" s="494"/>
      <c r="E94" s="890"/>
      <c r="F94" s="890"/>
      <c r="G94" s="890">
        <f t="shared" ref="G94:K94" si="128">G81/G$86</f>
        <v>0.10696388430399913</v>
      </c>
      <c r="H94" s="890">
        <f t="shared" si="128"/>
        <v>0.16067167226107024</v>
      </c>
      <c r="I94" s="890">
        <f t="shared" si="128"/>
        <v>0.18645178267802384</v>
      </c>
      <c r="J94" s="890">
        <f t="shared" si="128"/>
        <v>0.19538835720353379</v>
      </c>
      <c r="K94" s="890">
        <f t="shared" si="128"/>
        <v>0.20181739027533352</v>
      </c>
      <c r="L94" s="1826"/>
      <c r="M94" s="1826"/>
      <c r="N94" s="1826"/>
      <c r="O94" s="1826"/>
      <c r="P94" s="890"/>
      <c r="Q94" s="497"/>
      <c r="R94" s="43"/>
      <c r="S94" s="9"/>
      <c r="T94" s="66"/>
      <c r="U94" s="1026"/>
      <c r="V94" s="4"/>
      <c r="W94" s="4"/>
      <c r="X94" s="4"/>
      <c r="Y94" s="4"/>
      <c r="Z94" s="4"/>
      <c r="AA94" s="4"/>
      <c r="AB94" s="4"/>
      <c r="AC94" s="4"/>
      <c r="AD94" s="4"/>
      <c r="AE94" s="4"/>
      <c r="AF94" s="4"/>
      <c r="AG94" s="4"/>
      <c r="AH94" s="4"/>
      <c r="AI94" s="4"/>
      <c r="AJ94" s="4"/>
      <c r="AK94" s="4"/>
      <c r="AL94" s="4"/>
      <c r="AM94" s="4"/>
      <c r="AN94" s="4"/>
      <c r="AO94" s="4"/>
      <c r="AP94" s="4"/>
      <c r="AQ94" s="4"/>
      <c r="AR94" s="4"/>
      <c r="AS94" s="4"/>
      <c r="AT94" s="1099"/>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row>
    <row r="95" spans="1:73" x14ac:dyDescent="0.25">
      <c r="A95" s="854"/>
      <c r="B95" s="494">
        <v>276</v>
      </c>
      <c r="C95" s="494" t="s">
        <v>1176</v>
      </c>
      <c r="D95" s="494"/>
      <c r="E95" s="890"/>
      <c r="F95" s="890"/>
      <c r="G95" s="890">
        <f t="shared" ref="G95:K95" si="129">G82/G$86</f>
        <v>6.0215234115491914E-2</v>
      </c>
      <c r="H95" s="890">
        <f t="shared" si="129"/>
        <v>3.7178185694085687E-2</v>
      </c>
      <c r="I95" s="890">
        <f t="shared" si="129"/>
        <v>2.711977354346095E-2</v>
      </c>
      <c r="J95" s="890">
        <f t="shared" si="129"/>
        <v>2.7386358042771907E-2</v>
      </c>
      <c r="K95" s="890">
        <f t="shared" si="129"/>
        <v>2.722383321698706E-2</v>
      </c>
      <c r="L95" s="1826"/>
      <c r="M95" s="1826"/>
      <c r="N95" s="1826"/>
      <c r="O95" s="1826"/>
      <c r="P95" s="890"/>
      <c r="Q95" s="497"/>
      <c r="R95" s="43"/>
      <c r="S95" s="9"/>
      <c r="T95" s="66"/>
      <c r="U95" s="1026"/>
      <c r="V95" s="4"/>
      <c r="W95" s="4"/>
      <c r="X95" s="4"/>
      <c r="Y95" s="4"/>
      <c r="Z95" s="4"/>
      <c r="AA95" s="4"/>
      <c r="AB95" s="4"/>
      <c r="AC95" s="4"/>
      <c r="AD95" s="4"/>
      <c r="AE95" s="4"/>
      <c r="AF95" s="4"/>
      <c r="AG95" s="4"/>
      <c r="AH95" s="4"/>
      <c r="AI95" s="4"/>
      <c r="AJ95" s="4"/>
      <c r="AK95" s="4"/>
      <c r="AL95" s="4"/>
      <c r="AM95" s="4"/>
      <c r="AN95" s="4"/>
      <c r="AO95" s="4"/>
      <c r="AP95" s="4"/>
      <c r="AQ95" s="4"/>
      <c r="AR95" s="4"/>
      <c r="AS95" s="4"/>
      <c r="AT95" s="1099"/>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row>
    <row r="96" spans="1:73" x14ac:dyDescent="0.25">
      <c r="A96" s="854"/>
      <c r="B96" s="1152">
        <v>277</v>
      </c>
      <c r="C96" s="494" t="s">
        <v>1196</v>
      </c>
      <c r="D96" s="494"/>
      <c r="E96" s="890"/>
      <c r="F96" s="890"/>
      <c r="G96" s="890">
        <f t="shared" ref="G96:K96" si="130">G83/G$86</f>
        <v>2.2991354812659868E-5</v>
      </c>
      <c r="H96" s="890">
        <f t="shared" si="130"/>
        <v>1.2205971470690626E-5</v>
      </c>
      <c r="I96" s="890">
        <f t="shared" si="130"/>
        <v>1.1904776736294385E-5</v>
      </c>
      <c r="J96" s="890">
        <f t="shared" si="130"/>
        <v>1.5473757725304006E-5</v>
      </c>
      <c r="K96" s="890">
        <f t="shared" si="130"/>
        <v>8.3595610036250083E-6</v>
      </c>
      <c r="L96" s="1826"/>
      <c r="M96" s="1826"/>
      <c r="N96" s="1826"/>
      <c r="O96" s="1826"/>
      <c r="P96" s="890"/>
      <c r="Q96" s="497"/>
      <c r="R96" s="43"/>
      <c r="S96" s="9"/>
      <c r="T96" s="66"/>
      <c r="U96" s="1026"/>
      <c r="V96" s="4"/>
      <c r="W96" s="4"/>
      <c r="X96" s="4"/>
      <c r="Y96" s="4"/>
      <c r="Z96" s="4"/>
      <c r="AA96" s="4"/>
      <c r="AB96" s="4"/>
      <c r="AC96" s="4"/>
      <c r="AD96" s="4"/>
      <c r="AE96" s="4"/>
      <c r="AF96" s="4"/>
      <c r="AG96" s="4"/>
      <c r="AH96" s="4"/>
      <c r="AI96" s="4"/>
      <c r="AJ96" s="4"/>
      <c r="AK96" s="4"/>
      <c r="AL96" s="4"/>
      <c r="AM96" s="4"/>
      <c r="AN96" s="4"/>
      <c r="AO96" s="4"/>
      <c r="AP96" s="4"/>
      <c r="AQ96" s="4"/>
      <c r="AR96" s="4"/>
      <c r="AS96" s="4"/>
      <c r="AT96" s="1099"/>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row>
    <row r="97" spans="1:73" x14ac:dyDescent="0.25">
      <c r="A97" s="854"/>
      <c r="B97" s="1152">
        <v>278</v>
      </c>
      <c r="C97" s="494" t="s">
        <v>1177</v>
      </c>
      <c r="D97" s="494"/>
      <c r="E97" s="890"/>
      <c r="F97" s="890"/>
      <c r="G97" s="890">
        <f t="shared" ref="G97:K97" si="131">G84/G$86</f>
        <v>2.226723661870305E-2</v>
      </c>
      <c r="H97" s="890">
        <f t="shared" si="131"/>
        <v>4.0461420104610332E-2</v>
      </c>
      <c r="I97" s="890">
        <f t="shared" si="131"/>
        <v>3.2482737035525101E-2</v>
      </c>
      <c r="J97" s="890">
        <f t="shared" si="131"/>
        <v>3.5267374349432057E-2</v>
      </c>
      <c r="K97" s="890">
        <f t="shared" si="131"/>
        <v>4.192135281581498E-2</v>
      </c>
      <c r="L97" s="1826"/>
      <c r="M97" s="1826"/>
      <c r="N97" s="1826"/>
      <c r="O97" s="1826"/>
      <c r="P97" s="890"/>
      <c r="Q97" s="497"/>
      <c r="R97" s="43"/>
      <c r="S97" s="9"/>
      <c r="T97" s="66"/>
      <c r="U97" s="1026"/>
      <c r="V97" s="4"/>
      <c r="W97" s="4"/>
      <c r="X97" s="4"/>
      <c r="Y97" s="4"/>
      <c r="Z97" s="4"/>
      <c r="AA97" s="4"/>
      <c r="AB97" s="4"/>
      <c r="AC97" s="4"/>
      <c r="AD97" s="4"/>
      <c r="AE97" s="4"/>
      <c r="AF97" s="4"/>
      <c r="AG97" s="4"/>
      <c r="AH97" s="4"/>
      <c r="AI97" s="4"/>
      <c r="AJ97" s="4"/>
      <c r="AK97" s="4"/>
      <c r="AL97" s="4"/>
      <c r="AM97" s="4"/>
      <c r="AN97" s="4"/>
      <c r="AO97" s="4"/>
      <c r="AP97" s="4"/>
      <c r="AQ97" s="4"/>
      <c r="AR97" s="4"/>
      <c r="AS97" s="4"/>
      <c r="AT97" s="1099"/>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row>
    <row r="98" spans="1:73" x14ac:dyDescent="0.25">
      <c r="A98" s="854"/>
      <c r="B98" s="494">
        <v>279</v>
      </c>
      <c r="C98" s="494" t="s">
        <v>1382</v>
      </c>
      <c r="D98" s="494"/>
      <c r="E98" s="890"/>
      <c r="F98" s="890"/>
      <c r="G98" s="890">
        <f t="shared" ref="G98:K98" si="132">G85/G$86</f>
        <v>2.2103450586323337E-2</v>
      </c>
      <c r="H98" s="890">
        <f t="shared" si="132"/>
        <v>2.1856768941819635E-2</v>
      </c>
      <c r="I98" s="890">
        <f t="shared" si="132"/>
        <v>1.4508185295358203E-2</v>
      </c>
      <c r="J98" s="890">
        <f t="shared" si="132"/>
        <v>1.4137531733387399E-2</v>
      </c>
      <c r="K98" s="890">
        <f t="shared" si="132"/>
        <v>1.5170649038487633E-2</v>
      </c>
      <c r="L98" s="1826"/>
      <c r="M98" s="1826"/>
      <c r="N98" s="1826"/>
      <c r="O98" s="1826"/>
      <c r="P98" s="890"/>
      <c r="Q98" s="497"/>
      <c r="R98" s="43"/>
      <c r="S98" s="9"/>
      <c r="T98" s="66"/>
      <c r="U98" s="1026"/>
      <c r="V98" s="4"/>
      <c r="W98" s="4"/>
      <c r="X98" s="4"/>
      <c r="Y98" s="4"/>
      <c r="Z98" s="4"/>
      <c r="AA98" s="4"/>
      <c r="AB98" s="4"/>
      <c r="AC98" s="4"/>
      <c r="AD98" s="4"/>
      <c r="AE98" s="4"/>
      <c r="AF98" s="4"/>
      <c r="AG98" s="4"/>
      <c r="AH98" s="4"/>
      <c r="AI98" s="4"/>
      <c r="AJ98" s="4"/>
      <c r="AK98" s="4"/>
      <c r="AL98" s="4"/>
      <c r="AM98" s="4"/>
      <c r="AN98" s="4"/>
      <c r="AO98" s="4"/>
      <c r="AP98" s="4"/>
      <c r="AQ98" s="4"/>
      <c r="AR98" s="4"/>
      <c r="AS98" s="4"/>
      <c r="AT98" s="1099"/>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row>
    <row r="99" spans="1:73" x14ac:dyDescent="0.25">
      <c r="A99" s="861"/>
      <c r="B99" s="773"/>
      <c r="C99" s="773" t="s">
        <v>1178</v>
      </c>
      <c r="D99" s="773"/>
      <c r="E99" s="891"/>
      <c r="F99" s="891"/>
      <c r="G99" s="891">
        <f t="shared" ref="G99:K99" si="133">SUM(G90:G98)</f>
        <v>0.99999999999999989</v>
      </c>
      <c r="H99" s="891">
        <f t="shared" si="133"/>
        <v>0.99999999999999989</v>
      </c>
      <c r="I99" s="891">
        <f t="shared" si="133"/>
        <v>1</v>
      </c>
      <c r="J99" s="891">
        <f t="shared" si="133"/>
        <v>1</v>
      </c>
      <c r="K99" s="891">
        <f t="shared" si="133"/>
        <v>0.99999999999999989</v>
      </c>
      <c r="L99" s="891">
        <f t="shared" ref="L99" si="134">SUM(L90:L98)</f>
        <v>0</v>
      </c>
      <c r="M99" s="891"/>
      <c r="N99" s="891"/>
      <c r="O99" s="891"/>
      <c r="P99" s="1755"/>
      <c r="Q99" s="497"/>
      <c r="R99" s="43"/>
      <c r="S99" s="9"/>
      <c r="T99" s="66"/>
      <c r="U99" s="1026"/>
      <c r="V99" s="4"/>
      <c r="W99" s="4"/>
      <c r="X99" s="4"/>
      <c r="Y99" s="4"/>
      <c r="Z99" s="4"/>
      <c r="AA99" s="4"/>
      <c r="AB99" s="4"/>
      <c r="AC99" s="4"/>
      <c r="AD99" s="4"/>
      <c r="AE99" s="4"/>
      <c r="AF99" s="4"/>
      <c r="AG99" s="4"/>
      <c r="AH99" s="4"/>
      <c r="AI99" s="4"/>
      <c r="AJ99" s="4"/>
      <c r="AK99" s="4"/>
      <c r="AL99" s="4"/>
      <c r="AM99" s="4"/>
      <c r="AN99" s="4"/>
      <c r="AO99" s="4"/>
      <c r="AP99" s="4"/>
      <c r="AQ99" s="4"/>
      <c r="AR99" s="4"/>
      <c r="AS99" s="4"/>
      <c r="AT99" s="1099"/>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row>
    <row r="100" spans="1:73" x14ac:dyDescent="0.25">
      <c r="A100" s="854"/>
      <c r="B100" s="243"/>
      <c r="C100" s="43"/>
      <c r="D100" s="43"/>
      <c r="E100" s="497"/>
      <c r="F100" s="497"/>
      <c r="G100" s="497"/>
      <c r="H100" s="497"/>
      <c r="I100" s="498"/>
      <c r="J100" s="498"/>
      <c r="K100" s="498"/>
      <c r="L100" s="498"/>
      <c r="M100" s="498"/>
      <c r="N100" s="498"/>
      <c r="O100" s="498"/>
      <c r="P100" s="498"/>
      <c r="Q100" s="497"/>
      <c r="R100" s="43"/>
      <c r="S100" s="9"/>
      <c r="T100" s="66"/>
      <c r="U100" s="1026"/>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1099"/>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row>
    <row r="101" spans="1:73" x14ac:dyDescent="0.25">
      <c r="A101" s="854"/>
      <c r="B101" s="243"/>
      <c r="C101" s="1151" t="s">
        <v>1383</v>
      </c>
      <c r="D101" s="43"/>
      <c r="E101" s="497"/>
      <c r="F101" s="497"/>
      <c r="G101" s="497"/>
      <c r="H101" s="497"/>
      <c r="I101" s="498"/>
      <c r="J101" s="498"/>
      <c r="K101" s="498"/>
      <c r="L101" s="498"/>
      <c r="M101" s="498"/>
      <c r="N101" s="498"/>
      <c r="O101" s="498"/>
      <c r="P101" s="498"/>
      <c r="Q101" s="497"/>
      <c r="R101" s="43"/>
      <c r="S101" s="9"/>
      <c r="T101" s="66"/>
      <c r="U101" s="1026"/>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1099"/>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row>
    <row r="102" spans="1:73" x14ac:dyDescent="0.25">
      <c r="A102" s="854"/>
      <c r="B102" s="243"/>
      <c r="C102" s="1151" t="s">
        <v>1384</v>
      </c>
      <c r="D102" s="43"/>
      <c r="E102" s="497"/>
      <c r="F102" s="497"/>
      <c r="G102" s="497"/>
      <c r="H102" s="497"/>
      <c r="I102" s="498"/>
      <c r="J102" s="498"/>
      <c r="K102" s="498"/>
      <c r="L102" s="498"/>
      <c r="M102" s="498"/>
      <c r="N102" s="498"/>
      <c r="O102" s="498"/>
      <c r="P102" s="498"/>
      <c r="Q102" s="497"/>
      <c r="R102" s="43"/>
      <c r="S102" s="9"/>
      <c r="T102" s="66"/>
      <c r="U102" s="1026"/>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1099"/>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row>
    <row r="103" spans="1:73" x14ac:dyDescent="0.25">
      <c r="A103" s="854"/>
      <c r="B103" s="243"/>
      <c r="C103" s="43"/>
      <c r="D103" s="43"/>
      <c r="E103" s="497"/>
      <c r="F103" s="497"/>
      <c r="G103" s="497"/>
      <c r="H103" s="497"/>
      <c r="I103" s="498"/>
      <c r="J103" s="498"/>
      <c r="K103" s="498"/>
      <c r="L103" s="498"/>
      <c r="M103" s="498"/>
      <c r="N103" s="498"/>
      <c r="O103" s="498"/>
      <c r="P103" s="498"/>
      <c r="Q103" s="497"/>
      <c r="R103" s="43"/>
      <c r="S103" s="9"/>
      <c r="T103" s="66"/>
      <c r="U103" s="1026"/>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1099"/>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row>
    <row r="104" spans="1:73" x14ac:dyDescent="0.25">
      <c r="A104" s="860"/>
      <c r="B104" s="534" t="s">
        <v>1197</v>
      </c>
      <c r="C104" s="535"/>
      <c r="D104" s="535"/>
      <c r="E104" s="536"/>
      <c r="F104" s="536"/>
      <c r="G104" s="536"/>
      <c r="H104" s="536"/>
      <c r="I104" s="536"/>
      <c r="J104" s="536"/>
      <c r="K104" s="536"/>
      <c r="L104" s="536"/>
      <c r="M104" s="536"/>
      <c r="N104" s="536"/>
      <c r="O104" s="536"/>
      <c r="P104" s="536"/>
      <c r="Q104" s="497"/>
      <c r="R104" s="43"/>
      <c r="S104" s="9"/>
      <c r="T104" s="66"/>
      <c r="U104" s="1026"/>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1099"/>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row>
    <row r="105" spans="1:73" x14ac:dyDescent="0.25">
      <c r="A105" s="854"/>
      <c r="B105" s="4"/>
      <c r="C105" s="4"/>
      <c r="D105" s="4" t="str">
        <f>D7</f>
        <v>млрд руб.</v>
      </c>
      <c r="F105" s="4"/>
      <c r="G105" s="4" t="s">
        <v>348</v>
      </c>
      <c r="H105" s="4"/>
      <c r="I105" s="4"/>
      <c r="J105" s="4"/>
      <c r="K105" s="4"/>
      <c r="L105" s="4"/>
      <c r="M105" s="4"/>
      <c r="N105" s="4"/>
      <c r="O105" s="4"/>
      <c r="P105" s="4"/>
      <c r="Q105" s="497"/>
      <c r="R105" s="43"/>
      <c r="S105" s="9"/>
      <c r="T105" s="66"/>
      <c r="U105" s="1026"/>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1099"/>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row>
    <row r="106" spans="1:73" x14ac:dyDescent="0.25">
      <c r="A106" s="855"/>
      <c r="B106" s="15"/>
      <c r="C106" s="15"/>
      <c r="D106" s="15"/>
      <c r="E106" s="539"/>
      <c r="F106" s="539"/>
      <c r="G106" s="539">
        <f t="shared" ref="G106:O106" si="135">G8</f>
        <v>2017</v>
      </c>
      <c r="H106" s="539">
        <f t="shared" si="135"/>
        <v>2018</v>
      </c>
      <c r="I106" s="539">
        <f t="shared" si="135"/>
        <v>2019</v>
      </c>
      <c r="J106" s="539">
        <f t="shared" si="135"/>
        <v>2020</v>
      </c>
      <c r="K106" s="539">
        <f t="shared" si="135"/>
        <v>2021</v>
      </c>
      <c r="L106" s="539">
        <f t="shared" si="135"/>
        <v>2022</v>
      </c>
      <c r="M106" s="539">
        <f t="shared" si="135"/>
        <v>2023</v>
      </c>
      <c r="N106" s="539">
        <f t="shared" si="135"/>
        <v>2024</v>
      </c>
      <c r="O106" s="539">
        <f t="shared" si="135"/>
        <v>2025</v>
      </c>
      <c r="P106" s="540"/>
      <c r="Q106" s="497"/>
      <c r="R106" s="43"/>
      <c r="S106" s="9"/>
      <c r="T106" s="66"/>
      <c r="U106" s="1026"/>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1099"/>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row>
    <row r="107" spans="1:73" s="2" customFormat="1" x14ac:dyDescent="0.25">
      <c r="A107" s="859"/>
      <c r="B107" s="12"/>
      <c r="C107" s="771" t="s">
        <v>1070</v>
      </c>
      <c r="D107" s="12" t="s">
        <v>35</v>
      </c>
      <c r="E107" s="593"/>
      <c r="F107" s="593"/>
      <c r="G107" s="593"/>
      <c r="H107" s="593"/>
      <c r="I107" s="593"/>
      <c r="J107" s="593"/>
      <c r="K107" s="593"/>
      <c r="L107" s="593"/>
      <c r="M107" s="593"/>
      <c r="N107" s="593"/>
      <c r="O107" s="593"/>
      <c r="P107" s="593"/>
      <c r="Q107" s="500"/>
      <c r="R107" s="46"/>
      <c r="S107" s="17"/>
      <c r="T107" s="502"/>
      <c r="U107" s="1026"/>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099"/>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row>
    <row r="108" spans="1:73" ht="15.75" thickBot="1" x14ac:dyDescent="0.3">
      <c r="A108" s="854"/>
      <c r="B108" s="4"/>
      <c r="C108" s="4"/>
      <c r="D108" s="4" t="s">
        <v>1183</v>
      </c>
      <c r="E108" s="499"/>
      <c r="F108" s="499"/>
      <c r="G108" s="499">
        <f>Ввод!H693/VLOOKUP(Баланс!$B$7,Баланс!$A$1:$B$3,2,0)</f>
        <v>2.2901980000000002</v>
      </c>
      <c r="H108" s="499">
        <f>Ввод!I693/VLOOKUP(Баланс!$B$7,Баланс!$A$1:$B$3,2,0)</f>
        <v>5.2362260000000003</v>
      </c>
      <c r="I108" s="499">
        <f>Ввод!J693/VLOOKUP(Баланс!$B$7,Баланс!$A$1:$B$3,2,0)</f>
        <v>8.626417</v>
      </c>
      <c r="J108" s="499">
        <f>Ввод!K693/VLOOKUP(Баланс!$B$7,Баланс!$A$1:$B$3,2,0)</f>
        <v>4.6873199999999997</v>
      </c>
      <c r="K108" s="499">
        <f>Ввод!L693/VLOOKUP(Баланс!$B$7,Баланс!$A$1:$B$3,2,0)</f>
        <v>3.4663379999999999</v>
      </c>
      <c r="L108" s="1825"/>
      <c r="M108" s="1825"/>
      <c r="N108" s="1825"/>
      <c r="O108" s="1825"/>
      <c r="P108" s="499"/>
      <c r="Q108" s="497"/>
      <c r="R108" s="43"/>
      <c r="S108" s="9"/>
      <c r="T108" s="66"/>
      <c r="U108" s="1026"/>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1099"/>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row>
    <row r="109" spans="1:73" ht="15.75" thickTop="1" x14ac:dyDescent="0.25">
      <c r="A109" s="854"/>
      <c r="B109" s="4"/>
      <c r="C109" s="4"/>
      <c r="D109" s="1147" t="s">
        <v>1186</v>
      </c>
      <c r="E109" s="1148"/>
      <c r="F109" s="1148"/>
      <c r="G109" s="1148">
        <f>(Ввод!H694+Ввод!H$700*Ввод!H694/SUM(Ввод!H$694:H$697))/VLOOKUP(Баланс!$B$7,Баланс!$A$1:$B$3,2,0)</f>
        <v>-0.25513149661940548</v>
      </c>
      <c r="H109" s="1148">
        <f>(Ввод!I694+Ввод!I$700*Ввод!I694/SUM(Ввод!I$694:I$697))/VLOOKUP(Баланс!$B$7,Баланс!$A$1:$B$3,2,0)</f>
        <v>-0.20817742895786182</v>
      </c>
      <c r="I109" s="1148">
        <f>(Ввод!J694+Ввод!J$700*Ввод!J694/SUM(Ввод!J$694:J$697))/VLOOKUP(Баланс!$B$7,Баланс!$A$1:$B$3,2,0)</f>
        <v>-0.20841222413778485</v>
      </c>
      <c r="J109" s="1148">
        <f>(Ввод!K694+Ввод!K$700*Ввод!K694/SUM(Ввод!K$694:K$697))/VLOOKUP(Баланс!$B$7,Баланс!$A$1:$B$3,2,0)</f>
        <v>-0.19175162980074256</v>
      </c>
      <c r="K109" s="1148">
        <f>(Ввод!L694+Ввод!L$700*Ввод!L694/SUM(Ввод!L$694:L$697))/VLOOKUP(Баланс!$B$7,Баланс!$A$1:$B$3,2,0)</f>
        <v>-0.16397416840234791</v>
      </c>
      <c r="L109" s="1827"/>
      <c r="M109" s="1827"/>
      <c r="N109" s="1827"/>
      <c r="O109" s="1827"/>
      <c r="P109" s="499"/>
      <c r="Q109" s="497"/>
      <c r="R109" s="43"/>
      <c r="S109" s="9"/>
      <c r="T109" s="66"/>
      <c r="U109" s="1026"/>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1099"/>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row>
    <row r="110" spans="1:73" x14ac:dyDescent="0.25">
      <c r="A110" s="854"/>
      <c r="B110" s="4"/>
      <c r="C110" s="4"/>
      <c r="D110" s="4" t="s">
        <v>1184</v>
      </c>
      <c r="E110" s="499"/>
      <c r="F110" s="499"/>
      <c r="G110" s="499">
        <f>(Ввод!H695+Ввод!H$700*Ввод!H695/SUM(Ввод!H$694:H$697))/VLOOKUP(Баланс!$B$7,Баланс!$A$1:$B$3,2,0)</f>
        <v>0.4309899134744003</v>
      </c>
      <c r="H110" s="499">
        <f>(Ввод!I695+Ввод!I$700*Ввод!I695/SUM(Ввод!I$694:I$697))/VLOOKUP(Баланс!$B$7,Баланс!$A$1:$B$3,2,0)</f>
        <v>0.42516737032764162</v>
      </c>
      <c r="I110" s="499">
        <f>(Ввод!J695+Ввод!J$700*Ввод!J695/SUM(Ввод!J$694:J$697))/VLOOKUP(Баланс!$B$7,Баланс!$A$1:$B$3,2,0)</f>
        <v>0.44797763039728028</v>
      </c>
      <c r="J110" s="499">
        <f>(Ввод!K695+Ввод!K$700*Ввод!K695/SUM(Ввод!K$694:K$697))/VLOOKUP(Баланс!$B$7,Баланс!$A$1:$B$3,2,0)</f>
        <v>0.43353686421513005</v>
      </c>
      <c r="K110" s="499">
        <f>(Ввод!L695+Ввод!L$700*Ввод!L695/SUM(Ввод!L$694:L$697))/VLOOKUP(Баланс!$B$7,Баланс!$A$1:$B$3,2,0)</f>
        <v>0.34953191338974909</v>
      </c>
      <c r="L110" s="1825"/>
      <c r="M110" s="1825"/>
      <c r="N110" s="1825"/>
      <c r="O110" s="1825"/>
      <c r="P110" s="499"/>
      <c r="Q110" s="497"/>
      <c r="R110" s="43"/>
      <c r="S110" s="9"/>
      <c r="T110" s="66"/>
      <c r="U110" s="1026"/>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1099"/>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row>
    <row r="111" spans="1:73" x14ac:dyDescent="0.25">
      <c r="A111" s="854"/>
      <c r="B111" s="4"/>
      <c r="C111" s="4"/>
      <c r="D111" s="4" t="s">
        <v>1185</v>
      </c>
      <c r="E111" s="499"/>
      <c r="F111" s="499"/>
      <c r="G111" s="499">
        <f>(Ввод!H696+Ввод!H$700*Ввод!H696/SUM(Ввод!H$694:H$697))/VLOOKUP(Баланс!$B$7,Баланс!$A$1:$B$3,2,0)</f>
        <v>8.1388751871372076</v>
      </c>
      <c r="H111" s="499">
        <f>(Ввод!I696+Ввод!I$700*Ввод!I696/SUM(Ввод!I$694:I$697))/VLOOKUP(Баланс!$B$7,Баланс!$A$1:$B$3,2,0)</f>
        <v>8.3305035630536857</v>
      </c>
      <c r="I111" s="499">
        <f>(Ввод!J696+Ввод!J$700*Ввод!J696/SUM(Ввод!J$694:J$697))/VLOOKUP(Баланс!$B$7,Баланс!$A$1:$B$3,2,0)</f>
        <v>9.2787802391588112</v>
      </c>
      <c r="J111" s="499">
        <f>(Ввод!K696+Ввод!K$700*Ввод!K696/SUM(Ввод!K$694:K$697))/VLOOKUP(Баланс!$B$7,Баланс!$A$1:$B$3,2,0)</f>
        <v>10.319444001400463</v>
      </c>
      <c r="K111" s="499">
        <f>(Ввод!L696+Ввод!L$700*Ввод!L696/SUM(Ввод!L$694:L$697))/VLOOKUP(Баланс!$B$7,Баланс!$A$1:$B$3,2,0)</f>
        <v>12.171039849955575</v>
      </c>
      <c r="L111" s="1825"/>
      <c r="M111" s="1825"/>
      <c r="N111" s="1825"/>
      <c r="O111" s="1825"/>
      <c r="P111" s="499"/>
      <c r="Q111" s="497"/>
      <c r="R111" s="43"/>
      <c r="S111" s="9"/>
      <c r="T111" s="66"/>
      <c r="U111" s="1026"/>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1099"/>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row>
    <row r="112" spans="1:73" ht="15.75" thickBot="1" x14ac:dyDescent="0.3">
      <c r="A112" s="854"/>
      <c r="B112" s="4"/>
      <c r="C112" s="4"/>
      <c r="D112" s="1149" t="s">
        <v>1214</v>
      </c>
      <c r="E112" s="1150"/>
      <c r="F112" s="1150"/>
      <c r="G112" s="1150">
        <f>(Ввод!H697+Ввод!H$700*Ввод!H697/SUM(Ввод!H$694:H$697))/VLOOKUP(Баланс!$B$7,Баланс!$A$1:$B$3,2,0)</f>
        <v>14.907552396007796</v>
      </c>
      <c r="H112" s="1150">
        <f>(Ввод!I697+Ввод!I$700*Ввод!I697/SUM(Ввод!I$694:I$697))/VLOOKUP(Баланс!$B$7,Баланс!$A$1:$B$3,2,0)</f>
        <v>11.680352495576534</v>
      </c>
      <c r="I112" s="1150">
        <f>(Ввод!J697+Ввод!J$700*Ввод!J697/SUM(Ввод!J$694:J$697))/VLOOKUP(Баланс!$B$7,Баланс!$A$1:$B$3,2,0)</f>
        <v>9.2512423545816933</v>
      </c>
      <c r="J112" s="1150">
        <f>(Ввод!K697+Ввод!K$700*Ввод!K697/SUM(Ввод!K$694:K$697))/VLOOKUP(Баланс!$B$7,Баланс!$A$1:$B$3,2,0)</f>
        <v>8.6016157641851496</v>
      </c>
      <c r="K112" s="1150">
        <f>(Ввод!L697+Ввод!L$700*Ввод!L697/SUM(Ввод!L$694:L$697))/VLOOKUP(Баланс!$B$7,Баланс!$A$1:$B$3,2,0)</f>
        <v>7.2794044050570221</v>
      </c>
      <c r="L112" s="1828"/>
      <c r="M112" s="1828"/>
      <c r="N112" s="1828"/>
      <c r="O112" s="1828"/>
      <c r="P112" s="499"/>
      <c r="Q112" s="497"/>
      <c r="R112" s="43"/>
      <c r="S112" s="9"/>
      <c r="T112" s="66"/>
      <c r="U112" s="1026"/>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1099"/>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row>
    <row r="113" spans="1:73" ht="15.75" thickTop="1" x14ac:dyDescent="0.25">
      <c r="A113" s="854"/>
      <c r="B113" s="4"/>
      <c r="C113" s="4"/>
      <c r="D113" s="4" t="s">
        <v>581</v>
      </c>
      <c r="E113" s="499"/>
      <c r="F113" s="499"/>
      <c r="G113" s="499">
        <f>Ввод!H698/VLOOKUP(Баланс!$B$7,Баланс!$A$1:$B$3,2,0)</f>
        <v>0</v>
      </c>
      <c r="H113" s="499">
        <f>Ввод!I698/VLOOKUP(Баланс!$B$7,Баланс!$A$1:$B$3,2,0)</f>
        <v>0</v>
      </c>
      <c r="I113" s="499">
        <f>Ввод!J698/VLOOKUP(Баланс!$B$7,Баланс!$A$1:$B$3,2,0)</f>
        <v>0</v>
      </c>
      <c r="J113" s="499">
        <f>Ввод!K698/VLOOKUP(Баланс!$B$7,Баланс!$A$1:$B$3,2,0)</f>
        <v>0</v>
      </c>
      <c r="K113" s="499">
        <f>Ввод!L698/VLOOKUP(Баланс!$B$7,Баланс!$A$1:$B$3,2,0)</f>
        <v>0</v>
      </c>
      <c r="L113" s="1825"/>
      <c r="M113" s="1825"/>
      <c r="N113" s="1825"/>
      <c r="O113" s="1825"/>
      <c r="P113" s="499"/>
      <c r="Q113" s="497"/>
      <c r="R113" s="43"/>
      <c r="S113" s="9"/>
      <c r="T113" s="66"/>
      <c r="U113" s="1026"/>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1099"/>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row>
    <row r="114" spans="1:73" x14ac:dyDescent="0.25">
      <c r="A114" s="854"/>
      <c r="B114" s="4"/>
      <c r="C114" s="4"/>
      <c r="D114" s="4" t="s">
        <v>582</v>
      </c>
      <c r="E114" s="499"/>
      <c r="F114" s="499"/>
      <c r="G114" s="499">
        <f>Ввод!H699/VLOOKUP(Баланс!$B$7,Баланс!$A$1:$B$3,2,0)</f>
        <v>6.7648900000000003</v>
      </c>
      <c r="H114" s="499">
        <f>Ввод!I699/VLOOKUP(Баланс!$B$7,Баланс!$A$1:$B$3,2,0)</f>
        <v>7.23203</v>
      </c>
      <c r="I114" s="499">
        <f>Ввод!J699/VLOOKUP(Баланс!$B$7,Баланс!$A$1:$B$3,2,0)</f>
        <v>7.4941240000000002</v>
      </c>
      <c r="J114" s="499">
        <f>Ввод!K699/VLOOKUP(Баланс!$B$7,Баланс!$A$1:$B$3,2,0)</f>
        <v>11.214114</v>
      </c>
      <c r="K114" s="499">
        <f>Ввод!L699/VLOOKUP(Баланс!$B$7,Баланс!$A$1:$B$3,2,0)</f>
        <v>11.376599000000001</v>
      </c>
      <c r="L114" s="1825"/>
      <c r="M114" s="1825"/>
      <c r="N114" s="1825"/>
      <c r="O114" s="1825"/>
      <c r="P114" s="499"/>
      <c r="Q114" s="497"/>
      <c r="R114" s="43"/>
      <c r="S114" s="9"/>
      <c r="T114" s="66"/>
      <c r="U114" s="1026"/>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1099"/>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row>
    <row r="115" spans="1:73" s="2" customFormat="1" x14ac:dyDescent="0.25">
      <c r="A115" s="911"/>
      <c r="B115" s="16"/>
      <c r="C115" s="912" t="s">
        <v>1074</v>
      </c>
      <c r="D115" s="16" t="s">
        <v>372</v>
      </c>
      <c r="E115" s="913"/>
      <c r="F115" s="913"/>
      <c r="G115" s="913"/>
      <c r="H115" s="913"/>
      <c r="I115" s="913"/>
      <c r="J115" s="913"/>
      <c r="K115" s="913"/>
      <c r="L115" s="1829"/>
      <c r="M115" s="1829"/>
      <c r="N115" s="1829"/>
      <c r="O115" s="1829"/>
      <c r="P115" s="593"/>
      <c r="Q115" s="500"/>
      <c r="R115" s="46"/>
      <c r="S115" s="17"/>
      <c r="T115" s="502"/>
      <c r="U115" s="1026"/>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099"/>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row>
    <row r="116" spans="1:73" x14ac:dyDescent="0.25">
      <c r="A116" s="854"/>
      <c r="B116" s="4"/>
      <c r="C116" s="4"/>
      <c r="D116" s="4" t="s">
        <v>1195</v>
      </c>
      <c r="E116" s="499"/>
      <c r="F116" s="499"/>
      <c r="G116" s="499">
        <f>Ввод!H715/VLOOKUP(Баланс!$B$7,Баланс!$A$1:$B$3,2,0)</f>
        <v>0.25181199999999998</v>
      </c>
      <c r="H116" s="499">
        <f>Ввод!I715/VLOOKUP(Баланс!$B$7,Баланс!$A$1:$B$3,2,0)</f>
        <v>0.22806199999999999</v>
      </c>
      <c r="I116" s="499">
        <f>Ввод!J715/VLOOKUP(Баланс!$B$7,Баланс!$A$1:$B$3,2,0)</f>
        <v>0.222718</v>
      </c>
      <c r="J116" s="499">
        <f>Ввод!K715/VLOOKUP(Баланс!$B$7,Баланс!$A$1:$B$3,2,0)</f>
        <v>0.13997499999999999</v>
      </c>
      <c r="K116" s="499">
        <f>Ввод!L715/VLOOKUP(Баланс!$B$7,Баланс!$A$1:$B$3,2,0)</f>
        <v>0.13569800000000001</v>
      </c>
      <c r="L116" s="1825"/>
      <c r="M116" s="1825"/>
      <c r="N116" s="1825"/>
      <c r="O116" s="1825"/>
      <c r="P116" s="499"/>
      <c r="Q116" s="497"/>
      <c r="R116" s="43"/>
      <c r="S116" s="9"/>
      <c r="T116" s="66"/>
      <c r="U116" s="1026"/>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1099"/>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row>
    <row r="117" spans="1:73" x14ac:dyDescent="0.25">
      <c r="A117" s="854"/>
      <c r="B117" s="4"/>
      <c r="C117" s="4"/>
      <c r="D117" s="4" t="s">
        <v>1172</v>
      </c>
      <c r="E117" s="499"/>
      <c r="F117" s="499"/>
      <c r="G117" s="499">
        <f>Ввод!H716/VLOOKUP(Баланс!$B$7,Баланс!$A$1:$B$3,2,0)</f>
        <v>2.4479000000000002</v>
      </c>
      <c r="H117" s="499">
        <f>Ввод!I716/VLOOKUP(Баланс!$B$7,Баланс!$A$1:$B$3,2,0)</f>
        <v>3.0793249999999999</v>
      </c>
      <c r="I117" s="499">
        <f>Ввод!J716/VLOOKUP(Баланс!$B$7,Баланс!$A$1:$B$3,2,0)</f>
        <v>4.1080779999999999</v>
      </c>
      <c r="J117" s="499">
        <f>Ввод!K716/VLOOKUP(Баланс!$B$7,Баланс!$A$1:$B$3,2,0)</f>
        <v>4.7309409999999996</v>
      </c>
      <c r="K117" s="499">
        <f>Ввод!L716/VLOOKUP(Баланс!$B$7,Баланс!$A$1:$B$3,2,0)</f>
        <v>5.3975970000000002</v>
      </c>
      <c r="L117" s="1825"/>
      <c r="M117" s="1825"/>
      <c r="N117" s="1825"/>
      <c r="O117" s="1825"/>
      <c r="P117" s="499"/>
      <c r="Q117" s="497"/>
      <c r="R117" s="43"/>
      <c r="S117" s="9"/>
      <c r="T117" s="66"/>
      <c r="U117" s="1026"/>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1099"/>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row>
    <row r="118" spans="1:73" x14ac:dyDescent="0.25">
      <c r="A118" s="854"/>
      <c r="B118" s="494"/>
      <c r="C118" s="494"/>
      <c r="D118" s="494" t="s">
        <v>1173</v>
      </c>
      <c r="E118" s="499"/>
      <c r="F118" s="499"/>
      <c r="G118" s="499">
        <f>Ввод!H717/VLOOKUP(Баланс!$B$7,Баланс!$A$1:$B$3,2,0)</f>
        <v>2.2505000000000001E-2</v>
      </c>
      <c r="H118" s="499">
        <f>Ввод!I717/VLOOKUP(Баланс!$B$7,Баланс!$A$1:$B$3,2,0)</f>
        <v>4.1653999999999997E-2</v>
      </c>
      <c r="I118" s="499">
        <f>Ввод!J717/VLOOKUP(Баланс!$B$7,Баланс!$A$1:$B$3,2,0)</f>
        <v>5.3173999999999999E-2</v>
      </c>
      <c r="J118" s="499">
        <f>Ввод!K717/VLOOKUP(Баланс!$B$7,Баланс!$A$1:$B$3,2,0)</f>
        <v>8.6049E-2</v>
      </c>
      <c r="K118" s="499">
        <f>Ввод!L717/VLOOKUP(Баланс!$B$7,Баланс!$A$1:$B$3,2,0)</f>
        <v>0.103186</v>
      </c>
      <c r="L118" s="1825"/>
      <c r="M118" s="1825"/>
      <c r="N118" s="1825"/>
      <c r="O118" s="1825"/>
      <c r="P118" s="499"/>
      <c r="Q118" s="497"/>
      <c r="R118" s="43"/>
      <c r="S118" s="9"/>
      <c r="T118" s="66"/>
      <c r="U118" s="1026"/>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1099"/>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row>
    <row r="119" spans="1:73" x14ac:dyDescent="0.25">
      <c r="A119" s="854"/>
      <c r="B119" s="494"/>
      <c r="C119" s="494"/>
      <c r="D119" s="494" t="s">
        <v>1174</v>
      </c>
      <c r="E119" s="499"/>
      <c r="F119" s="499"/>
      <c r="G119" s="499">
        <f>Ввод!H718/VLOOKUP(Баланс!$B$7,Баланс!$A$1:$B$3,2,0)</f>
        <v>0.87847799999999998</v>
      </c>
      <c r="H119" s="499">
        <f>Ввод!I718/VLOOKUP(Баланс!$B$7,Баланс!$A$1:$B$3,2,0)</f>
        <v>0.95436100000000001</v>
      </c>
      <c r="I119" s="499">
        <f>Ввод!J718/VLOOKUP(Баланс!$B$7,Баланс!$A$1:$B$3,2,0)</f>
        <v>0.95763399999999999</v>
      </c>
      <c r="J119" s="499">
        <f>Ввод!K718/VLOOKUP(Баланс!$B$7,Баланс!$A$1:$B$3,2,0)</f>
        <v>1.0164530000000001</v>
      </c>
      <c r="K119" s="499">
        <f>Ввод!L718/VLOOKUP(Баланс!$B$7,Баланс!$A$1:$B$3,2,0)</f>
        <v>0.93887600000000004</v>
      </c>
      <c r="L119" s="1825"/>
      <c r="M119" s="1825"/>
      <c r="N119" s="1825"/>
      <c r="O119" s="1825"/>
      <c r="P119" s="499"/>
      <c r="Q119" s="497"/>
      <c r="R119" s="43"/>
      <c r="S119" s="9"/>
      <c r="T119" s="66"/>
      <c r="U119" s="1026"/>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1099"/>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row>
    <row r="120" spans="1:73" x14ac:dyDescent="0.25">
      <c r="A120" s="854"/>
      <c r="B120" s="494"/>
      <c r="C120" s="494"/>
      <c r="D120" s="494" t="s">
        <v>1175</v>
      </c>
      <c r="E120" s="499"/>
      <c r="F120" s="499"/>
      <c r="G120" s="499">
        <f>Ввод!H719/VLOOKUP(Баланс!$B$7,Баланс!$A$1:$B$3,2,0)</f>
        <v>0.48849700000000001</v>
      </c>
      <c r="H120" s="499">
        <f>Ввод!I719/VLOOKUP(Баланс!$B$7,Баланс!$A$1:$B$3,2,0)</f>
        <v>0.93459899999999996</v>
      </c>
      <c r="I120" s="499">
        <f>Ввод!J719/VLOOKUP(Баланс!$B$7,Баланс!$A$1:$B$3,2,0)</f>
        <v>1.3469260000000001</v>
      </c>
      <c r="J120" s="499">
        <f>Ввод!K719/VLOOKUP(Баланс!$B$7,Баланс!$A$1:$B$3,2,0)</f>
        <v>1.603639</v>
      </c>
      <c r="K120" s="499">
        <f>Ввод!L719/VLOOKUP(Баланс!$B$7,Баланс!$A$1:$B$3,2,0)</f>
        <v>1.8589420000000001</v>
      </c>
      <c r="L120" s="1825"/>
      <c r="M120" s="1825"/>
      <c r="N120" s="1825"/>
      <c r="O120" s="1825"/>
      <c r="P120" s="499"/>
      <c r="Q120" s="497"/>
      <c r="R120" s="43"/>
      <c r="S120" s="9"/>
      <c r="T120" s="66"/>
      <c r="U120" s="1026"/>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1099"/>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row>
    <row r="121" spans="1:73" x14ac:dyDescent="0.25">
      <c r="A121" s="854"/>
      <c r="B121" s="494"/>
      <c r="C121" s="494"/>
      <c r="D121" s="494" t="s">
        <v>1176</v>
      </c>
      <c r="E121" s="499"/>
      <c r="F121" s="499"/>
      <c r="G121" s="499">
        <f>Ввод!H720/VLOOKUP(Баланс!$B$7,Баланс!$A$1:$B$3,2,0)</f>
        <v>0.27499899999999999</v>
      </c>
      <c r="H121" s="499">
        <f>Ввод!I720/VLOOKUP(Баланс!$B$7,Баланс!$A$1:$B$3,2,0)</f>
        <v>0.21625900000000001</v>
      </c>
      <c r="I121" s="499">
        <f>Ввод!J720/VLOOKUP(Баланс!$B$7,Баланс!$A$1:$B$3,2,0)</f>
        <v>0.195913</v>
      </c>
      <c r="J121" s="499">
        <f>Ввод!K720/VLOOKUP(Баланс!$B$7,Баланс!$A$1:$B$3,2,0)</f>
        <v>0.224772</v>
      </c>
      <c r="K121" s="499">
        <f>Ввод!L720/VLOOKUP(Баланс!$B$7,Баланс!$A$1:$B$3,2,0)</f>
        <v>0.25075900000000001</v>
      </c>
      <c r="L121" s="1825"/>
      <c r="M121" s="1825"/>
      <c r="N121" s="1825"/>
      <c r="O121" s="1825"/>
      <c r="P121" s="499"/>
      <c r="Q121" s="497"/>
      <c r="R121" s="43"/>
      <c r="S121" s="9"/>
      <c r="T121" s="66"/>
      <c r="U121" s="1026"/>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1099"/>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row>
    <row r="122" spans="1:73" x14ac:dyDescent="0.25">
      <c r="A122" s="854"/>
      <c r="B122" s="494"/>
      <c r="C122" s="494"/>
      <c r="D122" s="494" t="s">
        <v>1196</v>
      </c>
      <c r="E122" s="499"/>
      <c r="F122" s="499"/>
      <c r="G122" s="499">
        <f>Ввод!H721/VLOOKUP(Баланс!$B$7,Баланс!$A$1:$B$3,2,0)</f>
        <v>1.05E-4</v>
      </c>
      <c r="H122" s="499">
        <f>Ввод!I721/VLOOKUP(Баланс!$B$7,Баланс!$A$1:$B$3,2,0)</f>
        <v>7.1000000000000005E-5</v>
      </c>
      <c r="I122" s="499">
        <f>Ввод!J721/VLOOKUP(Баланс!$B$7,Баланс!$A$1:$B$3,2,0)</f>
        <v>8.6000000000000003E-5</v>
      </c>
      <c r="J122" s="499">
        <f>Ввод!K721/VLOOKUP(Баланс!$B$7,Баланс!$A$1:$B$3,2,0)</f>
        <v>1.27E-4</v>
      </c>
      <c r="K122" s="499">
        <f>Ввод!L721/VLOOKUP(Баланс!$B$7,Баланс!$A$1:$B$3,2,0)</f>
        <v>7.7000000000000001E-5</v>
      </c>
      <c r="L122" s="1825"/>
      <c r="M122" s="1825"/>
      <c r="N122" s="1825"/>
      <c r="O122" s="1825"/>
      <c r="P122" s="499"/>
      <c r="Q122" s="497"/>
      <c r="R122" s="43"/>
      <c r="S122" s="9"/>
      <c r="T122" s="66"/>
      <c r="U122" s="1026"/>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1099"/>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row>
    <row r="123" spans="1:73" x14ac:dyDescent="0.25">
      <c r="A123" s="854"/>
      <c r="B123" s="494"/>
      <c r="C123" s="494"/>
      <c r="D123" s="494" t="s">
        <v>1177</v>
      </c>
      <c r="E123" s="499"/>
      <c r="F123" s="499"/>
      <c r="G123" s="499">
        <f>Ввод!H722/VLOOKUP(Баланс!$B$7,Баланс!$A$1:$B$3,2,0)</f>
        <v>0.10169300000000001</v>
      </c>
      <c r="H123" s="499">
        <f>Ввод!I722/VLOOKUP(Баланс!$B$7,Баланс!$A$1:$B$3,2,0)</f>
        <v>0.23535700000000001</v>
      </c>
      <c r="I123" s="499">
        <f>Ввод!J722/VLOOKUP(Баланс!$B$7,Баланс!$A$1:$B$3,2,0)</f>
        <v>0.234655</v>
      </c>
      <c r="J123" s="499">
        <f>Ввод!K722/VLOOKUP(Баланс!$B$7,Баланс!$A$1:$B$3,2,0)</f>
        <v>0.28945500000000002</v>
      </c>
      <c r="K123" s="499">
        <f>Ввод!L722/VLOOKUP(Баланс!$B$7,Баланс!$A$1:$B$3,2,0)</f>
        <v>0.38613799999999998</v>
      </c>
      <c r="L123" s="1825"/>
      <c r="M123" s="1825"/>
      <c r="N123" s="1825"/>
      <c r="O123" s="1825"/>
      <c r="P123" s="499"/>
      <c r="Q123" s="497"/>
      <c r="R123" s="43"/>
      <c r="S123" s="9"/>
      <c r="T123" s="66"/>
      <c r="U123" s="1026"/>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1099"/>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row>
    <row r="124" spans="1:73" x14ac:dyDescent="0.25">
      <c r="A124" s="854"/>
      <c r="B124" s="494"/>
      <c r="C124" s="494"/>
      <c r="D124" s="494" t="s">
        <v>1382</v>
      </c>
      <c r="E124" s="499"/>
      <c r="F124" s="499"/>
      <c r="G124" s="499">
        <f>Ввод!H723/VLOOKUP(Баланс!$B$7,Баланс!$A$1:$B$3,2,0)</f>
        <v>0.10094499999999999</v>
      </c>
      <c r="H124" s="499">
        <f>Ввод!I723/VLOOKUP(Баланс!$B$7,Баланс!$A$1:$B$3,2,0)</f>
        <v>0.127137</v>
      </c>
      <c r="I124" s="499">
        <f>Ввод!J723/VLOOKUP(Баланс!$B$7,Баланс!$A$1:$B$3,2,0)</f>
        <v>0.104807</v>
      </c>
      <c r="J124" s="499">
        <f>Ввод!K723/VLOOKUP(Баланс!$B$7,Баланс!$A$1:$B$3,2,0)</f>
        <v>0.116033</v>
      </c>
      <c r="K124" s="499">
        <f>Ввод!L723/VLOOKUP(Баланс!$B$7,Баланс!$A$1:$B$3,2,0)</f>
        <v>0.139737</v>
      </c>
      <c r="L124" s="1825"/>
      <c r="M124" s="1825"/>
      <c r="N124" s="1825"/>
      <c r="O124" s="1825"/>
      <c r="P124" s="499"/>
      <c r="Q124" s="497"/>
      <c r="R124" s="43"/>
      <c r="S124" s="9"/>
      <c r="T124" s="66"/>
      <c r="U124" s="1026"/>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1099"/>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row>
    <row r="125" spans="1:73" x14ac:dyDescent="0.25">
      <c r="A125" s="911"/>
      <c r="B125" s="16"/>
      <c r="C125" s="912" t="s">
        <v>1198</v>
      </c>
      <c r="D125" s="16" t="s">
        <v>1199</v>
      </c>
      <c r="E125" s="913"/>
      <c r="F125" s="913"/>
      <c r="G125" s="913"/>
      <c r="H125" s="913"/>
      <c r="I125" s="913"/>
      <c r="J125" s="913"/>
      <c r="K125" s="913"/>
      <c r="L125" s="1829"/>
      <c r="M125" s="1829"/>
      <c r="N125" s="1829"/>
      <c r="O125" s="1829"/>
      <c r="P125" s="593"/>
      <c r="Q125" s="497"/>
      <c r="R125" s="43"/>
      <c r="S125" s="9"/>
      <c r="T125" s="66"/>
      <c r="U125" s="1026"/>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1099"/>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row>
    <row r="126" spans="1:73" x14ac:dyDescent="0.25">
      <c r="A126" s="854"/>
      <c r="B126" s="4"/>
      <c r="C126" s="4"/>
      <c r="D126" s="4" t="s">
        <v>1076</v>
      </c>
      <c r="E126" s="499"/>
      <c r="F126" s="499"/>
      <c r="G126" s="499">
        <f>G64/VLOOKUP(Баланс!$B$7,Баланс!$A$1:$B$3,2,0)</f>
        <v>1.4734512000000002E-5</v>
      </c>
      <c r="H126" s="499">
        <f>H64/VLOOKUP(Баланс!$B$7,Баланс!$A$1:$B$3,2,0)</f>
        <v>1.4228079999999999E-5</v>
      </c>
      <c r="I126" s="499">
        <f>I64/VLOOKUP(Баланс!$B$7,Баланс!$A$1:$B$3,2,0)</f>
        <v>6.8194189999999998E-6</v>
      </c>
      <c r="J126" s="499">
        <f>J64/VLOOKUP(Баланс!$B$7,Баланс!$A$1:$B$3,2,0)</f>
        <v>-2.6532415000000001E-5</v>
      </c>
      <c r="K126" s="499">
        <f>K64/VLOOKUP(Баланс!$B$7,Баланс!$A$1:$B$3,2,0)</f>
        <v>5.8788780000000004E-6</v>
      </c>
      <c r="L126" s="1825"/>
      <c r="M126" s="1825"/>
      <c r="N126" s="1825"/>
      <c r="O126" s="1825"/>
      <c r="P126" s="499"/>
      <c r="Q126" s="497"/>
      <c r="R126" s="43"/>
      <c r="S126" s="9"/>
      <c r="T126" s="66"/>
      <c r="U126" s="1026"/>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1099"/>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row>
    <row r="127" spans="1:73" x14ac:dyDescent="0.25">
      <c r="A127" s="854"/>
      <c r="B127" s="4"/>
      <c r="C127" s="4"/>
      <c r="D127" s="4" t="s">
        <v>1187</v>
      </c>
      <c r="E127" s="499"/>
      <c r="F127" s="499"/>
      <c r="G127" s="499">
        <f>G65/VLOOKUP(Баланс!$B$7,Баланс!$A$1:$B$3,2,0)</f>
        <v>1.9237720000000002E-6</v>
      </c>
      <c r="H127" s="499">
        <f>H65/VLOOKUP(Баланс!$B$7,Баланс!$A$1:$B$3,2,0)</f>
        <v>2.0755090000000003E-6</v>
      </c>
      <c r="I127" s="499">
        <f>I65/VLOOKUP(Баланс!$B$7,Баланс!$A$1:$B$3,2,0)</f>
        <v>-4.2183829999999995E-6</v>
      </c>
      <c r="J127" s="499">
        <f>J65/VLOOKUP(Баланс!$B$7,Баланс!$A$1:$B$3,2,0)</f>
        <v>3.0442707000000002E-5</v>
      </c>
      <c r="K127" s="499">
        <f>K65/VLOOKUP(Баланс!$B$7,Баланс!$A$1:$B$3,2,0)</f>
        <v>-4.0142999999999998E-8</v>
      </c>
      <c r="L127" s="1825"/>
      <c r="M127" s="1825"/>
      <c r="N127" s="1825"/>
      <c r="O127" s="1825"/>
      <c r="P127" s="499"/>
      <c r="Q127" s="497"/>
      <c r="R127" s="43"/>
      <c r="S127" s="9"/>
      <c r="T127" s="66"/>
      <c r="U127" s="1026"/>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1099"/>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row>
    <row r="128" spans="1:73" x14ac:dyDescent="0.25">
      <c r="A128" s="854"/>
      <c r="B128" s="494"/>
      <c r="C128" s="494"/>
      <c r="D128" s="494" t="s">
        <v>1077</v>
      </c>
      <c r="E128" s="499"/>
      <c r="F128" s="499"/>
      <c r="G128" s="499">
        <f>G66/VLOOKUP(Баланс!$B$7,Баланс!$A$1:$B$3,2,0)</f>
        <v>3.359363E-6</v>
      </c>
      <c r="H128" s="499">
        <f>H66/VLOOKUP(Баланс!$B$7,Баланс!$A$1:$B$3,2,0)</f>
        <v>1.6486139999999999E-6</v>
      </c>
      <c r="I128" s="499">
        <f>I66/VLOOKUP(Баланс!$B$7,Баланс!$A$1:$B$3,2,0)</f>
        <v>2.5901540000000002E-6</v>
      </c>
      <c r="J128" s="499">
        <f>J66/VLOOKUP(Баланс!$B$7,Баланс!$A$1:$B$3,2,0)</f>
        <v>1.2626340000000001E-6</v>
      </c>
      <c r="K128" s="499">
        <f>K66/VLOOKUP(Баланс!$B$7,Баланс!$A$1:$B$3,2,0)</f>
        <v>0</v>
      </c>
      <c r="L128" s="1825"/>
      <c r="M128" s="1825"/>
      <c r="N128" s="1825"/>
      <c r="O128" s="1825"/>
      <c r="P128" s="499"/>
      <c r="Q128" s="497"/>
      <c r="R128" s="43"/>
      <c r="S128" s="9"/>
      <c r="T128" s="66"/>
      <c r="U128" s="1026"/>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1099"/>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row>
    <row r="129" spans="1:73" x14ac:dyDescent="0.25">
      <c r="A129" s="861"/>
      <c r="B129" s="773"/>
      <c r="C129" s="773" t="s">
        <v>1200</v>
      </c>
      <c r="D129" s="773"/>
      <c r="E129" s="774"/>
      <c r="F129" s="774"/>
      <c r="G129" s="774">
        <f t="shared" ref="G129:K129" si="136">SUM(G107:G128)</f>
        <v>36.844328017647001</v>
      </c>
      <c r="H129" s="774">
        <f t="shared" si="136"/>
        <v>38.512944952203</v>
      </c>
      <c r="I129" s="774">
        <f t="shared" si="136"/>
        <v>42.114125191189999</v>
      </c>
      <c r="J129" s="774">
        <f t="shared" si="136"/>
        <v>43.271728172926004</v>
      </c>
      <c r="K129" s="774">
        <f t="shared" si="136"/>
        <v>43.689954838734991</v>
      </c>
      <c r="L129" s="1830"/>
      <c r="M129" s="1830"/>
      <c r="N129" s="1830"/>
      <c r="O129" s="1830"/>
      <c r="P129" s="593"/>
      <c r="Q129" s="497"/>
      <c r="R129" s="43"/>
      <c r="S129" s="9"/>
      <c r="T129" s="66"/>
      <c r="U129" s="1026"/>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1099"/>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row>
    <row r="130" spans="1:73" x14ac:dyDescent="0.25">
      <c r="A130" s="854"/>
      <c r="B130" s="243"/>
      <c r="C130" s="43"/>
      <c r="D130" s="43"/>
      <c r="E130" s="497"/>
      <c r="F130" s="497"/>
      <c r="G130" s="497"/>
      <c r="H130" s="497"/>
      <c r="I130" s="498"/>
      <c r="J130" s="498"/>
      <c r="K130" s="498"/>
      <c r="L130" s="498"/>
      <c r="M130" s="498"/>
      <c r="N130" s="498"/>
      <c r="O130" s="498"/>
      <c r="P130" s="498"/>
      <c r="Q130" s="497"/>
      <c r="R130" s="43"/>
      <c r="S130" s="9"/>
      <c r="T130" s="66"/>
      <c r="U130" s="1026"/>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1099"/>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row>
    <row r="131" spans="1:73" x14ac:dyDescent="0.25">
      <c r="A131" s="854"/>
      <c r="B131" s="243"/>
      <c r="C131" s="43"/>
      <c r="D131" s="43"/>
      <c r="E131" s="497"/>
      <c r="F131" s="497"/>
      <c r="G131" s="497"/>
      <c r="H131" s="497"/>
      <c r="I131" s="498"/>
      <c r="J131" s="498"/>
      <c r="K131" s="498"/>
      <c r="L131" s="498"/>
      <c r="M131" s="498"/>
      <c r="N131" s="498"/>
      <c r="O131" s="498"/>
      <c r="P131" s="498"/>
      <c r="Q131" s="497"/>
      <c r="R131" s="43"/>
      <c r="S131" s="9"/>
      <c r="T131" s="66"/>
      <c r="U131" s="1026"/>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1099"/>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row>
    <row r="132" spans="1:73" x14ac:dyDescent="0.25">
      <c r="A132" s="854"/>
      <c r="B132" s="4"/>
      <c r="C132" s="4"/>
      <c r="D132" s="4" t="s">
        <v>1202</v>
      </c>
      <c r="F132" s="4"/>
      <c r="G132" s="4" t="s">
        <v>348</v>
      </c>
      <c r="H132" s="4"/>
      <c r="I132" s="4"/>
      <c r="J132" s="4"/>
      <c r="K132" s="4"/>
      <c r="L132" s="4"/>
      <c r="M132" s="4"/>
      <c r="N132" s="4"/>
      <c r="O132" s="4"/>
      <c r="P132" s="4"/>
      <c r="Q132" s="497"/>
      <c r="R132" s="43"/>
      <c r="S132" s="9"/>
      <c r="T132" s="66"/>
      <c r="U132" s="1026"/>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1099"/>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row>
    <row r="133" spans="1:73" x14ac:dyDescent="0.25">
      <c r="A133" s="855"/>
      <c r="B133" s="15"/>
      <c r="C133" s="15"/>
      <c r="D133" s="15"/>
      <c r="E133" s="539"/>
      <c r="F133" s="539"/>
      <c r="G133" s="539">
        <f t="shared" ref="G133:O133" si="137">G8</f>
        <v>2017</v>
      </c>
      <c r="H133" s="539">
        <f t="shared" si="137"/>
        <v>2018</v>
      </c>
      <c r="I133" s="539">
        <f t="shared" si="137"/>
        <v>2019</v>
      </c>
      <c r="J133" s="539">
        <f t="shared" si="137"/>
        <v>2020</v>
      </c>
      <c r="K133" s="539">
        <f t="shared" si="137"/>
        <v>2021</v>
      </c>
      <c r="L133" s="539">
        <f t="shared" si="137"/>
        <v>2022</v>
      </c>
      <c r="M133" s="539">
        <f t="shared" si="137"/>
        <v>2023</v>
      </c>
      <c r="N133" s="539">
        <f t="shared" si="137"/>
        <v>2024</v>
      </c>
      <c r="O133" s="539">
        <f t="shared" si="137"/>
        <v>2025</v>
      </c>
      <c r="P133" s="540"/>
      <c r="Q133" s="497"/>
      <c r="R133" s="43"/>
      <c r="S133" s="9"/>
      <c r="T133" s="66"/>
      <c r="U133" s="1026"/>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1099"/>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row>
    <row r="134" spans="1:73" x14ac:dyDescent="0.25">
      <c r="A134" s="859"/>
      <c r="B134" s="12"/>
      <c r="C134" s="771" t="s">
        <v>1070</v>
      </c>
      <c r="D134" s="12" t="s">
        <v>35</v>
      </c>
      <c r="E134" s="916"/>
      <c r="F134" s="916"/>
      <c r="G134" s="916"/>
      <c r="H134" s="916"/>
      <c r="I134" s="916"/>
      <c r="J134" s="916"/>
      <c r="K134" s="916"/>
      <c r="L134" s="916"/>
      <c r="M134" s="916"/>
      <c r="N134" s="916"/>
      <c r="O134" s="916"/>
      <c r="P134" s="916"/>
      <c r="Q134" s="497"/>
      <c r="R134" s="43"/>
      <c r="S134" s="9"/>
      <c r="T134" s="66"/>
      <c r="U134" s="1026"/>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1099"/>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row>
    <row r="135" spans="1:73" x14ac:dyDescent="0.25">
      <c r="A135" s="854"/>
      <c r="B135" s="4"/>
      <c r="C135" s="4"/>
      <c r="D135" s="4" t="s">
        <v>1186</v>
      </c>
      <c r="E135" s="917"/>
      <c r="F135" s="917"/>
      <c r="G135" s="917">
        <f t="shared" ref="G135:J135" si="138">G108/G$129</f>
        <v>6.2158766985873221E-2</v>
      </c>
      <c r="H135" s="917">
        <f t="shared" si="138"/>
        <v>0.13596015590338489</v>
      </c>
      <c r="I135" s="917">
        <f t="shared" si="138"/>
        <v>0.2048342916025854</v>
      </c>
      <c r="J135" s="917">
        <f t="shared" si="138"/>
        <v>0.1083229211754185</v>
      </c>
      <c r="K135" s="917">
        <f t="shared" ref="K135:K141" si="139">K108/K$129</f>
        <v>7.9339473176263983E-2</v>
      </c>
      <c r="L135" s="1831"/>
      <c r="M135" s="1831"/>
      <c r="N135" s="1831"/>
      <c r="O135" s="1831"/>
      <c r="P135" s="917"/>
      <c r="Q135" s="497"/>
      <c r="R135" s="43"/>
      <c r="S135" s="9"/>
      <c r="T135" s="66"/>
      <c r="U135" s="1026"/>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1099"/>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row>
    <row r="136" spans="1:73" x14ac:dyDescent="0.25">
      <c r="A136" s="854"/>
      <c r="B136" s="4"/>
      <c r="C136" s="4"/>
      <c r="D136" s="4" t="s">
        <v>1183</v>
      </c>
      <c r="E136" s="917"/>
      <c r="F136" s="917"/>
      <c r="G136" s="917">
        <f t="shared" ref="G136:J136" si="140">G109/G$129</f>
        <v>-6.9245799922638676E-3</v>
      </c>
      <c r="H136" s="917">
        <f t="shared" si="140"/>
        <v>-5.4053884795417012E-3</v>
      </c>
      <c r="I136" s="917">
        <f t="shared" si="140"/>
        <v>-4.9487487438391172E-3</v>
      </c>
      <c r="J136" s="917">
        <f t="shared" si="140"/>
        <v>-4.4313374551265688E-3</v>
      </c>
      <c r="K136" s="917">
        <f t="shared" si="139"/>
        <v>-3.7531320187351252E-3</v>
      </c>
      <c r="L136" s="1831"/>
      <c r="M136" s="1831"/>
      <c r="N136" s="1831"/>
      <c r="O136" s="1831"/>
      <c r="P136" s="917"/>
      <c r="Q136" s="497"/>
      <c r="R136" s="43"/>
      <c r="S136" s="9"/>
      <c r="T136" s="66"/>
      <c r="U136" s="1026"/>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1099"/>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row>
    <row r="137" spans="1:73" x14ac:dyDescent="0.25">
      <c r="A137" s="854"/>
      <c r="B137" s="4"/>
      <c r="C137" s="4"/>
      <c r="D137" s="4" t="s">
        <v>1184</v>
      </c>
      <c r="E137" s="917"/>
      <c r="F137" s="917"/>
      <c r="G137" s="917">
        <f t="shared" ref="G137:J137" si="141">G110/G$129</f>
        <v>1.1697591913413996E-2</v>
      </c>
      <c r="H137" s="917">
        <f t="shared" si="141"/>
        <v>1.1039596448812243E-2</v>
      </c>
      <c r="I137" s="917">
        <f t="shared" si="141"/>
        <v>1.0637229869160247E-2</v>
      </c>
      <c r="J137" s="917">
        <f t="shared" si="141"/>
        <v>1.0018940368699736E-2</v>
      </c>
      <c r="K137" s="917">
        <f t="shared" si="139"/>
        <v>8.0002809497037586E-3</v>
      </c>
      <c r="L137" s="1831"/>
      <c r="M137" s="1831"/>
      <c r="N137" s="1831"/>
      <c r="O137" s="1831"/>
      <c r="P137" s="917"/>
      <c r="Q137" s="497"/>
      <c r="R137" s="43"/>
      <c r="S137" s="9"/>
      <c r="T137" s="66"/>
      <c r="U137" s="1026"/>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1099"/>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row>
    <row r="138" spans="1:73" x14ac:dyDescent="0.25">
      <c r="A138" s="854"/>
      <c r="B138" s="4"/>
      <c r="C138" s="4"/>
      <c r="D138" s="4" t="s">
        <v>1185</v>
      </c>
      <c r="E138" s="917"/>
      <c r="F138" s="917"/>
      <c r="G138" s="917">
        <f t="shared" ref="G138:J138" si="142">G111/G$129</f>
        <v>0.22089899925000675</v>
      </c>
      <c r="H138" s="917">
        <f t="shared" si="142"/>
        <v>0.21630398748764518</v>
      </c>
      <c r="I138" s="917">
        <f t="shared" si="142"/>
        <v>0.22032465822416922</v>
      </c>
      <c r="J138" s="917">
        <f t="shared" si="142"/>
        <v>0.23848005238341904</v>
      </c>
      <c r="K138" s="917">
        <f t="shared" si="139"/>
        <v>0.27857753332271418</v>
      </c>
      <c r="L138" s="1831"/>
      <c r="M138" s="1831"/>
      <c r="N138" s="1831"/>
      <c r="O138" s="1831"/>
      <c r="P138" s="917"/>
      <c r="Q138" s="497"/>
      <c r="R138" s="43"/>
      <c r="S138" s="9"/>
      <c r="T138" s="66"/>
      <c r="U138" s="1026"/>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1099"/>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row>
    <row r="139" spans="1:73" x14ac:dyDescent="0.25">
      <c r="A139" s="854"/>
      <c r="B139" s="4"/>
      <c r="C139" s="4"/>
      <c r="D139" s="4" t="s">
        <v>1214</v>
      </c>
      <c r="E139" s="917"/>
      <c r="F139" s="917"/>
      <c r="G139" s="917">
        <f t="shared" ref="G139:J139" si="143">G112/G$129</f>
        <v>0.40460915419240806</v>
      </c>
      <c r="H139" s="917">
        <f t="shared" si="143"/>
        <v>0.30328380522633597</v>
      </c>
      <c r="I139" s="917">
        <f t="shared" si="143"/>
        <v>0.21967077109123931</v>
      </c>
      <c r="J139" s="917">
        <f t="shared" si="143"/>
        <v>0.19878142443977906</v>
      </c>
      <c r="K139" s="917">
        <f t="shared" si="139"/>
        <v>0.16661505904334764</v>
      </c>
      <c r="L139" s="1831"/>
      <c r="M139" s="1831"/>
      <c r="N139" s="1831"/>
      <c r="O139" s="1831"/>
      <c r="P139" s="917"/>
      <c r="Q139" s="497"/>
      <c r="R139" s="43"/>
      <c r="S139" s="9"/>
      <c r="T139" s="66"/>
      <c r="U139" s="1026"/>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1099"/>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row>
    <row r="140" spans="1:73" x14ac:dyDescent="0.25">
      <c r="A140" s="854"/>
      <c r="B140" s="4"/>
      <c r="C140" s="4"/>
      <c r="D140" s="4" t="s">
        <v>581</v>
      </c>
      <c r="E140" s="917"/>
      <c r="F140" s="917"/>
      <c r="G140" s="917">
        <f t="shared" ref="G140:J140" si="144">G113/G$129</f>
        <v>0</v>
      </c>
      <c r="H140" s="917">
        <f t="shared" si="144"/>
        <v>0</v>
      </c>
      <c r="I140" s="917">
        <f t="shared" si="144"/>
        <v>0</v>
      </c>
      <c r="J140" s="917">
        <f t="shared" si="144"/>
        <v>0</v>
      </c>
      <c r="K140" s="917">
        <f t="shared" si="139"/>
        <v>0</v>
      </c>
      <c r="L140" s="1831"/>
      <c r="M140" s="1831"/>
      <c r="N140" s="1831"/>
      <c r="O140" s="1831"/>
      <c r="P140" s="917"/>
      <c r="Q140" s="497"/>
      <c r="R140" s="43"/>
      <c r="S140" s="9"/>
      <c r="T140" s="66"/>
      <c r="U140" s="1026"/>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1099"/>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row>
    <row r="141" spans="1:73" x14ac:dyDescent="0.25">
      <c r="A141" s="854"/>
      <c r="B141" s="4"/>
      <c r="C141" s="4"/>
      <c r="D141" s="4" t="s">
        <v>582</v>
      </c>
      <c r="E141" s="917"/>
      <c r="F141" s="917"/>
      <c r="G141" s="917">
        <f t="shared" ref="G141:J141" si="145">G114/G$129</f>
        <v>0.18360736547454146</v>
      </c>
      <c r="H141" s="917">
        <f t="shared" si="145"/>
        <v>0.18778179671732209</v>
      </c>
      <c r="I141" s="917">
        <f t="shared" si="145"/>
        <v>0.17794799170060221</v>
      </c>
      <c r="J141" s="917">
        <f t="shared" si="145"/>
        <v>0.25915567677780849</v>
      </c>
      <c r="K141" s="917">
        <f t="shared" si="139"/>
        <v>0.2603939290391219</v>
      </c>
      <c r="L141" s="1831"/>
      <c r="M141" s="1831"/>
      <c r="N141" s="1831"/>
      <c r="O141" s="1831"/>
      <c r="P141" s="917"/>
      <c r="Q141" s="497"/>
      <c r="R141" s="43"/>
      <c r="S141" s="9"/>
      <c r="T141" s="66"/>
      <c r="U141" s="1026"/>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1099"/>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row>
    <row r="142" spans="1:73" x14ac:dyDescent="0.25">
      <c r="A142" s="911"/>
      <c r="B142" s="16"/>
      <c r="C142" s="912" t="s">
        <v>1074</v>
      </c>
      <c r="D142" s="16" t="s">
        <v>372</v>
      </c>
      <c r="E142" s="918"/>
      <c r="F142" s="918"/>
      <c r="G142" s="918"/>
      <c r="H142" s="918"/>
      <c r="I142" s="918"/>
      <c r="J142" s="918"/>
      <c r="K142" s="918"/>
      <c r="L142" s="1832"/>
      <c r="M142" s="1832"/>
      <c r="N142" s="1832"/>
      <c r="O142" s="1832"/>
      <c r="P142" s="916"/>
      <c r="Q142" s="497"/>
      <c r="R142" s="43"/>
      <c r="S142" s="9"/>
      <c r="T142" s="66"/>
      <c r="U142" s="1026"/>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1099"/>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row>
    <row r="143" spans="1:73" x14ac:dyDescent="0.25">
      <c r="A143" s="854"/>
      <c r="B143" s="4"/>
      <c r="C143" s="4"/>
      <c r="D143" s="4" t="s">
        <v>1195</v>
      </c>
      <c r="E143" s="917"/>
      <c r="F143" s="917"/>
      <c r="G143" s="917">
        <f t="shared" ref="G143:K143" si="146">G116/G$129</f>
        <v>6.8344848053516353E-3</v>
      </c>
      <c r="H143" s="917">
        <f t="shared" si="146"/>
        <v>5.9216972444729775E-3</v>
      </c>
      <c r="I143" s="917">
        <f t="shared" si="146"/>
        <v>5.2884394247512748E-3</v>
      </c>
      <c r="J143" s="917">
        <f t="shared" si="146"/>
        <v>3.2347910728367608E-3</v>
      </c>
      <c r="K143" s="917">
        <f t="shared" si="146"/>
        <v>3.1059313405307478E-3</v>
      </c>
      <c r="L143" s="1831"/>
      <c r="M143" s="1831"/>
      <c r="N143" s="1831"/>
      <c r="O143" s="1831"/>
      <c r="P143" s="917"/>
      <c r="Q143" s="497"/>
      <c r="R143" s="43"/>
      <c r="S143" s="9"/>
      <c r="T143" s="66"/>
      <c r="U143" s="1026"/>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1099"/>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row>
    <row r="144" spans="1:73" x14ac:dyDescent="0.25">
      <c r="A144" s="854"/>
      <c r="B144" s="4"/>
      <c r="C144" s="4"/>
      <c r="D144" s="4" t="s">
        <v>1172</v>
      </c>
      <c r="E144" s="917"/>
      <c r="F144" s="917"/>
      <c r="G144" s="917">
        <f t="shared" ref="G144:K144" si="147">G117/G$129</f>
        <v>6.6438991608899781E-2</v>
      </c>
      <c r="H144" s="917">
        <f t="shared" si="147"/>
        <v>7.9955583864636609E-2</v>
      </c>
      <c r="I144" s="917">
        <f t="shared" si="147"/>
        <v>9.7546321604690081E-2</v>
      </c>
      <c r="J144" s="917">
        <f t="shared" si="147"/>
        <v>0.10933099276954754</v>
      </c>
      <c r="K144" s="917">
        <f t="shared" si="147"/>
        <v>0.12354320392234773</v>
      </c>
      <c r="L144" s="1831"/>
      <c r="M144" s="1831"/>
      <c r="N144" s="1831"/>
      <c r="O144" s="1831"/>
      <c r="P144" s="917"/>
      <c r="Q144" s="497"/>
      <c r="R144" s="43"/>
      <c r="S144" s="9"/>
      <c r="T144" s="66"/>
      <c r="U144" s="1026"/>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1099"/>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row>
    <row r="145" spans="1:73" x14ac:dyDescent="0.25">
      <c r="A145" s="854"/>
      <c r="B145" s="494"/>
      <c r="C145" s="494"/>
      <c r="D145" s="494" t="s">
        <v>1173</v>
      </c>
      <c r="E145" s="917"/>
      <c r="F145" s="917"/>
      <c r="G145" s="917">
        <f t="shared" ref="G145:K145" si="148">G118/G$129</f>
        <v>6.1081314847758871E-4</v>
      </c>
      <c r="H145" s="917">
        <f t="shared" si="148"/>
        <v>1.0815584228029106E-3</v>
      </c>
      <c r="I145" s="917">
        <f t="shared" si="148"/>
        <v>1.262616752897046E-3</v>
      </c>
      <c r="J145" s="917">
        <f t="shared" si="148"/>
        <v>1.9885732239794994E-3</v>
      </c>
      <c r="K145" s="917">
        <f t="shared" si="148"/>
        <v>2.3617785914604914E-3</v>
      </c>
      <c r="L145" s="1831"/>
      <c r="M145" s="1831"/>
      <c r="N145" s="1831"/>
      <c r="O145" s="1831"/>
      <c r="P145" s="917"/>
      <c r="Q145" s="497"/>
      <c r="R145" s="43"/>
      <c r="S145" s="9"/>
      <c r="T145" s="66"/>
      <c r="U145" s="1026"/>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1099"/>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row>
    <row r="146" spans="1:73" x14ac:dyDescent="0.25">
      <c r="A146" s="854"/>
      <c r="B146" s="494"/>
      <c r="C146" s="494"/>
      <c r="D146" s="494" t="s">
        <v>1174</v>
      </c>
      <c r="E146" s="917"/>
      <c r="F146" s="917"/>
      <c r="G146" s="917">
        <f t="shared" ref="G146:K146" si="149">G119/G$129</f>
        <v>2.3842964365620757E-2</v>
      </c>
      <c r="H146" s="917">
        <f t="shared" si="149"/>
        <v>2.4780265471373908E-2</v>
      </c>
      <c r="I146" s="917">
        <f t="shared" si="149"/>
        <v>2.2739021543307061E-2</v>
      </c>
      <c r="J146" s="917">
        <f t="shared" si="149"/>
        <v>2.3490002431563808E-2</v>
      </c>
      <c r="K146" s="917">
        <f t="shared" si="149"/>
        <v>2.1489516376602062E-2</v>
      </c>
      <c r="L146" s="1831"/>
      <c r="M146" s="1831"/>
      <c r="N146" s="1831"/>
      <c r="O146" s="1831"/>
      <c r="P146" s="917"/>
      <c r="Q146" s="497"/>
      <c r="R146" s="43"/>
      <c r="S146" s="9"/>
      <c r="T146" s="66"/>
      <c r="U146" s="1026"/>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1099"/>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row>
    <row r="147" spans="1:73" x14ac:dyDescent="0.25">
      <c r="A147" s="854"/>
      <c r="B147" s="494"/>
      <c r="C147" s="494"/>
      <c r="D147" s="494" t="s">
        <v>1175</v>
      </c>
      <c r="E147" s="917"/>
      <c r="F147" s="917"/>
      <c r="G147" s="917">
        <f t="shared" ref="G147:K147" si="150">G120/G$129</f>
        <v>1.3258404380886766E-2</v>
      </c>
      <c r="H147" s="917">
        <f t="shared" si="150"/>
        <v>2.4267139299783396E-2</v>
      </c>
      <c r="I147" s="917">
        <f t="shared" si="150"/>
        <v>3.1982760983048232E-2</v>
      </c>
      <c r="J147" s="917">
        <f t="shared" si="150"/>
        <v>3.705974010539647E-2</v>
      </c>
      <c r="K147" s="917">
        <f t="shared" si="150"/>
        <v>4.2548499005356816E-2</v>
      </c>
      <c r="L147" s="1831"/>
      <c r="M147" s="1831"/>
      <c r="N147" s="1831"/>
      <c r="O147" s="1831"/>
      <c r="P147" s="917"/>
      <c r="Q147" s="497"/>
      <c r="R147" s="43"/>
      <c r="S147" s="9"/>
      <c r="T147" s="66"/>
      <c r="U147" s="1026"/>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1099"/>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row>
    <row r="148" spans="1:73" x14ac:dyDescent="0.25">
      <c r="A148" s="854"/>
      <c r="B148" s="494"/>
      <c r="C148" s="494"/>
      <c r="D148" s="494" t="s">
        <v>1176</v>
      </c>
      <c r="E148" s="917"/>
      <c r="F148" s="917"/>
      <c r="G148" s="917">
        <f t="shared" ref="G148:K148" si="151">G121/G$129</f>
        <v>7.4638082656382325E-3</v>
      </c>
      <c r="H148" s="917">
        <f t="shared" si="151"/>
        <v>5.6152288605400367E-3</v>
      </c>
      <c r="I148" s="917">
        <f t="shared" si="151"/>
        <v>4.6519546377989046E-3</v>
      </c>
      <c r="J148" s="917">
        <f t="shared" si="151"/>
        <v>5.1944308556789746E-3</v>
      </c>
      <c r="K148" s="917">
        <f t="shared" si="151"/>
        <v>5.7395115404806985E-3</v>
      </c>
      <c r="L148" s="1831"/>
      <c r="M148" s="1831"/>
      <c r="N148" s="1831"/>
      <c r="O148" s="1831"/>
      <c r="P148" s="917"/>
      <c r="Q148" s="497"/>
      <c r="R148" s="43"/>
      <c r="S148" s="9"/>
      <c r="T148" s="66"/>
      <c r="U148" s="1026"/>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1099"/>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row>
    <row r="149" spans="1:73" x14ac:dyDescent="0.25">
      <c r="A149" s="854"/>
      <c r="B149" s="494"/>
      <c r="C149" s="494"/>
      <c r="D149" s="494" t="s">
        <v>1196</v>
      </c>
      <c r="E149" s="917"/>
      <c r="F149" s="917"/>
      <c r="G149" s="917">
        <f t="shared" ref="G149:K149" si="152">G122/G$129</f>
        <v>2.8498280644366505E-6</v>
      </c>
      <c r="H149" s="917">
        <f t="shared" si="152"/>
        <v>1.8435359873963286E-6</v>
      </c>
      <c r="I149" s="917">
        <f t="shared" si="152"/>
        <v>2.0420701987652981E-6</v>
      </c>
      <c r="J149" s="917">
        <f t="shared" si="152"/>
        <v>2.9349417128077774E-6</v>
      </c>
      <c r="K149" s="917">
        <f t="shared" si="152"/>
        <v>1.7624188508369141E-6</v>
      </c>
      <c r="L149" s="1831"/>
      <c r="M149" s="1831"/>
      <c r="N149" s="1831"/>
      <c r="O149" s="1831"/>
      <c r="P149" s="917"/>
      <c r="Q149" s="497"/>
      <c r="R149" s="43"/>
      <c r="S149" s="9"/>
      <c r="T149" s="66"/>
      <c r="U149" s="1026"/>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1099"/>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row>
    <row r="150" spans="1:73" x14ac:dyDescent="0.25">
      <c r="A150" s="854"/>
      <c r="B150" s="494"/>
      <c r="C150" s="494"/>
      <c r="D150" s="494" t="s">
        <v>1177</v>
      </c>
      <c r="E150" s="917"/>
      <c r="F150" s="917"/>
      <c r="G150" s="917">
        <f t="shared" ref="G150:K150" si="153">G123/G$129</f>
        <v>2.7600720510167266E-3</v>
      </c>
      <c r="H150" s="917">
        <f t="shared" si="153"/>
        <v>6.1111140758540522E-3</v>
      </c>
      <c r="I150" s="917">
        <f t="shared" si="153"/>
        <v>5.5718835173403604E-3</v>
      </c>
      <c r="J150" s="917">
        <f t="shared" si="153"/>
        <v>6.6892405785887819E-3</v>
      </c>
      <c r="K150" s="917">
        <f t="shared" si="153"/>
        <v>8.8381414314865504E-3</v>
      </c>
      <c r="L150" s="1831"/>
      <c r="M150" s="1831"/>
      <c r="N150" s="1831"/>
      <c r="O150" s="1831"/>
      <c r="P150" s="917"/>
      <c r="Q150" s="497"/>
      <c r="R150" s="43"/>
      <c r="S150" s="9"/>
      <c r="T150" s="66"/>
      <c r="U150" s="1026"/>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1099"/>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row>
    <row r="151" spans="1:73" x14ac:dyDescent="0.25">
      <c r="A151" s="854"/>
      <c r="B151" s="494"/>
      <c r="C151" s="494"/>
      <c r="D151" s="494" t="s">
        <v>1382</v>
      </c>
      <c r="E151" s="917"/>
      <c r="F151" s="917"/>
      <c r="G151" s="917">
        <f t="shared" ref="G151:K151" si="154">G124/G$129</f>
        <v>2.739770418710073E-3</v>
      </c>
      <c r="H151" s="917">
        <f t="shared" si="154"/>
        <v>3.3011497863324932E-3</v>
      </c>
      <c r="I151" s="917">
        <f t="shared" si="154"/>
        <v>2.488642457232495E-3</v>
      </c>
      <c r="J151" s="917">
        <f t="shared" si="154"/>
        <v>2.6814967855293293E-3</v>
      </c>
      <c r="K151" s="917">
        <f t="shared" si="154"/>
        <v>3.1983782202519204E-3</v>
      </c>
      <c r="L151" s="1831"/>
      <c r="M151" s="1831"/>
      <c r="N151" s="1831"/>
      <c r="O151" s="1831"/>
      <c r="P151" s="917"/>
      <c r="Q151" s="497"/>
      <c r="R151" s="43"/>
      <c r="S151" s="9"/>
      <c r="T151" s="66"/>
      <c r="U151" s="1026"/>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1099"/>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row>
    <row r="152" spans="1:73" x14ac:dyDescent="0.25">
      <c r="A152" s="911"/>
      <c r="B152" s="16"/>
      <c r="C152" s="912" t="s">
        <v>1198</v>
      </c>
      <c r="D152" s="16" t="s">
        <v>1199</v>
      </c>
      <c r="E152" s="918"/>
      <c r="F152" s="918"/>
      <c r="G152" s="918"/>
      <c r="H152" s="918"/>
      <c r="I152" s="918"/>
      <c r="J152" s="918"/>
      <c r="K152" s="918"/>
      <c r="L152" s="1832"/>
      <c r="M152" s="1832"/>
      <c r="N152" s="1832"/>
      <c r="O152" s="1832"/>
      <c r="P152" s="916"/>
      <c r="Q152" s="497"/>
      <c r="R152" s="43"/>
      <c r="S152" s="9"/>
      <c r="T152" s="66"/>
      <c r="U152" s="1026"/>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1099"/>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row>
    <row r="153" spans="1:73" x14ac:dyDescent="0.25">
      <c r="A153" s="854"/>
      <c r="B153" s="4"/>
      <c r="C153" s="4"/>
      <c r="D153" s="4" t="s">
        <v>1076</v>
      </c>
      <c r="E153" s="917"/>
      <c r="F153" s="917"/>
      <c r="G153" s="917">
        <f t="shared" ref="G153:K153" si="155">G126/G$129</f>
        <v>3.9991262679408194E-7</v>
      </c>
      <c r="H153" s="917">
        <f t="shared" si="155"/>
        <v>3.6943630297963308E-7</v>
      </c>
      <c r="I153" s="917">
        <f t="shared" si="155"/>
        <v>1.6192711991620753E-7</v>
      </c>
      <c r="J153" s="917">
        <f t="shared" si="155"/>
        <v>-6.1315820098446277E-7</v>
      </c>
      <c r="K153" s="917">
        <f t="shared" si="155"/>
        <v>1.345590312853301E-7</v>
      </c>
      <c r="L153" s="1831"/>
      <c r="M153" s="1831"/>
      <c r="N153" s="1831"/>
      <c r="O153" s="1831"/>
      <c r="P153" s="917"/>
      <c r="Q153" s="497"/>
      <c r="R153" s="43"/>
      <c r="S153" s="9"/>
      <c r="T153" s="66"/>
      <c r="U153" s="1026"/>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1099"/>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row>
    <row r="154" spans="1:73" x14ac:dyDescent="0.25">
      <c r="A154" s="854"/>
      <c r="B154" s="4"/>
      <c r="C154" s="4"/>
      <c r="D154" s="4" t="s">
        <v>1187</v>
      </c>
      <c r="E154" s="917"/>
      <c r="F154" s="917"/>
      <c r="G154" s="917">
        <f t="shared" ref="G154:K154" si="156">G127/G$129</f>
        <v>5.2213518430261184E-8</v>
      </c>
      <c r="H154" s="917">
        <f t="shared" si="156"/>
        <v>5.3891204699506577E-8</v>
      </c>
      <c r="I154" s="917">
        <f t="shared" si="156"/>
        <v>-1.0016551408462968E-7</v>
      </c>
      <c r="J154" s="917">
        <f t="shared" si="156"/>
        <v>7.035241781502781E-7</v>
      </c>
      <c r="K154" s="917">
        <f t="shared" si="156"/>
        <v>-9.1881532375514601E-10</v>
      </c>
      <c r="L154" s="1831"/>
      <c r="M154" s="1831"/>
      <c r="N154" s="1831"/>
      <c r="O154" s="1831"/>
      <c r="P154" s="917"/>
      <c r="Q154" s="497"/>
      <c r="R154" s="43"/>
      <c r="S154" s="9"/>
      <c r="T154" s="66"/>
      <c r="U154" s="1026"/>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1099"/>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row>
    <row r="155" spans="1:73" x14ac:dyDescent="0.25">
      <c r="A155" s="854"/>
      <c r="B155" s="494"/>
      <c r="C155" s="494"/>
      <c r="D155" s="494" t="s">
        <v>1077</v>
      </c>
      <c r="E155" s="917"/>
      <c r="F155" s="917"/>
      <c r="G155" s="917">
        <f t="shared" ref="G155:K155" si="157">G128/G$129</f>
        <v>9.1177209105048563E-8</v>
      </c>
      <c r="H155" s="917">
        <f t="shared" si="157"/>
        <v>4.280674983556916E-8</v>
      </c>
      <c r="I155" s="917">
        <f t="shared" si="157"/>
        <v>6.1503212716427117E-8</v>
      </c>
      <c r="J155" s="917">
        <f t="shared" si="157"/>
        <v>2.9179190508734924E-8</v>
      </c>
      <c r="K155" s="917">
        <f t="shared" si="157"/>
        <v>0</v>
      </c>
      <c r="L155" s="1831"/>
      <c r="M155" s="1831"/>
      <c r="N155" s="1831"/>
      <c r="O155" s="1831"/>
      <c r="P155" s="917"/>
      <c r="Q155" s="497"/>
      <c r="R155" s="43"/>
      <c r="S155" s="9"/>
      <c r="T155" s="66"/>
      <c r="U155" s="1026"/>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1099"/>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row>
    <row r="156" spans="1:73" x14ac:dyDescent="0.25">
      <c r="A156" s="861"/>
      <c r="B156" s="773"/>
      <c r="C156" s="773" t="s">
        <v>1200</v>
      </c>
      <c r="D156" s="773"/>
      <c r="E156" s="919"/>
      <c r="F156" s="919"/>
      <c r="G156" s="919">
        <f t="shared" ref="G156:K156" si="158">SUM(G134:G155)</f>
        <v>0.99999999999999978</v>
      </c>
      <c r="H156" s="919">
        <f t="shared" si="158"/>
        <v>1</v>
      </c>
      <c r="I156" s="919">
        <f t="shared" si="158"/>
        <v>1</v>
      </c>
      <c r="J156" s="919">
        <f t="shared" si="158"/>
        <v>0.99999999999999978</v>
      </c>
      <c r="K156" s="919">
        <f t="shared" si="158"/>
        <v>1.0000000000000002</v>
      </c>
      <c r="L156" s="1833"/>
      <c r="M156" s="1833"/>
      <c r="N156" s="1833"/>
      <c r="O156" s="1833"/>
      <c r="P156" s="916"/>
      <c r="Q156" s="497"/>
      <c r="R156" s="43"/>
      <c r="S156" s="9"/>
      <c r="T156" s="66"/>
      <c r="U156" s="1026"/>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1099"/>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row>
    <row r="157" spans="1:73" s="239" customFormat="1" ht="14.25" outlineLevel="1" x14ac:dyDescent="0.2">
      <c r="A157" s="920"/>
      <c r="B157" s="921"/>
      <c r="C157" s="922" t="s">
        <v>458</v>
      </c>
      <c r="D157" s="922"/>
      <c r="E157" s="926"/>
      <c r="F157" s="926"/>
      <c r="G157" s="1835">
        <f t="shared" ref="G157:J157" si="159">100%-G156</f>
        <v>0</v>
      </c>
      <c r="H157" s="1835">
        <f t="shared" si="159"/>
        <v>0</v>
      </c>
      <c r="I157" s="1835">
        <f t="shared" si="159"/>
        <v>0</v>
      </c>
      <c r="J157" s="1835">
        <f t="shared" si="159"/>
        <v>0</v>
      </c>
      <c r="K157" s="1835">
        <f>100%-K156</f>
        <v>0</v>
      </c>
      <c r="L157" s="1834"/>
      <c r="M157" s="1834"/>
      <c r="N157" s="1834"/>
      <c r="O157" s="1834"/>
      <c r="P157" s="926"/>
      <c r="Q157" s="923"/>
      <c r="R157" s="922"/>
      <c r="S157" s="924"/>
      <c r="T157" s="925"/>
      <c r="U157" s="925"/>
      <c r="V157" s="921"/>
      <c r="W157" s="921"/>
      <c r="X157" s="921"/>
      <c r="Y157" s="921"/>
      <c r="Z157" s="921"/>
      <c r="AA157" s="921"/>
      <c r="AB157" s="921"/>
      <c r="AC157" s="921"/>
      <c r="AD157" s="921"/>
      <c r="AE157" s="921"/>
      <c r="AF157" s="921"/>
      <c r="AG157" s="921"/>
      <c r="AH157" s="921"/>
      <c r="AI157" s="921"/>
      <c r="AJ157" s="921"/>
      <c r="AK157" s="921"/>
      <c r="AL157" s="921"/>
      <c r="AM157" s="921"/>
      <c r="AN157" s="921"/>
      <c r="AO157" s="921"/>
      <c r="AP157" s="921"/>
      <c r="AQ157" s="921"/>
      <c r="AR157" s="921"/>
      <c r="AS157" s="921"/>
      <c r="AT157" s="1097"/>
      <c r="AU157" s="921"/>
      <c r="AV157" s="921"/>
      <c r="AW157" s="921"/>
      <c r="AX157" s="921"/>
      <c r="AY157" s="921"/>
      <c r="AZ157" s="921"/>
      <c r="BA157" s="921"/>
      <c r="BB157" s="921"/>
      <c r="BC157" s="921"/>
      <c r="BD157" s="921"/>
      <c r="BE157" s="921"/>
      <c r="BF157" s="921"/>
      <c r="BG157" s="921"/>
      <c r="BH157" s="921"/>
      <c r="BI157" s="921"/>
      <c r="BJ157" s="921"/>
      <c r="BK157" s="921"/>
      <c r="BL157" s="921"/>
      <c r="BM157" s="921"/>
      <c r="BN157" s="921"/>
      <c r="BO157" s="921"/>
      <c r="BP157" s="921"/>
      <c r="BQ157" s="921"/>
      <c r="BR157" s="921"/>
      <c r="BS157" s="921"/>
      <c r="BT157" s="921"/>
      <c r="BU157" s="921"/>
    </row>
    <row r="158" spans="1:73" x14ac:dyDescent="0.25">
      <c r="A158" s="854"/>
      <c r="B158" s="243"/>
      <c r="C158" s="43"/>
      <c r="D158" s="43"/>
      <c r="E158" s="497"/>
      <c r="F158" s="497"/>
      <c r="G158" s="497"/>
      <c r="H158" s="497"/>
      <c r="I158" s="498"/>
      <c r="J158" s="498"/>
      <c r="K158" s="498"/>
      <c r="L158" s="498"/>
      <c r="M158" s="498"/>
      <c r="N158" s="498"/>
      <c r="O158" s="498"/>
      <c r="P158" s="498"/>
      <c r="Q158" s="497"/>
      <c r="R158" s="43"/>
      <c r="S158" s="9"/>
      <c r="T158" s="66"/>
      <c r="U158" s="1026"/>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1099"/>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row>
    <row r="159" spans="1:73" x14ac:dyDescent="0.25">
      <c r="A159" s="914"/>
      <c r="B159" s="915"/>
      <c r="C159" s="915" t="s">
        <v>1201</v>
      </c>
      <c r="D159" s="915"/>
      <c r="E159" s="927"/>
      <c r="F159" s="927"/>
      <c r="G159" s="927">
        <f t="shared" ref="G159:K159" si="160">SUMSQ(G135:G141,G143:G151,G153:G155)</f>
        <v>0.25554142385982276</v>
      </c>
      <c r="H159" s="927">
        <f t="shared" si="160"/>
        <v>0.20037860097014218</v>
      </c>
      <c r="I159" s="927">
        <f t="shared" si="160"/>
        <v>0.18170210489888453</v>
      </c>
      <c r="J159" s="927">
        <f t="shared" si="160"/>
        <v>0.18937413337656894</v>
      </c>
      <c r="K159" s="927">
        <f t="shared" si="160"/>
        <v>0.19721546723949407</v>
      </c>
      <c r="L159" s="927"/>
      <c r="M159" s="927"/>
      <c r="N159" s="927"/>
      <c r="O159" s="927"/>
      <c r="P159" s="1756"/>
      <c r="Q159" s="497"/>
      <c r="R159" s="43"/>
      <c r="S159" s="9"/>
      <c r="T159" s="66"/>
      <c r="U159" s="1026"/>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1099"/>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row>
    <row r="160" spans="1:73" x14ac:dyDescent="0.25">
      <c r="A160" s="854"/>
      <c r="B160" s="243"/>
      <c r="C160" s="43" t="s">
        <v>1215</v>
      </c>
      <c r="D160" s="43"/>
      <c r="E160" s="930">
        <f t="shared" ref="E160:J160" si="161">IF(E159&lt;=0.2,1,IF(E159&lt;=0.25,2,IF(E159&lt;=0.3,3,IF(E159&lt;=0.35,4,IF(E159&lt;=0.4,5,6)))))</f>
        <v>1</v>
      </c>
      <c r="F160" s="930"/>
      <c r="G160" s="930">
        <f t="shared" si="161"/>
        <v>3</v>
      </c>
      <c r="H160" s="930">
        <f t="shared" si="161"/>
        <v>2</v>
      </c>
      <c r="I160" s="931">
        <f t="shared" si="161"/>
        <v>1</v>
      </c>
      <c r="J160" s="931">
        <f t="shared" si="161"/>
        <v>1</v>
      </c>
      <c r="K160" s="931">
        <f>IF(K159&lt;=0.2,1,IF(K159&lt;=0.25,2,IF(K159&lt;=0.3,3,IF(K159&lt;=0.35,4,IF(K159&lt;=0.4,5,6)))))</f>
        <v>1</v>
      </c>
      <c r="L160" s="931"/>
      <c r="M160" s="931"/>
      <c r="N160" s="931"/>
      <c r="O160" s="931"/>
      <c r="P160" s="931"/>
      <c r="Q160" s="497"/>
      <c r="R160" s="43"/>
      <c r="S160" s="9"/>
      <c r="T160" s="66"/>
      <c r="U160" s="1026"/>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1099"/>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row>
    <row r="161" spans="1:73" x14ac:dyDescent="0.25">
      <c r="A161" s="854"/>
      <c r="B161" s="243"/>
      <c r="C161" s="43"/>
      <c r="E161" s="4"/>
      <c r="F161" s="4"/>
      <c r="G161" s="4"/>
      <c r="H161" s="4"/>
      <c r="I161" s="4"/>
      <c r="J161" s="38"/>
      <c r="K161" s="498"/>
      <c r="L161" s="498"/>
      <c r="M161" s="498"/>
      <c r="N161" s="498"/>
      <c r="O161" s="498"/>
      <c r="P161" s="498"/>
      <c r="Q161" s="497"/>
      <c r="R161" s="43"/>
      <c r="S161" s="9"/>
      <c r="T161" s="66"/>
      <c r="U161" s="1026"/>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1099"/>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row>
    <row r="162" spans="1:73" ht="15.75" thickBot="1" x14ac:dyDescent="0.3">
      <c r="A162" s="854"/>
      <c r="B162" s="243"/>
      <c r="C162" s="43"/>
      <c r="D162" s="12" t="s">
        <v>1213</v>
      </c>
      <c r="E162" s="4"/>
      <c r="F162" s="4"/>
      <c r="G162" s="4"/>
      <c r="H162" s="4"/>
      <c r="I162" s="38"/>
      <c r="J162" s="38"/>
      <c r="K162" s="498"/>
      <c r="L162" s="498"/>
      <c r="M162" s="498"/>
      <c r="N162" s="498"/>
      <c r="O162" s="498"/>
      <c r="P162" s="498"/>
      <c r="Q162" s="497"/>
      <c r="R162" s="43"/>
      <c r="S162" s="9"/>
      <c r="T162" s="66"/>
      <c r="U162" s="1026"/>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1099"/>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row>
    <row r="163" spans="1:73" ht="22.5" customHeight="1" thickBot="1" x14ac:dyDescent="0.3">
      <c r="A163" s="854"/>
      <c r="B163" s="243"/>
      <c r="C163" s="43"/>
      <c r="D163" s="928" t="s">
        <v>1203</v>
      </c>
      <c r="E163" s="928" t="s">
        <v>1204</v>
      </c>
      <c r="F163" s="928" t="s">
        <v>1205</v>
      </c>
      <c r="G163" s="928" t="s">
        <v>1206</v>
      </c>
      <c r="H163" s="928" t="s">
        <v>1207</v>
      </c>
      <c r="I163" s="928" t="s">
        <v>1208</v>
      </c>
      <c r="J163" s="928" t="s">
        <v>1209</v>
      </c>
      <c r="K163" s="498"/>
      <c r="L163" s="498"/>
      <c r="M163" s="498"/>
      <c r="N163" s="498"/>
      <c r="O163" s="498"/>
      <c r="P163" s="498"/>
      <c r="Q163" s="497"/>
      <c r="R163" s="43"/>
      <c r="S163" s="9"/>
      <c r="T163" s="66"/>
      <c r="U163" s="1026"/>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1099"/>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row>
    <row r="164" spans="1:73" ht="41.25" customHeight="1" thickBot="1" x14ac:dyDescent="0.3">
      <c r="A164" s="854"/>
      <c r="B164" s="243"/>
      <c r="C164" s="43"/>
      <c r="D164" s="929" t="s">
        <v>1210</v>
      </c>
      <c r="E164" s="929" t="s">
        <v>1211</v>
      </c>
      <c r="F164" s="929">
        <v>2</v>
      </c>
      <c r="G164" s="929">
        <v>3</v>
      </c>
      <c r="H164" s="929">
        <v>4</v>
      </c>
      <c r="I164" s="929">
        <v>5</v>
      </c>
      <c r="J164" s="929" t="s">
        <v>1212</v>
      </c>
      <c r="K164" s="498"/>
      <c r="L164" s="498"/>
      <c r="M164" s="498"/>
      <c r="N164" s="498"/>
      <c r="O164" s="498"/>
      <c r="P164" s="498"/>
      <c r="Q164" s="497"/>
      <c r="R164" s="43"/>
      <c r="S164" s="9"/>
      <c r="T164" s="66"/>
      <c r="U164" s="1026"/>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1099"/>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row>
    <row r="165" spans="1:73" x14ac:dyDescent="0.25">
      <c r="A165" s="854"/>
      <c r="B165" s="243"/>
      <c r="C165" s="43"/>
      <c r="D165" s="43"/>
      <c r="E165" s="497"/>
      <c r="F165" s="497"/>
      <c r="G165" s="497"/>
      <c r="H165" s="497"/>
      <c r="I165" s="498"/>
      <c r="J165" s="498"/>
      <c r="K165" s="498"/>
      <c r="L165" s="498"/>
      <c r="M165" s="498"/>
      <c r="N165" s="498"/>
      <c r="O165" s="498"/>
      <c r="P165" s="498"/>
      <c r="Q165" s="497"/>
      <c r="R165" s="43"/>
      <c r="S165" s="9"/>
      <c r="T165" s="66"/>
      <c r="U165" s="1026"/>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1099"/>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row>
    <row r="166" spans="1:73" x14ac:dyDescent="0.25">
      <c r="A166" s="854"/>
      <c r="B166" s="243"/>
      <c r="C166" s="43"/>
      <c r="D166" s="43"/>
      <c r="E166" s="497"/>
      <c r="F166" s="497"/>
      <c r="G166" s="497"/>
      <c r="H166" s="497"/>
      <c r="I166" s="498"/>
      <c r="J166" s="498"/>
      <c r="K166" s="498"/>
      <c r="L166" s="498"/>
      <c r="M166" s="498"/>
      <c r="N166" s="498"/>
      <c r="O166" s="498"/>
      <c r="P166" s="498"/>
      <c r="Q166" s="497"/>
      <c r="R166" s="43"/>
      <c r="S166" s="9"/>
      <c r="T166" s="66"/>
      <c r="U166" s="1026"/>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1099"/>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row>
    <row r="167" spans="1:73" x14ac:dyDescent="0.25">
      <c r="A167" s="854"/>
      <c r="B167" s="243"/>
      <c r="C167" s="43"/>
      <c r="D167" s="43"/>
      <c r="E167" s="497"/>
      <c r="F167" s="497"/>
      <c r="G167" s="497"/>
      <c r="H167" s="497"/>
      <c r="I167" s="498"/>
      <c r="J167" s="498"/>
      <c r="K167" s="498"/>
      <c r="L167" s="498"/>
      <c r="M167" s="498"/>
      <c r="N167" s="498"/>
      <c r="O167" s="498"/>
      <c r="P167" s="498"/>
      <c r="Q167" s="497"/>
      <c r="R167" s="43"/>
      <c r="S167" s="9"/>
      <c r="T167" s="66"/>
      <c r="U167" s="1026"/>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1099"/>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row>
    <row r="168" spans="1:73" x14ac:dyDescent="0.25">
      <c r="A168" s="854"/>
      <c r="B168" s="243"/>
      <c r="C168" s="43"/>
      <c r="D168" s="43"/>
      <c r="E168" s="497"/>
      <c r="F168" s="497"/>
      <c r="G168" s="497"/>
      <c r="H168" s="497"/>
      <c r="I168" s="498"/>
      <c r="J168" s="498"/>
      <c r="K168" s="498"/>
      <c r="L168" s="498"/>
      <c r="M168" s="498"/>
      <c r="N168" s="498"/>
      <c r="O168" s="498"/>
      <c r="P168" s="498"/>
      <c r="Q168" s="497"/>
      <c r="R168" s="43"/>
      <c r="S168" s="9"/>
      <c r="T168" s="66"/>
      <c r="U168" s="1026"/>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1099"/>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row>
    <row r="169" spans="1:73" x14ac:dyDescent="0.25">
      <c r="A169" s="854"/>
      <c r="B169" s="4"/>
      <c r="C169" s="43"/>
      <c r="D169" s="43"/>
      <c r="E169" s="497"/>
      <c r="F169" s="497"/>
      <c r="G169" s="497"/>
      <c r="H169" s="497"/>
      <c r="I169" s="498"/>
      <c r="J169" s="498"/>
      <c r="K169" s="498"/>
      <c r="L169" s="498"/>
      <c r="M169" s="498"/>
      <c r="N169" s="498"/>
      <c r="O169" s="498"/>
      <c r="P169" s="498"/>
      <c r="Q169" s="497"/>
      <c r="R169" s="43"/>
      <c r="S169" s="9"/>
      <c r="T169" s="66"/>
      <c r="U169" s="1026"/>
      <c r="V169" s="95" t="s">
        <v>864</v>
      </c>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1099"/>
      <c r="AU169" s="243" t="s">
        <v>181</v>
      </c>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row>
    <row r="170" spans="1:73" x14ac:dyDescent="0.25">
      <c r="A170" s="860"/>
      <c r="B170" s="534" t="s">
        <v>839</v>
      </c>
      <c r="C170" s="535"/>
      <c r="D170" s="535"/>
      <c r="E170" s="536"/>
      <c r="F170" s="536"/>
      <c r="G170" s="536"/>
      <c r="H170" s="536"/>
      <c r="I170" s="536"/>
      <c r="J170" s="536"/>
      <c r="K170" s="536"/>
      <c r="L170" s="536"/>
      <c r="M170" s="536"/>
      <c r="N170" s="536"/>
      <c r="O170" s="536"/>
      <c r="P170" s="536"/>
      <c r="Q170" s="497"/>
      <c r="R170" s="43"/>
      <c r="S170" s="9"/>
      <c r="T170" s="66"/>
      <c r="U170" s="1026"/>
      <c r="V170" s="534" t="s">
        <v>839</v>
      </c>
      <c r="W170" s="535"/>
      <c r="X170" s="535"/>
      <c r="Y170" s="535"/>
      <c r="Z170" s="535"/>
      <c r="AA170" s="535"/>
      <c r="AB170" s="535"/>
      <c r="AC170" s="535"/>
      <c r="AD170" s="535"/>
      <c r="AE170" s="535"/>
      <c r="AF170" s="536"/>
      <c r="AG170" s="536"/>
      <c r="AH170" s="536"/>
      <c r="AI170" s="507"/>
      <c r="AJ170" s="507"/>
      <c r="AK170" s="507"/>
      <c r="AL170" s="507"/>
      <c r="AM170" s="507"/>
      <c r="AN170" s="507"/>
      <c r="AO170" s="507"/>
      <c r="AP170" s="507"/>
      <c r="AQ170" s="507"/>
      <c r="AR170" s="507"/>
      <c r="AS170" s="4"/>
      <c r="AT170" s="1099"/>
      <c r="AU170" s="534" t="s">
        <v>839</v>
      </c>
      <c r="AV170" s="535"/>
      <c r="AW170" s="535"/>
      <c r="AX170" s="535"/>
      <c r="AY170" s="535"/>
      <c r="AZ170" s="535"/>
      <c r="BA170" s="535"/>
      <c r="BB170" s="535"/>
      <c r="BC170" s="535"/>
      <c r="BD170" s="535"/>
      <c r="BE170" s="536"/>
      <c r="BF170" s="536"/>
      <c r="BG170" s="536"/>
      <c r="BH170" s="507"/>
      <c r="BI170" s="507"/>
      <c r="BJ170" s="507"/>
      <c r="BK170" s="507"/>
      <c r="BL170" s="507"/>
      <c r="BM170" s="507"/>
      <c r="BN170" s="507"/>
      <c r="BO170" s="507"/>
      <c r="BP170" s="507"/>
      <c r="BQ170" s="4"/>
      <c r="BR170" s="4"/>
      <c r="BS170" s="4"/>
      <c r="BT170" s="4"/>
      <c r="BU170" s="4"/>
    </row>
    <row r="171" spans="1:73" x14ac:dyDescent="0.25">
      <c r="A171" s="854"/>
      <c r="C171" s="43"/>
      <c r="D171" s="43"/>
      <c r="F171" s="497"/>
      <c r="G171" s="497" t="s">
        <v>348</v>
      </c>
      <c r="H171" s="497"/>
      <c r="I171" s="498"/>
      <c r="J171" s="498"/>
      <c r="K171" s="498"/>
      <c r="L171" s="498"/>
      <c r="M171" s="498"/>
      <c r="N171" s="498"/>
      <c r="O171" s="498"/>
      <c r="P171" s="498"/>
      <c r="Q171" s="497"/>
      <c r="R171" s="43"/>
      <c r="S171" s="9"/>
      <c r="T171" s="66"/>
      <c r="U171" s="1026"/>
      <c r="V171" s="497" t="s">
        <v>348</v>
      </c>
      <c r="W171" s="497"/>
      <c r="X171" s="497"/>
      <c r="Y171" s="497"/>
      <c r="Z171" s="497"/>
      <c r="AA171" s="497"/>
      <c r="AB171" s="497"/>
      <c r="AC171" s="497"/>
      <c r="AD171" s="497"/>
      <c r="AE171" s="497"/>
      <c r="AF171" s="4"/>
      <c r="AG171" s="4"/>
      <c r="AH171" s="4"/>
      <c r="AI171" s="4"/>
      <c r="AJ171" s="4"/>
      <c r="AK171" s="4"/>
      <c r="AL171" s="4"/>
      <c r="AM171" s="4"/>
      <c r="AN171" s="4"/>
      <c r="AO171" s="4"/>
      <c r="AP171" s="4"/>
      <c r="AQ171" s="4"/>
      <c r="AR171" s="4"/>
      <c r="AS171" s="4"/>
      <c r="AT171" s="1099"/>
      <c r="AU171" s="497" t="s">
        <v>348</v>
      </c>
      <c r="AV171" s="497"/>
      <c r="AW171" s="497"/>
      <c r="AX171" s="497"/>
      <c r="AY171" s="497"/>
      <c r="AZ171" s="497"/>
      <c r="BA171" s="497"/>
      <c r="BB171" s="497"/>
      <c r="BC171" s="497"/>
      <c r="BD171" s="497"/>
      <c r="BE171" s="4"/>
      <c r="BF171" s="4"/>
      <c r="BG171" s="4"/>
      <c r="BH171" s="4"/>
      <c r="BI171" s="4"/>
      <c r="BJ171" s="4"/>
      <c r="BK171" s="4"/>
      <c r="BL171" s="4"/>
      <c r="BM171" s="4"/>
      <c r="BN171" s="4"/>
      <c r="BO171" s="4"/>
      <c r="BP171" s="4"/>
      <c r="BQ171" s="4"/>
      <c r="BR171" s="4"/>
      <c r="BS171" s="4"/>
      <c r="BT171" s="4"/>
      <c r="BU171" s="4"/>
    </row>
    <row r="172" spans="1:73" x14ac:dyDescent="0.25">
      <c r="A172" s="854"/>
      <c r="B172" s="15"/>
      <c r="C172" s="537"/>
      <c r="D172" s="537"/>
      <c r="E172" s="538"/>
      <c r="F172" s="538"/>
      <c r="G172" s="538">
        <f t="shared" ref="G172:O172" si="162">G8</f>
        <v>2017</v>
      </c>
      <c r="H172" s="538">
        <f t="shared" si="162"/>
        <v>2018</v>
      </c>
      <c r="I172" s="538">
        <f t="shared" si="162"/>
        <v>2019</v>
      </c>
      <c r="J172" s="538">
        <f t="shared" si="162"/>
        <v>2020</v>
      </c>
      <c r="K172" s="538">
        <f t="shared" si="162"/>
        <v>2021</v>
      </c>
      <c r="L172" s="538">
        <f t="shared" si="162"/>
        <v>2022</v>
      </c>
      <c r="M172" s="538">
        <f t="shared" si="162"/>
        <v>2023</v>
      </c>
      <c r="N172" s="538">
        <f t="shared" si="162"/>
        <v>2024</v>
      </c>
      <c r="O172" s="538">
        <f t="shared" si="162"/>
        <v>2025</v>
      </c>
      <c r="P172" s="1747"/>
      <c r="Q172" s="497"/>
      <c r="R172" s="43"/>
      <c r="S172" s="9"/>
      <c r="T172" s="66"/>
      <c r="U172" s="1026"/>
      <c r="V172" s="538">
        <f t="shared" ref="V172:AE172" si="163">V8</f>
        <v>2015</v>
      </c>
      <c r="W172" s="538">
        <f t="shared" si="163"/>
        <v>2017</v>
      </c>
      <c r="X172" s="538">
        <f t="shared" si="163"/>
        <v>2018</v>
      </c>
      <c r="Y172" s="538">
        <f t="shared" si="163"/>
        <v>2019</v>
      </c>
      <c r="Z172" s="538">
        <f t="shared" si="163"/>
        <v>2020</v>
      </c>
      <c r="AA172" s="538">
        <f t="shared" si="163"/>
        <v>2021</v>
      </c>
      <c r="AB172" s="538">
        <f t="shared" si="163"/>
        <v>2022</v>
      </c>
      <c r="AC172" s="538">
        <f t="shared" si="163"/>
        <v>2023</v>
      </c>
      <c r="AD172" s="538">
        <f t="shared" si="163"/>
        <v>2024</v>
      </c>
      <c r="AE172" s="538">
        <f t="shared" si="163"/>
        <v>2025</v>
      </c>
      <c r="AF172" s="4"/>
      <c r="AG172" s="4"/>
      <c r="AH172" s="4"/>
      <c r="AI172" s="4"/>
      <c r="AJ172" s="4"/>
      <c r="AK172" s="4"/>
      <c r="AL172" s="4"/>
      <c r="AM172" s="4"/>
      <c r="AN172" s="4"/>
      <c r="AO172" s="4"/>
      <c r="AP172" s="4"/>
      <c r="AQ172" s="4"/>
      <c r="AR172" s="4"/>
      <c r="AS172" s="4"/>
      <c r="AT172" s="1099"/>
      <c r="AU172" s="538">
        <f t="shared" ref="AU172:AZ172" si="164">AU8</f>
        <v>2015</v>
      </c>
      <c r="AV172" s="538">
        <f t="shared" si="164"/>
        <v>2017</v>
      </c>
      <c r="AW172" s="538">
        <f t="shared" si="164"/>
        <v>2018</v>
      </c>
      <c r="AX172" s="538">
        <f t="shared" si="164"/>
        <v>2019</v>
      </c>
      <c r="AY172" s="538">
        <f t="shared" si="164"/>
        <v>2020</v>
      </c>
      <c r="AZ172" s="538">
        <f t="shared" si="164"/>
        <v>2021</v>
      </c>
      <c r="BA172" s="538">
        <f t="shared" ref="BA172:BD172" si="165">BA8</f>
        <v>2022</v>
      </c>
      <c r="BB172" s="538">
        <f t="shared" si="165"/>
        <v>2023</v>
      </c>
      <c r="BC172" s="538">
        <f t="shared" si="165"/>
        <v>2024</v>
      </c>
      <c r="BD172" s="538">
        <f t="shared" si="165"/>
        <v>2025</v>
      </c>
      <c r="BE172" s="4"/>
      <c r="BF172" s="4"/>
      <c r="BG172" s="4"/>
      <c r="BH172" s="4"/>
      <c r="BI172" s="4"/>
      <c r="BJ172" s="4"/>
      <c r="BK172" s="4"/>
      <c r="BL172" s="4"/>
      <c r="BM172" s="4"/>
      <c r="BN172" s="4"/>
      <c r="BO172" s="4"/>
      <c r="BP172" s="4"/>
      <c r="BQ172" s="4"/>
      <c r="BR172" s="4"/>
      <c r="BS172" s="4"/>
      <c r="BT172" s="4"/>
      <c r="BU172" s="4"/>
    </row>
    <row r="173" spans="1:73" x14ac:dyDescent="0.25">
      <c r="A173" s="854"/>
      <c r="B173" s="4" t="s">
        <v>1102</v>
      </c>
      <c r="C173" s="43"/>
      <c r="D173" s="43"/>
      <c r="E173" s="543"/>
      <c r="F173" s="543"/>
      <c r="G173" s="543" t="e">
        <f t="shared" ref="G173:O173" si="166">G10/G291</f>
        <v>#DIV/0!</v>
      </c>
      <c r="H173" s="543">
        <f t="shared" si="166"/>
        <v>7.9510078401128337E-2</v>
      </c>
      <c r="I173" s="543">
        <f t="shared" si="166"/>
        <v>7.4587748528521597E-2</v>
      </c>
      <c r="J173" s="543">
        <f t="shared" si="166"/>
        <v>6.9374216966198513E-2</v>
      </c>
      <c r="K173" s="543">
        <f t="shared" si="166"/>
        <v>6.3101433282898425E-2</v>
      </c>
      <c r="L173" s="543">
        <f t="shared" si="166"/>
        <v>8.7138950849831351E-2</v>
      </c>
      <c r="M173" s="543">
        <f t="shared" si="166"/>
        <v>0.10650846149317995</v>
      </c>
      <c r="N173" s="543">
        <f t="shared" si="166"/>
        <v>0.15914434993231105</v>
      </c>
      <c r="O173" s="543" t="e">
        <f t="shared" si="166"/>
        <v>#DIV/0!</v>
      </c>
      <c r="P173" s="543"/>
      <c r="Q173" s="497"/>
      <c r="R173" s="43"/>
      <c r="S173" s="9"/>
      <c r="T173" s="66"/>
      <c r="U173" s="1026"/>
      <c r="V173" s="543">
        <f t="shared" ref="V173:AE173" si="167">V10/V291</f>
        <v>8.9572462270923164E-2</v>
      </c>
      <c r="W173" s="543">
        <f t="shared" si="167"/>
        <v>8.4717014422186654E-2</v>
      </c>
      <c r="X173" s="543">
        <f t="shared" si="167"/>
        <v>8.3183759442732402E-2</v>
      </c>
      <c r="Y173" s="543">
        <f t="shared" si="167"/>
        <v>8.4768954157412424E-2</v>
      </c>
      <c r="Z173" s="543">
        <f t="shared" si="167"/>
        <v>7.3241397320720797E-2</v>
      </c>
      <c r="AA173" s="543">
        <f t="shared" si="167"/>
        <v>7.0593408880665787E-2</v>
      </c>
      <c r="AB173" s="543">
        <f t="shared" si="167"/>
        <v>9.1691231060724979E-2</v>
      </c>
      <c r="AC173" s="543">
        <f t="shared" si="167"/>
        <v>0.10828668058586256</v>
      </c>
      <c r="AD173" s="543">
        <f t="shared" si="167"/>
        <v>0.16138029401766224</v>
      </c>
      <c r="AE173" s="543">
        <f t="shared" si="167"/>
        <v>0.16726969888793741</v>
      </c>
      <c r="AF173" s="4"/>
      <c r="AG173" s="4"/>
      <c r="AH173" s="4"/>
      <c r="AI173" s="4"/>
      <c r="AJ173" s="4"/>
      <c r="AK173" s="4"/>
      <c r="AL173" s="4"/>
      <c r="AM173" s="4"/>
      <c r="AN173" s="4"/>
      <c r="AO173" s="4"/>
      <c r="AP173" s="4"/>
      <c r="AQ173" s="4"/>
      <c r="AR173" s="4"/>
      <c r="AS173" s="4"/>
      <c r="AT173" s="1099"/>
      <c r="AU173" s="543">
        <f t="shared" ref="AU173:BD173" si="168">AU10/AU291</f>
        <v>4.9618150697179592E-2</v>
      </c>
      <c r="AV173" s="543">
        <f t="shared" si="168"/>
        <v>5.2566627235818605E-2</v>
      </c>
      <c r="AW173" s="543">
        <f t="shared" si="168"/>
        <v>5.7280007880760896E-2</v>
      </c>
      <c r="AX173" s="543">
        <f t="shared" si="168"/>
        <v>5.8756777349931975E-2</v>
      </c>
      <c r="AY173" s="543">
        <f t="shared" si="168"/>
        <v>4.8118879402023189E-2</v>
      </c>
      <c r="AZ173" s="543">
        <f t="shared" si="168"/>
        <v>4.1818921730428185E-2</v>
      </c>
      <c r="BA173" s="543">
        <f t="shared" si="168"/>
        <v>5.0689555959680978E-2</v>
      </c>
      <c r="BB173" s="543">
        <f t="shared" si="168"/>
        <v>7.3652807663797865E-2</v>
      </c>
      <c r="BC173" s="543">
        <f t="shared" si="168"/>
        <v>7.553899905302873E-2</v>
      </c>
      <c r="BD173" s="543">
        <f t="shared" si="168"/>
        <v>6.7329978696315351E-2</v>
      </c>
      <c r="BE173" s="4"/>
      <c r="BF173" s="4"/>
      <c r="BG173" s="4"/>
      <c r="BH173" s="4"/>
      <c r="BI173" s="4"/>
      <c r="BJ173" s="4"/>
      <c r="BK173" s="4"/>
      <c r="BL173" s="4"/>
      <c r="BM173" s="4"/>
      <c r="BN173" s="4"/>
      <c r="BO173" s="4"/>
      <c r="BP173" s="4"/>
      <c r="BQ173" s="4"/>
      <c r="BR173" s="4"/>
      <c r="BS173" s="4"/>
      <c r="BT173" s="4"/>
      <c r="BU173" s="4"/>
    </row>
    <row r="174" spans="1:73" x14ac:dyDescent="0.25">
      <c r="A174" s="854"/>
      <c r="B174" s="93" t="s">
        <v>1103</v>
      </c>
      <c r="C174" s="548"/>
      <c r="D174" s="548"/>
      <c r="E174" s="549"/>
      <c r="F174" s="549"/>
      <c r="G174" s="549">
        <f t="shared" ref="G174:O174" si="169">G16/G292</f>
        <v>-6.3312362859613974E-2</v>
      </c>
      <c r="H174" s="549">
        <f t="shared" si="169"/>
        <v>-5.6807382758560739E-2</v>
      </c>
      <c r="I174" s="549">
        <f t="shared" si="169"/>
        <v>-5.3862988810738109E-2</v>
      </c>
      <c r="J174" s="549">
        <f t="shared" si="169"/>
        <v>-4.390039163637454E-2</v>
      </c>
      <c r="K174" s="549">
        <f t="shared" si="169"/>
        <v>-3.7428890255732469E-2</v>
      </c>
      <c r="L174" s="549">
        <f t="shared" si="169"/>
        <v>-5.7680068723337696E-2</v>
      </c>
      <c r="M174" s="549">
        <f t="shared" si="169"/>
        <v>-5.4578960234328899E-2</v>
      </c>
      <c r="N174" s="549">
        <f t="shared" si="169"/>
        <v>-9.8839884066447017E-2</v>
      </c>
      <c r="O174" s="549" t="e">
        <f t="shared" si="169"/>
        <v>#DIV/0!</v>
      </c>
      <c r="P174" s="549"/>
      <c r="Q174" s="497"/>
      <c r="R174" s="43"/>
      <c r="S174" s="9"/>
      <c r="T174" s="66"/>
      <c r="U174" s="1026"/>
      <c r="V174" s="549">
        <f t="shared" ref="V174:AE174" si="170">V16/V292</f>
        <v>-7.7809628716830365E-2</v>
      </c>
      <c r="W174" s="549">
        <f t="shared" si="170"/>
        <v>-4.9905563667443677E-2</v>
      </c>
      <c r="X174" s="549">
        <f t="shared" si="170"/>
        <v>-4.6674891378815357E-2</v>
      </c>
      <c r="Y174" s="549">
        <f t="shared" si="170"/>
        <v>-4.8695416375947188E-2</v>
      </c>
      <c r="Z174" s="549">
        <f t="shared" si="170"/>
        <v>-3.7817393229966786E-2</v>
      </c>
      <c r="AA174" s="549">
        <f t="shared" si="170"/>
        <v>-3.4832140735486274E-2</v>
      </c>
      <c r="AB174" s="549">
        <f t="shared" si="170"/>
        <v>-5.6969034615289502E-2</v>
      </c>
      <c r="AC174" s="549">
        <f t="shared" si="170"/>
        <v>-5.7852974668505475E-2</v>
      </c>
      <c r="AD174" s="549">
        <f t="shared" si="170"/>
        <v>-0.10850248740782877</v>
      </c>
      <c r="AE174" s="549">
        <f t="shared" si="170"/>
        <v>-0.12423008805771328</v>
      </c>
      <c r="AF174" s="4"/>
      <c r="AG174" s="4"/>
      <c r="AH174" s="4"/>
      <c r="AI174" s="4"/>
      <c r="AJ174" s="4"/>
      <c r="AK174" s="4"/>
      <c r="AL174" s="4"/>
      <c r="AM174" s="4"/>
      <c r="AN174" s="4"/>
      <c r="AO174" s="4"/>
      <c r="AP174" s="4"/>
      <c r="AQ174" s="4"/>
      <c r="AR174" s="4"/>
      <c r="AS174" s="4"/>
      <c r="AT174" s="1099"/>
      <c r="AU174" s="549">
        <f t="shared" ref="AU174:BD174" si="171">AU16/AU292</f>
        <v>-3.5043490249191578E-3</v>
      </c>
      <c r="AV174" s="549">
        <f t="shared" si="171"/>
        <v>-5.0245589887806695E-3</v>
      </c>
      <c r="AW174" s="549">
        <f t="shared" si="171"/>
        <v>-7.9435973804413678E-3</v>
      </c>
      <c r="AX174" s="549">
        <f t="shared" si="171"/>
        <v>-1.017142074644071E-2</v>
      </c>
      <c r="AY174" s="549">
        <f t="shared" si="171"/>
        <v>-4.4318022642344836E-3</v>
      </c>
      <c r="AZ174" s="549">
        <f t="shared" si="171"/>
        <v>-1.8298657494130763E-3</v>
      </c>
      <c r="BA174" s="549">
        <f t="shared" si="171"/>
        <v>-5.7176777524473432E-3</v>
      </c>
      <c r="BB174" s="549">
        <f t="shared" si="171"/>
        <v>-2.2052108747545405E-2</v>
      </c>
      <c r="BC174" s="549">
        <f t="shared" si="171"/>
        <v>-2.8821741043517576E-2</v>
      </c>
      <c r="BD174" s="549">
        <f t="shared" si="171"/>
        <v>-2.937285590948039E-2</v>
      </c>
      <c r="BE174" s="4"/>
      <c r="BF174" s="4"/>
      <c r="BG174" s="4"/>
      <c r="BH174" s="4"/>
      <c r="BI174" s="4"/>
      <c r="BJ174" s="4"/>
      <c r="BK174" s="4"/>
      <c r="BL174" s="4"/>
      <c r="BM174" s="4"/>
      <c r="BN174" s="4"/>
      <c r="BO174" s="4"/>
      <c r="BP174" s="4"/>
      <c r="BQ174" s="4"/>
      <c r="BR174" s="4"/>
      <c r="BS174" s="4"/>
      <c r="BT174" s="4"/>
      <c r="BU174" s="4"/>
    </row>
    <row r="175" spans="1:73" x14ac:dyDescent="0.25">
      <c r="A175" s="854"/>
      <c r="B175" s="4" t="s">
        <v>1110</v>
      </c>
      <c r="C175" s="43"/>
      <c r="D175" s="43"/>
      <c r="E175" s="543"/>
      <c r="F175" s="543"/>
      <c r="G175" s="543" t="e">
        <f>G173+G174</f>
        <v>#DIV/0!</v>
      </c>
      <c r="H175" s="543">
        <f>H173+H174</f>
        <v>2.2702695642567598E-2</v>
      </c>
      <c r="I175" s="543">
        <f>I173+I174</f>
        <v>2.0724759717783488E-2</v>
      </c>
      <c r="J175" s="543">
        <f>J173+J174</f>
        <v>2.5473825329823972E-2</v>
      </c>
      <c r="K175" s="543">
        <f>K173+K174</f>
        <v>2.5672543027165956E-2</v>
      </c>
      <c r="L175" s="543">
        <f t="shared" ref="L175:O175" si="172">L173+L174</f>
        <v>2.9458882126493655E-2</v>
      </c>
      <c r="M175" s="543">
        <f t="shared" si="172"/>
        <v>5.1929501258851055E-2</v>
      </c>
      <c r="N175" s="543">
        <f t="shared" si="172"/>
        <v>6.0304465865864035E-2</v>
      </c>
      <c r="O175" s="543" t="e">
        <f t="shared" si="172"/>
        <v>#DIV/0!</v>
      </c>
      <c r="P175" s="543"/>
      <c r="Q175" s="497"/>
      <c r="R175" s="43"/>
      <c r="S175" s="9"/>
      <c r="T175" s="66"/>
      <c r="U175" s="1026"/>
      <c r="V175" s="543">
        <f t="shared" ref="V175:AA175" si="173">V173+V174</f>
        <v>1.17628335540928E-2</v>
      </c>
      <c r="W175" s="543">
        <f t="shared" si="173"/>
        <v>3.4811450754742977E-2</v>
      </c>
      <c r="X175" s="543">
        <f t="shared" si="173"/>
        <v>3.6508868063917045E-2</v>
      </c>
      <c r="Y175" s="543">
        <f t="shared" si="173"/>
        <v>3.6073537781465236E-2</v>
      </c>
      <c r="Z175" s="543">
        <f t="shared" si="173"/>
        <v>3.542400409075401E-2</v>
      </c>
      <c r="AA175" s="543">
        <f t="shared" si="173"/>
        <v>3.5761268145179513E-2</v>
      </c>
      <c r="AB175" s="543">
        <f t="shared" ref="AB175:AE175" si="174">AB173+AB174</f>
        <v>3.4722196445435477E-2</v>
      </c>
      <c r="AC175" s="543">
        <f t="shared" si="174"/>
        <v>5.0433705917357088E-2</v>
      </c>
      <c r="AD175" s="543">
        <f t="shared" si="174"/>
        <v>5.2877806609833475E-2</v>
      </c>
      <c r="AE175" s="543">
        <f t="shared" si="174"/>
        <v>4.3039610830224131E-2</v>
      </c>
      <c r="AF175" s="4"/>
      <c r="AG175" s="4"/>
      <c r="AH175" s="4"/>
      <c r="AI175" s="4"/>
      <c r="AJ175" s="4"/>
      <c r="AK175" s="4"/>
      <c r="AL175" s="4"/>
      <c r="AM175" s="4"/>
      <c r="AN175" s="4"/>
      <c r="AO175" s="4"/>
      <c r="AP175" s="4"/>
      <c r="AQ175" s="4"/>
      <c r="AR175" s="4"/>
      <c r="AS175" s="4"/>
      <c r="AT175" s="1099"/>
      <c r="AU175" s="543">
        <f t="shared" ref="AU175:AZ175" si="175">SUM(AU173:AU174)</f>
        <v>4.6113801672260431E-2</v>
      </c>
      <c r="AV175" s="543">
        <f t="shared" si="175"/>
        <v>4.7542068247037939E-2</v>
      </c>
      <c r="AW175" s="543">
        <f t="shared" si="175"/>
        <v>4.9336410500319526E-2</v>
      </c>
      <c r="AX175" s="543">
        <f t="shared" si="175"/>
        <v>4.8585356603491267E-2</v>
      </c>
      <c r="AY175" s="543">
        <f t="shared" si="175"/>
        <v>4.3687077137788702E-2</v>
      </c>
      <c r="AZ175" s="543">
        <f t="shared" si="175"/>
        <v>3.9989055981015112E-2</v>
      </c>
      <c r="BA175" s="543">
        <f t="shared" ref="BA175:BD175" si="176">SUM(BA173:BA174)</f>
        <v>4.4971878207233633E-2</v>
      </c>
      <c r="BB175" s="543">
        <f t="shared" si="176"/>
        <v>5.1600698916252463E-2</v>
      </c>
      <c r="BC175" s="543">
        <f t="shared" si="176"/>
        <v>4.6717258009511153E-2</v>
      </c>
      <c r="BD175" s="543">
        <f t="shared" si="176"/>
        <v>3.7957122786834961E-2</v>
      </c>
      <c r="BE175" s="4"/>
      <c r="BF175" s="4"/>
      <c r="BG175" s="4"/>
      <c r="BH175" s="4"/>
      <c r="BI175" s="4"/>
      <c r="BJ175" s="4"/>
      <c r="BK175" s="4"/>
      <c r="BL175" s="4"/>
      <c r="BM175" s="4"/>
      <c r="BN175" s="4"/>
      <c r="BO175" s="4"/>
      <c r="BP175" s="4"/>
      <c r="BQ175" s="4"/>
      <c r="BR175" s="4"/>
      <c r="BS175" s="4"/>
      <c r="BT175" s="4"/>
      <c r="BU175" s="4"/>
    </row>
    <row r="176" spans="1:73" x14ac:dyDescent="0.25">
      <c r="A176" s="854"/>
      <c r="B176" s="93" t="s">
        <v>1111</v>
      </c>
      <c r="C176" s="548"/>
      <c r="D176" s="548"/>
      <c r="E176" s="549"/>
      <c r="F176" s="549"/>
      <c r="G176" s="549">
        <f t="shared" ref="G176:O176" si="177">G20/G289</f>
        <v>1.9959294386614992E-2</v>
      </c>
      <c r="H176" s="549">
        <f t="shared" si="177"/>
        <v>2.3250086557421782E-2</v>
      </c>
      <c r="I176" s="549">
        <f t="shared" si="177"/>
        <v>2.0588083892423212E-2</v>
      </c>
      <c r="J176" s="549">
        <f t="shared" si="177"/>
        <v>2.2848043928500743E-2</v>
      </c>
      <c r="K176" s="549">
        <f t="shared" si="177"/>
        <v>2.2912430523223809E-2</v>
      </c>
      <c r="L176" s="549">
        <f t="shared" si="177"/>
        <v>2.048850767162206E-2</v>
      </c>
      <c r="M176" s="549">
        <f t="shared" si="177"/>
        <v>3.7380984695568859E-2</v>
      </c>
      <c r="N176" s="549">
        <f t="shared" si="177"/>
        <v>5.0225775618902853E-2</v>
      </c>
      <c r="O176" s="549" t="e">
        <f t="shared" si="177"/>
        <v>#DIV/0!</v>
      </c>
      <c r="P176" s="549"/>
      <c r="Q176" s="497"/>
      <c r="R176" s="43"/>
      <c r="S176" s="9"/>
      <c r="T176" s="66"/>
      <c r="U176" s="1026"/>
      <c r="V176" s="549">
        <f t="shared" ref="V176:AE176" si="178">V20/V289</f>
        <v>2.1490003020868568E-2</v>
      </c>
      <c r="W176" s="549">
        <f t="shared" si="178"/>
        <v>3.4104960907505755E-2</v>
      </c>
      <c r="X176" s="549">
        <f t="shared" si="178"/>
        <v>3.8851345926439886E-2</v>
      </c>
      <c r="Y176" s="549">
        <f t="shared" si="178"/>
        <v>3.8101062104968129E-2</v>
      </c>
      <c r="Z176" s="549">
        <f t="shared" si="178"/>
        <v>3.7482056376468988E-2</v>
      </c>
      <c r="AA176" s="549">
        <f t="shared" si="178"/>
        <v>3.6347735092082924E-2</v>
      </c>
      <c r="AB176" s="549">
        <f t="shared" si="178"/>
        <v>3.2868309084250494E-2</v>
      </c>
      <c r="AC176" s="549">
        <f t="shared" si="178"/>
        <v>3.9657035120847665E-2</v>
      </c>
      <c r="AD176" s="549">
        <f t="shared" si="178"/>
        <v>3.6276945156930966E-2</v>
      </c>
      <c r="AE176" s="549">
        <f t="shared" si="178"/>
        <v>3.7896544330115578E-2</v>
      </c>
      <c r="AF176" s="4"/>
      <c r="AG176" s="4"/>
      <c r="AH176" s="4"/>
      <c r="AI176" s="4"/>
      <c r="AJ176" s="4"/>
      <c r="AK176" s="4"/>
      <c r="AL176" s="4"/>
      <c r="AM176" s="4"/>
      <c r="AN176" s="4"/>
      <c r="AO176" s="4"/>
      <c r="AP176" s="4"/>
      <c r="AQ176" s="4"/>
      <c r="AR176" s="4"/>
      <c r="AS176" s="4"/>
      <c r="AT176" s="1099"/>
      <c r="AU176" s="549">
        <f t="shared" ref="AU176:BD176" si="179">AU20/AU289</f>
        <v>2.7386443558328904E-2</v>
      </c>
      <c r="AV176" s="549">
        <f t="shared" si="179"/>
        <v>2.9186772367679834E-2</v>
      </c>
      <c r="AW176" s="549">
        <f t="shared" si="179"/>
        <v>3.0615697350537777E-2</v>
      </c>
      <c r="AX176" s="549">
        <f t="shared" si="179"/>
        <v>2.9882314424559905E-2</v>
      </c>
      <c r="AY176" s="549">
        <f t="shared" si="179"/>
        <v>2.5999524301426769E-2</v>
      </c>
      <c r="AZ176" s="549">
        <f t="shared" si="179"/>
        <v>2.313867380834712E-2</v>
      </c>
      <c r="BA176" s="549">
        <f t="shared" si="179"/>
        <v>2.6770066213152494E-2</v>
      </c>
      <c r="BB176" s="549">
        <f t="shared" si="179"/>
        <v>2.9544486298744958E-2</v>
      </c>
      <c r="BC176" s="549">
        <f t="shared" si="179"/>
        <v>2.8799786809850497E-2</v>
      </c>
      <c r="BD176" s="549">
        <f t="shared" si="179"/>
        <v>2.6632970406418158E-2</v>
      </c>
      <c r="BE176" s="4"/>
      <c r="BF176" s="4"/>
      <c r="BG176" s="4"/>
      <c r="BH176" s="4"/>
      <c r="BI176" s="4"/>
      <c r="BJ176" s="4"/>
      <c r="BK176" s="4"/>
      <c r="BL176" s="4"/>
      <c r="BM176" s="4"/>
      <c r="BN176" s="4"/>
      <c r="BO176" s="4"/>
      <c r="BP176" s="4"/>
      <c r="BQ176" s="4"/>
      <c r="BR176" s="4"/>
      <c r="BS176" s="4"/>
      <c r="BT176" s="4"/>
      <c r="BU176" s="4"/>
    </row>
    <row r="177" spans="1:73" s="4" customFormat="1" x14ac:dyDescent="0.25">
      <c r="A177" s="854"/>
      <c r="C177" s="43"/>
      <c r="D177" s="43"/>
      <c r="E177" s="543"/>
      <c r="F177" s="543"/>
      <c r="G177" s="543"/>
      <c r="H177" s="543"/>
      <c r="I177" s="543"/>
      <c r="J177" s="543"/>
      <c r="K177" s="543"/>
      <c r="L177" s="543"/>
      <c r="M177" s="543"/>
      <c r="N177" s="543"/>
      <c r="O177" s="543"/>
      <c r="P177" s="543"/>
      <c r="Q177" s="497"/>
      <c r="R177" s="43"/>
      <c r="S177" s="9"/>
      <c r="T177" s="66"/>
      <c r="U177" s="1026"/>
      <c r="V177" s="543"/>
      <c r="W177" s="543"/>
      <c r="X177" s="543"/>
      <c r="Y177" s="543"/>
      <c r="Z177" s="543"/>
      <c r="AA177" s="543"/>
      <c r="AB177" s="543"/>
      <c r="AC177" s="543"/>
      <c r="AD177" s="543"/>
      <c r="AE177" s="543"/>
      <c r="AT177" s="1099"/>
      <c r="AU177" s="543"/>
      <c r="AV177" s="543"/>
      <c r="AW177" s="543"/>
      <c r="AX177" s="543"/>
      <c r="AY177" s="543"/>
      <c r="AZ177" s="543"/>
      <c r="BA177" s="543"/>
      <c r="BB177" s="543"/>
      <c r="BC177" s="543"/>
      <c r="BD177" s="543"/>
    </row>
    <row r="178" spans="1:73" x14ac:dyDescent="0.25">
      <c r="A178" s="854"/>
      <c r="B178" s="4"/>
      <c r="C178" s="43"/>
      <c r="D178" s="43"/>
      <c r="E178" s="545"/>
      <c r="F178" s="545"/>
      <c r="G178" s="545"/>
      <c r="H178" s="545"/>
      <c r="I178" s="545"/>
      <c r="J178" s="545"/>
      <c r="K178" s="545"/>
      <c r="L178" s="545"/>
      <c r="M178" s="545"/>
      <c r="N178" s="545"/>
      <c r="O178" s="545"/>
      <c r="P178" s="545"/>
      <c r="Q178" s="497"/>
      <c r="R178" s="43"/>
      <c r="S178" s="9"/>
      <c r="T178" s="66"/>
      <c r="U178" s="1026"/>
      <c r="V178" s="545"/>
      <c r="W178" s="545"/>
      <c r="X178" s="545"/>
      <c r="Y178" s="545"/>
      <c r="Z178" s="545"/>
      <c r="AA178" s="545"/>
      <c r="AB178" s="545"/>
      <c r="AC178" s="545"/>
      <c r="AD178" s="545"/>
      <c r="AE178" s="545"/>
      <c r="AF178" s="4"/>
      <c r="AG178" s="4"/>
      <c r="AH178" s="4"/>
      <c r="AI178" s="4"/>
      <c r="AJ178" s="4"/>
      <c r="AK178" s="4"/>
      <c r="AL178" s="4"/>
      <c r="AM178" s="4"/>
      <c r="AN178" s="4"/>
      <c r="AO178" s="4"/>
      <c r="AP178" s="4"/>
      <c r="AQ178" s="4"/>
      <c r="AR178" s="4"/>
      <c r="AS178" s="4"/>
      <c r="AT178" s="1099"/>
      <c r="AU178" s="545"/>
      <c r="AV178" s="545"/>
      <c r="AW178" s="545"/>
      <c r="AX178" s="545"/>
      <c r="AY178" s="545"/>
      <c r="AZ178" s="545"/>
      <c r="BA178" s="545"/>
      <c r="BB178" s="545"/>
      <c r="BC178" s="545"/>
      <c r="BD178" s="545"/>
      <c r="BE178" s="4"/>
      <c r="BF178" s="4"/>
      <c r="BG178" s="4"/>
      <c r="BH178" s="4"/>
      <c r="BI178" s="4"/>
      <c r="BJ178" s="4"/>
      <c r="BK178" s="4"/>
      <c r="BL178" s="4"/>
      <c r="BM178" s="4"/>
      <c r="BN178" s="4"/>
      <c r="BO178" s="4"/>
      <c r="BP178" s="4"/>
      <c r="BQ178" s="4"/>
      <c r="BR178" s="4"/>
      <c r="BS178" s="4"/>
      <c r="BT178" s="4"/>
      <c r="BU178" s="4"/>
    </row>
    <row r="179" spans="1:73" x14ac:dyDescent="0.25">
      <c r="A179" s="854"/>
      <c r="B179" s="93" t="s">
        <v>1112</v>
      </c>
      <c r="C179" s="548"/>
      <c r="D179" s="548"/>
      <c r="E179" s="549"/>
      <c r="F179" s="549"/>
      <c r="G179" s="549">
        <f t="shared" ref="G179:O179" si="180">G53/G289</f>
        <v>1.8130434929114307E-3</v>
      </c>
      <c r="H179" s="549">
        <f t="shared" si="180"/>
        <v>5.7998942187398733E-3</v>
      </c>
      <c r="I179" s="549">
        <f t="shared" si="180"/>
        <v>1.1803653089618567E-2</v>
      </c>
      <c r="J179" s="549">
        <f t="shared" si="180"/>
        <v>7.544235322623956E-3</v>
      </c>
      <c r="K179" s="549">
        <f t="shared" si="180"/>
        <v>1.010544897521343E-2</v>
      </c>
      <c r="L179" s="549">
        <f t="shared" si="180"/>
        <v>2.1260297819369347E-3</v>
      </c>
      <c r="M179" s="549">
        <f t="shared" si="180"/>
        <v>7.7750712081852483E-3</v>
      </c>
      <c r="N179" s="549">
        <f t="shared" si="180"/>
        <v>1.7410839048617302E-2</v>
      </c>
      <c r="O179" s="549" t="e">
        <f t="shared" si="180"/>
        <v>#DIV/0!</v>
      </c>
      <c r="P179" s="549"/>
      <c r="Q179" s="497"/>
      <c r="R179" s="43"/>
      <c r="S179" s="9"/>
      <c r="T179" s="66"/>
      <c r="U179" s="1026"/>
      <c r="V179" s="549">
        <f t="shared" ref="V179:AE179" si="181">V53/V289</f>
        <v>2.5527165300475753E-3</v>
      </c>
      <c r="W179" s="549">
        <f t="shared" si="181"/>
        <v>1.0326585988076203E-2</v>
      </c>
      <c r="X179" s="549">
        <f t="shared" si="181"/>
        <v>1.0140684167708258E-2</v>
      </c>
      <c r="Y179" s="549">
        <f t="shared" si="181"/>
        <v>2.1759532043135316E-2</v>
      </c>
      <c r="Z179" s="549">
        <f t="shared" si="181"/>
        <v>1.691223281735248E-2</v>
      </c>
      <c r="AA179" s="549">
        <f t="shared" si="181"/>
        <v>1.7949545878713037E-2</v>
      </c>
      <c r="AB179" s="549">
        <f t="shared" si="181"/>
        <v>1.2571321728834101E-3</v>
      </c>
      <c r="AC179" s="549">
        <f t="shared" si="181"/>
        <v>2.089612252518469E-2</v>
      </c>
      <c r="AD179" s="549">
        <f t="shared" si="181"/>
        <v>1.9610847338254266E-2</v>
      </c>
      <c r="AE179" s="549">
        <f t="shared" si="181"/>
        <v>1.9816975721862314E-2</v>
      </c>
      <c r="AF179" s="4"/>
      <c r="AG179" s="4"/>
      <c r="AH179" s="4"/>
      <c r="AI179" s="4"/>
      <c r="AJ179" s="4"/>
      <c r="AK179" s="4"/>
      <c r="AL179" s="4"/>
      <c r="AM179" s="4"/>
      <c r="AN179" s="4"/>
      <c r="AO179" s="4"/>
      <c r="AP179" s="4"/>
      <c r="AQ179" s="4"/>
      <c r="AR179" s="4"/>
      <c r="AS179" s="4"/>
      <c r="AT179" s="1099"/>
      <c r="AU179" s="549">
        <f t="shared" ref="AU179:BD179" si="182">AU53/AU289</f>
        <v>1.0400852650430956E-2</v>
      </c>
      <c r="AV179" s="549">
        <f t="shared" si="182"/>
        <v>9.6170124058288526E-3</v>
      </c>
      <c r="AW179" s="549">
        <f t="shared" si="182"/>
        <v>1.3408547254820656E-2</v>
      </c>
      <c r="AX179" s="549">
        <f t="shared" si="182"/>
        <v>1.2737118482581329E-2</v>
      </c>
      <c r="AY179" s="549">
        <f t="shared" si="182"/>
        <v>7.2749681590196557E-3</v>
      </c>
      <c r="AZ179" s="549">
        <f t="shared" si="182"/>
        <v>1.2254534611096785E-2</v>
      </c>
      <c r="BA179" s="549">
        <f t="shared" si="182"/>
        <v>1.1117791043138765E-2</v>
      </c>
      <c r="BB179" s="549">
        <f t="shared" si="182"/>
        <v>1.0771903789394946E-2</v>
      </c>
      <c r="BC179" s="549">
        <f t="shared" si="182"/>
        <v>1.1327442767736779E-2</v>
      </c>
      <c r="BD179" s="549">
        <f t="shared" si="182"/>
        <v>1.210712483128396E-2</v>
      </c>
      <c r="BE179" s="4"/>
      <c r="BF179" s="4"/>
      <c r="BG179" s="4"/>
      <c r="BH179" s="4"/>
      <c r="BI179" s="4"/>
      <c r="BJ179" s="4"/>
      <c r="BK179" s="4"/>
      <c r="BL179" s="4"/>
      <c r="BM179" s="4"/>
      <c r="BN179" s="4"/>
      <c r="BO179" s="4"/>
      <c r="BP179" s="4"/>
      <c r="BQ179" s="4"/>
      <c r="BR179" s="4"/>
      <c r="BS179" s="4"/>
      <c r="BT179" s="4"/>
      <c r="BU179" s="4"/>
    </row>
    <row r="180" spans="1:73" x14ac:dyDescent="0.25">
      <c r="A180" s="854"/>
      <c r="B180" s="4" t="s">
        <v>1113</v>
      </c>
      <c r="C180" s="43"/>
      <c r="D180" s="43"/>
      <c r="E180" s="543"/>
      <c r="F180" s="543"/>
      <c r="G180" s="543">
        <f t="shared" ref="G180:O180" si="183">G53/G290</f>
        <v>1.4006397906082364E-2</v>
      </c>
      <c r="H180" s="543">
        <f t="shared" si="183"/>
        <v>4.1909493311989433E-2</v>
      </c>
      <c r="I180" s="543">
        <f t="shared" si="183"/>
        <v>9.0200385250194845E-2</v>
      </c>
      <c r="J180" s="543">
        <f t="shared" si="183"/>
        <v>5.9735567068176225E-2</v>
      </c>
      <c r="K180" s="543">
        <f t="shared" si="183"/>
        <v>8.3535394302209257E-2</v>
      </c>
      <c r="L180" s="543">
        <f t="shared" si="183"/>
        <v>2.0112268229431244E-2</v>
      </c>
      <c r="M180" s="543">
        <f t="shared" si="183"/>
        <v>7.5733756202599714E-2</v>
      </c>
      <c r="N180" s="543">
        <f t="shared" si="183"/>
        <v>0.15577788086962846</v>
      </c>
      <c r="O180" s="543" t="e">
        <f t="shared" si="183"/>
        <v>#DIV/0!</v>
      </c>
      <c r="P180" s="543"/>
      <c r="Q180" s="497"/>
      <c r="R180" s="43"/>
      <c r="S180" s="9"/>
      <c r="T180" s="66"/>
      <c r="U180" s="1026"/>
      <c r="V180" s="543">
        <f t="shared" ref="V180:AE180" si="184">V53/V290</f>
        <v>2.661389272133052E-2</v>
      </c>
      <c r="W180" s="543">
        <f t="shared" si="184"/>
        <v>8.9346240172379049E-2</v>
      </c>
      <c r="X180" s="543">
        <f t="shared" si="184"/>
        <v>9.1139338521640023E-2</v>
      </c>
      <c r="Y180" s="543">
        <f t="shared" si="184"/>
        <v>0.19717654710579838</v>
      </c>
      <c r="Z180" s="543">
        <f t="shared" si="184"/>
        <v>0.15761179823778743</v>
      </c>
      <c r="AA180" s="543">
        <f t="shared" si="184"/>
        <v>0.17787798660393256</v>
      </c>
      <c r="AB180" s="543">
        <f t="shared" si="184"/>
        <v>1.2633245159775711E-2</v>
      </c>
      <c r="AC180" s="543">
        <f t="shared" si="184"/>
        <v>0.21821622297901555</v>
      </c>
      <c r="AD180" s="543">
        <f t="shared" si="184"/>
        <v>0.21752827010354275</v>
      </c>
      <c r="AE180" s="543">
        <f t="shared" si="184"/>
        <v>0.21504306626149206</v>
      </c>
      <c r="AF180" s="4"/>
      <c r="AG180" s="4"/>
      <c r="AH180" s="4"/>
      <c r="AI180" s="4"/>
      <c r="AJ180" s="4"/>
      <c r="AK180" s="4"/>
      <c r="AL180" s="4"/>
      <c r="AM180" s="4"/>
      <c r="AN180" s="4"/>
      <c r="AO180" s="4"/>
      <c r="AP180" s="4"/>
      <c r="AQ180" s="4"/>
      <c r="AR180" s="4"/>
      <c r="AS180" s="4"/>
      <c r="AT180" s="1099"/>
      <c r="AU180" s="543">
        <f t="shared" ref="AU180:BD180" si="185">AU53/AU290</f>
        <v>9.2931331267674361E-2</v>
      </c>
      <c r="AV180" s="543">
        <f t="shared" si="185"/>
        <v>8.6163445329775948E-2</v>
      </c>
      <c r="AW180" s="543">
        <f t="shared" si="185"/>
        <v>0.11933704922961334</v>
      </c>
      <c r="AX180" s="543">
        <f t="shared" si="185"/>
        <v>0.11284369917568524</v>
      </c>
      <c r="AY180" s="543">
        <f t="shared" si="185"/>
        <v>6.7988723316628003E-2</v>
      </c>
      <c r="AZ180" s="543">
        <f t="shared" si="185"/>
        <v>0.12193170486001115</v>
      </c>
      <c r="BA180" s="543">
        <f t="shared" si="185"/>
        <v>0.11531696688937618</v>
      </c>
      <c r="BB180" s="543">
        <f t="shared" si="185"/>
        <v>0.11323252032780354</v>
      </c>
      <c r="BC180" s="543">
        <f t="shared" si="185"/>
        <v>0.11646812702197351</v>
      </c>
      <c r="BD180" s="543">
        <f t="shared" si="185"/>
        <v>0.12228567068976283</v>
      </c>
      <c r="BE180" s="4"/>
      <c r="BF180" s="4"/>
      <c r="BG180" s="4"/>
      <c r="BH180" s="4"/>
      <c r="BI180" s="4"/>
      <c r="BJ180" s="4"/>
      <c r="BK180" s="4"/>
      <c r="BL180" s="4"/>
      <c r="BM180" s="4"/>
      <c r="BN180" s="4"/>
      <c r="BO180" s="4"/>
      <c r="BP180" s="4"/>
      <c r="BQ180" s="4"/>
      <c r="BR180" s="4"/>
      <c r="BS180" s="4"/>
      <c r="BT180" s="4"/>
      <c r="BU180" s="4"/>
    </row>
    <row r="181" spans="1:73" x14ac:dyDescent="0.25">
      <c r="A181" s="854"/>
      <c r="B181" s="4"/>
      <c r="C181" s="43"/>
      <c r="D181" s="43"/>
      <c r="E181" s="543"/>
      <c r="F181" s="543"/>
      <c r="G181" s="543"/>
      <c r="H181" s="543"/>
      <c r="I181" s="543"/>
      <c r="J181" s="543"/>
      <c r="K181" s="543"/>
      <c r="L181" s="543"/>
      <c r="M181" s="543"/>
      <c r="N181" s="543"/>
      <c r="O181" s="543"/>
      <c r="P181" s="543"/>
      <c r="Q181" s="497"/>
      <c r="R181" s="43"/>
      <c r="S181" s="9"/>
      <c r="T181" s="66"/>
      <c r="U181" s="1026"/>
      <c r="V181" s="543"/>
      <c r="W181" s="543"/>
      <c r="X181" s="543"/>
      <c r="Y181" s="543"/>
      <c r="Z181" s="543"/>
      <c r="AA181" s="543"/>
      <c r="AB181" s="543"/>
      <c r="AC181" s="543"/>
      <c r="AD181" s="543"/>
      <c r="AE181" s="543"/>
      <c r="AF181" s="4"/>
      <c r="AG181" s="4"/>
      <c r="AH181" s="4"/>
      <c r="AI181" s="4"/>
      <c r="AJ181" s="4"/>
      <c r="AK181" s="4"/>
      <c r="AL181" s="4"/>
      <c r="AM181" s="4"/>
      <c r="AN181" s="4"/>
      <c r="AO181" s="4"/>
      <c r="AP181" s="4"/>
      <c r="AQ181" s="4"/>
      <c r="AR181" s="4"/>
      <c r="AS181" s="4"/>
      <c r="AT181" s="1099"/>
      <c r="AU181" s="543"/>
      <c r="AV181" s="543"/>
      <c r="AW181" s="543"/>
      <c r="AX181" s="543"/>
      <c r="AY181" s="543"/>
      <c r="AZ181" s="543"/>
      <c r="BA181" s="543"/>
      <c r="BB181" s="543"/>
      <c r="BC181" s="543"/>
      <c r="BD181" s="543"/>
      <c r="BE181" s="4"/>
      <c r="BF181" s="4"/>
      <c r="BG181" s="4"/>
      <c r="BH181" s="4"/>
      <c r="BI181" s="4"/>
      <c r="BJ181" s="4"/>
      <c r="BK181" s="4"/>
      <c r="BL181" s="4"/>
      <c r="BM181" s="4"/>
      <c r="BN181" s="4"/>
      <c r="BO181" s="4"/>
      <c r="BP181" s="4"/>
      <c r="BQ181" s="4"/>
      <c r="BR181" s="4"/>
      <c r="BS181" s="4"/>
      <c r="BT181" s="4"/>
      <c r="BU181" s="4"/>
    </row>
    <row r="182" spans="1:73" x14ac:dyDescent="0.25">
      <c r="A182" s="854"/>
      <c r="B182" s="337" t="s">
        <v>3408</v>
      </c>
      <c r="C182" s="1906"/>
      <c r="D182" s="1906"/>
      <c r="E182" s="553"/>
      <c r="F182" s="553"/>
      <c r="G182" s="1936">
        <f>Ввод!H107/G300</f>
        <v>150.52721088435374</v>
      </c>
      <c r="H182" s="1936">
        <f>Ввод!I107/H300</f>
        <v>492.83909090909088</v>
      </c>
      <c r="I182" s="1936">
        <f>Ввод!J107/I300</f>
        <v>1169.8449017773621</v>
      </c>
      <c r="J182" s="1936">
        <f>Ввод!K107/J300</f>
        <v>822.31326665408562</v>
      </c>
      <c r="K182" s="1936">
        <f>Ввод!L107/K300</f>
        <v>1214.7255956415565</v>
      </c>
      <c r="L182" s="1936">
        <f>Ввод!M107/L300</f>
        <v>315.06226794945724</v>
      </c>
      <c r="M182" s="1936">
        <f>Ввод!N107/M300</f>
        <v>1361.8776290630974</v>
      </c>
      <c r="N182" s="1936">
        <f>Ввод!O107/N300</f>
        <v>3060.7221780604132</v>
      </c>
      <c r="O182" s="1936">
        <f t="shared" ref="O182" si="186">O53/O300</f>
        <v>0</v>
      </c>
      <c r="P182" s="553"/>
      <c r="Q182" s="497"/>
      <c r="R182" s="43"/>
      <c r="S182" s="9"/>
      <c r="T182" s="66"/>
      <c r="U182" s="1026"/>
      <c r="V182" s="553">
        <f>V53/V300*1000000</f>
        <v>202.73684210525587</v>
      </c>
      <c r="W182" s="553">
        <f t="shared" ref="W182:AE182" si="187">W53/W300*1000000</f>
        <v>965.84897768373503</v>
      </c>
      <c r="X182" s="553">
        <f t="shared" si="187"/>
        <v>1055.8560533749869</v>
      </c>
      <c r="Y182" s="553">
        <f t="shared" si="187"/>
        <v>2489.8218897719307</v>
      </c>
      <c r="Z182" s="553">
        <f t="shared" si="187"/>
        <v>2197.8108364676718</v>
      </c>
      <c r="AA182" s="553">
        <f t="shared" si="187"/>
        <v>2716.5909727056928</v>
      </c>
      <c r="AB182" s="553">
        <f t="shared" si="187"/>
        <v>216.35377916081555</v>
      </c>
      <c r="AC182" s="553">
        <f t="shared" si="187"/>
        <v>4059.3311985571222</v>
      </c>
      <c r="AD182" s="553">
        <f t="shared" si="187"/>
        <v>4400.730816822761</v>
      </c>
      <c r="AE182" s="553">
        <f t="shared" si="187"/>
        <v>4968.4353332746296</v>
      </c>
      <c r="AF182" s="4"/>
      <c r="AG182" s="4"/>
      <c r="AH182" s="4"/>
      <c r="AI182" s="4"/>
      <c r="AJ182" s="4"/>
      <c r="AK182" s="4"/>
      <c r="AL182" s="4"/>
      <c r="AM182" s="4"/>
      <c r="AN182" s="4"/>
      <c r="AO182" s="4"/>
      <c r="AP182" s="4"/>
      <c r="AQ182" s="4"/>
      <c r="AR182" s="4"/>
      <c r="AS182" s="4"/>
      <c r="AT182" s="1099"/>
      <c r="AU182" s="553">
        <f>AU183*AU302</f>
        <v>5874.5704184122569</v>
      </c>
      <c r="AV182" s="553">
        <f t="shared" ref="AV182:BD182" si="188">AV183*AV302</f>
        <v>4561.8795029311304</v>
      </c>
      <c r="AW182" s="553">
        <f t="shared" si="188"/>
        <v>7966.8424148639906</v>
      </c>
      <c r="AX182" s="553">
        <f t="shared" si="188"/>
        <v>6991.9618905754069</v>
      </c>
      <c r="AY182" s="553">
        <f t="shared" si="188"/>
        <v>5270.7432967621908</v>
      </c>
      <c r="AZ182" s="553">
        <f t="shared" si="188"/>
        <v>10143.145325362741</v>
      </c>
      <c r="BA182" s="553">
        <f t="shared" si="188"/>
        <v>8700.6230794951025</v>
      </c>
      <c r="BB182" s="553">
        <f t="shared" si="188"/>
        <v>11070.608694898605</v>
      </c>
      <c r="BC182" s="553">
        <f t="shared" si="188"/>
        <v>13260.59990606099</v>
      </c>
      <c r="BD182" s="553">
        <f t="shared" si="188"/>
        <v>11207.478508575901</v>
      </c>
      <c r="BE182" s="4"/>
      <c r="BF182" s="4"/>
      <c r="BG182" s="4"/>
      <c r="BH182" s="4"/>
      <c r="BI182" s="4"/>
      <c r="BJ182" s="4"/>
      <c r="BK182" s="4"/>
      <c r="BL182" s="4"/>
      <c r="BM182" s="4"/>
      <c r="BN182" s="4"/>
      <c r="BO182" s="4"/>
      <c r="BP182" s="4"/>
      <c r="BQ182" s="4"/>
      <c r="BR182" s="4"/>
      <c r="BS182" s="4"/>
      <c r="BT182" s="4"/>
      <c r="BU182" s="4"/>
    </row>
    <row r="183" spans="1:73" x14ac:dyDescent="0.25">
      <c r="A183" s="854"/>
      <c r="B183" s="71" t="s">
        <v>853</v>
      </c>
      <c r="C183" s="1907"/>
      <c r="D183" s="1907"/>
      <c r="E183" s="519"/>
      <c r="F183" s="519"/>
      <c r="G183" s="1937">
        <f>G182/G302</f>
        <v>2.6133105594139212</v>
      </c>
      <c r="H183" s="1937">
        <f>H182/H302</f>
        <v>7.0942109454804028</v>
      </c>
      <c r="I183" s="1937">
        <f t="shared" ref="I183:O183" si="189">I182/I302</f>
        <v>18.897208201786945</v>
      </c>
      <c r="J183" s="1937">
        <f t="shared" si="189"/>
        <v>11.131038577693149</v>
      </c>
      <c r="K183" s="1937">
        <f t="shared" si="189"/>
        <v>16.167993393470869</v>
      </c>
      <c r="L183" s="1937">
        <f t="shared" si="189"/>
        <v>4.4816695820133825</v>
      </c>
      <c r="M183" s="1937">
        <f t="shared" si="189"/>
        <v>15.064351456385751</v>
      </c>
      <c r="N183" s="1937">
        <f t="shared" si="189"/>
        <v>30.101605119413346</v>
      </c>
      <c r="O183" s="1937">
        <f t="shared" si="189"/>
        <v>0</v>
      </c>
      <c r="P183" s="519"/>
      <c r="Q183" s="497"/>
      <c r="R183" s="43"/>
      <c r="S183" s="9"/>
      <c r="T183" s="66"/>
      <c r="U183" s="1026"/>
      <c r="V183" s="519">
        <f>V182/V302</f>
        <v>2.7816867666161635</v>
      </c>
      <c r="W183" s="519">
        <f t="shared" ref="W183:AE183" si="190">W182/W302</f>
        <v>16.768153195366249</v>
      </c>
      <c r="X183" s="519">
        <f t="shared" si="190"/>
        <v>15.198602766853703</v>
      </c>
      <c r="Y183" s="519">
        <f t="shared" si="190"/>
        <v>40.219590276370845</v>
      </c>
      <c r="Z183" s="519">
        <f t="shared" si="190"/>
        <v>29.750118597423402</v>
      </c>
      <c r="AA183" s="519">
        <f t="shared" si="190"/>
        <v>36.157816264891459</v>
      </c>
      <c r="AB183" s="519">
        <f t="shared" si="190"/>
        <v>3.0775698954030792</v>
      </c>
      <c r="AC183" s="519">
        <f t="shared" si="190"/>
        <v>44.902119359288555</v>
      </c>
      <c r="AD183" s="519">
        <f t="shared" si="190"/>
        <v>43.280328490571485</v>
      </c>
      <c r="AE183" s="519">
        <f t="shared" si="190"/>
        <v>63.513293201357463</v>
      </c>
      <c r="AF183" s="4"/>
      <c r="AG183" s="4"/>
      <c r="AH183" s="4"/>
      <c r="AI183" s="4"/>
      <c r="AJ183" s="4"/>
      <c r="AK183" s="4"/>
      <c r="AL183" s="4"/>
      <c r="AM183" s="4"/>
      <c r="AN183" s="4"/>
      <c r="AO183" s="4"/>
      <c r="AP183" s="4"/>
      <c r="AQ183" s="4"/>
      <c r="AR183" s="4"/>
      <c r="AS183" s="4"/>
      <c r="AT183" s="1099"/>
      <c r="AU183" s="519">
        <f>AU53/AU300*1000000</f>
        <v>80.60308438644914</v>
      </c>
      <c r="AV183" s="519">
        <f t="shared" ref="AV183:BD183" si="191">AV53/AV300*1000000</f>
        <v>79.199021929283759</v>
      </c>
      <c r="AW183" s="519">
        <f t="shared" si="191"/>
        <v>114.67933794819665</v>
      </c>
      <c r="AX183" s="519">
        <f t="shared" si="191"/>
        <v>112.94536513722333</v>
      </c>
      <c r="AY183" s="519">
        <f t="shared" si="191"/>
        <v>71.34610293726071</v>
      </c>
      <c r="AZ183" s="519">
        <f t="shared" si="191"/>
        <v>135.00522850419253</v>
      </c>
      <c r="BA183" s="519">
        <f t="shared" si="191"/>
        <v>123.76384533038458</v>
      </c>
      <c r="BB183" s="519">
        <f t="shared" si="191"/>
        <v>122.45706710874082</v>
      </c>
      <c r="BC183" s="519">
        <f t="shared" si="191"/>
        <v>130.41541139540135</v>
      </c>
      <c r="BD183" s="519">
        <f t="shared" si="191"/>
        <v>143.26922276634323</v>
      </c>
      <c r="BE183" s="4"/>
      <c r="BF183" s="4"/>
      <c r="BG183" s="4"/>
      <c r="BH183" s="4"/>
      <c r="BI183" s="4"/>
      <c r="BJ183" s="4"/>
      <c r="BK183" s="4"/>
      <c r="BL183" s="4"/>
      <c r="BM183" s="4"/>
      <c r="BN183" s="4"/>
      <c r="BO183" s="4"/>
      <c r="BP183" s="4"/>
      <c r="BQ183" s="4"/>
      <c r="BR183" s="4"/>
      <c r="BS183" s="4"/>
      <c r="BT183" s="4"/>
      <c r="BU183" s="4"/>
    </row>
    <row r="184" spans="1:73" x14ac:dyDescent="0.25">
      <c r="A184" s="854"/>
      <c r="B184" s="71"/>
      <c r="C184" s="1907"/>
      <c r="D184" s="1907"/>
      <c r="E184" s="519"/>
      <c r="F184" s="519"/>
      <c r="G184" s="519"/>
      <c r="H184" s="519"/>
      <c r="I184" s="519"/>
      <c r="J184" s="519"/>
      <c r="K184" s="519"/>
      <c r="L184" s="519"/>
      <c r="M184" s="519"/>
      <c r="N184" s="519"/>
      <c r="O184" s="519"/>
      <c r="P184" s="519"/>
      <c r="Q184" s="497"/>
      <c r="R184" s="43"/>
      <c r="S184" s="9"/>
      <c r="T184" s="66"/>
      <c r="U184" s="1026"/>
      <c r="V184" s="519"/>
      <c r="W184" s="519"/>
      <c r="X184" s="519"/>
      <c r="Y184" s="519"/>
      <c r="Z184" s="519"/>
      <c r="AA184" s="519"/>
      <c r="AB184" s="519"/>
      <c r="AC184" s="519"/>
      <c r="AD184" s="519"/>
      <c r="AE184" s="519"/>
      <c r="AF184" s="4"/>
      <c r="AG184" s="4"/>
      <c r="AH184" s="4"/>
      <c r="AI184" s="4"/>
      <c r="AJ184" s="4"/>
      <c r="AK184" s="4"/>
      <c r="AL184" s="4"/>
      <c r="AM184" s="4"/>
      <c r="AN184" s="4"/>
      <c r="AO184" s="4"/>
      <c r="AP184" s="4"/>
      <c r="AQ184" s="4"/>
      <c r="AR184" s="4"/>
      <c r="AS184" s="4"/>
      <c r="AT184" s="1099"/>
      <c r="AU184" s="519"/>
      <c r="AV184" s="519"/>
      <c r="AW184" s="519"/>
      <c r="AX184" s="519"/>
      <c r="AY184" s="519"/>
      <c r="AZ184" s="519"/>
      <c r="BA184" s="519"/>
      <c r="BB184" s="519"/>
      <c r="BC184" s="519"/>
      <c r="BD184" s="519"/>
      <c r="BE184" s="4"/>
      <c r="BF184" s="4"/>
      <c r="BG184" s="4"/>
      <c r="BH184" s="4"/>
      <c r="BI184" s="4"/>
      <c r="BJ184" s="4"/>
      <c r="BK184" s="4"/>
      <c r="BL184" s="4"/>
      <c r="BM184" s="4"/>
      <c r="BN184" s="4"/>
      <c r="BO184" s="4"/>
      <c r="BP184" s="4"/>
      <c r="BQ184" s="4"/>
      <c r="BR184" s="4"/>
      <c r="BS184" s="4"/>
      <c r="BT184" s="4"/>
      <c r="BU184" s="4"/>
    </row>
    <row r="185" spans="1:73" x14ac:dyDescent="0.25">
      <c r="A185" s="854"/>
      <c r="B185" s="337" t="s">
        <v>1114</v>
      </c>
      <c r="C185" s="1906"/>
      <c r="D185" s="1906"/>
      <c r="E185" s="590"/>
      <c r="F185" s="590"/>
      <c r="G185" s="590">
        <f t="shared" ref="G185:K185" si="192">G293/G294</f>
        <v>0.87441047987462217</v>
      </c>
      <c r="H185" s="590">
        <f t="shared" si="192"/>
        <v>0.88711392271685496</v>
      </c>
      <c r="I185" s="590">
        <f t="shared" si="192"/>
        <v>0.88531564266099794</v>
      </c>
      <c r="J185" s="590">
        <f t="shared" si="192"/>
        <v>0.87624356079246923</v>
      </c>
      <c r="K185" s="590">
        <f t="shared" si="192"/>
        <v>0.88569980390129799</v>
      </c>
      <c r="L185" s="590">
        <f t="shared" ref="L185:O185" si="193">L293/L294</f>
        <v>0.76633170750105528</v>
      </c>
      <c r="M185" s="590">
        <f t="shared" si="193"/>
        <v>0.83720489380184404</v>
      </c>
      <c r="N185" s="590">
        <f t="shared" si="193"/>
        <v>0.86252841481364573</v>
      </c>
      <c r="O185" s="590" t="e">
        <f t="shared" si="193"/>
        <v>#DIV/0!</v>
      </c>
      <c r="P185" s="590"/>
      <c r="Q185" s="497"/>
      <c r="R185" s="43"/>
      <c r="S185" s="9"/>
      <c r="T185" s="66"/>
      <c r="U185" s="1026"/>
      <c r="V185" s="590">
        <f t="shared" ref="V185:AA185" si="194">V293/V294</f>
        <v>0.8652929663038792</v>
      </c>
      <c r="W185" s="590">
        <f t="shared" si="194"/>
        <v>0.88065744980420568</v>
      </c>
      <c r="X185" s="590">
        <f t="shared" si="194"/>
        <v>0.88098560197782183</v>
      </c>
      <c r="Y185" s="590">
        <f t="shared" si="194"/>
        <v>0.87558685973661787</v>
      </c>
      <c r="Z185" s="590">
        <f t="shared" si="194"/>
        <v>0.88106236648574399</v>
      </c>
      <c r="AA185" s="590">
        <f t="shared" si="194"/>
        <v>0.88486820611649408</v>
      </c>
      <c r="AB185" s="590">
        <f t="shared" ref="AB185:AE185" si="195">AB293/AB294</f>
        <v>0.88975621836880503</v>
      </c>
      <c r="AC185" s="590">
        <f t="shared" si="195"/>
        <v>0.88419714572173258</v>
      </c>
      <c r="AD185" s="590">
        <f t="shared" si="195"/>
        <v>0.88006176185382912</v>
      </c>
      <c r="AE185" s="590">
        <f t="shared" si="195"/>
        <v>0.86371632569244094</v>
      </c>
      <c r="AF185" s="4"/>
      <c r="AG185" s="4"/>
      <c r="AH185" s="4"/>
      <c r="AI185" s="4"/>
      <c r="AJ185" s="4"/>
      <c r="AK185" s="4"/>
      <c r="AL185" s="4"/>
      <c r="AM185" s="4"/>
      <c r="AN185" s="4"/>
      <c r="AO185" s="4"/>
      <c r="AP185" s="4"/>
      <c r="AQ185" s="4"/>
      <c r="AR185" s="4"/>
      <c r="AS185" s="4"/>
      <c r="AT185" s="1099"/>
      <c r="AU185" s="590">
        <f>AU293/AU294</f>
        <v>0.89890135864736798</v>
      </c>
      <c r="AV185" s="590">
        <f t="shared" ref="AV185:AZ185" si="196">AV293/AV294</f>
        <v>0.90499654550818787</v>
      </c>
      <c r="AW185" s="590">
        <f t="shared" si="196"/>
        <v>0.90596466422275168</v>
      </c>
      <c r="AX185" s="590">
        <f t="shared" si="196"/>
        <v>0.90482290240534169</v>
      </c>
      <c r="AY185" s="590">
        <f t="shared" si="196"/>
        <v>0.91090112855592476</v>
      </c>
      <c r="AZ185" s="590">
        <f t="shared" si="196"/>
        <v>0.91770324285854055</v>
      </c>
      <c r="BA185" s="590">
        <f t="shared" ref="BA185:BD185" si="197">BA293/BA294</f>
        <v>0.90683441210976601</v>
      </c>
      <c r="BB185" s="590">
        <f t="shared" si="197"/>
        <v>0.90778533950760676</v>
      </c>
      <c r="BC185" s="590">
        <f t="shared" si="197"/>
        <v>0.86823196629189814</v>
      </c>
      <c r="BD185" s="590">
        <f t="shared" si="197"/>
        <v>0.88789867718333593</v>
      </c>
      <c r="BE185" s="4"/>
      <c r="BF185" s="4"/>
      <c r="BG185" s="4"/>
      <c r="BH185" s="4"/>
      <c r="BI185" s="4"/>
      <c r="BJ185" s="4"/>
      <c r="BK185" s="4"/>
      <c r="BL185" s="4"/>
      <c r="BM185" s="4"/>
      <c r="BN185" s="4"/>
      <c r="BO185" s="4"/>
      <c r="BP185" s="4"/>
      <c r="BQ185" s="4"/>
      <c r="BR185" s="4"/>
      <c r="BS185" s="4"/>
      <c r="BT185" s="4"/>
      <c r="BU185" s="4"/>
    </row>
    <row r="186" spans="1:73" x14ac:dyDescent="0.25">
      <c r="A186" s="854"/>
      <c r="B186" s="4"/>
      <c r="C186" s="43"/>
      <c r="D186" s="43"/>
      <c r="E186" s="497"/>
      <c r="F186" s="497"/>
      <c r="G186" s="497"/>
      <c r="H186" s="497"/>
      <c r="I186" s="498"/>
      <c r="J186" s="498"/>
      <c r="K186" s="498"/>
      <c r="L186" s="498"/>
      <c r="M186" s="498"/>
      <c r="N186" s="498"/>
      <c r="O186" s="498"/>
      <c r="P186" s="498"/>
      <c r="Q186" s="497"/>
      <c r="R186" s="43"/>
      <c r="S186" s="9"/>
      <c r="T186" s="66"/>
      <c r="U186" s="1026"/>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1099"/>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row>
    <row r="187" spans="1:73" x14ac:dyDescent="0.25">
      <c r="A187" s="854"/>
      <c r="B187" s="4"/>
      <c r="C187" s="43"/>
      <c r="D187" s="43"/>
      <c r="E187" s="497"/>
      <c r="F187" s="497"/>
      <c r="G187" s="497"/>
      <c r="H187" s="497"/>
      <c r="I187" s="498"/>
      <c r="J187" s="498"/>
      <c r="K187" s="498"/>
      <c r="L187" s="498"/>
      <c r="M187" s="498"/>
      <c r="N187" s="498"/>
      <c r="O187" s="498"/>
      <c r="P187" s="498"/>
      <c r="Q187" s="497"/>
      <c r="R187" s="43"/>
      <c r="S187" s="9"/>
      <c r="T187" s="66"/>
      <c r="U187" s="1026"/>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1099"/>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row>
    <row r="188" spans="1:73" x14ac:dyDescent="0.25">
      <c r="A188" s="860"/>
      <c r="B188" s="534" t="s">
        <v>1115</v>
      </c>
      <c r="C188" s="535"/>
      <c r="D188" s="535"/>
      <c r="E188" s="536"/>
      <c r="F188" s="536"/>
      <c r="G188" s="536"/>
      <c r="H188" s="536"/>
      <c r="I188" s="536"/>
      <c r="J188" s="536"/>
      <c r="K188" s="536"/>
      <c r="L188" s="536"/>
      <c r="M188" s="536"/>
      <c r="N188" s="536"/>
      <c r="O188" s="536"/>
      <c r="P188" s="536"/>
      <c r="Q188" s="497"/>
      <c r="R188" s="43"/>
      <c r="S188" s="9"/>
      <c r="T188" s="66"/>
      <c r="U188" s="1026"/>
      <c r="V188" s="534"/>
      <c r="W188" s="535"/>
      <c r="X188" s="535"/>
      <c r="Y188" s="535"/>
      <c r="Z188" s="535"/>
      <c r="AA188" s="535"/>
      <c r="AB188" s="535"/>
      <c r="AC188" s="535"/>
      <c r="AD188" s="535"/>
      <c r="AE188" s="535"/>
      <c r="AF188" s="536"/>
      <c r="AG188" s="536"/>
      <c r="AH188" s="536"/>
      <c r="AI188" s="507"/>
      <c r="AJ188" s="507"/>
      <c r="AK188" s="507"/>
      <c r="AL188" s="507"/>
      <c r="AM188" s="507"/>
      <c r="AN188" s="507"/>
      <c r="AO188" s="507"/>
      <c r="AP188" s="507"/>
      <c r="AQ188" s="507"/>
      <c r="AR188" s="507"/>
      <c r="AS188" s="4"/>
      <c r="AT188" s="1099"/>
      <c r="AU188" s="534"/>
      <c r="AV188" s="535"/>
      <c r="AW188" s="535"/>
      <c r="AX188" s="535"/>
      <c r="AY188" s="535"/>
      <c r="AZ188" s="535"/>
      <c r="BA188" s="535"/>
      <c r="BB188" s="535"/>
      <c r="BC188" s="535"/>
      <c r="BD188" s="535"/>
      <c r="BE188" s="536"/>
      <c r="BF188" s="536"/>
      <c r="BG188" s="536"/>
      <c r="BH188" s="507"/>
      <c r="BI188" s="507"/>
      <c r="BJ188" s="507"/>
      <c r="BK188" s="507"/>
      <c r="BL188" s="507"/>
      <c r="BM188" s="507"/>
      <c r="BN188" s="507"/>
      <c r="BO188" s="507"/>
      <c r="BP188" s="507"/>
      <c r="BQ188" s="4"/>
      <c r="BR188" s="4"/>
      <c r="BS188" s="4"/>
      <c r="BT188" s="4"/>
      <c r="BU188" s="4"/>
    </row>
    <row r="189" spans="1:73" x14ac:dyDescent="0.25">
      <c r="A189" s="854"/>
      <c r="B189" s="4"/>
      <c r="C189" s="43"/>
      <c r="D189" s="43"/>
      <c r="E189" s="497"/>
      <c r="F189" s="497"/>
      <c r="G189" s="497"/>
      <c r="H189" s="497"/>
      <c r="I189" s="498"/>
      <c r="J189" s="498"/>
      <c r="K189" s="498"/>
      <c r="L189" s="498"/>
      <c r="M189" s="498"/>
      <c r="N189" s="498"/>
      <c r="O189" s="498"/>
      <c r="P189" s="498"/>
      <c r="Q189" s="497"/>
      <c r="R189" s="43"/>
      <c r="S189" s="9"/>
      <c r="T189" s="66"/>
      <c r="U189" s="1026"/>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1099"/>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row>
    <row r="190" spans="1:73" s="876" customFormat="1" x14ac:dyDescent="0.25">
      <c r="A190" s="867"/>
      <c r="B190" s="868" t="s">
        <v>1155</v>
      </c>
      <c r="C190" s="869"/>
      <c r="D190" s="869"/>
      <c r="E190" s="870"/>
      <c r="F190" s="870"/>
      <c r="G190" s="870"/>
      <c r="H190" s="870"/>
      <c r="I190" s="870"/>
      <c r="J190" s="870"/>
      <c r="K190" s="870"/>
      <c r="L190" s="870"/>
      <c r="M190" s="870"/>
      <c r="N190" s="870"/>
      <c r="O190" s="870"/>
      <c r="P190" s="870"/>
      <c r="Q190" s="871"/>
      <c r="R190" s="872"/>
      <c r="S190" s="873"/>
      <c r="T190" s="874"/>
      <c r="U190" s="1026"/>
      <c r="V190" s="868"/>
      <c r="W190" s="869"/>
      <c r="X190" s="869"/>
      <c r="Y190" s="869"/>
      <c r="Z190" s="869"/>
      <c r="AA190" s="869"/>
      <c r="AB190" s="869"/>
      <c r="AC190" s="869"/>
      <c r="AD190" s="869"/>
      <c r="AE190" s="869"/>
      <c r="AF190" s="870"/>
      <c r="AG190" s="870"/>
      <c r="AH190" s="870"/>
      <c r="AI190" s="875"/>
      <c r="AJ190" s="875"/>
      <c r="AK190" s="875"/>
      <c r="AL190" s="875"/>
      <c r="AM190" s="875"/>
      <c r="AN190" s="875"/>
      <c r="AO190" s="875"/>
      <c r="AP190" s="875"/>
      <c r="AQ190" s="875"/>
      <c r="AR190" s="875"/>
      <c r="AS190" s="803"/>
      <c r="AT190" s="1099"/>
      <c r="AU190" s="868"/>
      <c r="AV190" s="869"/>
      <c r="AW190" s="869"/>
      <c r="AX190" s="869"/>
      <c r="AY190" s="869"/>
      <c r="AZ190" s="869"/>
      <c r="BA190" s="869"/>
      <c r="BB190" s="869"/>
      <c r="BC190" s="869"/>
      <c r="BD190" s="869"/>
      <c r="BE190" s="870"/>
      <c r="BF190" s="870"/>
      <c r="BG190" s="870"/>
      <c r="BH190" s="875"/>
      <c r="BI190" s="875"/>
      <c r="BJ190" s="875"/>
      <c r="BK190" s="875"/>
      <c r="BL190" s="875"/>
      <c r="BM190" s="875"/>
      <c r="BN190" s="875"/>
      <c r="BO190" s="875"/>
      <c r="BP190" s="875"/>
      <c r="BQ190" s="803"/>
      <c r="BR190" s="803"/>
      <c r="BS190" s="803"/>
      <c r="BT190" s="803"/>
      <c r="BU190" s="803"/>
    </row>
    <row r="191" spans="1:73" x14ac:dyDescent="0.25">
      <c r="A191" s="4"/>
      <c r="B191" s="4"/>
      <c r="C191" s="4"/>
      <c r="D191" s="4"/>
      <c r="F191" s="4"/>
      <c r="G191" s="4" t="s">
        <v>348</v>
      </c>
      <c r="H191" s="4"/>
      <c r="I191" s="4"/>
      <c r="J191" s="4"/>
      <c r="K191" s="4"/>
      <c r="L191" s="4"/>
      <c r="M191" s="4"/>
      <c r="N191" s="4"/>
      <c r="O191" s="4"/>
      <c r="P191" s="4"/>
      <c r="Q191" s="497"/>
      <c r="R191" s="4" t="s">
        <v>849</v>
      </c>
      <c r="S191" s="9"/>
      <c r="T191" s="66"/>
      <c r="U191" s="1026"/>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1099"/>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row>
    <row r="192" spans="1:73" x14ac:dyDescent="0.25">
      <c r="A192" s="15"/>
      <c r="B192" s="15"/>
      <c r="C192" s="15"/>
      <c r="D192" s="15"/>
      <c r="E192" s="539">
        <f t="shared" ref="E192:O192" si="198">E8</f>
        <v>0</v>
      </c>
      <c r="F192" s="539">
        <f t="shared" si="198"/>
        <v>2015</v>
      </c>
      <c r="G192" s="539">
        <f t="shared" si="198"/>
        <v>2017</v>
      </c>
      <c r="H192" s="539">
        <f t="shared" si="198"/>
        <v>2018</v>
      </c>
      <c r="I192" s="539">
        <f t="shared" si="198"/>
        <v>2019</v>
      </c>
      <c r="J192" s="539">
        <f t="shared" si="198"/>
        <v>2020</v>
      </c>
      <c r="K192" s="539">
        <f t="shared" si="198"/>
        <v>2021</v>
      </c>
      <c r="L192" s="539">
        <f t="shared" si="198"/>
        <v>2022</v>
      </c>
      <c r="M192" s="539">
        <f t="shared" si="198"/>
        <v>2023</v>
      </c>
      <c r="N192" s="539">
        <f t="shared" si="198"/>
        <v>2024</v>
      </c>
      <c r="O192" s="539">
        <f t="shared" si="198"/>
        <v>2025</v>
      </c>
      <c r="P192" s="540"/>
      <c r="Q192" s="497"/>
      <c r="R192" s="581">
        <f>K192</f>
        <v>2021</v>
      </c>
      <c r="S192" s="9"/>
      <c r="T192" s="66"/>
      <c r="U192" s="1026"/>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1099"/>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row>
    <row r="193" spans="1:73" x14ac:dyDescent="0.25">
      <c r="A193" s="67"/>
      <c r="B193" s="494" t="s">
        <v>1104</v>
      </c>
      <c r="C193" s="492"/>
      <c r="D193" s="492"/>
      <c r="E193" s="1710"/>
      <c r="F193" s="1701">
        <f>Ввод!G731</f>
        <v>-4078651</v>
      </c>
      <c r="G193" s="1701">
        <f>Ввод!H731/VLOOKUP(Баланс!$B$7,Баланс!$A$1:$B$3,2,0)</f>
        <v>-4.3338960000000002</v>
      </c>
      <c r="H193" s="1701">
        <f>Ввод!I731/VLOOKUP(Баланс!$B$7,Баланс!$A$1:$B$3,2,0)</f>
        <v>-5.2564789999999997</v>
      </c>
      <c r="I193" s="1701">
        <f>Ввод!J731/VLOOKUP(Баланс!$B$7,Баланс!$A$1:$B$3,2,0)</f>
        <v>-5.2240159999999998</v>
      </c>
      <c r="J193" s="1701">
        <f>Ввод!K731/VLOOKUP(Баланс!$B$7,Баланс!$A$1:$B$3,2,0)</f>
        <v>-5.7388859999999999</v>
      </c>
      <c r="K193" s="1701">
        <f>Ввод!L731/VLOOKUP(Баланс!$B$7,Баланс!$A$1:$B$3,2,0)</f>
        <v>-6.6508560000000001</v>
      </c>
      <c r="L193" s="1836"/>
      <c r="M193" s="1836"/>
      <c r="N193" s="1836"/>
      <c r="O193" s="1836"/>
      <c r="P193" s="1701"/>
      <c r="Q193" s="500"/>
      <c r="R193" s="647">
        <f t="shared" ref="R193:R209" si="199">K193/$K$289</f>
        <v>-1.0661840453082532E-2</v>
      </c>
      <c r="S193" s="9"/>
      <c r="T193" s="66"/>
      <c r="U193" s="1026"/>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1099"/>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row>
    <row r="194" spans="1:73" x14ac:dyDescent="0.25">
      <c r="A194" s="67"/>
      <c r="B194" s="494" t="s">
        <v>1105</v>
      </c>
      <c r="C194" s="492"/>
      <c r="D194" s="492"/>
      <c r="E194" s="1710"/>
      <c r="F194" s="1701">
        <f>Ввод!G732</f>
        <v>-401915</v>
      </c>
      <c r="G194" s="1701">
        <f>Ввод!H732/VLOOKUP(Баланс!$B$7,Баланс!$A$1:$B$3,2,0)</f>
        <v>-0.46066099999999999</v>
      </c>
      <c r="H194" s="1701">
        <f>Ввод!I732/VLOOKUP(Баланс!$B$7,Баланс!$A$1:$B$3,2,0)</f>
        <v>-0.44059500000000001</v>
      </c>
      <c r="I194" s="1701">
        <f>Ввод!J732/VLOOKUP(Баланс!$B$7,Баланс!$A$1:$B$3,2,0)</f>
        <v>-0.38416</v>
      </c>
      <c r="J194" s="1701">
        <f>Ввод!K732/VLOOKUP(Баланс!$B$7,Баланс!$A$1:$B$3,2,0)</f>
        <v>-0.43676399999999999</v>
      </c>
      <c r="K194" s="1701">
        <f>Ввод!L732/VLOOKUP(Баланс!$B$7,Баланс!$A$1:$B$3,2,0)</f>
        <v>-1.0489120000000001</v>
      </c>
      <c r="L194" s="1836"/>
      <c r="M194" s="1836"/>
      <c r="N194" s="1836"/>
      <c r="O194" s="1836"/>
      <c r="P194" s="1701"/>
      <c r="Q194" s="500"/>
      <c r="R194" s="647">
        <f t="shared" si="199"/>
        <v>-1.6814876751689866E-3</v>
      </c>
      <c r="S194" s="9"/>
      <c r="T194" s="66"/>
      <c r="U194" s="1026"/>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1099"/>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row>
    <row r="195" spans="1:73" x14ac:dyDescent="0.25">
      <c r="A195" s="67"/>
      <c r="B195" s="494" t="s">
        <v>1106</v>
      </c>
      <c r="C195" s="492"/>
      <c r="D195" s="492"/>
      <c r="E195" s="1710"/>
      <c r="F195" s="1701">
        <f>Ввод!G733</f>
        <v>-495823</v>
      </c>
      <c r="G195" s="1701">
        <f>Ввод!H733/VLOOKUP(Баланс!$B$7,Баланс!$A$1:$B$3,2,0)</f>
        <v>-0.35991800000000002</v>
      </c>
      <c r="H195" s="1701">
        <f>Ввод!I733/VLOOKUP(Баланс!$B$7,Баланс!$A$1:$B$3,2,0)</f>
        <v>-0.37420100000000001</v>
      </c>
      <c r="I195" s="1701">
        <f>Ввод!J733/VLOOKUP(Баланс!$B$7,Баланс!$A$1:$B$3,2,0)</f>
        <v>-0.53593900000000005</v>
      </c>
      <c r="J195" s="1701">
        <f>Ввод!K733/VLOOKUP(Баланс!$B$7,Баланс!$A$1:$B$3,2,0)</f>
        <v>-1.2910649999999999</v>
      </c>
      <c r="K195" s="1701">
        <f>Ввод!L733/VLOOKUP(Баланс!$B$7,Баланс!$A$1:$B$3,2,0)</f>
        <v>-1.5947420000000001</v>
      </c>
      <c r="L195" s="1836"/>
      <c r="M195" s="1836"/>
      <c r="N195" s="1836"/>
      <c r="O195" s="1836"/>
      <c r="P195" s="1701"/>
      <c r="Q195" s="500"/>
      <c r="R195" s="646">
        <f t="shared" si="199"/>
        <v>-2.5564957003774767E-3</v>
      </c>
      <c r="S195" s="9"/>
      <c r="T195" s="66"/>
      <c r="U195" s="1026"/>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1099"/>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row>
    <row r="196" spans="1:73" x14ac:dyDescent="0.25">
      <c r="A196" s="67"/>
      <c r="B196" s="494" t="s">
        <v>1218</v>
      </c>
      <c r="C196" s="492"/>
      <c r="D196" s="492"/>
      <c r="E196" s="1710"/>
      <c r="F196" s="1701">
        <f>Ввод!G734</f>
        <v>-2269304</v>
      </c>
      <c r="G196" s="1701">
        <f>Ввод!H734/VLOOKUP(Баланс!$B$7,Баланс!$A$1:$B$3,2,0)</f>
        <v>-2.900055</v>
      </c>
      <c r="H196" s="1701">
        <f>Ввод!I734/VLOOKUP(Баланс!$B$7,Баланс!$A$1:$B$3,2,0)</f>
        <v>-6.4851159999999997</v>
      </c>
      <c r="I196" s="1701">
        <f>Ввод!J734/VLOOKUP(Баланс!$B$7,Баланс!$A$1:$B$3,2,0)</f>
        <v>-5.7656419999999997</v>
      </c>
      <c r="J196" s="1701">
        <f>Ввод!K734/VLOOKUP(Баланс!$B$7,Баланс!$A$1:$B$3,2,0)</f>
        <v>-5.5769409999999997</v>
      </c>
      <c r="K196" s="1701">
        <f>Ввод!L734/VLOOKUP(Баланс!$B$7,Баланс!$A$1:$B$3,2,0)</f>
        <v>-6.0885020000000001</v>
      </c>
      <c r="L196" s="1836"/>
      <c r="M196" s="1836"/>
      <c r="N196" s="1836"/>
      <c r="O196" s="1836"/>
      <c r="P196" s="1701"/>
      <c r="Q196" s="500"/>
      <c r="R196" s="647">
        <f t="shared" si="199"/>
        <v>-9.7603431681987859E-3</v>
      </c>
      <c r="S196" s="9"/>
      <c r="T196" s="66"/>
      <c r="U196" s="1026"/>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1099"/>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row>
    <row r="197" spans="1:73" outlineLevel="1" x14ac:dyDescent="0.25">
      <c r="A197" s="67"/>
      <c r="B197" s="1208"/>
      <c r="C197" s="1209" t="s">
        <v>1468</v>
      </c>
      <c r="D197" s="1209"/>
      <c r="E197" s="1711"/>
      <c r="F197" s="1711">
        <f>Ввод!G735</f>
        <v>-157348</v>
      </c>
      <c r="G197" s="1711">
        <f>Ввод!H735/VLOOKUP(Баланс!$B$7,Баланс!$A$1:$B$3,2,0)</f>
        <v>-0.15518799999999999</v>
      </c>
      <c r="H197" s="1711">
        <f>Ввод!I735/VLOOKUP(Баланс!$B$7,Баланс!$A$1:$B$3,2,0)</f>
        <v>-0.23727300000000001</v>
      </c>
      <c r="I197" s="1711">
        <f>Ввод!J735/VLOOKUP(Баланс!$B$7,Баланс!$A$1:$B$3,2,0)</f>
        <v>-0.27091300000000001</v>
      </c>
      <c r="J197" s="1711">
        <f>Ввод!K735/VLOOKUP(Баланс!$B$7,Баланс!$A$1:$B$3,2,0)</f>
        <v>-0.30146699999999998</v>
      </c>
      <c r="K197" s="1711">
        <f>Ввод!L735/VLOOKUP(Баланс!$B$7,Баланс!$A$1:$B$3,2,0)</f>
        <v>-0.251415</v>
      </c>
      <c r="L197" s="1837"/>
      <c r="M197" s="1837"/>
      <c r="N197" s="1837"/>
      <c r="O197" s="1837"/>
      <c r="P197" s="1711"/>
      <c r="Q197" s="500"/>
      <c r="R197" s="1210">
        <f t="shared" si="199"/>
        <v>-4.0303783716137361E-4</v>
      </c>
      <c r="S197" s="9"/>
      <c r="T197" s="66"/>
      <c r="U197" s="1026"/>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1099"/>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row>
    <row r="198" spans="1:73" outlineLevel="1" x14ac:dyDescent="0.25">
      <c r="A198" s="67"/>
      <c r="B198" s="1208"/>
      <c r="C198" s="1209" t="s">
        <v>1479</v>
      </c>
      <c r="D198" s="1209"/>
      <c r="E198" s="1711"/>
      <c r="F198" s="1711">
        <f>Ввод!G736</f>
        <v>-127018</v>
      </c>
      <c r="G198" s="1711">
        <f>Ввод!H736/VLOOKUP(Баланс!$B$7,Баланс!$A$1:$B$3,2,0)</f>
        <v>-0.392432</v>
      </c>
      <c r="H198" s="1711">
        <f>Ввод!I736/VLOOKUP(Баланс!$B$7,Баланс!$A$1:$B$3,2,0)</f>
        <v>-2.3916439999999999</v>
      </c>
      <c r="I198" s="1711">
        <f>Ввод!J736/VLOOKUP(Баланс!$B$7,Баланс!$A$1:$B$3,2,0)</f>
        <v>-2.5011380000000001</v>
      </c>
      <c r="J198" s="1711">
        <f>Ввод!K736/VLOOKUP(Баланс!$B$7,Баланс!$A$1:$B$3,2,0)</f>
        <v>-2.575326</v>
      </c>
      <c r="K198" s="1711">
        <f>Ввод!L736/VLOOKUP(Баланс!$B$7,Баланс!$A$1:$B$3,2,0)</f>
        <v>-2.4843320000000002</v>
      </c>
      <c r="L198" s="1837"/>
      <c r="M198" s="1837"/>
      <c r="N198" s="1837"/>
      <c r="O198" s="1837"/>
      <c r="P198" s="1711"/>
      <c r="Q198" s="500"/>
      <c r="R198" s="1210">
        <f t="shared" si="199"/>
        <v>-3.9825777939692933E-3</v>
      </c>
      <c r="S198" s="9"/>
      <c r="T198" s="66"/>
      <c r="U198" s="1026"/>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1099"/>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row>
    <row r="199" spans="1:73" outlineLevel="1" x14ac:dyDescent="0.25">
      <c r="A199" s="67"/>
      <c r="B199" s="1208"/>
      <c r="C199" s="1209" t="s">
        <v>1480</v>
      </c>
      <c r="D199" s="1209"/>
      <c r="E199" s="1711"/>
      <c r="F199" s="1711">
        <f>Ввод!G737</f>
        <v>-145365</v>
      </c>
      <c r="G199" s="1711">
        <f>Ввод!H737/VLOOKUP(Баланс!$B$7,Баланс!$A$1:$B$3,2,0)</f>
        <v>-0.18054899999999999</v>
      </c>
      <c r="H199" s="1711">
        <f>Ввод!I737/VLOOKUP(Баланс!$B$7,Баланс!$A$1:$B$3,2,0)</f>
        <v>-0.29915399999999998</v>
      </c>
      <c r="I199" s="1711">
        <f>Ввод!J737/VLOOKUP(Баланс!$B$7,Баланс!$A$1:$B$3,2,0)</f>
        <v>-0.29942299999999999</v>
      </c>
      <c r="J199" s="1711">
        <f>Ввод!K737/VLOOKUP(Баланс!$B$7,Баланс!$A$1:$B$3,2,0)</f>
        <v>-0.38467299999999999</v>
      </c>
      <c r="K199" s="1711">
        <f>Ввод!L737/VLOOKUP(Баланс!$B$7,Баланс!$A$1:$B$3,2,0)</f>
        <v>-0.29356700000000002</v>
      </c>
      <c r="L199" s="1837"/>
      <c r="M199" s="1837"/>
      <c r="N199" s="1837"/>
      <c r="O199" s="1837"/>
      <c r="P199" s="1711"/>
      <c r="Q199" s="500"/>
      <c r="R199" s="1210">
        <f t="shared" si="199"/>
        <v>-4.7061077796453269E-4</v>
      </c>
      <c r="S199" s="9"/>
      <c r="T199" s="66"/>
      <c r="U199" s="1026"/>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1099"/>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row>
    <row r="200" spans="1:73" outlineLevel="1" x14ac:dyDescent="0.25">
      <c r="A200" s="67"/>
      <c r="B200" s="1208"/>
      <c r="C200" s="1209" t="s">
        <v>1481</v>
      </c>
      <c r="D200" s="1209"/>
      <c r="E200" s="1711"/>
      <c r="F200" s="1711">
        <f>Ввод!G738</f>
        <v>-448019</v>
      </c>
      <c r="G200" s="1711">
        <f>Ввод!H738/VLOOKUP(Баланс!$B$7,Баланс!$A$1:$B$3,2,0)</f>
        <v>-0.55291500000000005</v>
      </c>
      <c r="H200" s="1711">
        <f>Ввод!I738/VLOOKUP(Баланс!$B$7,Баланс!$A$1:$B$3,2,0)</f>
        <v>-0.70020199999999999</v>
      </c>
      <c r="I200" s="1711">
        <f>Ввод!J738/VLOOKUP(Баланс!$B$7,Баланс!$A$1:$B$3,2,0)</f>
        <v>-0.80701000000000001</v>
      </c>
      <c r="J200" s="1711">
        <f>Ввод!K738/VLOOKUP(Баланс!$B$7,Баланс!$A$1:$B$3,2,0)</f>
        <v>-0.68608899999999995</v>
      </c>
      <c r="K200" s="1711">
        <f>Ввод!L738/VLOOKUP(Баланс!$B$7,Баланс!$A$1:$B$3,2,0)</f>
        <v>-0.78257200000000005</v>
      </c>
      <c r="L200" s="1837"/>
      <c r="M200" s="1837"/>
      <c r="N200" s="1837"/>
      <c r="O200" s="1837"/>
      <c r="P200" s="1711"/>
      <c r="Q200" s="500"/>
      <c r="R200" s="1210">
        <f t="shared" si="199"/>
        <v>-1.2545238999385499E-3</v>
      </c>
      <c r="S200" s="9"/>
      <c r="T200" s="66"/>
      <c r="U200" s="1026"/>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1099"/>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row>
    <row r="201" spans="1:73" outlineLevel="1" x14ac:dyDescent="0.25">
      <c r="A201" s="67"/>
      <c r="B201" s="1208"/>
      <c r="C201" s="1209" t="s">
        <v>1482</v>
      </c>
      <c r="D201" s="1209"/>
      <c r="E201" s="1711"/>
      <c r="F201" s="1711">
        <f>Ввод!G739</f>
        <v>-624589</v>
      </c>
      <c r="G201" s="1711">
        <f>Ввод!H739/VLOOKUP(Баланс!$B$7,Баланс!$A$1:$B$3,2,0)</f>
        <v>-0.85749699999999995</v>
      </c>
      <c r="H201" s="1711">
        <f>Ввод!I739/VLOOKUP(Баланс!$B$7,Баланс!$A$1:$B$3,2,0)</f>
        <v>-2.0275820000000002</v>
      </c>
      <c r="I201" s="1711">
        <f>Ввод!J739/VLOOKUP(Баланс!$B$7,Баланс!$A$1:$B$3,2,0)</f>
        <v>-1.0679069999999999</v>
      </c>
      <c r="J201" s="1711">
        <f>Ввод!K739/VLOOKUP(Баланс!$B$7,Баланс!$A$1:$B$3,2,0)</f>
        <v>-1.276761</v>
      </c>
      <c r="K201" s="1711">
        <f>Ввод!L739/VLOOKUP(Баланс!$B$7,Баланс!$A$1:$B$3,2,0)</f>
        <v>-1.802529</v>
      </c>
      <c r="L201" s="1837"/>
      <c r="M201" s="1837"/>
      <c r="N201" s="1837"/>
      <c r="O201" s="1837"/>
      <c r="P201" s="1711"/>
      <c r="Q201" s="500"/>
      <c r="R201" s="1210">
        <f t="shared" si="199"/>
        <v>-2.8895944537145903E-3</v>
      </c>
      <c r="S201" s="9"/>
      <c r="T201" s="66"/>
      <c r="U201" s="1026"/>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1099"/>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row>
    <row r="202" spans="1:73" x14ac:dyDescent="0.25">
      <c r="A202" s="67"/>
      <c r="B202" s="494" t="s">
        <v>1107</v>
      </c>
      <c r="C202" s="492"/>
      <c r="D202" s="492"/>
      <c r="E202" s="1702"/>
      <c r="F202" s="1702">
        <f>Ввод!G740</f>
        <v>-131764</v>
      </c>
      <c r="G202" s="1702">
        <f>Ввод!H740/VLOOKUP(Баланс!$B$7,Баланс!$A$1:$B$3,2,0)</f>
        <v>-0.119409</v>
      </c>
      <c r="H202" s="1702">
        <f>Ввод!I740/VLOOKUP(Баланс!$B$7,Баланс!$A$1:$B$3,2,0)</f>
        <v>-9.6296999999999994E-2</v>
      </c>
      <c r="I202" s="1702">
        <f>Ввод!J740/VLOOKUP(Баланс!$B$7,Баланс!$A$1:$B$3,2,0)</f>
        <v>-0.840673</v>
      </c>
      <c r="J202" s="1702">
        <f>Ввод!K740/VLOOKUP(Баланс!$B$7,Баланс!$A$1:$B$3,2,0)</f>
        <v>-0.55914699999999995</v>
      </c>
      <c r="K202" s="1702">
        <f>Ввод!L740/VLOOKUP(Баланс!$B$7,Баланс!$A$1:$B$3,2,0)</f>
        <v>-1.2199409999999999</v>
      </c>
      <c r="L202" s="1838"/>
      <c r="M202" s="1838"/>
      <c r="N202" s="1838"/>
      <c r="O202" s="1838"/>
      <c r="P202" s="1702"/>
      <c r="Q202" s="500"/>
      <c r="R202" s="647">
        <f t="shared" si="199"/>
        <v>-1.9556604900442826E-3</v>
      </c>
      <c r="S202" s="9"/>
      <c r="T202" s="66"/>
      <c r="U202" s="1026"/>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1099"/>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row>
    <row r="203" spans="1:73" x14ac:dyDescent="0.25">
      <c r="A203" s="515"/>
      <c r="B203" s="516" t="s">
        <v>1152</v>
      </c>
      <c r="C203" s="517"/>
      <c r="D203" s="517"/>
      <c r="E203" s="1705"/>
      <c r="F203" s="1705">
        <f t="shared" ref="F203:G203" si="200">SUM(F193:F196,F202)</f>
        <v>-7377457</v>
      </c>
      <c r="G203" s="1705">
        <f t="shared" si="200"/>
        <v>-8.173938999999999</v>
      </c>
      <c r="H203" s="1705">
        <f t="shared" ref="H203:K203" si="201">SUM(H193:H196,H202)</f>
        <v>-12.652687999999999</v>
      </c>
      <c r="I203" s="1705">
        <f t="shared" si="201"/>
        <v>-12.75043</v>
      </c>
      <c r="J203" s="1705">
        <f t="shared" si="201"/>
        <v>-13.602802999999998</v>
      </c>
      <c r="K203" s="1705">
        <f t="shared" si="201"/>
        <v>-16.602952999999999</v>
      </c>
      <c r="L203" s="1839"/>
      <c r="M203" s="1839"/>
      <c r="N203" s="1839"/>
      <c r="O203" s="1839"/>
      <c r="P203" s="1752"/>
      <c r="Q203" s="497"/>
      <c r="R203" s="650">
        <f t="shared" si="199"/>
        <v>-2.6615827486872062E-2</v>
      </c>
      <c r="S203" s="9"/>
      <c r="T203" s="66"/>
      <c r="U203" s="1026"/>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1099"/>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row>
    <row r="204" spans="1:73" x14ac:dyDescent="0.25">
      <c r="A204" s="67"/>
      <c r="B204" s="494" t="s">
        <v>1483</v>
      </c>
      <c r="C204" s="492"/>
      <c r="D204" s="492"/>
      <c r="E204" s="1710"/>
      <c r="F204" s="1701">
        <f>Ввод!G742</f>
        <v>-4029263</v>
      </c>
      <c r="G204" s="1701">
        <f>Ввод!H742/VLOOKUP(Баланс!$B$7,Баланс!$A$1:$B$3,2,0)</f>
        <v>-15.386564</v>
      </c>
      <c r="H204" s="1701">
        <f>Ввод!I742/VLOOKUP(Баланс!$B$7,Баланс!$A$1:$B$3,2,0)</f>
        <v>-2.3728609999999999</v>
      </c>
      <c r="I204" s="1701">
        <f>Ввод!J742/VLOOKUP(Баланс!$B$7,Баланс!$A$1:$B$3,2,0)</f>
        <v>-0.71736299999999997</v>
      </c>
      <c r="J204" s="1701">
        <f>Ввод!K742/VLOOKUP(Баланс!$B$7,Баланс!$A$1:$B$3,2,0)</f>
        <v>-1.378085</v>
      </c>
      <c r="K204" s="1701">
        <f>Ввод!L742/VLOOKUP(Баланс!$B$7,Баланс!$A$1:$B$3,2,0)</f>
        <v>-0.64876999999999996</v>
      </c>
      <c r="L204" s="1836"/>
      <c r="M204" s="1836"/>
      <c r="N204" s="1836"/>
      <c r="O204" s="1836"/>
      <c r="P204" s="1701"/>
      <c r="Q204" s="500"/>
      <c r="R204" s="647">
        <f t="shared" si="199"/>
        <v>-1.0400288670731036E-3</v>
      </c>
      <c r="S204" s="9"/>
      <c r="T204" s="66"/>
      <c r="U204" s="1026"/>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1099"/>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row>
    <row r="205" spans="1:73" x14ac:dyDescent="0.25">
      <c r="A205" s="67"/>
      <c r="B205" s="494" t="s">
        <v>1484</v>
      </c>
      <c r="C205" s="492"/>
      <c r="D205" s="492"/>
      <c r="E205" s="1710"/>
      <c r="F205" s="1701">
        <f>Ввод!G743+Ввод!G744+Ввод!G745</f>
        <v>0</v>
      </c>
      <c r="G205" s="1701">
        <f>(Ввод!H743+Ввод!H744+Ввод!H745)/VLOOKUP(Баланс!$B$7,Баланс!$A$1:$B$3,2,0)</f>
        <v>0</v>
      </c>
      <c r="H205" s="1701">
        <f>(Ввод!I743+Ввод!I744+Ввод!I745)/VLOOKUP(Баланс!$B$7,Баланс!$A$1:$B$3,2,0)</f>
        <v>0</v>
      </c>
      <c r="I205" s="1701">
        <f>(Ввод!J743+Ввод!J744+Ввод!J745)/VLOOKUP(Баланс!$B$7,Баланс!$A$1:$B$3,2,0)</f>
        <v>0</v>
      </c>
      <c r="J205" s="1701">
        <f>(Ввод!K743+Ввод!K744+Ввод!K745)/VLOOKUP(Баланс!$B$7,Баланс!$A$1:$B$3,2,0)</f>
        <v>0</v>
      </c>
      <c r="K205" s="1701">
        <f>(Ввод!L743+Ввод!L744+Ввод!L745)/VLOOKUP(Баланс!$B$7,Баланс!$A$1:$B$3,2,0)</f>
        <v>0</v>
      </c>
      <c r="L205" s="1836"/>
      <c r="M205" s="1836"/>
      <c r="N205" s="1836"/>
      <c r="O205" s="1836"/>
      <c r="P205" s="1701"/>
      <c r="Q205" s="500"/>
      <c r="R205" s="647">
        <f t="shared" si="199"/>
        <v>0</v>
      </c>
      <c r="S205" s="9"/>
      <c r="T205" s="66"/>
      <c r="U205" s="1026"/>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1099"/>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row>
    <row r="206" spans="1:73" x14ac:dyDescent="0.25">
      <c r="A206" s="67"/>
      <c r="B206" s="494" t="s">
        <v>1474</v>
      </c>
      <c r="C206" s="492"/>
      <c r="D206" s="492"/>
      <c r="E206" s="1710"/>
      <c r="F206" s="1701">
        <f>Ввод!G746</f>
        <v>-29719</v>
      </c>
      <c r="G206" s="1701">
        <f>Ввод!H746/VLOOKUP(Баланс!$B$7,Баланс!$A$1:$B$3,2,0)</f>
        <v>-7.6429999999999996E-3</v>
      </c>
      <c r="H206" s="1701">
        <f>Ввод!I746/VLOOKUP(Баланс!$B$7,Баланс!$A$1:$B$3,2,0)</f>
        <v>-1.0768E-2</v>
      </c>
      <c r="I206" s="1701">
        <f>Ввод!J746/VLOOKUP(Баланс!$B$7,Баланс!$A$1:$B$3,2,0)</f>
        <v>-1.8775E-2</v>
      </c>
      <c r="J206" s="1701">
        <f>Ввод!K746/VLOOKUP(Баланс!$B$7,Баланс!$A$1:$B$3,2,0)</f>
        <v>-1.208388</v>
      </c>
      <c r="K206" s="1701">
        <f>Ввод!L746/VLOOKUP(Баланс!$B$7,Баланс!$A$1:$B$3,2,0)</f>
        <v>-2.2431649999999999</v>
      </c>
      <c r="L206" s="1836"/>
      <c r="M206" s="1836"/>
      <c r="N206" s="1836"/>
      <c r="O206" s="1836"/>
      <c r="P206" s="1701"/>
      <c r="Q206" s="500"/>
      <c r="R206" s="647">
        <f t="shared" si="199"/>
        <v>-3.5959682994097116E-3</v>
      </c>
      <c r="S206" s="9"/>
      <c r="T206" s="66"/>
      <c r="U206" s="1026"/>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1099"/>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row>
    <row r="207" spans="1:73" x14ac:dyDescent="0.25">
      <c r="A207" s="67"/>
      <c r="B207" s="494" t="s">
        <v>522</v>
      </c>
      <c r="C207" s="492"/>
      <c r="D207" s="492"/>
      <c r="E207" s="1710"/>
      <c r="F207" s="1701">
        <f>Ввод!G747</f>
        <v>0</v>
      </c>
      <c r="G207" s="1701">
        <f>Ввод!H747/VLOOKUP(Баланс!$B$7,Баланс!$A$1:$B$3,2,0)</f>
        <v>-1.5069589999999999</v>
      </c>
      <c r="H207" s="1701">
        <f>Ввод!I747/VLOOKUP(Баланс!$B$7,Баланс!$A$1:$B$3,2,0)</f>
        <v>-1.817248</v>
      </c>
      <c r="I207" s="1701">
        <f>Ввод!J747/VLOOKUP(Баланс!$B$7,Баланс!$A$1:$B$3,2,0)</f>
        <v>-1.546867</v>
      </c>
      <c r="J207" s="1701">
        <f>Ввод!K747/VLOOKUP(Баланс!$B$7,Баланс!$A$1:$B$3,2,0)</f>
        <v>-1.7489600000000001</v>
      </c>
      <c r="K207" s="1701">
        <f>Ввод!L747/VLOOKUP(Баланс!$B$7,Баланс!$A$1:$B$3,2,0)</f>
        <v>-2.099672</v>
      </c>
      <c r="L207" s="1836"/>
      <c r="M207" s="1836"/>
      <c r="N207" s="1836"/>
      <c r="O207" s="1836"/>
      <c r="P207" s="1701"/>
      <c r="Q207" s="500"/>
      <c r="R207" s="647">
        <f t="shared" si="199"/>
        <v>-3.3659378383481325E-3</v>
      </c>
      <c r="S207" s="9"/>
      <c r="T207" s="66"/>
      <c r="U207" s="1026"/>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1099"/>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row>
    <row r="208" spans="1:73" x14ac:dyDescent="0.25">
      <c r="A208" s="515"/>
      <c r="B208" s="516" t="s">
        <v>1154</v>
      </c>
      <c r="C208" s="517"/>
      <c r="D208" s="517"/>
      <c r="E208" s="1705"/>
      <c r="F208" s="1705">
        <f t="shared" ref="F208:G208" si="202">SUM(F204:F207)</f>
        <v>-4058982</v>
      </c>
      <c r="G208" s="1705">
        <f t="shared" si="202"/>
        <v>-16.901166</v>
      </c>
      <c r="H208" s="1705">
        <f t="shared" ref="H208:K208" si="203">SUM(H204:H207)</f>
        <v>-4.2008770000000002</v>
      </c>
      <c r="I208" s="1705">
        <f t="shared" si="203"/>
        <v>-2.2830050000000002</v>
      </c>
      <c r="J208" s="1705">
        <f t="shared" si="203"/>
        <v>-4.3354330000000001</v>
      </c>
      <c r="K208" s="1705">
        <f t="shared" si="203"/>
        <v>-4.9916070000000001</v>
      </c>
      <c r="L208" s="1839"/>
      <c r="M208" s="1839"/>
      <c r="N208" s="1839"/>
      <c r="O208" s="1839"/>
      <c r="P208" s="1752"/>
      <c r="Q208" s="497"/>
      <c r="R208" s="650">
        <f t="shared" si="199"/>
        <v>-8.0019350048309481E-3</v>
      </c>
      <c r="S208" s="9"/>
      <c r="T208" s="66"/>
      <c r="U208" s="1026"/>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1099"/>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row>
    <row r="209" spans="1:73" ht="26.25" customHeight="1" x14ac:dyDescent="0.25">
      <c r="A209" s="877"/>
      <c r="B209" s="878" t="s">
        <v>1153</v>
      </c>
      <c r="C209" s="879"/>
      <c r="D209" s="879"/>
      <c r="E209" s="1712"/>
      <c r="F209" s="1712">
        <f t="shared" ref="F209:G209" si="204">F203+F208</f>
        <v>-11436439</v>
      </c>
      <c r="G209" s="1712">
        <f t="shared" si="204"/>
        <v>-25.075105000000001</v>
      </c>
      <c r="H209" s="1712">
        <f t="shared" ref="H209:K209" si="205">H203+H208</f>
        <v>-16.853565</v>
      </c>
      <c r="I209" s="1712">
        <f t="shared" si="205"/>
        <v>-15.033435000000001</v>
      </c>
      <c r="J209" s="1712">
        <f t="shared" si="205"/>
        <v>-17.938235999999996</v>
      </c>
      <c r="K209" s="1712">
        <f t="shared" si="205"/>
        <v>-21.594560000000001</v>
      </c>
      <c r="L209" s="1839"/>
      <c r="M209" s="1839"/>
      <c r="N209" s="1839"/>
      <c r="O209" s="1839"/>
      <c r="P209" s="1757"/>
      <c r="Q209" s="497"/>
      <c r="R209" s="650">
        <f t="shared" si="199"/>
        <v>-3.4617762491703015E-2</v>
      </c>
      <c r="S209" s="9"/>
      <c r="T209" s="66"/>
      <c r="U209" s="1026"/>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1099"/>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row>
    <row r="210" spans="1:73" x14ac:dyDescent="0.25">
      <c r="A210" s="854"/>
      <c r="B210" s="4"/>
      <c r="C210" s="43"/>
      <c r="D210" s="43"/>
      <c r="E210" s="497"/>
      <c r="F210" s="497"/>
      <c r="G210" s="497"/>
      <c r="H210" s="497"/>
      <c r="I210" s="498"/>
      <c r="J210" s="498"/>
      <c r="K210" s="498"/>
      <c r="L210" s="498"/>
      <c r="M210" s="498"/>
      <c r="N210" s="498"/>
      <c r="O210" s="498"/>
      <c r="P210" s="498"/>
      <c r="Q210" s="497"/>
      <c r="R210" s="43"/>
      <c r="S210" s="9"/>
      <c r="T210" s="66"/>
      <c r="U210" s="1026"/>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1099"/>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row>
    <row r="211" spans="1:73" s="876" customFormat="1" x14ac:dyDescent="0.25">
      <c r="A211" s="867"/>
      <c r="B211" s="868" t="s">
        <v>1156</v>
      </c>
      <c r="C211" s="869"/>
      <c r="D211" s="869"/>
      <c r="E211" s="870"/>
      <c r="F211" s="870"/>
      <c r="G211" s="870"/>
      <c r="H211" s="870"/>
      <c r="I211" s="870"/>
      <c r="J211" s="870"/>
      <c r="K211" s="870"/>
      <c r="L211" s="870"/>
      <c r="M211" s="870"/>
      <c r="N211" s="870"/>
      <c r="O211" s="870"/>
      <c r="P211" s="870"/>
      <c r="Q211" s="871"/>
      <c r="R211" s="872"/>
      <c r="S211" s="873"/>
      <c r="T211" s="874"/>
      <c r="U211" s="1026"/>
      <c r="V211" s="868"/>
      <c r="W211" s="869"/>
      <c r="X211" s="869"/>
      <c r="Y211" s="869"/>
      <c r="Z211" s="869"/>
      <c r="AA211" s="869"/>
      <c r="AB211" s="869"/>
      <c r="AC211" s="869"/>
      <c r="AD211" s="869"/>
      <c r="AE211" s="869"/>
      <c r="AF211" s="870"/>
      <c r="AG211" s="870"/>
      <c r="AH211" s="870"/>
      <c r="AI211" s="875"/>
      <c r="AJ211" s="875"/>
      <c r="AK211" s="875"/>
      <c r="AL211" s="875"/>
      <c r="AM211" s="875"/>
      <c r="AN211" s="875"/>
      <c r="AO211" s="875"/>
      <c r="AP211" s="875"/>
      <c r="AQ211" s="875"/>
      <c r="AR211" s="875"/>
      <c r="AS211" s="803"/>
      <c r="AT211" s="1099"/>
      <c r="AU211" s="868"/>
      <c r="AV211" s="869"/>
      <c r="AW211" s="869"/>
      <c r="AX211" s="869"/>
      <c r="AY211" s="869"/>
      <c r="AZ211" s="869"/>
      <c r="BA211" s="869"/>
      <c r="BB211" s="869"/>
      <c r="BC211" s="869"/>
      <c r="BD211" s="869"/>
      <c r="BE211" s="870"/>
      <c r="BF211" s="870"/>
      <c r="BG211" s="870"/>
      <c r="BH211" s="875"/>
      <c r="BI211" s="875"/>
      <c r="BJ211" s="875"/>
      <c r="BK211" s="875"/>
      <c r="BL211" s="875"/>
      <c r="BM211" s="875"/>
      <c r="BN211" s="875"/>
      <c r="BO211" s="875"/>
      <c r="BP211" s="875"/>
      <c r="BQ211" s="803"/>
      <c r="BR211" s="803"/>
      <c r="BS211" s="803"/>
      <c r="BT211" s="803"/>
      <c r="BU211" s="803"/>
    </row>
    <row r="212" spans="1:73" x14ac:dyDescent="0.25">
      <c r="A212" s="4"/>
      <c r="B212" s="4"/>
      <c r="C212" s="4"/>
      <c r="D212" s="4"/>
      <c r="F212" s="4"/>
      <c r="G212" s="4" t="s">
        <v>348</v>
      </c>
      <c r="H212" s="4"/>
      <c r="I212" s="4"/>
      <c r="J212" s="4"/>
      <c r="K212" s="4"/>
      <c r="L212" s="4"/>
      <c r="M212" s="4"/>
      <c r="N212" s="4"/>
      <c r="O212" s="4"/>
      <c r="P212" s="4"/>
      <c r="Q212" s="497"/>
      <c r="R212" s="43"/>
      <c r="S212" s="9"/>
      <c r="T212" s="66"/>
      <c r="U212" s="1026"/>
      <c r="V212" s="497" t="s">
        <v>348</v>
      </c>
      <c r="W212" s="497"/>
      <c r="X212" s="497"/>
      <c r="Y212" s="497"/>
      <c r="Z212" s="497"/>
      <c r="AA212" s="497"/>
      <c r="AB212" s="497"/>
      <c r="AC212" s="497"/>
      <c r="AD212" s="497"/>
      <c r="AE212" s="497"/>
      <c r="AF212" s="4"/>
      <c r="AG212" s="4"/>
      <c r="AH212" s="4"/>
      <c r="AI212" s="4"/>
      <c r="AJ212" s="4"/>
      <c r="AK212" s="4"/>
      <c r="AL212" s="4"/>
      <c r="AM212" s="4"/>
      <c r="AN212" s="4"/>
      <c r="AO212" s="4"/>
      <c r="AP212" s="4"/>
      <c r="AQ212" s="4"/>
      <c r="AR212" s="4"/>
      <c r="AS212" s="4"/>
      <c r="AT212" s="1099"/>
      <c r="AU212" s="497" t="s">
        <v>348</v>
      </c>
      <c r="AV212" s="497"/>
      <c r="AW212" s="497"/>
      <c r="AX212" s="497"/>
      <c r="AY212" s="497"/>
      <c r="AZ212" s="497"/>
      <c r="BA212" s="497"/>
      <c r="BB212" s="497"/>
      <c r="BC212" s="497"/>
      <c r="BD212" s="497"/>
      <c r="BE212" s="4"/>
      <c r="BF212" s="4"/>
      <c r="BG212" s="4"/>
      <c r="BH212" s="4"/>
      <c r="BI212" s="4"/>
      <c r="BJ212" s="4"/>
      <c r="BK212" s="4"/>
      <c r="BL212" s="4"/>
      <c r="BM212" s="4"/>
      <c r="BN212" s="4"/>
      <c r="BO212" s="4"/>
      <c r="BP212" s="4"/>
      <c r="BQ212" s="4"/>
      <c r="BR212" s="4"/>
      <c r="BS212" s="4"/>
      <c r="BT212" s="4"/>
      <c r="BU212" s="4"/>
    </row>
    <row r="213" spans="1:73" x14ac:dyDescent="0.25">
      <c r="A213" s="15"/>
      <c r="B213" s="15"/>
      <c r="C213" s="15"/>
      <c r="D213" s="15"/>
      <c r="E213" s="539"/>
      <c r="F213" s="539"/>
      <c r="G213" s="539">
        <f t="shared" ref="G213:O213" si="206">G8</f>
        <v>2017</v>
      </c>
      <c r="H213" s="539">
        <f t="shared" si="206"/>
        <v>2018</v>
      </c>
      <c r="I213" s="539">
        <f t="shared" si="206"/>
        <v>2019</v>
      </c>
      <c r="J213" s="539">
        <f t="shared" si="206"/>
        <v>2020</v>
      </c>
      <c r="K213" s="539">
        <f t="shared" si="206"/>
        <v>2021</v>
      </c>
      <c r="L213" s="539">
        <f t="shared" si="206"/>
        <v>2022</v>
      </c>
      <c r="M213" s="539">
        <f t="shared" si="206"/>
        <v>2023</v>
      </c>
      <c r="N213" s="539">
        <f t="shared" si="206"/>
        <v>2024</v>
      </c>
      <c r="O213" s="539">
        <f t="shared" si="206"/>
        <v>2025</v>
      </c>
      <c r="P213" s="540"/>
      <c r="Q213" s="497"/>
      <c r="R213" s="43"/>
      <c r="S213" s="9"/>
      <c r="T213" s="66"/>
      <c r="U213" s="1026"/>
      <c r="V213" s="538">
        <f t="shared" ref="V213:AA213" si="207">V8</f>
        <v>2015</v>
      </c>
      <c r="W213" s="538">
        <f t="shared" si="207"/>
        <v>2017</v>
      </c>
      <c r="X213" s="538">
        <f t="shared" si="207"/>
        <v>2018</v>
      </c>
      <c r="Y213" s="538">
        <f t="shared" si="207"/>
        <v>2019</v>
      </c>
      <c r="Z213" s="538">
        <f t="shared" si="207"/>
        <v>2020</v>
      </c>
      <c r="AA213" s="538">
        <f t="shared" si="207"/>
        <v>2021</v>
      </c>
      <c r="AB213" s="538">
        <f t="shared" ref="AB213:AE213" si="208">AB8</f>
        <v>2022</v>
      </c>
      <c r="AC213" s="538">
        <f t="shared" si="208"/>
        <v>2023</v>
      </c>
      <c r="AD213" s="538">
        <f t="shared" si="208"/>
        <v>2024</v>
      </c>
      <c r="AE213" s="538">
        <f t="shared" si="208"/>
        <v>2025</v>
      </c>
      <c r="AF213" s="4"/>
      <c r="AG213" s="4"/>
      <c r="AH213" s="4"/>
      <c r="AI213" s="4"/>
      <c r="AJ213" s="4"/>
      <c r="AK213" s="4"/>
      <c r="AL213" s="4"/>
      <c r="AM213" s="4"/>
      <c r="AN213" s="4"/>
      <c r="AO213" s="4"/>
      <c r="AP213" s="4"/>
      <c r="AQ213" s="4"/>
      <c r="AR213" s="4"/>
      <c r="AS213" s="4"/>
      <c r="AT213" s="1099"/>
      <c r="AU213" s="538">
        <f t="shared" ref="AU213:AZ213" si="209">AU8</f>
        <v>2015</v>
      </c>
      <c r="AV213" s="538">
        <f t="shared" si="209"/>
        <v>2017</v>
      </c>
      <c r="AW213" s="538">
        <f t="shared" si="209"/>
        <v>2018</v>
      </c>
      <c r="AX213" s="538">
        <f t="shared" si="209"/>
        <v>2019</v>
      </c>
      <c r="AY213" s="538">
        <f t="shared" si="209"/>
        <v>2020</v>
      </c>
      <c r="AZ213" s="538">
        <f t="shared" si="209"/>
        <v>2021</v>
      </c>
      <c r="BA213" s="538">
        <f t="shared" ref="BA213:BD213" si="210">BA8</f>
        <v>2022</v>
      </c>
      <c r="BB213" s="538">
        <f t="shared" si="210"/>
        <v>2023</v>
      </c>
      <c r="BC213" s="538">
        <f t="shared" si="210"/>
        <v>2024</v>
      </c>
      <c r="BD213" s="538">
        <f t="shared" si="210"/>
        <v>2025</v>
      </c>
      <c r="BE213" s="4"/>
      <c r="BF213" s="4"/>
      <c r="BG213" s="4"/>
      <c r="BH213" s="4"/>
      <c r="BI213" s="4"/>
      <c r="BJ213" s="4"/>
      <c r="BK213" s="4"/>
      <c r="BL213" s="4"/>
      <c r="BM213" s="4"/>
      <c r="BN213" s="4"/>
      <c r="BO213" s="4"/>
      <c r="BP213" s="4"/>
      <c r="BQ213" s="4"/>
      <c r="BR213" s="4"/>
      <c r="BS213" s="4"/>
      <c r="BT213" s="4"/>
      <c r="BU213" s="4"/>
    </row>
    <row r="214" spans="1:73" x14ac:dyDescent="0.25">
      <c r="A214" s="854"/>
      <c r="B214" s="4" t="s">
        <v>1217</v>
      </c>
      <c r="C214" s="43"/>
      <c r="D214" s="43"/>
      <c r="E214" s="545"/>
      <c r="F214" s="545"/>
      <c r="G214" s="545">
        <f t="shared" ref="G214:K214" si="211">-G203/(G20+G21+G22)</f>
        <v>0.68777968604734985</v>
      </c>
      <c r="H214" s="545">
        <f t="shared" si="211"/>
        <v>0.86030774795822285</v>
      </c>
      <c r="I214" s="545">
        <f t="shared" si="211"/>
        <v>0.81882799033443088</v>
      </c>
      <c r="J214" s="545">
        <f t="shared" si="211"/>
        <v>0.75256334710590855</v>
      </c>
      <c r="K214" s="545">
        <f t="shared" si="211"/>
        <v>0.79693739590956791</v>
      </c>
      <c r="L214" s="1840"/>
      <c r="M214" s="1840"/>
      <c r="N214" s="1840"/>
      <c r="O214" s="1840"/>
      <c r="P214" s="545"/>
      <c r="Q214" s="497"/>
      <c r="R214" s="43"/>
      <c r="S214" s="9"/>
      <c r="T214" s="66"/>
      <c r="U214" s="1026"/>
      <c r="V214" s="545">
        <f t="shared" ref="V214:AA214" si="212">-V24/(V20+V21+V22)</f>
        <v>0.51796307126744112</v>
      </c>
      <c r="W214" s="545">
        <f t="shared" si="212"/>
        <v>0.51754710011082372</v>
      </c>
      <c r="X214" s="545">
        <f t="shared" si="212"/>
        <v>0.44283584204711862</v>
      </c>
      <c r="Y214" s="545">
        <f t="shared" si="212"/>
        <v>0.45846865778903617</v>
      </c>
      <c r="Z214" s="545">
        <f t="shared" si="212"/>
        <v>0.43242394942906698</v>
      </c>
      <c r="AA214" s="545">
        <f t="shared" si="212"/>
        <v>0.43009571172519645</v>
      </c>
      <c r="AB214" s="545">
        <f t="shared" ref="AB214:AE214" si="213">-AB24/(AB20+AB21+AB22)</f>
        <v>0.44310471215575581</v>
      </c>
      <c r="AC214" s="545">
        <f t="shared" si="213"/>
        <v>0.38613580327118602</v>
      </c>
      <c r="AD214" s="545">
        <f>-AD24/(AD20+AD21+AD22)</f>
        <v>0.41355037832688712</v>
      </c>
      <c r="AE214" s="545">
        <f t="shared" si="213"/>
        <v>0.40932183602047462</v>
      </c>
      <c r="AF214" s="4"/>
      <c r="AG214" s="4"/>
      <c r="AH214" s="4"/>
      <c r="AI214" s="4"/>
      <c r="AJ214" s="4"/>
      <c r="AK214" s="4"/>
      <c r="AL214" s="4"/>
      <c r="AM214" s="4"/>
      <c r="AN214" s="4"/>
      <c r="AO214" s="4"/>
      <c r="AP214" s="4"/>
      <c r="AQ214" s="4"/>
      <c r="AR214" s="4"/>
      <c r="AS214" s="4"/>
      <c r="AT214" s="1099"/>
      <c r="AU214" s="545">
        <f t="shared" ref="AU214:AZ214" si="214">-AU24/(AU20+AU21+AU22)</f>
        <v>0.46587178990713074</v>
      </c>
      <c r="AV214" s="545">
        <f t="shared" si="214"/>
        <v>0.4332302385311943</v>
      </c>
      <c r="AW214" s="545">
        <f t="shared" si="214"/>
        <v>0.41688593759529918</v>
      </c>
      <c r="AX214" s="545">
        <f t="shared" si="214"/>
        <v>0.43182200180236613</v>
      </c>
      <c r="AY214" s="545">
        <f t="shared" si="214"/>
        <v>0.4923752820752107</v>
      </c>
      <c r="AZ214" s="545">
        <f t="shared" si="214"/>
        <v>0.48135702608083181</v>
      </c>
      <c r="BA214" s="545">
        <f t="shared" ref="BA214:BD214" si="215">-BA24/(BA20+BA21+BA22)</f>
        <v>0.42380578100489846</v>
      </c>
      <c r="BB214" s="545">
        <f t="shared" si="215"/>
        <v>0.42678203488368849</v>
      </c>
      <c r="BC214" s="545">
        <f t="shared" si="215"/>
        <v>0.42317847217609533</v>
      </c>
      <c r="BD214" s="545">
        <f t="shared" si="215"/>
        <v>0.45875465117390657</v>
      </c>
      <c r="BE214" s="4"/>
      <c r="BF214" s="4"/>
      <c r="BG214" s="4"/>
      <c r="BH214" s="4"/>
      <c r="BI214" s="4"/>
      <c r="BJ214" s="4"/>
      <c r="BK214" s="4"/>
      <c r="BL214" s="4"/>
      <c r="BM214" s="4"/>
      <c r="BN214" s="4"/>
      <c r="BO214" s="4"/>
      <c r="BP214" s="4"/>
      <c r="BQ214" s="4"/>
      <c r="BR214" s="4"/>
      <c r="BS214" s="4"/>
      <c r="BT214" s="4"/>
      <c r="BU214" s="4"/>
    </row>
    <row r="215" spans="1:73" x14ac:dyDescent="0.25">
      <c r="A215" s="854"/>
      <c r="B215" s="4" t="s">
        <v>1216</v>
      </c>
      <c r="C215" s="43"/>
      <c r="D215" s="43"/>
      <c r="E215" s="545"/>
      <c r="F215" s="545"/>
      <c r="G215" s="543">
        <f t="shared" ref="G215:K215" si="216">-G203/G289</f>
        <v>1.8603932908277634E-2</v>
      </c>
      <c r="H215" s="543">
        <f t="shared" si="216"/>
        <v>2.7072915918608609E-2</v>
      </c>
      <c r="I215" s="543">
        <f t="shared" si="216"/>
        <v>2.4069400429576549E-2</v>
      </c>
      <c r="J215" s="543">
        <f t="shared" si="216"/>
        <v>2.3551166276902891E-2</v>
      </c>
      <c r="K215" s="543">
        <f t="shared" si="216"/>
        <v>2.6615827486872062E-2</v>
      </c>
      <c r="L215" s="1841"/>
      <c r="M215" s="1841"/>
      <c r="N215" s="1841"/>
      <c r="O215" s="1841"/>
      <c r="P215" s="543"/>
      <c r="Q215" s="497"/>
      <c r="R215" s="43"/>
      <c r="S215" s="9"/>
      <c r="T215" s="66"/>
      <c r="U215" s="1026"/>
      <c r="V215" s="543">
        <f t="shared" ref="V215:AE215" si="217">-V24/V289</f>
        <v>1.643360968642836E-2</v>
      </c>
      <c r="W215" s="543">
        <f t="shared" si="217"/>
        <v>2.3955943268479392E-2</v>
      </c>
      <c r="X215" s="543">
        <f t="shared" si="217"/>
        <v>2.281829870507995E-2</v>
      </c>
      <c r="Y215" s="543">
        <f t="shared" si="217"/>
        <v>2.3614340055209099E-2</v>
      </c>
      <c r="Z215" s="543">
        <f t="shared" si="217"/>
        <v>2.1970684040380106E-2</v>
      </c>
      <c r="AA215" s="543">
        <f t="shared" si="217"/>
        <v>2.1516075457086947E-2</v>
      </c>
      <c r="AB215" s="543">
        <f t="shared" si="217"/>
        <v>2.0196351212338971E-2</v>
      </c>
      <c r="AC215" s="543">
        <f t="shared" si="217"/>
        <v>2.0287606005897213E-2</v>
      </c>
      <c r="AD215" s="543">
        <f t="shared" si="217"/>
        <v>1.9945702965797722E-2</v>
      </c>
      <c r="AE215" s="543">
        <f t="shared" si="217"/>
        <v>2.0246010838193253E-2</v>
      </c>
      <c r="AF215" s="4"/>
      <c r="AG215" s="4"/>
      <c r="AH215" s="4"/>
      <c r="AI215" s="4"/>
      <c r="AJ215" s="4"/>
      <c r="AK215" s="4"/>
      <c r="AL215" s="4"/>
      <c r="AM215" s="4"/>
      <c r="AN215" s="4"/>
      <c r="AO215" s="4"/>
      <c r="AP215" s="4"/>
      <c r="AQ215" s="4"/>
      <c r="AR215" s="4"/>
      <c r="AS215" s="4"/>
      <c r="AT215" s="1099"/>
      <c r="AU215" s="543">
        <f t="shared" ref="AU215:BD215" si="218">-AU24/AU289</f>
        <v>1.5514781871421456E-2</v>
      </c>
      <c r="AV215" s="543">
        <f t="shared" si="218"/>
        <v>1.5162546535588302E-2</v>
      </c>
      <c r="AW215" s="543">
        <f t="shared" si="218"/>
        <v>1.5111097020076882E-2</v>
      </c>
      <c r="AX215" s="543">
        <f t="shared" si="218"/>
        <v>1.5071414414393925E-2</v>
      </c>
      <c r="AY215" s="543">
        <f t="shared" si="218"/>
        <v>1.4921612447264013E-2</v>
      </c>
      <c r="AZ215" s="543">
        <f t="shared" si="218"/>
        <v>1.3349022182974469E-2</v>
      </c>
      <c r="BA215" s="543">
        <f t="shared" si="218"/>
        <v>1.324026774521744E-2</v>
      </c>
      <c r="BB215" s="543">
        <f t="shared" si="218"/>
        <v>1.4358723663192449E-2</v>
      </c>
      <c r="BC215" s="543">
        <f t="shared" si="218"/>
        <v>1.4169441551147579E-2</v>
      </c>
      <c r="BD215" s="543">
        <f t="shared" si="218"/>
        <v>1.4470318390012289E-2</v>
      </c>
      <c r="BE215" s="4"/>
      <c r="BF215" s="4"/>
      <c r="BG215" s="4"/>
      <c r="BH215" s="4"/>
      <c r="BI215" s="4"/>
      <c r="BJ215" s="4"/>
      <c r="BK215" s="4"/>
      <c r="BL215" s="4"/>
      <c r="BM215" s="4"/>
      <c r="BN215" s="4"/>
      <c r="BO215" s="4"/>
      <c r="BP215" s="4"/>
      <c r="BQ215" s="4"/>
      <c r="BR215" s="4"/>
      <c r="BS215" s="4"/>
      <c r="BT215" s="4"/>
      <c r="BU215" s="4"/>
    </row>
    <row r="216" spans="1:73" x14ac:dyDescent="0.25">
      <c r="A216" s="854"/>
      <c r="B216" s="4"/>
      <c r="C216" s="43"/>
      <c r="D216" s="43"/>
      <c r="E216" s="497"/>
      <c r="F216" s="497"/>
      <c r="G216" s="497"/>
      <c r="H216" s="497"/>
      <c r="I216" s="498"/>
      <c r="J216" s="498"/>
      <c r="K216" s="498"/>
      <c r="L216" s="498"/>
      <c r="M216" s="498"/>
      <c r="N216" s="498"/>
      <c r="O216" s="498"/>
      <c r="P216" s="498"/>
      <c r="Q216" s="497"/>
      <c r="R216" s="43"/>
      <c r="S216" s="9"/>
      <c r="T216" s="66"/>
      <c r="U216" s="1026"/>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1099"/>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row>
    <row r="217" spans="1:73" x14ac:dyDescent="0.25">
      <c r="A217" s="854"/>
      <c r="B217" s="4"/>
      <c r="C217" s="43"/>
      <c r="D217" s="43"/>
      <c r="E217" s="497"/>
      <c r="F217" s="497"/>
      <c r="G217" s="497"/>
      <c r="H217" s="497"/>
      <c r="I217" s="498"/>
      <c r="J217" s="498"/>
      <c r="K217" s="498"/>
      <c r="L217" s="498"/>
      <c r="M217" s="498"/>
      <c r="N217" s="498"/>
      <c r="O217" s="498"/>
      <c r="P217" s="498"/>
      <c r="Q217" s="497"/>
      <c r="R217" s="43"/>
      <c r="S217" s="9"/>
      <c r="T217" s="66"/>
      <c r="U217" s="1026"/>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1099"/>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row>
    <row r="218" spans="1:73" x14ac:dyDescent="0.25">
      <c r="A218" s="854"/>
      <c r="C218" s="43"/>
      <c r="D218" s="43"/>
      <c r="F218" s="497"/>
      <c r="G218" s="497" t="s">
        <v>348</v>
      </c>
      <c r="H218" s="497"/>
      <c r="I218" s="498"/>
      <c r="J218" s="498"/>
      <c r="K218" s="498"/>
      <c r="L218" s="498"/>
      <c r="M218" s="498"/>
      <c r="N218" s="498"/>
      <c r="O218" s="498"/>
      <c r="P218" s="498"/>
      <c r="Q218" s="497"/>
      <c r="R218" s="43"/>
      <c r="S218" s="9"/>
      <c r="T218" s="66"/>
      <c r="U218" s="1026"/>
      <c r="V218" s="497" t="s">
        <v>348</v>
      </c>
      <c r="W218" s="497"/>
      <c r="X218" s="497"/>
      <c r="Y218" s="497"/>
      <c r="Z218" s="497"/>
      <c r="AA218" s="497"/>
      <c r="AB218" s="497"/>
      <c r="AC218" s="497"/>
      <c r="AD218" s="497"/>
      <c r="AE218" s="497"/>
      <c r="AF218" s="4"/>
      <c r="AG218" s="4"/>
      <c r="AH218" s="4"/>
      <c r="AI218" s="4"/>
      <c r="AJ218" s="4"/>
      <c r="AK218" s="4"/>
      <c r="AL218" s="4"/>
      <c r="AM218" s="4"/>
      <c r="AN218" s="4"/>
      <c r="AO218" s="4"/>
      <c r="AP218" s="4"/>
      <c r="AQ218" s="4"/>
      <c r="AR218" s="4"/>
      <c r="AS218" s="4"/>
      <c r="AT218" s="1099"/>
      <c r="AU218" s="497" t="s">
        <v>348</v>
      </c>
      <c r="AV218" s="497"/>
      <c r="AW218" s="497"/>
      <c r="AX218" s="497"/>
      <c r="AY218" s="497"/>
      <c r="AZ218" s="497"/>
      <c r="BA218" s="497"/>
      <c r="BB218" s="497"/>
      <c r="BC218" s="497"/>
      <c r="BD218" s="497"/>
      <c r="BE218" s="4"/>
      <c r="BF218" s="4"/>
      <c r="BG218" s="4"/>
      <c r="BH218" s="4"/>
      <c r="BI218" s="4"/>
      <c r="BJ218" s="4"/>
      <c r="BK218" s="4"/>
      <c r="BL218" s="4"/>
      <c r="BM218" s="4"/>
      <c r="BN218" s="4"/>
      <c r="BO218" s="4"/>
      <c r="BP218" s="4"/>
      <c r="BQ218" s="4"/>
      <c r="BR218" s="4"/>
      <c r="BS218" s="4"/>
      <c r="BT218" s="4"/>
      <c r="BU218" s="4"/>
    </row>
    <row r="219" spans="1:73" x14ac:dyDescent="0.25">
      <c r="A219" s="854"/>
      <c r="B219" s="15"/>
      <c r="C219" s="537"/>
      <c r="D219" s="537"/>
      <c r="E219" s="538"/>
      <c r="F219" s="538"/>
      <c r="G219" s="538">
        <f t="shared" ref="G219:O219" si="219">G8</f>
        <v>2017</v>
      </c>
      <c r="H219" s="538">
        <f t="shared" si="219"/>
        <v>2018</v>
      </c>
      <c r="I219" s="538">
        <f t="shared" si="219"/>
        <v>2019</v>
      </c>
      <c r="J219" s="538">
        <f t="shared" si="219"/>
        <v>2020</v>
      </c>
      <c r="K219" s="538">
        <f t="shared" si="219"/>
        <v>2021</v>
      </c>
      <c r="L219" s="538">
        <f t="shared" si="219"/>
        <v>2022</v>
      </c>
      <c r="M219" s="538">
        <f t="shared" si="219"/>
        <v>2023</v>
      </c>
      <c r="N219" s="538">
        <f t="shared" si="219"/>
        <v>2024</v>
      </c>
      <c r="O219" s="538">
        <f t="shared" si="219"/>
        <v>2025</v>
      </c>
      <c r="P219" s="1747"/>
      <c r="Q219" s="497"/>
      <c r="R219" s="43"/>
      <c r="S219" s="9"/>
      <c r="T219" s="66"/>
      <c r="U219" s="1026"/>
      <c r="V219" s="538">
        <f t="shared" ref="V219:AA219" si="220">V8</f>
        <v>2015</v>
      </c>
      <c r="W219" s="538">
        <f t="shared" si="220"/>
        <v>2017</v>
      </c>
      <c r="X219" s="538">
        <f t="shared" si="220"/>
        <v>2018</v>
      </c>
      <c r="Y219" s="538">
        <f t="shared" si="220"/>
        <v>2019</v>
      </c>
      <c r="Z219" s="538">
        <f t="shared" si="220"/>
        <v>2020</v>
      </c>
      <c r="AA219" s="538">
        <f t="shared" si="220"/>
        <v>2021</v>
      </c>
      <c r="AB219" s="538">
        <f t="shared" ref="AB219:AE219" si="221">AB8</f>
        <v>2022</v>
      </c>
      <c r="AC219" s="538">
        <f t="shared" si="221"/>
        <v>2023</v>
      </c>
      <c r="AD219" s="538">
        <f t="shared" si="221"/>
        <v>2024</v>
      </c>
      <c r="AE219" s="538">
        <f t="shared" si="221"/>
        <v>2025</v>
      </c>
      <c r="AF219" s="4"/>
      <c r="AG219" s="4"/>
      <c r="AH219" s="4"/>
      <c r="AI219" s="4"/>
      <c r="AJ219" s="4"/>
      <c r="AK219" s="4"/>
      <c r="AL219" s="4"/>
      <c r="AM219" s="4"/>
      <c r="AN219" s="4"/>
      <c r="AO219" s="4"/>
      <c r="AP219" s="4"/>
      <c r="AQ219" s="4"/>
      <c r="AR219" s="4"/>
      <c r="AS219" s="4"/>
      <c r="AT219" s="1099"/>
      <c r="AU219" s="538">
        <f t="shared" ref="AU219:AZ219" si="222">AU8</f>
        <v>2015</v>
      </c>
      <c r="AV219" s="538">
        <f t="shared" si="222"/>
        <v>2017</v>
      </c>
      <c r="AW219" s="538">
        <f t="shared" si="222"/>
        <v>2018</v>
      </c>
      <c r="AX219" s="538">
        <f t="shared" si="222"/>
        <v>2019</v>
      </c>
      <c r="AY219" s="538">
        <f t="shared" si="222"/>
        <v>2020</v>
      </c>
      <c r="AZ219" s="538">
        <f t="shared" si="222"/>
        <v>2021</v>
      </c>
      <c r="BA219" s="538">
        <f t="shared" ref="BA219:BD219" si="223">BA8</f>
        <v>2022</v>
      </c>
      <c r="BB219" s="538">
        <f t="shared" si="223"/>
        <v>2023</v>
      </c>
      <c r="BC219" s="538">
        <f t="shared" si="223"/>
        <v>2024</v>
      </c>
      <c r="BD219" s="538">
        <f t="shared" si="223"/>
        <v>2025</v>
      </c>
      <c r="BE219" s="4"/>
      <c r="BF219" s="4"/>
      <c r="BG219" s="4"/>
      <c r="BH219" s="4"/>
      <c r="BI219" s="4"/>
      <c r="BJ219" s="4"/>
      <c r="BK219" s="4"/>
      <c r="BL219" s="4"/>
      <c r="BM219" s="4"/>
      <c r="BN219" s="4"/>
      <c r="BO219" s="4"/>
      <c r="BP219" s="4"/>
      <c r="BQ219" s="4"/>
      <c r="BR219" s="4"/>
      <c r="BS219" s="4"/>
      <c r="BT219" s="4"/>
      <c r="BU219" s="4"/>
    </row>
    <row r="220" spans="1:73" x14ac:dyDescent="0.25">
      <c r="A220" s="854"/>
      <c r="B220" s="4" t="s">
        <v>1116</v>
      </c>
      <c r="C220" s="43"/>
      <c r="D220" s="43"/>
      <c r="E220" s="543"/>
      <c r="F220" s="543"/>
      <c r="G220" s="543"/>
      <c r="H220" s="543"/>
      <c r="I220" s="557">
        <f>AVERAGE(G176:I176)</f>
        <v>2.1265821612153329E-2</v>
      </c>
      <c r="J220" s="557">
        <f>AVERAGE(H176:J176)</f>
        <v>2.2228738126115245E-2</v>
      </c>
      <c r="K220" s="557">
        <f>AVERAGE(I176:K176)</f>
        <v>2.2116186114715924E-2</v>
      </c>
      <c r="L220" s="557">
        <f t="shared" ref="L220:O220" si="224">AVERAGE(J176:L176)</f>
        <v>2.208299404111554E-2</v>
      </c>
      <c r="M220" s="557">
        <f t="shared" si="224"/>
        <v>2.6927307630138241E-2</v>
      </c>
      <c r="N220" s="557">
        <f t="shared" si="224"/>
        <v>3.6031755995364588E-2</v>
      </c>
      <c r="O220" s="557" t="e">
        <f t="shared" si="224"/>
        <v>#DIV/0!</v>
      </c>
      <c r="P220" s="801"/>
      <c r="Q220" s="497"/>
      <c r="R220" s="43"/>
      <c r="S220" s="9"/>
      <c r="T220" s="66"/>
      <c r="U220" s="1026"/>
      <c r="V220" s="4"/>
      <c r="W220" s="4"/>
      <c r="X220" s="4"/>
      <c r="Y220" s="557">
        <f>AVERAGE(X176:Y176)</f>
        <v>3.8476204015704007E-2</v>
      </c>
      <c r="Z220" s="557">
        <f>AVERAGE(Y176:Z176)</f>
        <v>3.7791559240718559E-2</v>
      </c>
      <c r="AA220" s="557">
        <f>AVERAGE(Y176:AA176)</f>
        <v>3.731028452450668E-2</v>
      </c>
      <c r="AB220" s="557">
        <f t="shared" ref="AB220:AE220" si="225">AVERAGE(Z176:AB176)</f>
        <v>3.5566033517600799E-2</v>
      </c>
      <c r="AC220" s="557">
        <f t="shared" si="225"/>
        <v>3.6291026432393701E-2</v>
      </c>
      <c r="AD220" s="557">
        <f t="shared" si="225"/>
        <v>3.6267429787343042E-2</v>
      </c>
      <c r="AE220" s="557">
        <f t="shared" si="225"/>
        <v>3.7943508202631406E-2</v>
      </c>
      <c r="AF220" s="4"/>
      <c r="AG220" s="4"/>
      <c r="AH220" s="4"/>
      <c r="AI220" s="4"/>
      <c r="AJ220" s="4"/>
      <c r="AK220" s="4"/>
      <c r="AL220" s="4"/>
      <c r="AM220" s="4"/>
      <c r="AN220" s="4"/>
      <c r="AO220" s="4"/>
      <c r="AP220" s="4"/>
      <c r="AQ220" s="4"/>
      <c r="AR220" s="4"/>
      <c r="AS220" s="4"/>
      <c r="AT220" s="1099"/>
      <c r="AU220" s="4"/>
      <c r="AV220" s="4"/>
      <c r="AW220" s="4"/>
      <c r="AX220" s="543">
        <f>AVERAGE(AV176:AX176)</f>
        <v>2.9894928047592504E-2</v>
      </c>
      <c r="AY220" s="543">
        <f>AVERAGE(AX176:AY176)</f>
        <v>2.7940919362993338E-2</v>
      </c>
      <c r="AZ220" s="543">
        <f>AVERAGE(AY176:AZ176)</f>
        <v>2.4569099054886946E-2</v>
      </c>
      <c r="BA220" s="543">
        <f t="shared" ref="BA220:BD220" si="226">AVERAGE(AZ176:BA176)</f>
        <v>2.4954370010749807E-2</v>
      </c>
      <c r="BB220" s="543">
        <f t="shared" si="226"/>
        <v>2.8157276255948726E-2</v>
      </c>
      <c r="BC220" s="543">
        <f t="shared" si="226"/>
        <v>2.9172136554297727E-2</v>
      </c>
      <c r="BD220" s="543">
        <f t="shared" si="226"/>
        <v>2.7716378608134327E-2</v>
      </c>
      <c r="BE220" s="4"/>
      <c r="BF220" s="4"/>
      <c r="BG220" s="4"/>
      <c r="BH220" s="4"/>
      <c r="BI220" s="4"/>
      <c r="BJ220" s="4"/>
      <c r="BK220" s="4"/>
      <c r="BL220" s="4"/>
      <c r="BM220" s="4"/>
      <c r="BN220" s="4"/>
      <c r="BO220" s="4"/>
      <c r="BP220" s="4"/>
      <c r="BQ220" s="4"/>
      <c r="BR220" s="4"/>
      <c r="BS220" s="4"/>
      <c r="BT220" s="4"/>
      <c r="BU220" s="4"/>
    </row>
    <row r="221" spans="1:73" x14ac:dyDescent="0.25">
      <c r="A221" s="854"/>
      <c r="B221" s="4" t="s">
        <v>1117</v>
      </c>
      <c r="C221" s="43"/>
      <c r="D221" s="43"/>
      <c r="E221" s="543"/>
      <c r="F221" s="543"/>
      <c r="G221" s="543"/>
      <c r="H221" s="543"/>
      <c r="I221" s="557">
        <f>AVERAGE(G214:I214)</f>
        <v>0.78897180811333456</v>
      </c>
      <c r="J221" s="557">
        <f>AVERAGE(H214:J214)</f>
        <v>0.81056636179952068</v>
      </c>
      <c r="K221" s="557">
        <f>AVERAGE(I214:K214)</f>
        <v>0.78944291111663578</v>
      </c>
      <c r="L221" s="1910"/>
      <c r="M221" s="1910"/>
      <c r="N221" s="1910"/>
      <c r="O221" s="1910"/>
      <c r="P221" s="801"/>
      <c r="Q221" s="497"/>
      <c r="R221" s="43"/>
      <c r="S221" s="9"/>
      <c r="T221" s="66"/>
      <c r="U221" s="1026"/>
      <c r="V221" s="4"/>
      <c r="W221" s="4"/>
      <c r="X221" s="4"/>
      <c r="Y221" s="557">
        <f>AVERAGE(X214:Y214)</f>
        <v>0.4506522499180774</v>
      </c>
      <c r="Z221" s="557">
        <f>AVERAGE(Y214:Z214)</f>
        <v>0.44544630360905157</v>
      </c>
      <c r="AA221" s="557">
        <f>AVERAGE(Y214:AA214)</f>
        <v>0.44032943964776655</v>
      </c>
      <c r="AB221" s="557">
        <f t="shared" ref="AB221:AE221" si="227">AVERAGE(Z214:AB214)</f>
        <v>0.43520812443667306</v>
      </c>
      <c r="AC221" s="557">
        <f t="shared" si="227"/>
        <v>0.41977874238404606</v>
      </c>
      <c r="AD221" s="557">
        <f t="shared" si="227"/>
        <v>0.41426363125127635</v>
      </c>
      <c r="AE221" s="557">
        <f t="shared" si="227"/>
        <v>0.40300267253951594</v>
      </c>
      <c r="AF221" s="4"/>
      <c r="AG221" s="4"/>
      <c r="AH221" s="4"/>
      <c r="AI221" s="4"/>
      <c r="AJ221" s="4"/>
      <c r="AK221" s="4"/>
      <c r="AL221" s="4"/>
      <c r="AM221" s="4"/>
      <c r="AN221" s="4"/>
      <c r="AO221" s="4"/>
      <c r="AP221" s="4"/>
      <c r="AQ221" s="4"/>
      <c r="AR221" s="4"/>
      <c r="AS221" s="4"/>
      <c r="AT221" s="1099"/>
      <c r="AU221" s="4"/>
      <c r="AV221" s="4"/>
      <c r="AW221" s="4"/>
      <c r="AX221" s="544">
        <f>AVERAGE(AV214:AX214)</f>
        <v>0.42731272597628656</v>
      </c>
      <c r="AY221" s="544">
        <f>AVERAGE(AX214:AY214)</f>
        <v>0.46209864193878841</v>
      </c>
      <c r="AZ221" s="544">
        <f>AVERAGE(AY214:AZ214)</f>
        <v>0.48686615407802125</v>
      </c>
      <c r="BA221" s="544">
        <f t="shared" ref="BA221:BD221" si="228">AVERAGE(AZ214:BA214)</f>
        <v>0.45258140354286513</v>
      </c>
      <c r="BB221" s="544">
        <f t="shared" si="228"/>
        <v>0.42529390794429345</v>
      </c>
      <c r="BC221" s="544">
        <f t="shared" si="228"/>
        <v>0.42498025352989188</v>
      </c>
      <c r="BD221" s="544">
        <f t="shared" si="228"/>
        <v>0.44096656167500092</v>
      </c>
      <c r="BE221" s="4"/>
      <c r="BF221" s="4"/>
      <c r="BG221" s="4"/>
      <c r="BH221" s="4"/>
      <c r="BI221" s="4"/>
      <c r="BJ221" s="4"/>
      <c r="BK221" s="4"/>
      <c r="BL221" s="4"/>
      <c r="BM221" s="4"/>
      <c r="BN221" s="4"/>
      <c r="BO221" s="4"/>
      <c r="BP221" s="4"/>
      <c r="BQ221" s="4"/>
      <c r="BR221" s="4"/>
      <c r="BS221" s="4"/>
      <c r="BT221" s="4"/>
      <c r="BU221" s="4"/>
    </row>
    <row r="222" spans="1:73" x14ac:dyDescent="0.25">
      <c r="A222" s="854"/>
      <c r="B222" s="4"/>
      <c r="C222" s="43"/>
      <c r="D222" s="43"/>
      <c r="E222" s="497"/>
      <c r="F222" s="497"/>
      <c r="G222" s="497"/>
      <c r="H222" s="497"/>
      <c r="I222" s="498"/>
      <c r="J222" s="498"/>
      <c r="K222" s="498"/>
      <c r="L222" s="498"/>
      <c r="M222" s="498"/>
      <c r="N222" s="498"/>
      <c r="O222" s="498"/>
      <c r="P222" s="498"/>
      <c r="Q222" s="497"/>
      <c r="R222" s="43"/>
      <c r="S222" s="9"/>
      <c r="T222" s="66"/>
      <c r="U222" s="1026"/>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1099"/>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row>
    <row r="223" spans="1:73" x14ac:dyDescent="0.25">
      <c r="A223" s="854"/>
      <c r="B223" s="4"/>
      <c r="C223" s="43"/>
      <c r="D223" s="43"/>
      <c r="E223" s="497"/>
      <c r="F223" s="497"/>
      <c r="G223" s="497"/>
      <c r="H223" s="497"/>
      <c r="I223" s="498"/>
      <c r="J223" s="498"/>
      <c r="K223" s="498"/>
      <c r="L223" s="498"/>
      <c r="M223" s="498"/>
      <c r="N223" s="498"/>
      <c r="O223" s="498"/>
      <c r="P223" s="498"/>
      <c r="Q223" s="497"/>
      <c r="R223" s="43"/>
      <c r="S223" s="9"/>
      <c r="T223" s="66"/>
      <c r="U223" s="1026"/>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1099"/>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row>
    <row r="224" spans="1:73" x14ac:dyDescent="0.25">
      <c r="A224" s="854"/>
      <c r="B224" s="4"/>
      <c r="C224" s="43"/>
      <c r="D224" s="43"/>
      <c r="E224" s="497"/>
      <c r="F224" s="497"/>
      <c r="G224" s="497"/>
      <c r="H224" s="497"/>
      <c r="I224" s="498"/>
      <c r="J224" s="498"/>
      <c r="K224" s="498"/>
      <c r="L224" s="498"/>
      <c r="M224" s="498"/>
      <c r="N224" s="498"/>
      <c r="O224" s="498"/>
      <c r="P224" s="498"/>
      <c r="Q224" s="497"/>
      <c r="R224" s="43"/>
      <c r="S224" s="9"/>
      <c r="T224" s="66"/>
      <c r="U224" s="1026"/>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1099"/>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row>
    <row r="225" spans="1:73" x14ac:dyDescent="0.25">
      <c r="A225" s="854"/>
      <c r="B225" s="4"/>
      <c r="C225" s="43"/>
      <c r="D225" s="43"/>
      <c r="E225" s="497"/>
      <c r="F225" s="497"/>
      <c r="G225" s="497"/>
      <c r="H225" s="497"/>
      <c r="I225" s="498"/>
      <c r="J225" s="498"/>
      <c r="K225" s="498"/>
      <c r="L225" s="498"/>
      <c r="M225" s="498"/>
      <c r="N225" s="498"/>
      <c r="O225" s="498"/>
      <c r="P225" s="498"/>
      <c r="Q225" s="497"/>
      <c r="R225" s="43"/>
      <c r="S225" s="9"/>
      <c r="T225" s="66"/>
      <c r="U225" s="1026"/>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1099"/>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row>
    <row r="226" spans="1:73" x14ac:dyDescent="0.25">
      <c r="A226" s="854"/>
      <c r="B226" s="4"/>
      <c r="C226" s="43"/>
      <c r="D226" s="43"/>
      <c r="E226" s="497"/>
      <c r="F226" s="497"/>
      <c r="G226" s="497"/>
      <c r="H226" s="497"/>
      <c r="I226" s="498"/>
      <c r="J226" s="498"/>
      <c r="K226" s="498"/>
      <c r="L226" s="498"/>
      <c r="M226" s="498"/>
      <c r="N226" s="498"/>
      <c r="O226" s="498"/>
      <c r="P226" s="498"/>
      <c r="Q226" s="497"/>
      <c r="R226" s="43"/>
      <c r="S226" s="9"/>
      <c r="T226" s="66"/>
      <c r="U226" s="1026"/>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1099"/>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row>
    <row r="227" spans="1:73" x14ac:dyDescent="0.25">
      <c r="A227" s="854"/>
      <c r="B227" s="4"/>
      <c r="C227" s="43"/>
      <c r="D227" s="43"/>
      <c r="E227" s="497"/>
      <c r="F227" s="497"/>
      <c r="G227" s="497"/>
      <c r="H227" s="497"/>
      <c r="I227" s="498"/>
      <c r="J227" s="498"/>
      <c r="K227" s="498"/>
      <c r="L227" s="498"/>
      <c r="M227" s="498"/>
      <c r="N227" s="498"/>
      <c r="O227" s="498"/>
      <c r="P227" s="498"/>
      <c r="Q227" s="497"/>
      <c r="R227" s="43"/>
      <c r="S227" s="9"/>
      <c r="T227" s="66"/>
      <c r="U227" s="1026"/>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1099"/>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row>
    <row r="228" spans="1:73" x14ac:dyDescent="0.25">
      <c r="A228" s="854"/>
      <c r="B228" s="4"/>
      <c r="C228" s="43"/>
      <c r="D228" s="43"/>
      <c r="E228" s="497"/>
      <c r="F228" s="497"/>
      <c r="G228" s="497"/>
      <c r="H228" s="497"/>
      <c r="I228" s="498"/>
      <c r="J228" s="498"/>
      <c r="K228" s="498"/>
      <c r="L228" s="498"/>
      <c r="M228" s="498"/>
      <c r="N228" s="498"/>
      <c r="O228" s="498"/>
      <c r="P228" s="498"/>
      <c r="Q228" s="497"/>
      <c r="R228" s="43"/>
      <c r="S228" s="9"/>
      <c r="T228" s="66"/>
      <c r="U228" s="1026"/>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1099"/>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row>
    <row r="229" spans="1:73" x14ac:dyDescent="0.25">
      <c r="A229" s="854"/>
      <c r="B229" s="4"/>
      <c r="C229" s="43"/>
      <c r="D229" s="43"/>
      <c r="E229" s="497"/>
      <c r="F229" s="497"/>
      <c r="G229" s="497"/>
      <c r="H229" s="497"/>
      <c r="I229" s="498"/>
      <c r="J229" s="498"/>
      <c r="K229" s="498"/>
      <c r="L229" s="498"/>
      <c r="M229" s="498"/>
      <c r="N229" s="498"/>
      <c r="O229" s="498"/>
      <c r="P229" s="498"/>
      <c r="Q229" s="497"/>
      <c r="R229" s="43"/>
      <c r="S229" s="9"/>
      <c r="T229" s="66"/>
      <c r="U229" s="1026"/>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1099"/>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row>
    <row r="230" spans="1:73" x14ac:dyDescent="0.25">
      <c r="A230" s="854"/>
      <c r="B230" s="4"/>
      <c r="C230" s="43"/>
      <c r="D230" s="43"/>
      <c r="E230" s="497"/>
      <c r="F230" s="497"/>
      <c r="G230" s="497"/>
      <c r="H230" s="497"/>
      <c r="I230" s="498"/>
      <c r="J230" s="498"/>
      <c r="K230" s="498"/>
      <c r="L230" s="498"/>
      <c r="M230" s="498"/>
      <c r="N230" s="498"/>
      <c r="O230" s="498"/>
      <c r="P230" s="498"/>
      <c r="Q230" s="497"/>
      <c r="R230" s="43"/>
      <c r="S230" s="9"/>
      <c r="T230" s="66"/>
      <c r="U230" s="1026"/>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1099"/>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row>
    <row r="231" spans="1:73" x14ac:dyDescent="0.25">
      <c r="A231" s="854"/>
      <c r="B231" s="4"/>
      <c r="C231" s="43"/>
      <c r="D231" s="43"/>
      <c r="E231" s="497"/>
      <c r="F231" s="497"/>
      <c r="G231" s="497"/>
      <c r="H231" s="497"/>
      <c r="I231" s="498"/>
      <c r="J231" s="498"/>
      <c r="K231" s="498"/>
      <c r="L231" s="498"/>
      <c r="M231" s="498"/>
      <c r="N231" s="498"/>
      <c r="O231" s="498"/>
      <c r="P231" s="498"/>
      <c r="Q231" s="497"/>
      <c r="R231" s="43"/>
      <c r="S231" s="9"/>
      <c r="T231" s="66"/>
      <c r="U231" s="1026"/>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1099"/>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row>
    <row r="232" spans="1:73" x14ac:dyDescent="0.25">
      <c r="A232" s="854"/>
      <c r="B232" s="4"/>
      <c r="C232" s="43"/>
      <c r="D232" s="43"/>
      <c r="E232" s="497"/>
      <c r="F232" s="497"/>
      <c r="G232" s="497"/>
      <c r="H232" s="497"/>
      <c r="I232" s="498"/>
      <c r="J232" s="498"/>
      <c r="K232" s="498"/>
      <c r="L232" s="498"/>
      <c r="M232" s="498"/>
      <c r="N232" s="498"/>
      <c r="O232" s="498"/>
      <c r="P232" s="498"/>
      <c r="Q232" s="497"/>
      <c r="R232" s="43"/>
      <c r="S232" s="9"/>
      <c r="T232" s="66"/>
      <c r="U232" s="1026"/>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1099"/>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row>
    <row r="233" spans="1:73" x14ac:dyDescent="0.25">
      <c r="A233" s="854"/>
      <c r="C233" s="43">
        <v>1</v>
      </c>
      <c r="D233" s="802" t="s">
        <v>1118</v>
      </c>
      <c r="E233" s="497"/>
      <c r="F233" s="497"/>
      <c r="G233" s="497"/>
      <c r="H233" s="497"/>
      <c r="I233" s="498"/>
      <c r="J233" s="498"/>
      <c r="K233" s="498"/>
      <c r="L233" s="498"/>
      <c r="M233" s="498"/>
      <c r="N233" s="498"/>
      <c r="O233" s="498"/>
      <c r="P233" s="498"/>
      <c r="Q233" s="497"/>
      <c r="R233" s="43"/>
      <c r="S233" s="9"/>
      <c r="T233" s="66"/>
      <c r="U233" s="1026"/>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1099"/>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row>
    <row r="234" spans="1:73" x14ac:dyDescent="0.25">
      <c r="A234" s="854"/>
      <c r="B234" s="4"/>
      <c r="C234" s="43">
        <v>2</v>
      </c>
      <c r="D234" s="802" t="s">
        <v>1119</v>
      </c>
      <c r="E234" s="497"/>
      <c r="F234" s="497"/>
      <c r="G234" s="497"/>
      <c r="H234" s="497"/>
      <c r="I234" s="498"/>
      <c r="J234" s="498"/>
      <c r="K234" s="498"/>
      <c r="L234" s="498"/>
      <c r="M234" s="498"/>
      <c r="N234" s="498"/>
      <c r="O234" s="498"/>
      <c r="P234" s="498"/>
      <c r="Q234" s="497"/>
      <c r="R234" s="43"/>
      <c r="S234" s="9"/>
      <c r="T234" s="66"/>
      <c r="U234" s="1026"/>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1099"/>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row>
    <row r="235" spans="1:73" x14ac:dyDescent="0.25">
      <c r="A235" s="854"/>
      <c r="B235" s="4"/>
      <c r="C235" s="43">
        <v>3</v>
      </c>
      <c r="D235" s="802" t="s">
        <v>1120</v>
      </c>
      <c r="E235" s="497"/>
      <c r="F235" s="497"/>
      <c r="G235" s="497"/>
      <c r="H235" s="497"/>
      <c r="I235" s="498"/>
      <c r="J235" s="498"/>
      <c r="K235" s="498"/>
      <c r="L235" s="498"/>
      <c r="M235" s="498"/>
      <c r="N235" s="498"/>
      <c r="O235" s="498"/>
      <c r="P235" s="498"/>
      <c r="Q235" s="497"/>
      <c r="R235" s="43"/>
      <c r="S235" s="9"/>
      <c r="T235" s="66"/>
      <c r="U235" s="1026"/>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1099"/>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row>
    <row r="236" spans="1:73" x14ac:dyDescent="0.25">
      <c r="A236" s="854"/>
      <c r="B236" s="4"/>
      <c r="C236" s="43">
        <v>4</v>
      </c>
      <c r="D236" s="802" t="s">
        <v>1121</v>
      </c>
      <c r="E236" s="497"/>
      <c r="F236" s="497"/>
      <c r="G236" s="497"/>
      <c r="H236" s="497"/>
      <c r="I236" s="498"/>
      <c r="J236" s="498"/>
      <c r="K236" s="498"/>
      <c r="L236" s="498"/>
      <c r="M236" s="498"/>
      <c r="N236" s="498"/>
      <c r="O236" s="498"/>
      <c r="P236" s="498"/>
      <c r="Q236" s="497"/>
      <c r="R236" s="43"/>
      <c r="S236" s="9"/>
      <c r="T236" s="66"/>
      <c r="U236" s="1026"/>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1099"/>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row>
    <row r="237" spans="1:73" x14ac:dyDescent="0.25">
      <c r="A237" s="854"/>
      <c r="B237" s="803" t="s">
        <v>1122</v>
      </c>
      <c r="C237" s="43"/>
      <c r="D237" s="43"/>
      <c r="E237" s="497"/>
      <c r="F237" s="497"/>
      <c r="G237" s="497"/>
      <c r="H237" s="497"/>
      <c r="I237" s="498"/>
      <c r="J237" s="498"/>
      <c r="K237" s="498"/>
      <c r="L237" s="498"/>
      <c r="M237" s="498"/>
      <c r="N237" s="498"/>
      <c r="O237" s="498"/>
      <c r="P237" s="498"/>
      <c r="Q237" s="497"/>
      <c r="R237" s="43"/>
      <c r="S237" s="9"/>
      <c r="T237" s="66"/>
      <c r="U237" s="1026"/>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1099"/>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row>
    <row r="238" spans="1:73" x14ac:dyDescent="0.25">
      <c r="A238" s="854"/>
      <c r="B238" s="4"/>
      <c r="C238" s="43"/>
      <c r="D238" s="43"/>
      <c r="E238" s="497"/>
      <c r="F238" s="497"/>
      <c r="G238" s="497"/>
      <c r="H238" s="497"/>
      <c r="I238" s="498"/>
      <c r="J238" s="498"/>
      <c r="K238" s="498"/>
      <c r="L238" s="498"/>
      <c r="M238" s="498"/>
      <c r="N238" s="498"/>
      <c r="O238" s="498"/>
      <c r="P238" s="498"/>
      <c r="Q238" s="497"/>
      <c r="R238" s="43"/>
      <c r="S238" s="9"/>
      <c r="T238" s="66"/>
      <c r="U238" s="1026"/>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1099"/>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row>
    <row r="239" spans="1:73" x14ac:dyDescent="0.25">
      <c r="A239" s="854"/>
      <c r="C239" s="43"/>
      <c r="D239" s="43"/>
      <c r="E239" s="497"/>
      <c r="F239" s="497"/>
      <c r="G239" s="497"/>
      <c r="H239" s="497"/>
      <c r="I239" s="498"/>
      <c r="J239" s="498"/>
      <c r="K239" s="498"/>
      <c r="L239" s="498"/>
      <c r="M239" s="498"/>
      <c r="N239" s="498"/>
      <c r="O239" s="498"/>
      <c r="P239" s="498"/>
      <c r="Q239" s="497"/>
      <c r="R239" s="43"/>
      <c r="S239" s="9"/>
      <c r="T239" s="66"/>
      <c r="U239" s="1026"/>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1099"/>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row>
    <row r="240" spans="1:73" x14ac:dyDescent="0.25">
      <c r="A240" s="854"/>
      <c r="B240" s="4"/>
      <c r="C240" s="43"/>
      <c r="D240" s="43"/>
      <c r="E240" s="497"/>
      <c r="F240" s="497"/>
      <c r="G240" s="497"/>
      <c r="H240" s="497"/>
      <c r="I240" s="498"/>
      <c r="J240" s="498"/>
      <c r="K240" s="498"/>
      <c r="L240" s="498"/>
      <c r="M240" s="498"/>
      <c r="N240" s="498"/>
      <c r="O240" s="498"/>
      <c r="P240" s="498"/>
      <c r="Q240" s="497"/>
      <c r="R240" s="43"/>
      <c r="S240" s="9"/>
      <c r="T240" s="66"/>
      <c r="U240" s="1026"/>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1099"/>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row>
    <row r="241" spans="1:73" x14ac:dyDescent="0.25">
      <c r="A241" s="854"/>
      <c r="B241" s="4"/>
      <c r="C241" s="43"/>
      <c r="D241" s="43"/>
      <c r="E241" s="497"/>
      <c r="F241" s="497"/>
      <c r="G241" s="497"/>
      <c r="H241" s="497"/>
      <c r="I241" s="498"/>
      <c r="J241" s="498"/>
      <c r="K241" s="498"/>
      <c r="L241" s="498"/>
      <c r="M241" s="498"/>
      <c r="N241" s="498"/>
      <c r="O241" s="498"/>
      <c r="P241" s="498"/>
      <c r="Q241" s="497"/>
      <c r="R241" s="43"/>
      <c r="S241" s="9"/>
      <c r="T241" s="66"/>
      <c r="U241" s="1026"/>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1099"/>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row>
    <row r="242" spans="1:73" x14ac:dyDescent="0.25">
      <c r="A242" s="854"/>
      <c r="B242" s="4"/>
      <c r="C242" s="43"/>
      <c r="D242" s="43"/>
      <c r="E242" s="497"/>
      <c r="F242" s="497"/>
      <c r="G242" s="497"/>
      <c r="H242" s="497"/>
      <c r="I242" s="498"/>
      <c r="J242" s="498"/>
      <c r="K242" s="498"/>
      <c r="L242" s="498"/>
      <c r="M242" s="498"/>
      <c r="N242" s="498"/>
      <c r="O242" s="498"/>
      <c r="P242" s="498"/>
      <c r="Q242" s="497"/>
      <c r="R242" s="43"/>
      <c r="S242" s="9"/>
      <c r="T242" s="66"/>
      <c r="U242" s="1026"/>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1099"/>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row>
    <row r="243" spans="1:73" x14ac:dyDescent="0.25">
      <c r="A243" s="854"/>
      <c r="B243" s="4"/>
      <c r="C243" s="43"/>
      <c r="D243" s="43"/>
      <c r="E243" s="497"/>
      <c r="F243" s="497"/>
      <c r="G243" s="497"/>
      <c r="H243" s="497"/>
      <c r="I243" s="498"/>
      <c r="J243" s="498"/>
      <c r="K243" s="498"/>
      <c r="L243" s="498"/>
      <c r="M243" s="498"/>
      <c r="N243" s="498"/>
      <c r="O243" s="498"/>
      <c r="P243" s="498"/>
      <c r="Q243" s="497"/>
      <c r="R243" s="43"/>
      <c r="S243" s="9"/>
      <c r="T243" s="66"/>
      <c r="U243" s="1026"/>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1099"/>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row>
    <row r="244" spans="1:73" x14ac:dyDescent="0.25">
      <c r="A244" s="854"/>
      <c r="B244" s="4"/>
      <c r="C244" s="43"/>
      <c r="D244" s="43"/>
      <c r="E244" s="497"/>
      <c r="F244" s="497"/>
      <c r="G244" s="497"/>
      <c r="H244" s="497"/>
      <c r="I244" s="498"/>
      <c r="J244" s="498"/>
      <c r="K244" s="498"/>
      <c r="L244" s="498"/>
      <c r="M244" s="498"/>
      <c r="N244" s="498"/>
      <c r="O244" s="498"/>
      <c r="P244" s="498"/>
      <c r="Q244" s="497"/>
      <c r="R244" s="43"/>
      <c r="S244" s="9"/>
      <c r="T244" s="66"/>
      <c r="U244" s="1026"/>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1099"/>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row>
    <row r="245" spans="1:73" x14ac:dyDescent="0.25">
      <c r="A245" s="854"/>
      <c r="B245" s="4"/>
      <c r="C245" s="4"/>
      <c r="D245" s="4"/>
      <c r="E245" s="497"/>
      <c r="F245" s="497"/>
      <c r="G245" s="497"/>
      <c r="H245" s="497"/>
      <c r="I245" s="498"/>
      <c r="J245" s="498"/>
      <c r="K245" s="498"/>
      <c r="L245" s="498"/>
      <c r="M245" s="498"/>
      <c r="N245" s="498"/>
      <c r="O245" s="498"/>
      <c r="P245" s="498"/>
      <c r="Q245" s="497"/>
      <c r="R245" s="43"/>
      <c r="S245" s="9"/>
      <c r="T245" s="66"/>
      <c r="U245" s="1026"/>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1099"/>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row>
    <row r="246" spans="1:73" x14ac:dyDescent="0.25">
      <c r="A246" s="854"/>
      <c r="B246" s="4"/>
      <c r="C246" s="4"/>
      <c r="D246" s="4"/>
      <c r="E246" s="497"/>
      <c r="F246" s="497"/>
      <c r="G246" s="497"/>
      <c r="H246" s="497"/>
      <c r="I246" s="498"/>
      <c r="J246" s="498"/>
      <c r="K246" s="498"/>
      <c r="L246" s="498"/>
      <c r="M246" s="498"/>
      <c r="N246" s="498"/>
      <c r="O246" s="498"/>
      <c r="P246" s="498"/>
      <c r="Q246" s="497"/>
      <c r="R246" s="43"/>
      <c r="S246" s="9"/>
      <c r="T246" s="66"/>
      <c r="U246" s="1026"/>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1099"/>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row>
    <row r="247" spans="1:73" x14ac:dyDescent="0.25">
      <c r="A247" s="854"/>
      <c r="B247" s="4"/>
      <c r="C247" s="4"/>
      <c r="D247" s="4"/>
      <c r="E247" s="497"/>
      <c r="F247" s="497"/>
      <c r="G247" s="497"/>
      <c r="H247" s="497"/>
      <c r="I247" s="498"/>
      <c r="J247" s="498"/>
      <c r="K247" s="498"/>
      <c r="L247" s="498"/>
      <c r="M247" s="498"/>
      <c r="N247" s="498"/>
      <c r="O247" s="498"/>
      <c r="P247" s="498"/>
      <c r="Q247" s="497"/>
      <c r="R247" s="43"/>
      <c r="S247" s="9"/>
      <c r="T247" s="66"/>
      <c r="U247" s="1026"/>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1099"/>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row>
    <row r="248" spans="1:73" x14ac:dyDescent="0.25">
      <c r="A248" s="854"/>
      <c r="B248" s="4"/>
      <c r="C248" s="4"/>
      <c r="D248" s="4"/>
      <c r="E248" s="497"/>
      <c r="F248" s="497"/>
      <c r="G248" s="497"/>
      <c r="H248" s="497"/>
      <c r="I248" s="498"/>
      <c r="J248" s="498"/>
      <c r="K248" s="498"/>
      <c r="L248" s="498"/>
      <c r="M248" s="498"/>
      <c r="N248" s="498"/>
      <c r="O248" s="498"/>
      <c r="P248" s="498"/>
      <c r="Q248" s="497"/>
      <c r="R248" s="43"/>
      <c r="S248" s="9"/>
      <c r="T248" s="66"/>
      <c r="U248" s="1026"/>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1099"/>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row>
    <row r="249" spans="1:73" x14ac:dyDescent="0.25">
      <c r="A249" s="854"/>
      <c r="B249" s="4"/>
      <c r="C249" s="43"/>
      <c r="D249" s="43"/>
      <c r="E249" s="497"/>
      <c r="F249" s="497"/>
      <c r="G249" s="497"/>
      <c r="H249" s="497"/>
      <c r="I249" s="498"/>
      <c r="J249" s="498"/>
      <c r="K249" s="498"/>
      <c r="L249" s="498"/>
      <c r="M249" s="498"/>
      <c r="N249" s="498"/>
      <c r="O249" s="498"/>
      <c r="P249" s="498"/>
      <c r="Q249" s="497"/>
      <c r="R249" s="43"/>
      <c r="S249" s="9"/>
      <c r="T249" s="66"/>
      <c r="U249" s="1026"/>
      <c r="V249" s="95" t="s">
        <v>864</v>
      </c>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1099"/>
      <c r="AU249" s="243" t="s">
        <v>181</v>
      </c>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row>
    <row r="250" spans="1:73" x14ac:dyDescent="0.25">
      <c r="A250" s="860"/>
      <c r="B250" s="534" t="s">
        <v>154</v>
      </c>
      <c r="C250" s="535"/>
      <c r="D250" s="535"/>
      <c r="E250" s="536"/>
      <c r="F250" s="536"/>
      <c r="G250" s="536"/>
      <c r="H250" s="536"/>
      <c r="I250" s="536"/>
      <c r="J250" s="536"/>
      <c r="K250" s="536"/>
      <c r="L250" s="536"/>
      <c r="M250" s="536"/>
      <c r="N250" s="536"/>
      <c r="O250" s="536"/>
      <c r="P250" s="536"/>
      <c r="Q250" s="497"/>
      <c r="R250" s="43"/>
      <c r="S250" s="9"/>
      <c r="T250" s="66"/>
      <c r="U250" s="1026"/>
      <c r="V250" s="534" t="s">
        <v>154</v>
      </c>
      <c r="W250" s="535"/>
      <c r="X250" s="535"/>
      <c r="Y250" s="535"/>
      <c r="Z250" s="535"/>
      <c r="AA250" s="535"/>
      <c r="AB250" s="535"/>
      <c r="AC250" s="535"/>
      <c r="AD250" s="535"/>
      <c r="AE250" s="535"/>
      <c r="AF250" s="507"/>
      <c r="AG250" s="507"/>
      <c r="AH250" s="507"/>
      <c r="AI250" s="507"/>
      <c r="AJ250" s="507"/>
      <c r="AK250" s="507"/>
      <c r="AL250" s="507"/>
      <c r="AM250" s="507"/>
      <c r="AN250" s="507"/>
      <c r="AO250" s="507"/>
      <c r="AP250" s="507"/>
      <c r="AQ250" s="507"/>
      <c r="AR250" s="507"/>
      <c r="AS250" s="4"/>
      <c r="AT250" s="1099"/>
      <c r="AU250" s="534" t="s">
        <v>154</v>
      </c>
      <c r="AV250" s="535"/>
      <c r="AW250" s="535"/>
      <c r="AX250" s="535"/>
      <c r="AY250" s="535"/>
      <c r="AZ250" s="535"/>
      <c r="BA250" s="535"/>
      <c r="BB250" s="535"/>
      <c r="BC250" s="535"/>
      <c r="BD250" s="535"/>
      <c r="BE250" s="507"/>
      <c r="BF250" s="507"/>
      <c r="BG250" s="507"/>
      <c r="BH250" s="507"/>
      <c r="BI250" s="507"/>
      <c r="BJ250" s="507"/>
      <c r="BK250" s="507"/>
      <c r="BL250" s="507"/>
      <c r="BM250" s="507"/>
      <c r="BN250" s="507"/>
      <c r="BO250" s="507"/>
      <c r="BP250" s="507"/>
      <c r="BQ250" s="4"/>
      <c r="BR250" s="4"/>
      <c r="BS250" s="4"/>
      <c r="BT250" s="4"/>
      <c r="BU250" s="4"/>
    </row>
    <row r="251" spans="1:73" x14ac:dyDescent="0.25">
      <c r="A251" s="854"/>
      <c r="C251" s="43"/>
      <c r="D251" s="43"/>
      <c r="F251" s="497"/>
      <c r="G251" s="497" t="s">
        <v>348</v>
      </c>
      <c r="H251" s="497"/>
      <c r="I251" s="498"/>
      <c r="J251" s="498"/>
      <c r="K251" s="498"/>
      <c r="L251" s="498"/>
      <c r="M251" s="498"/>
      <c r="N251" s="498"/>
      <c r="O251" s="498"/>
      <c r="P251" s="498"/>
      <c r="Q251" s="497"/>
      <c r="R251"/>
      <c r="S251" s="9"/>
      <c r="T251" s="66"/>
      <c r="U251" s="1026"/>
      <c r="V251" s="497" t="s">
        <v>348</v>
      </c>
      <c r="W251" s="497"/>
      <c r="X251" s="497"/>
      <c r="Y251" s="497"/>
      <c r="Z251" s="497"/>
      <c r="AA251" s="497"/>
      <c r="AB251" s="497"/>
      <c r="AC251" s="497"/>
      <c r="AD251" s="497"/>
      <c r="AE251" s="497"/>
      <c r="AF251" s="4"/>
      <c r="AG251" s="4"/>
      <c r="AH251" s="4"/>
      <c r="AI251" s="4"/>
      <c r="AJ251" s="4"/>
      <c r="AK251" s="4"/>
      <c r="AL251" s="4"/>
      <c r="AM251" s="4"/>
      <c r="AN251" s="4"/>
      <c r="AO251" s="4"/>
      <c r="AP251" s="4"/>
      <c r="AQ251" s="4"/>
      <c r="AR251" s="4"/>
      <c r="AS251" s="4"/>
      <c r="AT251" s="1099"/>
      <c r="AU251" s="497" t="s">
        <v>348</v>
      </c>
      <c r="AV251" s="497"/>
      <c r="AW251" s="497"/>
      <c r="AX251" s="497"/>
      <c r="AY251" s="497"/>
      <c r="AZ251" s="497"/>
      <c r="BA251" s="497"/>
      <c r="BB251" s="497"/>
      <c r="BC251" s="497"/>
      <c r="BD251" s="497"/>
      <c r="BE251" s="4"/>
      <c r="BF251" s="4"/>
      <c r="BG251" s="4"/>
      <c r="BH251" s="4"/>
      <c r="BI251" s="4"/>
      <c r="BJ251" s="4"/>
      <c r="BK251" s="4"/>
      <c r="BL251" s="4"/>
      <c r="BM251" s="4"/>
      <c r="BN251" s="4"/>
      <c r="BO251" s="4"/>
      <c r="BP251" s="4"/>
      <c r="BQ251" s="4"/>
      <c r="BR251" s="4"/>
      <c r="BS251" s="4"/>
      <c r="BT251" s="4"/>
      <c r="BU251" s="4"/>
    </row>
    <row r="252" spans="1:73" x14ac:dyDescent="0.25">
      <c r="A252" s="854"/>
      <c r="B252" s="15"/>
      <c r="C252" s="537"/>
      <c r="D252" s="537"/>
      <c r="E252" s="538"/>
      <c r="F252" s="538"/>
      <c r="G252" s="538">
        <f t="shared" ref="G252:O252" si="229">G8</f>
        <v>2017</v>
      </c>
      <c r="H252" s="538">
        <f t="shared" si="229"/>
        <v>2018</v>
      </c>
      <c r="I252" s="538">
        <f t="shared" si="229"/>
        <v>2019</v>
      </c>
      <c r="J252" s="538">
        <f t="shared" si="229"/>
        <v>2020</v>
      </c>
      <c r="K252" s="538">
        <f t="shared" si="229"/>
        <v>2021</v>
      </c>
      <c r="L252" s="538">
        <f t="shared" si="229"/>
        <v>2022</v>
      </c>
      <c r="M252" s="538">
        <f t="shared" si="229"/>
        <v>2023</v>
      </c>
      <c r="N252" s="538">
        <f t="shared" si="229"/>
        <v>2024</v>
      </c>
      <c r="O252" s="538">
        <f t="shared" si="229"/>
        <v>2025</v>
      </c>
      <c r="P252" s="1747"/>
      <c r="Q252" s="497"/>
      <c r="R252" s="43"/>
      <c r="S252" s="9"/>
      <c r="T252" s="66"/>
      <c r="U252" s="1026"/>
      <c r="V252" s="538">
        <f t="shared" ref="V252:AA252" si="230">V8</f>
        <v>2015</v>
      </c>
      <c r="W252" s="538">
        <f t="shared" si="230"/>
        <v>2017</v>
      </c>
      <c r="X252" s="538">
        <f t="shared" si="230"/>
        <v>2018</v>
      </c>
      <c r="Y252" s="538">
        <f t="shared" si="230"/>
        <v>2019</v>
      </c>
      <c r="Z252" s="538">
        <f t="shared" si="230"/>
        <v>2020</v>
      </c>
      <c r="AA252" s="538">
        <f t="shared" si="230"/>
        <v>2021</v>
      </c>
      <c r="AB252" s="538">
        <f t="shared" ref="AB252:AE252" si="231">AB8</f>
        <v>2022</v>
      </c>
      <c r="AC252" s="538">
        <f t="shared" si="231"/>
        <v>2023</v>
      </c>
      <c r="AD252" s="538">
        <f t="shared" si="231"/>
        <v>2024</v>
      </c>
      <c r="AE252" s="538">
        <f t="shared" si="231"/>
        <v>2025</v>
      </c>
      <c r="AF252" s="4"/>
      <c r="AG252" s="4"/>
      <c r="AH252" s="4"/>
      <c r="AI252" s="4"/>
      <c r="AJ252" s="4"/>
      <c r="AK252" s="4"/>
      <c r="AL252" s="4"/>
      <c r="AM252" s="4"/>
      <c r="AN252" s="4"/>
      <c r="AO252" s="4"/>
      <c r="AP252" s="4"/>
      <c r="AQ252" s="4"/>
      <c r="AR252" s="4"/>
      <c r="AS252" s="4"/>
      <c r="AT252" s="1099"/>
      <c r="AU252" s="538">
        <f t="shared" ref="AU252:AZ252" si="232">AU8</f>
        <v>2015</v>
      </c>
      <c r="AV252" s="538">
        <f t="shared" si="232"/>
        <v>2017</v>
      </c>
      <c r="AW252" s="538">
        <f t="shared" si="232"/>
        <v>2018</v>
      </c>
      <c r="AX252" s="538">
        <f t="shared" si="232"/>
        <v>2019</v>
      </c>
      <c r="AY252" s="538">
        <f t="shared" si="232"/>
        <v>2020</v>
      </c>
      <c r="AZ252" s="538">
        <f t="shared" si="232"/>
        <v>2021</v>
      </c>
      <c r="BA252" s="538">
        <f t="shared" ref="BA252:BD252" si="233">BA8</f>
        <v>2022</v>
      </c>
      <c r="BB252" s="538">
        <f t="shared" si="233"/>
        <v>2023</v>
      </c>
      <c r="BC252" s="538">
        <f t="shared" si="233"/>
        <v>2024</v>
      </c>
      <c r="BD252" s="538">
        <f t="shared" si="233"/>
        <v>2025</v>
      </c>
      <c r="BE252" s="4"/>
      <c r="BF252" s="4"/>
      <c r="BG252" s="4"/>
      <c r="BH252" s="4"/>
      <c r="BI252" s="4"/>
      <c r="BJ252" s="4"/>
      <c r="BK252" s="4"/>
      <c r="BL252" s="4"/>
      <c r="BM252" s="4"/>
      <c r="BN252" s="4"/>
      <c r="BO252" s="4"/>
      <c r="BP252" s="4"/>
      <c r="BQ252" s="4"/>
      <c r="BR252" s="4"/>
      <c r="BS252" s="4"/>
      <c r="BT252" s="4"/>
      <c r="BU252" s="4"/>
    </row>
    <row r="253" spans="1:73" x14ac:dyDescent="0.25">
      <c r="A253" s="854"/>
      <c r="B253" s="4" t="s">
        <v>153</v>
      </c>
      <c r="C253" s="43"/>
      <c r="D253" s="43"/>
      <c r="E253" s="543"/>
      <c r="F253" s="557"/>
      <c r="G253" s="544">
        <f t="shared" ref="G253:N253" si="234">G53/G288</f>
        <v>2.1677761714431622E-2</v>
      </c>
      <c r="H253" s="544">
        <f t="shared" si="234"/>
        <v>7.081579363724172E-2</v>
      </c>
      <c r="I253" s="544">
        <f t="shared" si="234"/>
        <v>0.14928591872367841</v>
      </c>
      <c r="J253" s="544">
        <f t="shared" si="234"/>
        <v>0.10137718119918469</v>
      </c>
      <c r="K253" s="544">
        <f t="shared" si="234"/>
        <v>0.14554131457643893</v>
      </c>
      <c r="L253" s="544">
        <f t="shared" si="234"/>
        <v>2.5342853202870243E-2</v>
      </c>
      <c r="M253" s="544">
        <f t="shared" si="234"/>
        <v>7.8624534577335412E-2</v>
      </c>
      <c r="N253" s="544">
        <f t="shared" si="234"/>
        <v>0.11726217762093506</v>
      </c>
      <c r="O253" s="544"/>
      <c r="P253" s="544"/>
      <c r="Q253" s="497"/>
      <c r="R253" s="43"/>
      <c r="S253" s="9"/>
      <c r="T253" s="66"/>
      <c r="U253" s="1026" t="s">
        <v>866</v>
      </c>
      <c r="V253" s="632">
        <f t="shared" ref="V253:AE253" si="235">V53/V288</f>
        <v>2.8497447658503088E-2</v>
      </c>
      <c r="W253" s="632">
        <f t="shared" si="235"/>
        <v>0.1127612208258529</v>
      </c>
      <c r="X253" s="632">
        <f t="shared" si="235"/>
        <v>0.10988965687437618</v>
      </c>
      <c r="Y253" s="632">
        <f t="shared" si="235"/>
        <v>0.22820925382559137</v>
      </c>
      <c r="Z253" s="632">
        <f t="shared" si="235"/>
        <v>0.19888110170097756</v>
      </c>
      <c r="AA253" s="632">
        <f t="shared" si="235"/>
        <v>0.21445691192500846</v>
      </c>
      <c r="AB253" s="632">
        <f t="shared" si="235"/>
        <v>1.2607903280000787E-2</v>
      </c>
      <c r="AC253" s="632">
        <f t="shared" si="235"/>
        <v>0.19587187575602502</v>
      </c>
      <c r="AD253" s="632">
        <f t="shared" si="235"/>
        <v>0.13490272531156816</v>
      </c>
      <c r="AE253" s="632">
        <f t="shared" si="235"/>
        <v>0.12389676408845682</v>
      </c>
      <c r="AF253" s="543"/>
      <c r="AG253" s="4"/>
      <c r="AH253" s="4"/>
      <c r="AI253" s="4"/>
      <c r="AJ253" s="4"/>
      <c r="AK253" s="4"/>
      <c r="AL253" s="4"/>
      <c r="AM253" s="4"/>
      <c r="AN253" s="4"/>
      <c r="AO253" s="4"/>
      <c r="AP253" s="4"/>
      <c r="AQ253" s="4"/>
      <c r="AR253" s="4"/>
      <c r="AS253" s="4"/>
      <c r="AT253" s="1102" t="s">
        <v>866</v>
      </c>
      <c r="AU253" s="632">
        <f t="shared" ref="AU253:BD253" si="236">AU53/AU288</f>
        <v>0.28670766133635439</v>
      </c>
      <c r="AV253" s="632">
        <f t="shared" si="236"/>
        <v>0.24481170832011889</v>
      </c>
      <c r="AW253" s="632">
        <f t="shared" si="236"/>
        <v>0.31165391050950247</v>
      </c>
      <c r="AX253" s="632">
        <f t="shared" si="236"/>
        <v>0.29227941591281548</v>
      </c>
      <c r="AY253" s="632">
        <f t="shared" si="236"/>
        <v>0.21327069599926593</v>
      </c>
      <c r="AZ253" s="632">
        <f t="shared" si="236"/>
        <v>0.4179914083893787</v>
      </c>
      <c r="BA253" s="632">
        <f t="shared" si="236"/>
        <v>0.3070246171194404</v>
      </c>
      <c r="BB253" s="632">
        <f t="shared" si="236"/>
        <v>0.20415080577146086</v>
      </c>
      <c r="BC253" s="632">
        <f t="shared" si="236"/>
        <v>0.19479449402317175</v>
      </c>
      <c r="BD253" s="632">
        <f t="shared" si="236"/>
        <v>0.21485048195020848</v>
      </c>
      <c r="BE253" s="543"/>
      <c r="BF253" s="4"/>
      <c r="BG253" s="4"/>
      <c r="BH253" s="4"/>
      <c r="BI253" s="4"/>
      <c r="BJ253" s="4"/>
      <c r="BK253" s="4"/>
      <c r="BL253" s="4"/>
      <c r="BM253" s="4"/>
      <c r="BN253" s="4"/>
      <c r="BO253" s="4"/>
      <c r="BP253" s="4"/>
      <c r="BQ253" s="4"/>
      <c r="BR253" s="4"/>
      <c r="BS253" s="4"/>
      <c r="BT253" s="4"/>
      <c r="BU253" s="4"/>
    </row>
    <row r="254" spans="1:73" x14ac:dyDescent="0.2">
      <c r="A254" s="854"/>
      <c r="B254" s="4" t="s">
        <v>854</v>
      </c>
      <c r="C254" s="43"/>
      <c r="D254" s="43"/>
      <c r="E254" s="543"/>
      <c r="F254" s="544"/>
      <c r="G254" s="544">
        <f t="shared" ref="G254:K255" si="237">G288/G289</f>
        <v>8.3636102139845278E-2</v>
      </c>
      <c r="H254" s="544">
        <f t="shared" si="237"/>
        <v>8.1901139856600205E-2</v>
      </c>
      <c r="I254" s="544">
        <f t="shared" si="237"/>
        <v>7.9067424379566584E-2</v>
      </c>
      <c r="J254" s="544">
        <f t="shared" si="237"/>
        <v>7.4417489551234728E-2</v>
      </c>
      <c r="K254" s="544">
        <f t="shared" si="237"/>
        <v>6.943354197825391E-2</v>
      </c>
      <c r="L254" s="544">
        <f t="shared" ref="L254:N254" si="238">L288/L289</f>
        <v>8.3890703423091614E-2</v>
      </c>
      <c r="M254" s="544">
        <f t="shared" si="238"/>
        <v>9.8888613458660998E-2</v>
      </c>
      <c r="N254" s="544">
        <f t="shared" si="238"/>
        <v>0.14847787583222324</v>
      </c>
      <c r="O254" s="544"/>
      <c r="P254" s="544"/>
      <c r="Q254" s="497"/>
      <c r="R254" s="43"/>
      <c r="S254" s="9"/>
      <c r="T254" s="66"/>
      <c r="U254" s="1026"/>
      <c r="V254" s="632">
        <f t="shared" ref="V254:AA255" si="239">V288/V289</f>
        <v>8.9577023200037145E-2</v>
      </c>
      <c r="W254" s="632">
        <f t="shared" si="239"/>
        <v>9.1579231871074376E-2</v>
      </c>
      <c r="X254" s="632">
        <f t="shared" si="239"/>
        <v>9.2280606347701133E-2</v>
      </c>
      <c r="Y254" s="632">
        <f t="shared" si="239"/>
        <v>9.5349034617873155E-2</v>
      </c>
      <c r="Z254" s="632">
        <f t="shared" si="239"/>
        <v>8.5036902313526105E-2</v>
      </c>
      <c r="AA254" s="632">
        <f t="shared" si="239"/>
        <v>8.3697679489993099E-2</v>
      </c>
      <c r="AB254" s="632">
        <f t="shared" ref="AB254:AE254" si="240">AB288/AB289</f>
        <v>9.9709852222417392E-2</v>
      </c>
      <c r="AC254" s="632">
        <f t="shared" si="240"/>
        <v>0.10668260792689084</v>
      </c>
      <c r="AD254" s="632">
        <f t="shared" si="240"/>
        <v>0.1453702828683521</v>
      </c>
      <c r="AE254" s="632">
        <f t="shared" si="240"/>
        <v>0.15994748424352609</v>
      </c>
      <c r="AF254" s="543"/>
      <c r="AG254" s="4"/>
      <c r="AH254" s="4"/>
      <c r="AI254" s="4"/>
      <c r="AJ254" s="4"/>
      <c r="AK254" s="4"/>
      <c r="AL254" s="4"/>
      <c r="AM254" s="4"/>
      <c r="AN254" s="4"/>
      <c r="AO254" s="4"/>
      <c r="AP254" s="4"/>
      <c r="AQ254" s="4"/>
      <c r="AR254" s="4"/>
      <c r="AS254" s="4"/>
      <c r="AT254" s="1102"/>
      <c r="AU254" s="632">
        <f t="shared" ref="AU254:AZ255" si="241">AU288/AU289</f>
        <v>3.6276856369837553E-2</v>
      </c>
      <c r="AV254" s="632">
        <f t="shared" si="241"/>
        <v>3.9283302550438173E-2</v>
      </c>
      <c r="AW254" s="632">
        <f t="shared" si="241"/>
        <v>4.3023837669483762E-2</v>
      </c>
      <c r="AX254" s="632">
        <f t="shared" si="241"/>
        <v>4.3578568277899896E-2</v>
      </c>
      <c r="AY254" s="632">
        <f t="shared" si="241"/>
        <v>3.4111428787406854E-2</v>
      </c>
      <c r="AZ254" s="632">
        <f t="shared" si="241"/>
        <v>2.9317671045719456E-2</v>
      </c>
      <c r="BA254" s="632">
        <f t="shared" ref="BA254:BD254" si="242">BA288/BA289</f>
        <v>3.6211399422781981E-2</v>
      </c>
      <c r="BB254" s="632">
        <f t="shared" si="242"/>
        <v>5.2764444150436941E-2</v>
      </c>
      <c r="BC254" s="632">
        <f t="shared" si="242"/>
        <v>5.8150733800460104E-2</v>
      </c>
      <c r="BD254" s="632">
        <f t="shared" si="242"/>
        <v>5.6351397126908856E-2</v>
      </c>
      <c r="BE254" s="543"/>
      <c r="BF254" s="4"/>
      <c r="BG254" s="4"/>
      <c r="BH254" s="4"/>
      <c r="BI254" s="4"/>
      <c r="BJ254" s="4"/>
      <c r="BK254" s="4"/>
      <c r="BL254" s="4"/>
      <c r="BM254" s="4"/>
      <c r="BN254" s="4"/>
      <c r="BO254" s="4"/>
      <c r="BP254" s="4"/>
      <c r="BQ254" s="4"/>
      <c r="BR254" s="4"/>
      <c r="BS254" s="4"/>
      <c r="BT254" s="4"/>
      <c r="BU254" s="4"/>
    </row>
    <row r="255" spans="1:73" x14ac:dyDescent="0.2">
      <c r="A255" s="854"/>
      <c r="B255" s="4" t="s">
        <v>855</v>
      </c>
      <c r="C255" s="43"/>
      <c r="D255" s="43"/>
      <c r="E255" s="543"/>
      <c r="F255" s="769"/>
      <c r="G255" s="769">
        <f t="shared" si="237"/>
        <v>7.7253513006411882</v>
      </c>
      <c r="H255" s="769">
        <f t="shared" si="237"/>
        <v>7.2259064961179575</v>
      </c>
      <c r="I255" s="769">
        <f t="shared" si="237"/>
        <v>7.6417346871645178</v>
      </c>
      <c r="J255" s="769">
        <f t="shared" si="237"/>
        <v>7.9180413274011752</v>
      </c>
      <c r="K255" s="769">
        <f t="shared" si="237"/>
        <v>8.2663713910291605</v>
      </c>
      <c r="L255" s="769">
        <f t="shared" ref="L255:N255" si="243">L289/L290</f>
        <v>9.4600124609297893</v>
      </c>
      <c r="M255" s="769">
        <f t="shared" si="243"/>
        <v>9.7405868286930399</v>
      </c>
      <c r="N255" s="769">
        <f t="shared" si="243"/>
        <v>8.9471782740993007</v>
      </c>
      <c r="O255" s="769"/>
      <c r="P255" s="769"/>
      <c r="Q255" s="497"/>
      <c r="R255" s="43"/>
      <c r="S255" s="9"/>
      <c r="T255" s="66"/>
      <c r="U255" s="1026"/>
      <c r="V255" s="1768">
        <f t="shared" si="239"/>
        <v>10.425714100278308</v>
      </c>
      <c r="W255" s="1768">
        <f t="shared" si="239"/>
        <v>8.6520598652395329</v>
      </c>
      <c r="X255" s="1768">
        <f t="shared" si="239"/>
        <v>8.9874940402800299</v>
      </c>
      <c r="Y255" s="1768">
        <f t="shared" si="239"/>
        <v>9.061617074986847</v>
      </c>
      <c r="Z255" s="1768">
        <f t="shared" si="239"/>
        <v>9.3193961991862366</v>
      </c>
      <c r="AA255" s="1768">
        <f t="shared" si="239"/>
        <v>9.909887849301187</v>
      </c>
      <c r="AB255" s="1768">
        <f t="shared" ref="AB255:AE255" si="244">AB289/AB290</f>
        <v>10.049257693246034</v>
      </c>
      <c r="AC255" s="1768">
        <f t="shared" si="244"/>
        <v>10.442905027763606</v>
      </c>
      <c r="AD255" s="1768">
        <f t="shared" si="244"/>
        <v>11.092242285687329</v>
      </c>
      <c r="AE255" s="1768">
        <f t="shared" si="244"/>
        <v>10.851457320213299</v>
      </c>
      <c r="AF255" s="555"/>
      <c r="AG255" s="4"/>
      <c r="AH255" s="4"/>
      <c r="AI255" s="4"/>
      <c r="AJ255" s="4"/>
      <c r="AK255" s="4"/>
      <c r="AL255" s="4"/>
      <c r="AM255" s="4"/>
      <c r="AN255" s="4"/>
      <c r="AO255" s="4"/>
      <c r="AP255" s="4"/>
      <c r="AQ255" s="4"/>
      <c r="AR255" s="4"/>
      <c r="AS255" s="4"/>
      <c r="AT255" s="1102"/>
      <c r="AU255" s="555">
        <f t="shared" si="241"/>
        <v>8.9349723903476121</v>
      </c>
      <c r="AV255" s="555">
        <f t="shared" si="241"/>
        <v>8.9594815618156485</v>
      </c>
      <c r="AW255" s="555">
        <f t="shared" si="241"/>
        <v>8.9000729879002485</v>
      </c>
      <c r="AX255" s="555">
        <f t="shared" si="241"/>
        <v>8.8594370327955154</v>
      </c>
      <c r="AY255" s="555">
        <f t="shared" si="241"/>
        <v>9.345569881613045</v>
      </c>
      <c r="AZ255" s="555">
        <f t="shared" si="241"/>
        <v>9.9499253728982069</v>
      </c>
      <c r="BA255" s="555">
        <f t="shared" ref="BA255:BD255" si="245">BA289/BA290</f>
        <v>10.372291261989755</v>
      </c>
      <c r="BB255" s="555">
        <f t="shared" si="245"/>
        <v>10.511839182901184</v>
      </c>
      <c r="BC255" s="555">
        <f t="shared" si="245"/>
        <v>10.281943542782855</v>
      </c>
      <c r="BD255" s="555">
        <f t="shared" si="245"/>
        <v>10.100306422362578</v>
      </c>
      <c r="BE255" s="555"/>
      <c r="BF255" s="4"/>
      <c r="BG255" s="4"/>
      <c r="BH255" s="4"/>
      <c r="BI255" s="4"/>
      <c r="BJ255" s="4"/>
      <c r="BK255" s="4"/>
      <c r="BL255" s="4"/>
      <c r="BM255" s="4"/>
      <c r="BN255" s="4"/>
      <c r="BO255" s="4"/>
      <c r="BP255" s="4"/>
      <c r="BQ255" s="4"/>
      <c r="BR255" s="4"/>
      <c r="BS255" s="4"/>
      <c r="BT255" s="4"/>
      <c r="BU255" s="4"/>
    </row>
    <row r="256" spans="1:73" s="2" customFormat="1" x14ac:dyDescent="0.25">
      <c r="A256" s="859"/>
      <c r="B256" s="95" t="s">
        <v>151</v>
      </c>
      <c r="C256" s="1938"/>
      <c r="D256" s="1938"/>
      <c r="E256" s="1939"/>
      <c r="F256" s="1939"/>
      <c r="G256" s="1939">
        <f t="shared" ref="G256:K256" si="246">G253*G254*G255</f>
        <v>1.4006397906082362E-2</v>
      </c>
      <c r="H256" s="1939">
        <f t="shared" si="246"/>
        <v>4.190949331198944E-2</v>
      </c>
      <c r="I256" s="1939">
        <f t="shared" si="246"/>
        <v>9.0200385250194831E-2</v>
      </c>
      <c r="J256" s="1939">
        <f t="shared" si="246"/>
        <v>5.9735567068176232E-2</v>
      </c>
      <c r="K256" s="1939">
        <f t="shared" si="246"/>
        <v>8.3535394302209243E-2</v>
      </c>
      <c r="L256" s="1939">
        <f t="shared" ref="L256:N256" si="247">L253*L254*L255</f>
        <v>2.0112268229431247E-2</v>
      </c>
      <c r="M256" s="1939">
        <f t="shared" si="247"/>
        <v>7.57337562025997E-2</v>
      </c>
      <c r="N256" s="1939">
        <f t="shared" si="247"/>
        <v>0.15577788086962846</v>
      </c>
      <c r="O256" s="1939"/>
      <c r="P256" s="557"/>
      <c r="Q256" s="554"/>
      <c r="R256" s="46"/>
      <c r="S256" s="17"/>
      <c r="T256" s="502"/>
      <c r="U256" s="1026" t="s">
        <v>865</v>
      </c>
      <c r="V256" s="1766">
        <f>PRODUCT(V253:V255)</f>
        <v>2.661389272133052E-2</v>
      </c>
      <c r="W256" s="1766">
        <f t="shared" ref="W256:AE256" si="248">PRODUCT(W253:W255)</f>
        <v>8.9346240172379049E-2</v>
      </c>
      <c r="X256" s="1766">
        <f t="shared" si="248"/>
        <v>9.1139338521640037E-2</v>
      </c>
      <c r="Y256" s="1766">
        <f t="shared" si="248"/>
        <v>0.19717654710579838</v>
      </c>
      <c r="Z256" s="1766">
        <f t="shared" si="248"/>
        <v>0.15761179823778745</v>
      </c>
      <c r="AA256" s="1766">
        <f t="shared" si="248"/>
        <v>0.17787798660393253</v>
      </c>
      <c r="AB256" s="1766">
        <f t="shared" si="248"/>
        <v>1.2633245159775711E-2</v>
      </c>
      <c r="AC256" s="1766">
        <f t="shared" si="248"/>
        <v>0.21821622297901558</v>
      </c>
      <c r="AD256" s="1766">
        <f t="shared" si="248"/>
        <v>0.21752827010354275</v>
      </c>
      <c r="AE256" s="1766">
        <f t="shared" si="248"/>
        <v>0.21504306626149208</v>
      </c>
      <c r="AF256" s="554"/>
      <c r="AG256" s="12"/>
      <c r="AH256" s="12"/>
      <c r="AI256" s="12"/>
      <c r="AJ256" s="12"/>
      <c r="AK256" s="12"/>
      <c r="AL256" s="12"/>
      <c r="AM256" s="12"/>
      <c r="AN256" s="12"/>
      <c r="AO256" s="12"/>
      <c r="AP256" s="12"/>
      <c r="AQ256" s="12"/>
      <c r="AR256" s="12"/>
      <c r="AS256" s="12"/>
      <c r="AT256" s="1102" t="s">
        <v>865</v>
      </c>
      <c r="AU256" s="1766">
        <f t="shared" ref="AU256:AZ256" si="249">AU253*AU254*AU255</f>
        <v>9.2931331267674375E-2</v>
      </c>
      <c r="AV256" s="1766">
        <f t="shared" si="249"/>
        <v>8.6163445329775962E-2</v>
      </c>
      <c r="AW256" s="1766">
        <f t="shared" si="249"/>
        <v>0.11933704922961333</v>
      </c>
      <c r="AX256" s="1766">
        <f t="shared" si="249"/>
        <v>0.11284369917568526</v>
      </c>
      <c r="AY256" s="1766">
        <f t="shared" si="249"/>
        <v>6.7988723316627989E-2</v>
      </c>
      <c r="AZ256" s="1766">
        <f t="shared" si="249"/>
        <v>0.12193170486001116</v>
      </c>
      <c r="BA256" s="1766">
        <f t="shared" ref="BA256:BD256" si="250">BA253*BA254*BA255</f>
        <v>0.11531696688937616</v>
      </c>
      <c r="BB256" s="1766">
        <f t="shared" si="250"/>
        <v>0.11323252032780354</v>
      </c>
      <c r="BC256" s="1766">
        <f t="shared" si="250"/>
        <v>0.11646812702197351</v>
      </c>
      <c r="BD256" s="1766">
        <f t="shared" si="250"/>
        <v>0.12228567068976283</v>
      </c>
      <c r="BE256" s="554"/>
      <c r="BF256" s="12"/>
      <c r="BG256" s="12"/>
      <c r="BH256" s="12"/>
      <c r="BI256" s="12"/>
      <c r="BJ256" s="12"/>
      <c r="BK256" s="12"/>
      <c r="BL256" s="12"/>
      <c r="BM256" s="12"/>
      <c r="BN256" s="12"/>
      <c r="BO256" s="12"/>
      <c r="BP256" s="12"/>
      <c r="BQ256" s="12"/>
      <c r="BR256" s="12"/>
      <c r="BS256" s="12"/>
      <c r="BT256" s="12"/>
      <c r="BU256" s="12"/>
    </row>
    <row r="257" spans="1:73" s="28" customFormat="1" ht="16.5" outlineLevel="1" x14ac:dyDescent="0.3">
      <c r="A257" s="859"/>
      <c r="B257" s="471" t="s">
        <v>861</v>
      </c>
      <c r="C257" s="12"/>
      <c r="D257" s="541"/>
      <c r="E257" s="542"/>
      <c r="F257" s="804"/>
      <c r="G257" s="1765">
        <f t="shared" ref="G257:K257" si="251">G180-G256</f>
        <v>0</v>
      </c>
      <c r="H257" s="1765">
        <f t="shared" si="251"/>
        <v>0</v>
      </c>
      <c r="I257" s="1765">
        <f t="shared" si="251"/>
        <v>0</v>
      </c>
      <c r="J257" s="1765">
        <f t="shared" si="251"/>
        <v>0</v>
      </c>
      <c r="K257" s="1765">
        <f t="shared" si="251"/>
        <v>0</v>
      </c>
      <c r="L257" s="1765">
        <f t="shared" ref="L257:N257" si="252">L180-L256</f>
        <v>0</v>
      </c>
      <c r="M257" s="1765">
        <f t="shared" si="252"/>
        <v>0</v>
      </c>
      <c r="N257" s="1765">
        <f t="shared" si="252"/>
        <v>0</v>
      </c>
      <c r="O257" s="1765"/>
      <c r="P257" s="804"/>
      <c r="Q257" s="12"/>
      <c r="R257" s="12"/>
      <c r="S257" s="11"/>
      <c r="T257" s="11"/>
      <c r="U257" s="1024"/>
      <c r="V257" s="1767">
        <f t="shared" ref="V257:AA257" si="253">V180-V256</f>
        <v>0</v>
      </c>
      <c r="W257" s="1767">
        <f t="shared" si="253"/>
        <v>0</v>
      </c>
      <c r="X257" s="1767">
        <f t="shared" si="253"/>
        <v>0</v>
      </c>
      <c r="Y257" s="1767">
        <f t="shared" si="253"/>
        <v>0</v>
      </c>
      <c r="Z257" s="1767">
        <f t="shared" si="253"/>
        <v>0</v>
      </c>
      <c r="AA257" s="1767">
        <f t="shared" si="253"/>
        <v>0</v>
      </c>
      <c r="AB257" s="1767">
        <f t="shared" ref="AB257:AE257" si="254">AB180-AB256</f>
        <v>0</v>
      </c>
      <c r="AC257" s="1767">
        <f t="shared" si="254"/>
        <v>0</v>
      </c>
      <c r="AD257" s="1767">
        <f t="shared" si="254"/>
        <v>0</v>
      </c>
      <c r="AE257" s="1767">
        <f t="shared" si="254"/>
        <v>0</v>
      </c>
      <c r="AF257" s="11"/>
      <c r="AG257" s="11"/>
      <c r="AH257" s="11"/>
      <c r="AI257" s="11"/>
      <c r="AJ257" s="11"/>
      <c r="AK257" s="11"/>
      <c r="AL257" s="11"/>
      <c r="AM257" s="11"/>
      <c r="AN257" s="11"/>
      <c r="AO257" s="11"/>
      <c r="AP257" s="11"/>
      <c r="AQ257" s="11"/>
      <c r="AR257" s="11"/>
      <c r="AS257" s="11"/>
      <c r="AT257" s="1101"/>
      <c r="AU257" s="1767">
        <f t="shared" ref="AU257:AZ257" si="255">AU180-AU256</f>
        <v>0</v>
      </c>
      <c r="AV257" s="1767">
        <f t="shared" si="255"/>
        <v>0</v>
      </c>
      <c r="AW257" s="1767">
        <f t="shared" si="255"/>
        <v>0</v>
      </c>
      <c r="AX257" s="1767">
        <f t="shared" si="255"/>
        <v>0</v>
      </c>
      <c r="AY257" s="1767">
        <f t="shared" si="255"/>
        <v>0</v>
      </c>
      <c r="AZ257" s="1767">
        <f t="shared" si="255"/>
        <v>0</v>
      </c>
      <c r="BA257" s="1767">
        <f t="shared" ref="BA257:BD257" si="256">BA180-BA256</f>
        <v>0</v>
      </c>
      <c r="BB257" s="1767">
        <f t="shared" si="256"/>
        <v>0</v>
      </c>
      <c r="BC257" s="1767">
        <f t="shared" si="256"/>
        <v>0</v>
      </c>
      <c r="BD257" s="1767">
        <f t="shared" si="256"/>
        <v>0</v>
      </c>
      <c r="BE257" s="11"/>
      <c r="BF257" s="11"/>
      <c r="BG257" s="11"/>
      <c r="BH257" s="11"/>
      <c r="BI257" s="11"/>
      <c r="BJ257" s="11"/>
      <c r="BK257" s="11"/>
      <c r="BL257" s="11"/>
      <c r="BM257" s="11"/>
      <c r="BN257" s="11"/>
      <c r="BO257" s="11"/>
      <c r="BP257" s="11"/>
      <c r="BQ257" s="11"/>
      <c r="BR257" s="11"/>
      <c r="BS257" s="11"/>
      <c r="BT257" s="11"/>
      <c r="BU257" s="11"/>
    </row>
    <row r="258" spans="1:73" x14ac:dyDescent="0.25">
      <c r="A258" s="854"/>
      <c r="B258" s="4"/>
      <c r="C258" s="43"/>
      <c r="D258" s="43"/>
      <c r="E258" s="497"/>
      <c r="F258" s="497"/>
      <c r="G258" s="497"/>
      <c r="H258" s="497"/>
      <c r="I258" s="498"/>
      <c r="J258" s="498"/>
      <c r="K258" s="498"/>
      <c r="L258" s="498"/>
      <c r="M258" s="498"/>
      <c r="N258" s="498"/>
      <c r="O258" s="498"/>
      <c r="P258" s="498"/>
      <c r="Q258" s="497"/>
      <c r="R258" s="43"/>
      <c r="S258" s="9"/>
      <c r="T258" s="66"/>
      <c r="U258" s="1026"/>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1099"/>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row>
    <row r="259" spans="1:73" x14ac:dyDescent="0.25">
      <c r="A259" s="854"/>
      <c r="B259" s="4"/>
      <c r="C259" s="43"/>
      <c r="D259" s="43"/>
      <c r="E259" s="497"/>
      <c r="F259" s="497"/>
      <c r="G259" s="497"/>
      <c r="H259" s="497"/>
      <c r="I259" s="498"/>
      <c r="J259" s="498"/>
      <c r="K259" s="498"/>
      <c r="L259" s="498"/>
      <c r="M259" s="498"/>
      <c r="N259" s="498"/>
      <c r="O259" s="498"/>
      <c r="P259" s="498"/>
      <c r="Q259" s="497"/>
      <c r="R259" s="43"/>
      <c r="S259" s="9"/>
      <c r="T259" s="66"/>
      <c r="U259" s="1026"/>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1099"/>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row>
    <row r="260" spans="1:73" x14ac:dyDescent="0.25">
      <c r="A260" s="854"/>
      <c r="B260" s="4"/>
      <c r="C260" s="43"/>
      <c r="D260" s="43"/>
      <c r="E260" s="497"/>
      <c r="F260" s="497"/>
      <c r="G260" s="497"/>
      <c r="H260" s="497"/>
      <c r="I260" s="498"/>
      <c r="J260" s="498"/>
      <c r="K260" s="498"/>
      <c r="L260" s="498"/>
      <c r="M260" s="498"/>
      <c r="N260" s="498"/>
      <c r="O260" s="498"/>
      <c r="P260" s="498"/>
      <c r="Q260" s="497"/>
      <c r="R260" s="43"/>
      <c r="S260" s="9"/>
      <c r="T260" s="66"/>
      <c r="U260" s="1026"/>
      <c r="V260" s="95" t="s">
        <v>864</v>
      </c>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1099"/>
      <c r="AU260" s="243" t="s">
        <v>181</v>
      </c>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row>
    <row r="261" spans="1:73" x14ac:dyDescent="0.25">
      <c r="A261" s="860"/>
      <c r="B261" s="534" t="s">
        <v>856</v>
      </c>
      <c r="C261" s="535"/>
      <c r="D261" s="535"/>
      <c r="E261" s="536"/>
      <c r="F261" s="536"/>
      <c r="G261" s="536"/>
      <c r="H261" s="536"/>
      <c r="I261" s="536"/>
      <c r="J261" s="536"/>
      <c r="K261" s="536"/>
      <c r="L261" s="536"/>
      <c r="M261" s="536"/>
      <c r="N261" s="536"/>
      <c r="O261" s="536"/>
      <c r="P261" s="536"/>
      <c r="Q261" s="497"/>
      <c r="R261" s="43"/>
      <c r="S261" s="9"/>
      <c r="T261" s="66"/>
      <c r="U261" s="1026"/>
      <c r="V261" s="534" t="s">
        <v>856</v>
      </c>
      <c r="W261" s="535"/>
      <c r="X261" s="535"/>
      <c r="Y261" s="535"/>
      <c r="Z261" s="535"/>
      <c r="AA261" s="535"/>
      <c r="AB261" s="535"/>
      <c r="AC261" s="535"/>
      <c r="AD261" s="535"/>
      <c r="AE261" s="535"/>
      <c r="AF261" s="507"/>
      <c r="AG261" s="507"/>
      <c r="AH261" s="507"/>
      <c r="AI261" s="507"/>
      <c r="AJ261" s="4"/>
      <c r="AK261" s="4"/>
      <c r="AL261" s="4"/>
      <c r="AM261" s="4"/>
      <c r="AN261" s="4"/>
      <c r="AO261" s="4"/>
      <c r="AP261" s="4"/>
      <c r="AQ261" s="4"/>
      <c r="AR261" s="4"/>
      <c r="AS261" s="4"/>
      <c r="AT261" s="1099"/>
      <c r="AU261" s="534" t="s">
        <v>856</v>
      </c>
      <c r="AV261" s="535"/>
      <c r="AW261" s="535"/>
      <c r="AX261" s="535"/>
      <c r="AY261" s="535"/>
      <c r="AZ261" s="535"/>
      <c r="BA261" s="535"/>
      <c r="BB261" s="535"/>
      <c r="BC261" s="535"/>
      <c r="BD261" s="535"/>
      <c r="BE261" s="507"/>
      <c r="BF261" s="507"/>
      <c r="BG261" s="507"/>
      <c r="BH261" s="507"/>
      <c r="BI261" s="4"/>
      <c r="BJ261" s="4"/>
      <c r="BK261" s="4"/>
      <c r="BL261" s="4"/>
      <c r="BM261" s="4"/>
      <c r="BN261" s="4"/>
      <c r="BO261" s="4"/>
      <c r="BP261" s="4"/>
      <c r="BQ261" s="4"/>
      <c r="BR261" s="4"/>
      <c r="BS261" s="4"/>
      <c r="BT261" s="4"/>
      <c r="BU261" s="4"/>
    </row>
    <row r="262" spans="1:73" x14ac:dyDescent="0.25">
      <c r="A262" s="854"/>
      <c r="C262" s="43"/>
      <c r="D262" s="43"/>
      <c r="F262" s="497"/>
      <c r="G262" s="497" t="s">
        <v>348</v>
      </c>
      <c r="H262" s="497"/>
      <c r="I262" s="498"/>
      <c r="J262" s="498"/>
      <c r="K262" s="498"/>
      <c r="L262" s="498"/>
      <c r="M262" s="498"/>
      <c r="N262" s="498"/>
      <c r="O262" s="498"/>
      <c r="P262" s="498"/>
      <c r="Q262" s="497"/>
      <c r="R262" s="43"/>
      <c r="S262" s="9"/>
      <c r="T262" s="66"/>
      <c r="U262" s="1026"/>
      <c r="V262" s="497" t="s">
        <v>348</v>
      </c>
      <c r="W262" s="497"/>
      <c r="X262" s="497"/>
      <c r="Y262" s="497"/>
      <c r="Z262" s="497"/>
      <c r="AA262" s="497"/>
      <c r="AB262" s="497"/>
      <c r="AC262" s="497"/>
      <c r="AD262" s="497"/>
      <c r="AE262" s="497"/>
      <c r="AF262" s="4"/>
      <c r="AG262" s="4"/>
      <c r="AH262" s="4"/>
      <c r="AI262" s="4"/>
      <c r="AJ262" s="4"/>
      <c r="AK262" s="4"/>
      <c r="AL262" s="4"/>
      <c r="AM262" s="4"/>
      <c r="AN262" s="4"/>
      <c r="AO262" s="4"/>
      <c r="AP262" s="4"/>
      <c r="AQ262" s="4"/>
      <c r="AR262" s="4"/>
      <c r="AS262" s="4"/>
      <c r="AT262" s="1099"/>
      <c r="AU262" s="497" t="s">
        <v>348</v>
      </c>
      <c r="AV262" s="497"/>
      <c r="AW262" s="497"/>
      <c r="AX262" s="497"/>
      <c r="AY262" s="497"/>
      <c r="AZ262" s="497"/>
      <c r="BA262" s="497"/>
      <c r="BB262" s="497"/>
      <c r="BC262" s="497"/>
      <c r="BD262" s="497"/>
      <c r="BE262" s="4"/>
      <c r="BF262" s="4"/>
      <c r="BG262" s="4"/>
      <c r="BH262" s="4"/>
      <c r="BI262" s="4"/>
      <c r="BJ262" s="4"/>
      <c r="BK262" s="4"/>
      <c r="BL262" s="4"/>
      <c r="BM262" s="4"/>
      <c r="BN262" s="4"/>
      <c r="BO262" s="4"/>
      <c r="BP262" s="4"/>
      <c r="BQ262" s="4"/>
      <c r="BR262" s="4"/>
      <c r="BS262" s="4"/>
      <c r="BT262" s="4"/>
      <c r="BU262" s="4"/>
    </row>
    <row r="263" spans="1:73" x14ac:dyDescent="0.25">
      <c r="A263" s="854"/>
      <c r="B263" s="15"/>
      <c r="C263" s="537"/>
      <c r="D263" s="537"/>
      <c r="E263" s="538"/>
      <c r="F263" s="538"/>
      <c r="G263" s="538">
        <f t="shared" ref="G263:O263" si="257">G8</f>
        <v>2017</v>
      </c>
      <c r="H263" s="538">
        <f t="shared" si="257"/>
        <v>2018</v>
      </c>
      <c r="I263" s="538">
        <f t="shared" si="257"/>
        <v>2019</v>
      </c>
      <c r="J263" s="538">
        <f t="shared" si="257"/>
        <v>2020</v>
      </c>
      <c r="K263" s="538">
        <f t="shared" si="257"/>
        <v>2021</v>
      </c>
      <c r="L263" s="538">
        <f t="shared" si="257"/>
        <v>2022</v>
      </c>
      <c r="M263" s="538">
        <f t="shared" si="257"/>
        <v>2023</v>
      </c>
      <c r="N263" s="538">
        <f t="shared" si="257"/>
        <v>2024</v>
      </c>
      <c r="O263" s="538">
        <f t="shared" si="257"/>
        <v>2025</v>
      </c>
      <c r="P263" s="1747"/>
      <c r="Q263" s="497"/>
      <c r="R263" s="43"/>
      <c r="S263" s="9"/>
      <c r="T263" s="66"/>
      <c r="U263" s="1026"/>
      <c r="V263" s="538">
        <f t="shared" ref="V263:AA263" si="258">V8</f>
        <v>2015</v>
      </c>
      <c r="W263" s="538">
        <f t="shared" si="258"/>
        <v>2017</v>
      </c>
      <c r="X263" s="538">
        <f t="shared" si="258"/>
        <v>2018</v>
      </c>
      <c r="Y263" s="538">
        <f t="shared" si="258"/>
        <v>2019</v>
      </c>
      <c r="Z263" s="538">
        <f t="shared" si="258"/>
        <v>2020</v>
      </c>
      <c r="AA263" s="538">
        <f t="shared" si="258"/>
        <v>2021</v>
      </c>
      <c r="AB263" s="538">
        <f t="shared" ref="AB263:AE263" si="259">AB8</f>
        <v>2022</v>
      </c>
      <c r="AC263" s="538">
        <f t="shared" si="259"/>
        <v>2023</v>
      </c>
      <c r="AD263" s="538">
        <f t="shared" si="259"/>
        <v>2024</v>
      </c>
      <c r="AE263" s="538">
        <f t="shared" si="259"/>
        <v>2025</v>
      </c>
      <c r="AF263" s="4"/>
      <c r="AG263" s="4"/>
      <c r="AH263" s="4"/>
      <c r="AI263" s="4"/>
      <c r="AJ263" s="4"/>
      <c r="AK263" s="4"/>
      <c r="AL263" s="4"/>
      <c r="AM263" s="4"/>
      <c r="AN263" s="4"/>
      <c r="AO263" s="4"/>
      <c r="AP263" s="4"/>
      <c r="AQ263" s="4"/>
      <c r="AR263" s="4"/>
      <c r="AS263" s="4"/>
      <c r="AT263" s="1099"/>
      <c r="AU263" s="538">
        <f t="shared" ref="AU263:AZ263" si="260">AU8</f>
        <v>2015</v>
      </c>
      <c r="AV263" s="538">
        <f t="shared" si="260"/>
        <v>2017</v>
      </c>
      <c r="AW263" s="538">
        <f t="shared" si="260"/>
        <v>2018</v>
      </c>
      <c r="AX263" s="538">
        <f t="shared" si="260"/>
        <v>2019</v>
      </c>
      <c r="AY263" s="538">
        <f t="shared" si="260"/>
        <v>2020</v>
      </c>
      <c r="AZ263" s="538">
        <f t="shared" si="260"/>
        <v>2021</v>
      </c>
      <c r="BA263" s="538">
        <f t="shared" ref="BA263:BD263" si="261">BA8</f>
        <v>2022</v>
      </c>
      <c r="BB263" s="538">
        <f t="shared" si="261"/>
        <v>2023</v>
      </c>
      <c r="BC263" s="538">
        <f t="shared" si="261"/>
        <v>2024</v>
      </c>
      <c r="BD263" s="538">
        <f t="shared" si="261"/>
        <v>2025</v>
      </c>
      <c r="BE263" s="4"/>
      <c r="BF263" s="4"/>
      <c r="BG263" s="4"/>
      <c r="BH263" s="4"/>
      <c r="BI263" s="4"/>
      <c r="BJ263" s="4"/>
      <c r="BK263" s="4"/>
      <c r="BL263" s="4"/>
      <c r="BM263" s="4"/>
      <c r="BN263" s="4"/>
      <c r="BO263" s="4"/>
      <c r="BP263" s="4"/>
      <c r="BQ263" s="4"/>
      <c r="BR263" s="4"/>
      <c r="BS263" s="4"/>
      <c r="BT263" s="4"/>
      <c r="BU263" s="4"/>
    </row>
    <row r="264" spans="1:73" x14ac:dyDescent="0.2">
      <c r="A264" s="854"/>
      <c r="B264" s="942" t="s">
        <v>841</v>
      </c>
      <c r="C264" s="943"/>
      <c r="D264" s="943"/>
      <c r="E264" s="944"/>
      <c r="F264" s="944"/>
      <c r="G264" s="1769">
        <f t="shared" ref="G264:O264" si="262">G20/G289</f>
        <v>1.9959294386614992E-2</v>
      </c>
      <c r="H264" s="1769">
        <f t="shared" si="262"/>
        <v>2.3250086557421782E-2</v>
      </c>
      <c r="I264" s="1769">
        <f t="shared" si="262"/>
        <v>2.0588083892423212E-2</v>
      </c>
      <c r="J264" s="1769">
        <f t="shared" si="262"/>
        <v>2.2848043928500743E-2</v>
      </c>
      <c r="K264" s="1769">
        <f t="shared" si="262"/>
        <v>2.2912430523223809E-2</v>
      </c>
      <c r="L264" s="1769">
        <f t="shared" si="262"/>
        <v>2.048850767162206E-2</v>
      </c>
      <c r="M264" s="1769">
        <f t="shared" si="262"/>
        <v>3.7380984695568859E-2</v>
      </c>
      <c r="N264" s="1769">
        <f t="shared" si="262"/>
        <v>5.0225775618902853E-2</v>
      </c>
      <c r="O264" s="1769" t="e">
        <f t="shared" si="262"/>
        <v>#DIV/0!</v>
      </c>
      <c r="P264" s="947"/>
      <c r="Q264" s="497"/>
      <c r="R264" s="43"/>
      <c r="S264" s="9"/>
      <c r="T264" s="66"/>
      <c r="U264" s="1026" t="s">
        <v>866</v>
      </c>
      <c r="V264" s="1769">
        <f t="shared" ref="V264:AE264" si="263">V20/V289</f>
        <v>2.1490003020868568E-2</v>
      </c>
      <c r="W264" s="1769">
        <f t="shared" si="263"/>
        <v>3.4104960907505755E-2</v>
      </c>
      <c r="X264" s="1769">
        <f t="shared" si="263"/>
        <v>3.8851345926439886E-2</v>
      </c>
      <c r="Y264" s="1769">
        <f t="shared" si="263"/>
        <v>3.8101062104968129E-2</v>
      </c>
      <c r="Z264" s="1769">
        <f t="shared" si="263"/>
        <v>3.7482056376468988E-2</v>
      </c>
      <c r="AA264" s="1769">
        <f t="shared" si="263"/>
        <v>3.6347735092082924E-2</v>
      </c>
      <c r="AB264" s="1769">
        <f t="shared" si="263"/>
        <v>3.2868309084250494E-2</v>
      </c>
      <c r="AC264" s="1769">
        <f t="shared" si="263"/>
        <v>3.9657035120847665E-2</v>
      </c>
      <c r="AD264" s="1769">
        <f t="shared" si="263"/>
        <v>3.6276945156930966E-2</v>
      </c>
      <c r="AE264" s="1769">
        <f t="shared" si="263"/>
        <v>3.7896544330115578E-2</v>
      </c>
      <c r="AF264" s="4"/>
      <c r="AG264" s="4"/>
      <c r="AH264" s="4"/>
      <c r="AI264" s="4"/>
      <c r="AJ264" s="4"/>
      <c r="AK264" s="4"/>
      <c r="AL264" s="4"/>
      <c r="AM264" s="4"/>
      <c r="AN264" s="4"/>
      <c r="AO264" s="4"/>
      <c r="AP264" s="4"/>
      <c r="AQ264" s="4"/>
      <c r="AR264" s="4"/>
      <c r="AS264" s="4"/>
      <c r="AT264" s="1102" t="s">
        <v>866</v>
      </c>
      <c r="AU264" s="1769">
        <f t="shared" ref="AU264:BD264" si="264">AU20/AU289</f>
        <v>2.7386443558328904E-2</v>
      </c>
      <c r="AV264" s="1769">
        <f t="shared" si="264"/>
        <v>2.9186772367679834E-2</v>
      </c>
      <c r="AW264" s="1769">
        <f t="shared" si="264"/>
        <v>3.0615697350537777E-2</v>
      </c>
      <c r="AX264" s="1769">
        <f t="shared" si="264"/>
        <v>2.9882314424559905E-2</v>
      </c>
      <c r="AY264" s="1769">
        <f t="shared" si="264"/>
        <v>2.5999524301426769E-2</v>
      </c>
      <c r="AZ264" s="1769">
        <f t="shared" si="264"/>
        <v>2.313867380834712E-2</v>
      </c>
      <c r="BA264" s="1769">
        <f t="shared" si="264"/>
        <v>2.6770066213152494E-2</v>
      </c>
      <c r="BB264" s="1769">
        <f t="shared" si="264"/>
        <v>2.9544486298744958E-2</v>
      </c>
      <c r="BC264" s="1769">
        <f t="shared" si="264"/>
        <v>2.8799786809850497E-2</v>
      </c>
      <c r="BD264" s="1769">
        <f t="shared" si="264"/>
        <v>2.6632970406418158E-2</v>
      </c>
      <c r="BE264" s="4"/>
      <c r="BF264" s="4"/>
      <c r="BG264" s="4"/>
      <c r="BH264" s="4"/>
      <c r="BI264" s="4"/>
      <c r="BJ264" s="4"/>
      <c r="BK264" s="4"/>
      <c r="BL264" s="4"/>
      <c r="BM264" s="4"/>
      <c r="BN264" s="4"/>
      <c r="BO264" s="4"/>
      <c r="BP264" s="4"/>
      <c r="BQ264" s="4"/>
      <c r="BR264" s="4"/>
      <c r="BS264" s="4"/>
      <c r="BT264" s="4"/>
      <c r="BU264" s="4"/>
    </row>
    <row r="265" spans="1:73" x14ac:dyDescent="0.2">
      <c r="A265" s="854"/>
      <c r="B265" s="945" t="s">
        <v>372</v>
      </c>
      <c r="C265" s="946"/>
      <c r="D265" s="946"/>
      <c r="E265" s="947"/>
      <c r="F265" s="947"/>
      <c r="G265" s="1770">
        <f t="shared" ref="G265:O265" si="265">G21/G$289</f>
        <v>1.0172610382519346E-2</v>
      </c>
      <c r="H265" s="1770">
        <f t="shared" si="265"/>
        <v>1.1941395309650903E-2</v>
      </c>
      <c r="I265" s="1770">
        <f t="shared" si="265"/>
        <v>1.3204195771544634E-2</v>
      </c>
      <c r="J265" s="1770">
        <f t="shared" si="265"/>
        <v>1.3709070476966404E-2</v>
      </c>
      <c r="K265" s="1770">
        <f t="shared" si="265"/>
        <v>1.4161115901134676E-2</v>
      </c>
      <c r="L265" s="1770">
        <f t="shared" si="265"/>
        <v>1.2733692977689009E-2</v>
      </c>
      <c r="M265" s="1770">
        <f t="shared" si="265"/>
        <v>1.3557642437659782E-2</v>
      </c>
      <c r="N265" s="1770">
        <f t="shared" si="265"/>
        <v>1.3299050072180034E-2</v>
      </c>
      <c r="O265" s="1770" t="e">
        <f t="shared" si="265"/>
        <v>#DIV/0!</v>
      </c>
      <c r="P265" s="947"/>
      <c r="Q265" s="497"/>
      <c r="R265" s="43"/>
      <c r="S265" s="9"/>
      <c r="T265" s="66"/>
      <c r="U265" s="1026"/>
      <c r="V265" s="1770">
        <f t="shared" ref="V265:AE265" si="266">V21/V289</f>
        <v>1.2918654215147773E-2</v>
      </c>
      <c r="W265" s="1770">
        <f t="shared" si="266"/>
        <v>1.5528680954684437E-2</v>
      </c>
      <c r="X265" s="1770">
        <f t="shared" si="266"/>
        <v>1.7014896154234911E-2</v>
      </c>
      <c r="Y265" s="1770">
        <f t="shared" si="266"/>
        <v>1.8469721224730916E-2</v>
      </c>
      <c r="Z265" s="1770">
        <f t="shared" si="266"/>
        <v>1.8417139961576269E-2</v>
      </c>
      <c r="AA265" s="1770">
        <f t="shared" si="266"/>
        <v>1.9417135027463183E-2</v>
      </c>
      <c r="AB265" s="1770">
        <f t="shared" si="266"/>
        <v>1.7374580702529389E-2</v>
      </c>
      <c r="AC265" s="1770">
        <f t="shared" si="266"/>
        <v>1.7338029888128857E-2</v>
      </c>
      <c r="AD265" s="1770">
        <f t="shared" si="266"/>
        <v>1.6609594427881062E-2</v>
      </c>
      <c r="AE265" s="1770">
        <f t="shared" si="266"/>
        <v>1.6244628701143949E-2</v>
      </c>
      <c r="AF265" s="4"/>
      <c r="AG265" s="4"/>
      <c r="AH265" s="4"/>
      <c r="AI265" s="4"/>
      <c r="AJ265" s="4"/>
      <c r="AK265" s="4"/>
      <c r="AL265" s="4"/>
      <c r="AM265" s="4"/>
      <c r="AN265" s="4"/>
      <c r="AO265" s="4"/>
      <c r="AP265" s="4"/>
      <c r="AQ265" s="4"/>
      <c r="AR265" s="4"/>
      <c r="AS265" s="4"/>
      <c r="AT265" s="1102"/>
      <c r="AU265" s="1770">
        <f t="shared" ref="AU265:BD265" si="267">AU21/AU289</f>
        <v>5.9162423040502081E-3</v>
      </c>
      <c r="AV265" s="1770">
        <f t="shared" si="267"/>
        <v>5.812046244323717E-3</v>
      </c>
      <c r="AW265" s="1770">
        <f t="shared" si="267"/>
        <v>5.6318602121888817E-3</v>
      </c>
      <c r="AX265" s="1770">
        <f t="shared" si="267"/>
        <v>5.0195996777505272E-3</v>
      </c>
      <c r="AY265" s="1770">
        <f t="shared" si="267"/>
        <v>4.3058403065892844E-3</v>
      </c>
      <c r="AZ265" s="1770">
        <f t="shared" si="267"/>
        <v>4.5933867199079237E-3</v>
      </c>
      <c r="BA265" s="1770">
        <f t="shared" si="267"/>
        <v>4.4712908863732536E-3</v>
      </c>
      <c r="BB265" s="1770">
        <f t="shared" si="267"/>
        <v>4.0996750987835374E-3</v>
      </c>
      <c r="BC265" s="1770">
        <f t="shared" si="267"/>
        <v>4.6835836420644388E-3</v>
      </c>
      <c r="BD265" s="1770">
        <f t="shared" si="267"/>
        <v>4.9096381600219063E-3</v>
      </c>
      <c r="BE265" s="4"/>
      <c r="BF265" s="4"/>
      <c r="BG265" s="4"/>
      <c r="BH265" s="4"/>
      <c r="BI265" s="4"/>
      <c r="BJ265" s="4"/>
      <c r="BK265" s="4"/>
      <c r="BL265" s="4"/>
      <c r="BM265" s="4"/>
      <c r="BN265" s="4"/>
      <c r="BO265" s="4"/>
      <c r="BP265" s="4"/>
      <c r="BQ265" s="4"/>
      <c r="BR265" s="4"/>
      <c r="BS265" s="4"/>
      <c r="BT265" s="4"/>
      <c r="BU265" s="4"/>
    </row>
    <row r="266" spans="1:73" x14ac:dyDescent="0.2">
      <c r="A266" s="854"/>
      <c r="B266" s="948" t="s">
        <v>373</v>
      </c>
      <c r="C266" s="949"/>
      <c r="D266" s="949"/>
      <c r="E266" s="950"/>
      <c r="F266" s="950"/>
      <c r="G266" s="1771">
        <f t="shared" ref="G266:O266" si="268">G22/G$289</f>
        <v>-3.0826427951526681E-3</v>
      </c>
      <c r="H266" s="1771">
        <f t="shared" si="268"/>
        <v>-3.722608103165481E-3</v>
      </c>
      <c r="I266" s="1771">
        <f t="shared" si="268"/>
        <v>-4.3973387072646234E-3</v>
      </c>
      <c r="J266" s="1771">
        <f t="shared" si="268"/>
        <v>-5.262517920703016E-3</v>
      </c>
      <c r="K266" s="1771">
        <f t="shared" si="268"/>
        <v>-3.6759073833461877E-3</v>
      </c>
      <c r="L266" s="1771">
        <f t="shared" si="268"/>
        <v>-3.318808910174339E-3</v>
      </c>
      <c r="M266" s="1771">
        <f t="shared" si="268"/>
        <v>-4.1522832193085389E-3</v>
      </c>
      <c r="N266" s="1771">
        <f t="shared" si="268"/>
        <v>-5.1446121766693526E-3</v>
      </c>
      <c r="O266" s="1771" t="e">
        <f t="shared" si="268"/>
        <v>#DIV/0!</v>
      </c>
      <c r="P266" s="947"/>
      <c r="Q266" s="497"/>
      <c r="R266" s="43"/>
      <c r="S266" s="9"/>
      <c r="T266" s="66"/>
      <c r="U266" s="1026"/>
      <c r="V266" s="1771">
        <f t="shared" ref="V266:AE266" si="269">V22/V289</f>
        <v>-2.6812801351435256E-3</v>
      </c>
      <c r="W266" s="1771">
        <f t="shared" si="269"/>
        <v>-3.3461768887614106E-3</v>
      </c>
      <c r="X266" s="1771">
        <f t="shared" si="269"/>
        <v>-4.3385730473899141E-3</v>
      </c>
      <c r="Y266" s="1771">
        <f t="shared" si="269"/>
        <v>-5.0637944570262874E-3</v>
      </c>
      <c r="Z266" s="1771">
        <f t="shared" si="269"/>
        <v>-5.0909927929173992E-3</v>
      </c>
      <c r="AA266" s="1771">
        <f t="shared" si="269"/>
        <v>-5.7386204487883206E-3</v>
      </c>
      <c r="AB266" s="1771">
        <f t="shared" si="269"/>
        <v>-4.663705773860276E-3</v>
      </c>
      <c r="AC266" s="1771">
        <f t="shared" si="269"/>
        <v>-4.4549849800622418E-3</v>
      </c>
      <c r="AD266" s="1771">
        <f t="shared" si="269"/>
        <v>-4.6561328167354617E-3</v>
      </c>
      <c r="AE266" s="1771">
        <f t="shared" si="269"/>
        <v>-4.6788452086594916E-3</v>
      </c>
      <c r="AF266" s="4"/>
      <c r="AG266" s="4"/>
      <c r="AH266" s="4"/>
      <c r="AI266" s="4"/>
      <c r="AJ266" s="4"/>
      <c r="AK266" s="4"/>
      <c r="AL266" s="4"/>
      <c r="AM266" s="4"/>
      <c r="AN266" s="4"/>
      <c r="AO266" s="4"/>
      <c r="AP266" s="4"/>
      <c r="AQ266" s="4"/>
      <c r="AR266" s="4"/>
      <c r="AS266" s="4"/>
      <c r="AT266" s="1102"/>
      <c r="AU266" s="1771">
        <f t="shared" ref="AU266:BD266" si="270">AU22/AU289</f>
        <v>0</v>
      </c>
      <c r="AV266" s="1771">
        <f t="shared" si="270"/>
        <v>0</v>
      </c>
      <c r="AW266" s="1771">
        <f t="shared" si="270"/>
        <v>0</v>
      </c>
      <c r="AX266" s="1771">
        <f t="shared" si="270"/>
        <v>0</v>
      </c>
      <c r="AY266" s="1771">
        <f t="shared" si="270"/>
        <v>0</v>
      </c>
      <c r="AZ266" s="1771">
        <f t="shared" si="270"/>
        <v>0</v>
      </c>
      <c r="BA266" s="1771">
        <f t="shared" si="270"/>
        <v>0</v>
      </c>
      <c r="BB266" s="1771">
        <f t="shared" si="270"/>
        <v>0</v>
      </c>
      <c r="BC266" s="1771">
        <f t="shared" si="270"/>
        <v>0</v>
      </c>
      <c r="BD266" s="1771">
        <f t="shared" si="270"/>
        <v>0</v>
      </c>
      <c r="BE266" s="4"/>
      <c r="BF266" s="4"/>
      <c r="BG266" s="4"/>
      <c r="BH266" s="4"/>
      <c r="BI266" s="4"/>
      <c r="BJ266" s="4"/>
      <c r="BK266" s="4"/>
      <c r="BL266" s="4"/>
      <c r="BM266" s="4"/>
      <c r="BN266" s="4"/>
      <c r="BO266" s="4"/>
      <c r="BP266" s="4"/>
      <c r="BQ266" s="4"/>
      <c r="BR266" s="4"/>
      <c r="BS266" s="4"/>
      <c r="BT266" s="4"/>
      <c r="BU266" s="4"/>
    </row>
    <row r="267" spans="1:73" x14ac:dyDescent="0.2">
      <c r="A267" s="854"/>
      <c r="B267" s="4" t="s">
        <v>1151</v>
      </c>
      <c r="C267" s="43"/>
      <c r="D267" s="43"/>
      <c r="E267" s="544"/>
      <c r="F267" s="544"/>
      <c r="G267" s="642">
        <f t="shared" ref="G267:O267" si="271">G24/G$289</f>
        <v>-1.8603932908277637E-2</v>
      </c>
      <c r="H267" s="642">
        <f t="shared" si="271"/>
        <v>-2.7072915918608609E-2</v>
      </c>
      <c r="I267" s="642">
        <f t="shared" si="271"/>
        <v>-2.4069400429576549E-2</v>
      </c>
      <c r="J267" s="642">
        <f t="shared" si="271"/>
        <v>-2.3551166276902895E-2</v>
      </c>
      <c r="K267" s="642">
        <f t="shared" si="271"/>
        <v>-2.6615827486872062E-2</v>
      </c>
      <c r="L267" s="2110">
        <f t="shared" si="271"/>
        <v>0</v>
      </c>
      <c r="M267" s="1904">
        <f t="shared" si="271"/>
        <v>0</v>
      </c>
      <c r="N267" s="1904">
        <f t="shared" si="271"/>
        <v>0</v>
      </c>
      <c r="O267" s="1904" t="e">
        <f t="shared" si="271"/>
        <v>#DIV/0!</v>
      </c>
      <c r="P267" s="1911"/>
      <c r="Q267" s="497"/>
      <c r="R267" s="43"/>
      <c r="S267" s="9"/>
      <c r="T267" s="66"/>
      <c r="U267" s="1026"/>
      <c r="V267" s="642">
        <f t="shared" ref="V267:AE267" si="272">V24/V$289</f>
        <v>-1.643360968642836E-2</v>
      </c>
      <c r="W267" s="642">
        <f t="shared" si="272"/>
        <v>-2.3955943268479392E-2</v>
      </c>
      <c r="X267" s="642">
        <f t="shared" si="272"/>
        <v>-2.281829870507995E-2</v>
      </c>
      <c r="Y267" s="642">
        <f t="shared" si="272"/>
        <v>-2.3614340055209099E-2</v>
      </c>
      <c r="Z267" s="642">
        <f t="shared" si="272"/>
        <v>-2.1970684040380106E-2</v>
      </c>
      <c r="AA267" s="642">
        <f t="shared" si="272"/>
        <v>-2.1516075457086947E-2</v>
      </c>
      <c r="AB267" s="642">
        <f t="shared" si="272"/>
        <v>-2.0196351212338971E-2</v>
      </c>
      <c r="AC267" s="642">
        <f t="shared" si="272"/>
        <v>-2.0287606005897213E-2</v>
      </c>
      <c r="AD267" s="642">
        <f t="shared" si="272"/>
        <v>-1.9945702965797722E-2</v>
      </c>
      <c r="AE267" s="642">
        <f t="shared" si="272"/>
        <v>-2.0246010838193253E-2</v>
      </c>
      <c r="AF267" s="4"/>
      <c r="AG267" s="4"/>
      <c r="AH267" s="4"/>
      <c r="AI267" s="4"/>
      <c r="AJ267" s="4"/>
      <c r="AK267" s="4"/>
      <c r="AL267" s="4"/>
      <c r="AM267" s="4"/>
      <c r="AN267" s="4"/>
      <c r="AO267" s="4"/>
      <c r="AP267" s="4"/>
      <c r="AQ267" s="4"/>
      <c r="AR267" s="4"/>
      <c r="AS267" s="4"/>
      <c r="AT267" s="1102"/>
      <c r="AU267" s="642">
        <f t="shared" ref="AU267:BD267" si="273">AU24/AU$289</f>
        <v>-1.5514781871421456E-2</v>
      </c>
      <c r="AV267" s="642">
        <f t="shared" si="273"/>
        <v>-1.5162546535588302E-2</v>
      </c>
      <c r="AW267" s="642">
        <f t="shared" si="273"/>
        <v>-1.5111097020076882E-2</v>
      </c>
      <c r="AX267" s="642">
        <f t="shared" si="273"/>
        <v>-1.5071414414393925E-2</v>
      </c>
      <c r="AY267" s="642">
        <f t="shared" si="273"/>
        <v>-1.4921612447264013E-2</v>
      </c>
      <c r="AZ267" s="642">
        <f t="shared" si="273"/>
        <v>-1.3349022182974469E-2</v>
      </c>
      <c r="BA267" s="642">
        <f t="shared" si="273"/>
        <v>-1.324026774521744E-2</v>
      </c>
      <c r="BB267" s="642">
        <f t="shared" si="273"/>
        <v>-1.4358723663192449E-2</v>
      </c>
      <c r="BC267" s="642">
        <f t="shared" si="273"/>
        <v>-1.4169441551147579E-2</v>
      </c>
      <c r="BD267" s="642">
        <f t="shared" si="273"/>
        <v>-1.4470318390012289E-2</v>
      </c>
      <c r="BE267" s="4"/>
      <c r="BF267" s="4"/>
      <c r="BG267" s="4"/>
      <c r="BH267" s="4"/>
      <c r="BI267" s="4"/>
      <c r="BJ267" s="4"/>
      <c r="BK267" s="4"/>
      <c r="BL267" s="4"/>
      <c r="BM267" s="4"/>
      <c r="BN267" s="4"/>
      <c r="BO267" s="4"/>
      <c r="BP267" s="4"/>
      <c r="BQ267" s="4"/>
      <c r="BR267" s="4"/>
      <c r="BS267" s="4"/>
      <c r="BT267" s="4"/>
      <c r="BU267" s="4"/>
    </row>
    <row r="268" spans="1:73" x14ac:dyDescent="0.2">
      <c r="A268" s="854"/>
      <c r="B268" s="4" t="s">
        <v>819</v>
      </c>
      <c r="C268" s="43"/>
      <c r="D268" s="43"/>
      <c r="E268" s="544"/>
      <c r="F268" s="544"/>
      <c r="G268" s="642">
        <f t="shared" ref="G268:O268" si="274">G37/G289</f>
        <v>3.7914351685648114E-2</v>
      </c>
      <c r="H268" s="642">
        <f t="shared" si="274"/>
        <v>3.4884737074726904E-2</v>
      </c>
      <c r="I268" s="642">
        <f t="shared" si="274"/>
        <v>4.9100600541114358E-3</v>
      </c>
      <c r="J268" s="642">
        <f t="shared" si="274"/>
        <v>6.770070630534245E-3</v>
      </c>
      <c r="K268" s="642">
        <f t="shared" si="274"/>
        <v>9.3599472034620566E-3</v>
      </c>
      <c r="L268" s="642">
        <f t="shared" si="274"/>
        <v>1.137599085211962E-3</v>
      </c>
      <c r="M268" s="642">
        <f t="shared" si="274"/>
        <v>-5.4952359286550949E-3</v>
      </c>
      <c r="N268" s="642">
        <f t="shared" si="274"/>
        <v>-8.5423201626846576E-4</v>
      </c>
      <c r="O268" s="642" t="e">
        <f t="shared" si="274"/>
        <v>#DIV/0!</v>
      </c>
      <c r="P268" s="544"/>
      <c r="Q268" s="497"/>
      <c r="R268" s="43"/>
      <c r="S268" s="9"/>
      <c r="T268" s="66"/>
      <c r="U268" s="1026"/>
      <c r="V268" s="642">
        <f t="shared" ref="V268:AE268" si="275">V37/V289</f>
        <v>1.445346508835392E-2</v>
      </c>
      <c r="W268" s="642">
        <f t="shared" si="275"/>
        <v>4.6062545064632305E-3</v>
      </c>
      <c r="X268" s="642">
        <f t="shared" si="275"/>
        <v>6.2234420775941967E-3</v>
      </c>
      <c r="Y268" s="642">
        <f t="shared" si="275"/>
        <v>4.369888364556266E-3</v>
      </c>
      <c r="Z268" s="642">
        <f t="shared" si="275"/>
        <v>7.9390458491858471E-3</v>
      </c>
      <c r="AA268" s="642">
        <f t="shared" si="275"/>
        <v>4.2456352425309538E-5</v>
      </c>
      <c r="AB268" s="642">
        <f t="shared" si="275"/>
        <v>-2.4955885079178284E-3</v>
      </c>
      <c r="AC268" s="642">
        <f t="shared" si="275"/>
        <v>7.276869319911893E-3</v>
      </c>
      <c r="AD268" s="642">
        <f t="shared" si="275"/>
        <v>5.1137760362678086E-3</v>
      </c>
      <c r="AE268" s="642">
        <f t="shared" si="275"/>
        <v>4.8061104632242764E-3</v>
      </c>
      <c r="AF268" s="4"/>
      <c r="AG268" s="4"/>
      <c r="AH268" s="4"/>
      <c r="AI268" s="4"/>
      <c r="AJ268" s="4"/>
      <c r="AK268" s="4"/>
      <c r="AL268" s="4"/>
      <c r="AM268" s="4"/>
      <c r="AN268" s="4"/>
      <c r="AO268" s="4"/>
      <c r="AP268" s="4"/>
      <c r="AQ268" s="4"/>
      <c r="AR268" s="4"/>
      <c r="AS268" s="4"/>
      <c r="AT268" s="1102"/>
      <c r="AU268" s="642">
        <f t="shared" ref="AU268:BD268" si="276">AU37/AU289</f>
        <v>1.6767834524388295E-3</v>
      </c>
      <c r="AV268" s="642">
        <f t="shared" si="276"/>
        <v>1.75167359743431E-3</v>
      </c>
      <c r="AW268" s="642">
        <f t="shared" si="276"/>
        <v>1.5242282984843441E-3</v>
      </c>
      <c r="AX268" s="642">
        <f t="shared" si="276"/>
        <v>2.0354664876931893E-3</v>
      </c>
      <c r="AY268" s="642">
        <f t="shared" si="276"/>
        <v>2.1152910704587209E-3</v>
      </c>
      <c r="AZ268" s="642">
        <f t="shared" si="276"/>
        <v>1.5995992859869179E-3</v>
      </c>
      <c r="BA268" s="642">
        <f t="shared" si="276"/>
        <v>1.682881318757817E-3</v>
      </c>
      <c r="BB268" s="642">
        <f t="shared" si="276"/>
        <v>1.9042377259273656E-3</v>
      </c>
      <c r="BC268" s="642">
        <f t="shared" si="276"/>
        <v>2.944458112664753E-3</v>
      </c>
      <c r="BD268" s="642">
        <f t="shared" si="276"/>
        <v>2.9465617153242997E-3</v>
      </c>
      <c r="BE268" s="4"/>
      <c r="BF268" s="4"/>
      <c r="BG268" s="4"/>
      <c r="BH268" s="4"/>
      <c r="BI268" s="4"/>
      <c r="BJ268" s="4"/>
      <c r="BK268" s="4"/>
      <c r="BL268" s="4"/>
      <c r="BM268" s="4"/>
      <c r="BN268" s="4"/>
      <c r="BO268" s="4"/>
      <c r="BP268" s="4"/>
      <c r="BQ268" s="4"/>
      <c r="BR268" s="4"/>
      <c r="BS268" s="4"/>
      <c r="BT268" s="4"/>
      <c r="BU268" s="4"/>
    </row>
    <row r="269" spans="1:73" x14ac:dyDescent="0.2">
      <c r="A269" s="854"/>
      <c r="B269" s="936" t="s">
        <v>980</v>
      </c>
      <c r="C269" s="937"/>
      <c r="D269" s="937"/>
      <c r="E269" s="938"/>
      <c r="F269" s="938"/>
      <c r="G269" s="1772">
        <f t="shared" ref="G269:O269" si="277">G39/G289</f>
        <v>-1.5755736922798476E-2</v>
      </c>
      <c r="H269" s="1772">
        <f t="shared" si="277"/>
        <v>-2.8896883331026472E-2</v>
      </c>
      <c r="I269" s="1772">
        <f t="shared" si="277"/>
        <v>-2.7112406257495539E-3</v>
      </c>
      <c r="J269" s="1772">
        <f t="shared" si="277"/>
        <v>-2.9342127528160844E-2</v>
      </c>
      <c r="K269" s="1772">
        <f t="shared" si="277"/>
        <v>-1.8044918445518482E-3</v>
      </c>
      <c r="L269" s="1772">
        <f t="shared" si="277"/>
        <v>-1.1298330556504449E-2</v>
      </c>
      <c r="M269" s="1772">
        <f t="shared" si="277"/>
        <v>-3.727888224366583E-2</v>
      </c>
      <c r="N269" s="1772">
        <f t="shared" si="277"/>
        <v>-1.5389962251197238E-2</v>
      </c>
      <c r="O269" s="1772" t="e">
        <f t="shared" si="277"/>
        <v>#DIV/0!</v>
      </c>
      <c r="P269" s="1748"/>
      <c r="Q269" s="497"/>
      <c r="R269" s="43"/>
      <c r="S269" s="9"/>
      <c r="T269" s="66"/>
      <c r="U269" s="1026"/>
      <c r="V269" s="1772">
        <f t="shared" ref="V269:AE269" si="278">V39/V289</f>
        <v>-2.2751781907994942E-2</v>
      </c>
      <c r="W269" s="1772">
        <f t="shared" si="278"/>
        <v>-1.8852497384676606E-2</v>
      </c>
      <c r="X269" s="1772">
        <f t="shared" si="278"/>
        <v>-1.9876761124521521E-2</v>
      </c>
      <c r="Y269" s="1772">
        <f t="shared" si="278"/>
        <v>-9.9937844625034526E-3</v>
      </c>
      <c r="Z269" s="1772">
        <f t="shared" si="278"/>
        <v>-1.8256610453105414E-2</v>
      </c>
      <c r="AA269" s="1772">
        <f t="shared" si="278"/>
        <v>-4.3307446434413385E-3</v>
      </c>
      <c r="AB269" s="1772">
        <f t="shared" si="278"/>
        <v>-1.8880692488062512E-2</v>
      </c>
      <c r="AC269" s="1772">
        <f t="shared" si="278"/>
        <v>-1.3602582036800648E-2</v>
      </c>
      <c r="AD269" s="1772">
        <f t="shared" si="278"/>
        <v>-1.0257647073670157E-2</v>
      </c>
      <c r="AE269" s="1772">
        <f t="shared" si="278"/>
        <v>-1.1086099765203517E-2</v>
      </c>
      <c r="AF269" s="4"/>
      <c r="AG269" s="4"/>
      <c r="AH269" s="4"/>
      <c r="AI269" s="4"/>
      <c r="AJ269" s="4"/>
      <c r="AK269" s="4"/>
      <c r="AL269" s="4"/>
      <c r="AM269" s="4"/>
      <c r="AN269" s="4"/>
      <c r="AO269" s="4"/>
      <c r="AP269" s="4"/>
      <c r="AQ269" s="4"/>
      <c r="AR269" s="4"/>
      <c r="AS269" s="4"/>
      <c r="AT269" s="1102"/>
      <c r="AU269" s="1772">
        <f t="shared" ref="AU269:BD269" si="279">AU39/AU289</f>
        <v>-2.3564259318923451E-3</v>
      </c>
      <c r="AV269" s="1772">
        <f t="shared" si="279"/>
        <v>-2.9907944422095612E-3</v>
      </c>
      <c r="AW269" s="1772">
        <f t="shared" si="279"/>
        <v>-2.8300773802986509E-3</v>
      </c>
      <c r="AX269" s="1772">
        <f t="shared" si="279"/>
        <v>-3.0119750245518944E-3</v>
      </c>
      <c r="AY269" s="1772">
        <f t="shared" si="279"/>
        <v>-6.5291451243351126E-3</v>
      </c>
      <c r="AZ269" s="1772">
        <f t="shared" si="279"/>
        <v>1.3598993406855114E-3</v>
      </c>
      <c r="BA269" s="1772">
        <f t="shared" si="279"/>
        <v>-2.1823486366795283E-3</v>
      </c>
      <c r="BB269" s="1772">
        <f t="shared" si="279"/>
        <v>-3.6651322922481937E-3</v>
      </c>
      <c r="BC269" s="1772">
        <f t="shared" si="279"/>
        <v>-3.791617323513961E-3</v>
      </c>
      <c r="BD269" s="1772">
        <f t="shared" si="279"/>
        <v>-4.0364817360173796E-3</v>
      </c>
      <c r="BE269" s="4"/>
      <c r="BF269" s="4"/>
      <c r="BG269" s="4"/>
      <c r="BH269" s="4"/>
      <c r="BI269" s="4"/>
      <c r="BJ269" s="4"/>
      <c r="BK269" s="4"/>
      <c r="BL269" s="4"/>
      <c r="BM269" s="4"/>
      <c r="BN269" s="4"/>
      <c r="BO269" s="4"/>
      <c r="BP269" s="4"/>
      <c r="BQ269" s="4"/>
      <c r="BR269" s="4"/>
      <c r="BS269" s="4"/>
      <c r="BT269" s="4"/>
      <c r="BU269" s="4"/>
    </row>
    <row r="270" spans="1:73" x14ac:dyDescent="0.2">
      <c r="A270" s="854"/>
      <c r="B270" s="509" t="s">
        <v>3400</v>
      </c>
      <c r="C270" s="1854"/>
      <c r="D270" s="1854"/>
      <c r="E270" s="1748"/>
      <c r="F270" s="1748"/>
      <c r="G270" s="1855">
        <f>G46/G289</f>
        <v>3.9524889834859132E-4</v>
      </c>
      <c r="H270" s="1855">
        <f t="shared" ref="H270:O270" si="280">H46/H289</f>
        <v>5.281520575524945E-4</v>
      </c>
      <c r="I270" s="1855">
        <f t="shared" si="280"/>
        <v>4.6423682666723812E-3</v>
      </c>
      <c r="J270" s="1855">
        <f t="shared" si="280"/>
        <v>2.4692078649606951E-2</v>
      </c>
      <c r="K270" s="1855">
        <f t="shared" si="280"/>
        <v>1.372673468433335E-2</v>
      </c>
      <c r="L270" s="2110">
        <f t="shared" si="280"/>
        <v>0</v>
      </c>
      <c r="M270" s="1904">
        <f t="shared" si="280"/>
        <v>0</v>
      </c>
      <c r="N270" s="1904">
        <f t="shared" si="280"/>
        <v>0</v>
      </c>
      <c r="O270" s="1904" t="e">
        <f t="shared" si="280"/>
        <v>#DIV/0!</v>
      </c>
      <c r="P270" s="1911"/>
      <c r="Q270" s="497"/>
      <c r="R270" s="43"/>
      <c r="S270" s="9"/>
      <c r="T270" s="66"/>
      <c r="U270" s="1026"/>
      <c r="V270" s="1855"/>
      <c r="W270" s="1855"/>
      <c r="X270" s="1855"/>
      <c r="Y270" s="1855"/>
      <c r="Z270" s="1855"/>
      <c r="AA270" s="1855"/>
      <c r="AB270" s="1855"/>
      <c r="AC270" s="1855"/>
      <c r="AD270" s="1855"/>
      <c r="AE270" s="1855"/>
      <c r="AF270" s="4"/>
      <c r="AG270" s="4"/>
      <c r="AH270" s="4"/>
      <c r="AI270" s="4"/>
      <c r="AJ270" s="4"/>
      <c r="AK270" s="4"/>
      <c r="AL270" s="4"/>
      <c r="AM270" s="4"/>
      <c r="AN270" s="4"/>
      <c r="AO270" s="4"/>
      <c r="AP270" s="4"/>
      <c r="AQ270" s="4"/>
      <c r="AR270" s="4"/>
      <c r="AS270" s="4"/>
      <c r="AT270" s="1102"/>
      <c r="AU270" s="1855"/>
      <c r="AV270" s="1855"/>
      <c r="AW270" s="1855"/>
      <c r="AX270" s="1855"/>
      <c r="AY270" s="1855"/>
      <c r="AZ270" s="1855"/>
      <c r="BA270" s="1855"/>
      <c r="BB270" s="1855"/>
      <c r="BC270" s="1855"/>
      <c r="BD270" s="1855"/>
      <c r="BE270" s="4"/>
      <c r="BF270" s="4"/>
      <c r="BG270" s="4"/>
      <c r="BH270" s="4"/>
      <c r="BI270" s="4"/>
      <c r="BJ270" s="4"/>
      <c r="BK270" s="4"/>
      <c r="BL270" s="4"/>
      <c r="BM270" s="4"/>
      <c r="BN270" s="4"/>
      <c r="BO270" s="4"/>
      <c r="BP270" s="4"/>
      <c r="BQ270" s="4"/>
      <c r="BR270" s="4"/>
      <c r="BS270" s="4"/>
      <c r="BT270" s="4"/>
      <c r="BU270" s="4"/>
    </row>
    <row r="271" spans="1:73" x14ac:dyDescent="0.2">
      <c r="A271" s="854"/>
      <c r="B271" s="939" t="s">
        <v>1268</v>
      </c>
      <c r="C271" s="940"/>
      <c r="D271" s="940"/>
      <c r="E271" s="941"/>
      <c r="F271" s="941"/>
      <c r="G271" s="1773">
        <f t="shared" ref="G271:O271" si="281">G204/G$289</f>
        <v>-3.501990953748492E-2</v>
      </c>
      <c r="H271" s="1773">
        <f t="shared" si="281"/>
        <v>-5.0772030685926608E-3</v>
      </c>
      <c r="I271" s="1773">
        <f t="shared" si="281"/>
        <v>-1.3541894116796314E-3</v>
      </c>
      <c r="J271" s="1773">
        <f t="shared" si="281"/>
        <v>-2.3859427339134242E-3</v>
      </c>
      <c r="K271" s="1773">
        <f t="shared" si="281"/>
        <v>-1.0400288670731036E-3</v>
      </c>
      <c r="L271" s="2111">
        <f t="shared" si="281"/>
        <v>0</v>
      </c>
      <c r="M271" s="1905">
        <f t="shared" si="281"/>
        <v>0</v>
      </c>
      <c r="N271" s="1905">
        <f t="shared" si="281"/>
        <v>0</v>
      </c>
      <c r="O271" s="1905" t="e">
        <f t="shared" si="281"/>
        <v>#DIV/0!</v>
      </c>
      <c r="P271" s="1911"/>
      <c r="Q271" s="497"/>
      <c r="R271" s="43"/>
      <c r="S271" s="9"/>
      <c r="T271" s="66"/>
      <c r="U271" s="1026"/>
      <c r="V271" s="1773"/>
      <c r="W271" s="1773"/>
      <c r="X271" s="1773"/>
      <c r="Y271" s="1773"/>
      <c r="Z271" s="1773"/>
      <c r="AA271" s="1773"/>
      <c r="AB271" s="1773"/>
      <c r="AC271" s="1773"/>
      <c r="AD271" s="1773"/>
      <c r="AE271" s="1773"/>
      <c r="AF271" s="4"/>
      <c r="AG271" s="4"/>
      <c r="AH271" s="4"/>
      <c r="AI271" s="4"/>
      <c r="AJ271" s="4"/>
      <c r="AK271" s="4"/>
      <c r="AL271" s="4"/>
      <c r="AM271" s="4"/>
      <c r="AN271" s="4"/>
      <c r="AO271" s="4"/>
      <c r="AP271" s="4"/>
      <c r="AQ271" s="4"/>
      <c r="AR271" s="4"/>
      <c r="AS271" s="4"/>
      <c r="AT271" s="1102"/>
      <c r="AU271" s="1773"/>
      <c r="AV271" s="1773"/>
      <c r="AW271" s="1773"/>
      <c r="AX271" s="1773"/>
      <c r="AY271" s="1773"/>
      <c r="AZ271" s="1773"/>
      <c r="BA271" s="1773"/>
      <c r="BB271" s="1773"/>
      <c r="BC271" s="1773"/>
      <c r="BD271" s="1773"/>
      <c r="BE271" s="4"/>
      <c r="BF271" s="4"/>
      <c r="BG271" s="4"/>
      <c r="BH271" s="4"/>
      <c r="BI271" s="4"/>
      <c r="BJ271" s="4"/>
      <c r="BK271" s="4"/>
      <c r="BL271" s="4"/>
      <c r="BM271" s="4"/>
      <c r="BN271" s="4"/>
      <c r="BO271" s="4"/>
      <c r="BP271" s="4"/>
      <c r="BQ271" s="4"/>
      <c r="BR271" s="4"/>
      <c r="BS271" s="4"/>
      <c r="BT271" s="4"/>
      <c r="BU271" s="4"/>
    </row>
    <row r="272" spans="1:73" x14ac:dyDescent="0.2">
      <c r="A272" s="854"/>
      <c r="B272" s="4" t="s">
        <v>1269</v>
      </c>
      <c r="C272" s="43"/>
      <c r="D272" s="43"/>
      <c r="E272" s="544"/>
      <c r="F272" s="544"/>
      <c r="G272" s="642">
        <f t="shared" ref="G272:O272" si="282">(G205+G206+G207)/G$289</f>
        <v>-3.4472429988458594E-3</v>
      </c>
      <c r="H272" s="642">
        <f t="shared" si="282"/>
        <v>-3.9113999701779756E-3</v>
      </c>
      <c r="I272" s="642">
        <f t="shared" si="282"/>
        <v>-2.9555132044458959E-3</v>
      </c>
      <c r="J272" s="642">
        <f t="shared" si="282"/>
        <v>-5.1201943075016394E-3</v>
      </c>
      <c r="K272" s="642">
        <f t="shared" si="282"/>
        <v>-6.9619061377578428E-3</v>
      </c>
      <c r="L272" s="642">
        <f t="shared" si="282"/>
        <v>0</v>
      </c>
      <c r="M272" s="642">
        <f t="shared" si="282"/>
        <v>0</v>
      </c>
      <c r="N272" s="642">
        <f t="shared" si="282"/>
        <v>0</v>
      </c>
      <c r="O272" s="642" t="e">
        <f t="shared" si="282"/>
        <v>#DIV/0!</v>
      </c>
      <c r="P272" s="544"/>
      <c r="Q272" s="497"/>
      <c r="R272" s="43"/>
      <c r="S272" s="9"/>
      <c r="T272" s="66"/>
      <c r="U272" s="1026"/>
      <c r="V272" s="642">
        <f t="shared" ref="V272:AE272" si="283">V25/V289</f>
        <v>0</v>
      </c>
      <c r="W272" s="642">
        <f t="shared" si="283"/>
        <v>0</v>
      </c>
      <c r="X272" s="642">
        <f t="shared" si="283"/>
        <v>-1.2478669458879229E-3</v>
      </c>
      <c r="Y272" s="642">
        <f t="shared" si="283"/>
        <v>-1.2457935241127463E-3</v>
      </c>
      <c r="Z272" s="642">
        <f t="shared" si="283"/>
        <v>-1.6000604300931724E-3</v>
      </c>
      <c r="AA272" s="642">
        <f t="shared" si="283"/>
        <v>-1.385895739853949E-3</v>
      </c>
      <c r="AB272" s="642">
        <f t="shared" si="283"/>
        <v>-1.3093692781338579E-3</v>
      </c>
      <c r="AC272" s="642">
        <f t="shared" si="283"/>
        <v>-1.057196800385112E-3</v>
      </c>
      <c r="AD272" s="642">
        <f t="shared" si="283"/>
        <v>-1.8210209785767106E-3</v>
      </c>
      <c r="AE272" s="642">
        <f t="shared" si="283"/>
        <v>-1.6269513965618155E-3</v>
      </c>
      <c r="AF272" s="4"/>
      <c r="AG272" s="4"/>
      <c r="AH272" s="4"/>
      <c r="AI272" s="4"/>
      <c r="AJ272" s="4"/>
      <c r="AK272" s="4"/>
      <c r="AL272" s="4"/>
      <c r="AM272" s="4"/>
      <c r="AN272" s="4"/>
      <c r="AO272" s="4"/>
      <c r="AP272" s="4"/>
      <c r="AQ272" s="4"/>
      <c r="AR272" s="4"/>
      <c r="AS272" s="4"/>
      <c r="AT272" s="1102"/>
      <c r="AU272" s="642">
        <f t="shared" ref="AU272:BD272" si="284">AU25/AU289</f>
        <v>-1.0939494751141246E-2</v>
      </c>
      <c r="AV272" s="642">
        <f t="shared" si="284"/>
        <v>-1.0740224566389619E-2</v>
      </c>
      <c r="AW272" s="642">
        <f t="shared" si="284"/>
        <v>-1.0869527659747056E-2</v>
      </c>
      <c r="AX272" s="642">
        <f t="shared" si="284"/>
        <v>-1.0409324348514675E-2</v>
      </c>
      <c r="AY272" s="642">
        <f t="shared" si="284"/>
        <v>-9.7102524957052867E-3</v>
      </c>
      <c r="AZ272" s="642">
        <f t="shared" si="284"/>
        <v>-9.0320622102484805E-3</v>
      </c>
      <c r="BA272" s="642">
        <f t="shared" si="284"/>
        <v>-9.5032501140445026E-3</v>
      </c>
      <c r="BB272" s="642">
        <f t="shared" si="284"/>
        <v>-1.0723924154399985E-2</v>
      </c>
      <c r="BC272" s="642">
        <f t="shared" si="284"/>
        <v>-1.032500384786606E-2</v>
      </c>
      <c r="BD272" s="642">
        <f t="shared" si="284"/>
        <v>-7.0280424813535429E-3</v>
      </c>
      <c r="BE272" s="4"/>
      <c r="BF272" s="4"/>
      <c r="BG272" s="4"/>
      <c r="BH272" s="4"/>
      <c r="BI272" s="4"/>
      <c r="BJ272" s="4"/>
      <c r="BK272" s="4"/>
      <c r="BL272" s="4"/>
      <c r="BM272" s="4"/>
      <c r="BN272" s="4"/>
      <c r="BO272" s="4"/>
      <c r="BP272" s="4"/>
      <c r="BQ272" s="4"/>
      <c r="BR272" s="4"/>
      <c r="BS272" s="4"/>
      <c r="BT272" s="4"/>
      <c r="BU272" s="4"/>
    </row>
    <row r="273" spans="1:73" x14ac:dyDescent="0.25">
      <c r="A273" s="854"/>
      <c r="B273" s="4" t="s">
        <v>3407</v>
      </c>
      <c r="C273" s="43"/>
      <c r="D273" s="43"/>
      <c r="E273" s="544"/>
      <c r="F273" s="544"/>
      <c r="G273" s="642">
        <f>(G45-G46+G47)/G289</f>
        <v>2.670603801714749E-3</v>
      </c>
      <c r="H273" s="642">
        <f t="shared" ref="H273:O273" si="285">(H45-H46+H47)/H289</f>
        <v>2.8501617142715771E-3</v>
      </c>
      <c r="I273" s="642">
        <f t="shared" si="285"/>
        <v>1.8343568124706599E-3</v>
      </c>
      <c r="J273" s="642">
        <f t="shared" si="285"/>
        <v>6.460161326371029E-3</v>
      </c>
      <c r="K273" s="642">
        <f t="shared" si="285"/>
        <v>-8.1959988095094468E-3</v>
      </c>
      <c r="L273" s="642">
        <f t="shared" si="285"/>
        <v>2.2007129630199528E-2</v>
      </c>
      <c r="M273" s="642">
        <f t="shared" si="285"/>
        <v>3.9939834837576613E-2</v>
      </c>
      <c r="N273" s="642">
        <f t="shared" si="285"/>
        <v>1.2194945723551457E-2</v>
      </c>
      <c r="O273" s="642" t="e">
        <f t="shared" si="285"/>
        <v>#DIV/0!</v>
      </c>
      <c r="P273" s="642"/>
      <c r="Q273" s="497"/>
      <c r="R273" s="43"/>
      <c r="S273" s="9"/>
      <c r="T273" s="66"/>
      <c r="U273" s="1026"/>
      <c r="V273" s="642">
        <f t="shared" ref="V273:AE273" si="286">(V44+V45+V51)/V289</f>
        <v>-4.4427340647558537E-3</v>
      </c>
      <c r="W273" s="642">
        <f t="shared" si="286"/>
        <v>2.2413071613401913E-3</v>
      </c>
      <c r="X273" s="642">
        <f t="shared" si="286"/>
        <v>5.5849613685430123E-4</v>
      </c>
      <c r="Y273" s="642">
        <f t="shared" si="286"/>
        <v>4.4131188462238841E-3</v>
      </c>
      <c r="Z273" s="642">
        <f t="shared" si="286"/>
        <v>3.7831177741690573E-3</v>
      </c>
      <c r="AA273" s="642">
        <f t="shared" si="286"/>
        <v>-1.1748902799892044E-4</v>
      </c>
      <c r="AB273" s="642">
        <f t="shared" si="286"/>
        <v>-9.9737710184363663E-4</v>
      </c>
      <c r="AC273" s="642">
        <f t="shared" si="286"/>
        <v>1.3428000644382845E-3</v>
      </c>
      <c r="AD273" s="642">
        <f t="shared" si="286"/>
        <v>2.2265631581368755E-3</v>
      </c>
      <c r="AE273" s="642">
        <f t="shared" si="286"/>
        <v>2.6325455547556585E-3</v>
      </c>
      <c r="AF273" s="4"/>
      <c r="AG273" s="4"/>
      <c r="AH273" s="4"/>
      <c r="AI273" s="4"/>
      <c r="AJ273" s="4"/>
      <c r="AK273" s="4"/>
      <c r="AL273" s="4"/>
      <c r="AM273" s="4"/>
      <c r="AN273" s="4"/>
      <c r="AO273" s="4"/>
      <c r="AP273" s="4"/>
      <c r="AQ273" s="4"/>
      <c r="AR273" s="4"/>
      <c r="AS273" s="4"/>
      <c r="AT273" s="1102"/>
      <c r="AU273" s="642">
        <f t="shared" ref="AU273:BD273" si="287">(AU44+AU45+AU51)/AU289</f>
        <v>8.7096722442822506E-3</v>
      </c>
      <c r="AV273" s="642">
        <f t="shared" si="287"/>
        <v>7.4810808453260455E-3</v>
      </c>
      <c r="AW273" s="642">
        <f t="shared" si="287"/>
        <v>7.8979859653891468E-3</v>
      </c>
      <c r="AX273" s="642">
        <f t="shared" si="287"/>
        <v>7.6228522273325593E-3</v>
      </c>
      <c r="AY273" s="642">
        <f t="shared" si="287"/>
        <v>7.8092690522232827E-3</v>
      </c>
      <c r="AZ273" s="642">
        <f t="shared" si="287"/>
        <v>7.1206915284575687E-3</v>
      </c>
      <c r="BA273" s="642">
        <f t="shared" si="287"/>
        <v>5.9648955156976421E-3</v>
      </c>
      <c r="BB273" s="642">
        <f t="shared" si="287"/>
        <v>6.4702198455279377E-3</v>
      </c>
      <c r="BC273" s="642">
        <f t="shared" si="287"/>
        <v>5.9845068248027882E-3</v>
      </c>
      <c r="BD273" s="642">
        <f t="shared" si="287"/>
        <v>6.2648506287036687E-3</v>
      </c>
      <c r="BE273" s="4"/>
      <c r="BF273" s="4"/>
      <c r="BG273" s="4"/>
      <c r="BH273" s="4"/>
      <c r="BI273" s="4"/>
      <c r="BJ273" s="4"/>
      <c r="BK273" s="4"/>
      <c r="BL273" s="4"/>
      <c r="BM273" s="4"/>
      <c r="BN273" s="4"/>
      <c r="BO273" s="4"/>
      <c r="BP273" s="4"/>
      <c r="BQ273" s="4"/>
      <c r="BR273" s="4"/>
      <c r="BS273" s="4"/>
      <c r="BT273" s="4"/>
      <c r="BU273" s="4"/>
    </row>
    <row r="274" spans="1:73" x14ac:dyDescent="0.2">
      <c r="A274" s="854"/>
      <c r="B274" s="494" t="s">
        <v>592</v>
      </c>
      <c r="C274" s="43"/>
      <c r="D274" s="43"/>
      <c r="E274" s="544"/>
      <c r="F274" s="544"/>
      <c r="G274" s="642">
        <f>G44/G289</f>
        <v>7.6459298101625526E-3</v>
      </c>
      <c r="H274" s="642">
        <f t="shared" ref="H274:O274" si="288">H44/H289</f>
        <v>3.527534086372873E-3</v>
      </c>
      <c r="I274" s="642">
        <f t="shared" si="288"/>
        <v>4.889517749618595E-3</v>
      </c>
      <c r="J274" s="642">
        <f t="shared" si="288"/>
        <v>2.186057041395881E-3</v>
      </c>
      <c r="K274" s="642">
        <f t="shared" si="288"/>
        <v>0</v>
      </c>
      <c r="L274" s="642">
        <f t="shared" si="288"/>
        <v>0</v>
      </c>
      <c r="M274" s="642">
        <f t="shared" si="288"/>
        <v>0</v>
      </c>
      <c r="N274" s="642">
        <f t="shared" si="288"/>
        <v>0</v>
      </c>
      <c r="O274" s="642" t="e">
        <f t="shared" si="288"/>
        <v>#DIV/0!</v>
      </c>
      <c r="P274" s="544"/>
      <c r="Q274" s="497"/>
      <c r="R274" s="43"/>
      <c r="S274" s="9"/>
      <c r="T274" s="66"/>
      <c r="U274" s="1026"/>
      <c r="V274" s="642"/>
      <c r="W274" s="642"/>
      <c r="X274" s="642"/>
      <c r="Y274" s="642"/>
      <c r="Z274" s="642"/>
      <c r="AA274" s="642"/>
      <c r="AB274" s="642"/>
      <c r="AC274" s="642"/>
      <c r="AD274" s="642"/>
      <c r="AE274" s="642"/>
      <c r="AF274" s="4"/>
      <c r="AG274" s="4"/>
      <c r="AH274" s="4"/>
      <c r="AI274" s="4"/>
      <c r="AJ274" s="4"/>
      <c r="AK274" s="4"/>
      <c r="AL274" s="4"/>
      <c r="AM274" s="4"/>
      <c r="AN274" s="4"/>
      <c r="AO274" s="4"/>
      <c r="AP274" s="4"/>
      <c r="AQ274" s="4"/>
      <c r="AR274" s="4"/>
      <c r="AS274" s="4"/>
      <c r="AT274" s="1102"/>
      <c r="AU274" s="642"/>
      <c r="AV274" s="642"/>
      <c r="AW274" s="642"/>
      <c r="AX274" s="642"/>
      <c r="AY274" s="642"/>
      <c r="AZ274" s="642"/>
      <c r="BA274" s="642"/>
      <c r="BB274" s="642"/>
      <c r="BC274" s="642"/>
      <c r="BD274" s="642"/>
      <c r="BE274" s="4"/>
      <c r="BF274" s="4"/>
      <c r="BG274" s="4"/>
      <c r="BH274" s="4"/>
      <c r="BI274" s="4"/>
      <c r="BJ274" s="4"/>
      <c r="BK274" s="4"/>
      <c r="BL274" s="4"/>
      <c r="BM274" s="4"/>
      <c r="BN274" s="4"/>
      <c r="BO274" s="4"/>
      <c r="BP274" s="4"/>
      <c r="BQ274" s="4"/>
      <c r="BR274" s="4"/>
      <c r="BS274" s="4"/>
      <c r="BT274" s="4"/>
      <c r="BU274" s="4"/>
    </row>
    <row r="275" spans="1:73" x14ac:dyDescent="0.2">
      <c r="A275" s="854"/>
      <c r="B275" s="4" t="s">
        <v>203</v>
      </c>
      <c r="C275" s="43"/>
      <c r="D275" s="43"/>
      <c r="E275" s="544"/>
      <c r="F275" s="544"/>
      <c r="G275" s="642">
        <f t="shared" ref="G275:O275" si="289">G50/G289</f>
        <v>-1.0355303095373521E-3</v>
      </c>
      <c r="H275" s="642">
        <f t="shared" si="289"/>
        <v>-2.5011621896854578E-3</v>
      </c>
      <c r="I275" s="642">
        <f t="shared" si="289"/>
        <v>-2.777247078506094E-3</v>
      </c>
      <c r="J275" s="642">
        <f t="shared" si="289"/>
        <v>-3.4592979635694777E-3</v>
      </c>
      <c r="K275" s="642">
        <f t="shared" si="289"/>
        <v>-1.7606188078299642E-3</v>
      </c>
      <c r="L275" s="642">
        <f t="shared" si="289"/>
        <v>-5.9224440488017075E-4</v>
      </c>
      <c r="M275" s="642">
        <f t="shared" si="289"/>
        <v>-3.4819166607114689E-3</v>
      </c>
      <c r="N275" s="642">
        <f t="shared" si="289"/>
        <v>-4.4492210796172986E-3</v>
      </c>
      <c r="O275" s="642" t="e">
        <f t="shared" si="289"/>
        <v>#DIV/0!</v>
      </c>
      <c r="P275" s="544"/>
      <c r="Q275" s="497"/>
      <c r="R275" s="43"/>
      <c r="S275" s="9"/>
      <c r="T275" s="66"/>
      <c r="U275" s="1026"/>
      <c r="V275" s="642">
        <f t="shared" ref="V275:AE275" si="290">V50/V289</f>
        <v>0</v>
      </c>
      <c r="W275" s="642">
        <f t="shared" si="290"/>
        <v>0</v>
      </c>
      <c r="X275" s="642">
        <f t="shared" si="290"/>
        <v>-4.225996304535724E-3</v>
      </c>
      <c r="Y275" s="642">
        <f t="shared" si="290"/>
        <v>-3.6765459984922973E-3</v>
      </c>
      <c r="Z275" s="642">
        <f t="shared" si="290"/>
        <v>-3.7907794275515859E-3</v>
      </c>
      <c r="AA275" s="642">
        <f t="shared" si="290"/>
        <v>-4.7689552760888983E-3</v>
      </c>
      <c r="AB275" s="642">
        <f t="shared" si="290"/>
        <v>-4.4267325173939483E-4</v>
      </c>
      <c r="AC275" s="642">
        <f t="shared" si="290"/>
        <v>-5.3162420449967872E-3</v>
      </c>
      <c r="AD275" s="642">
        <f t="shared" si="290"/>
        <v>-3.9355276061823919E-3</v>
      </c>
      <c r="AE275" s="642">
        <f t="shared" si="290"/>
        <v>-4.1249461187590711E-3</v>
      </c>
      <c r="AF275" s="4"/>
      <c r="AG275" s="4"/>
      <c r="AH275" s="4"/>
      <c r="AI275" s="4"/>
      <c r="AJ275" s="4"/>
      <c r="AK275" s="4"/>
      <c r="AL275" s="4"/>
      <c r="AM275" s="4"/>
      <c r="AN275" s="4"/>
      <c r="AO275" s="4"/>
      <c r="AP275" s="4"/>
      <c r="AQ275" s="4"/>
      <c r="AR275" s="4"/>
      <c r="AS275" s="4"/>
      <c r="AT275" s="1102"/>
      <c r="AU275" s="642">
        <f t="shared" ref="AU275:BD275" si="291">AU50/AU289</f>
        <v>-4.4775863542141931E-3</v>
      </c>
      <c r="AV275" s="642">
        <f t="shared" si="291"/>
        <v>-5.7209951047475739E-3</v>
      </c>
      <c r="AW275" s="642">
        <f t="shared" si="291"/>
        <v>-3.4505225116569058E-3</v>
      </c>
      <c r="AX275" s="642">
        <f t="shared" si="291"/>
        <v>-3.3304005472943564E-3</v>
      </c>
      <c r="AY275" s="642">
        <f t="shared" si="291"/>
        <v>-1.7939465043739938E-3</v>
      </c>
      <c r="AZ275" s="642">
        <f t="shared" si="291"/>
        <v>-3.1766316790653088E-3</v>
      </c>
      <c r="BA275" s="642">
        <f t="shared" si="291"/>
        <v>-2.8454763949009761E-3</v>
      </c>
      <c r="BB275" s="642">
        <f t="shared" si="291"/>
        <v>-2.498935069748221E-3</v>
      </c>
      <c r="BC275" s="642">
        <f t="shared" si="291"/>
        <v>-2.798829899118103E-3</v>
      </c>
      <c r="BD275" s="642">
        <f t="shared" si="291"/>
        <v>-3.1120534718008627E-3</v>
      </c>
      <c r="BE275" s="4"/>
      <c r="BF275" s="4"/>
      <c r="BG275" s="4"/>
      <c r="BH275" s="4"/>
      <c r="BI275" s="4"/>
      <c r="BJ275" s="4"/>
      <c r="BK275" s="4"/>
      <c r="BL275" s="4"/>
      <c r="BM275" s="4"/>
      <c r="BN275" s="4"/>
      <c r="BO275" s="4"/>
      <c r="BP275" s="4"/>
      <c r="BQ275" s="4"/>
      <c r="BR275" s="4"/>
      <c r="BS275" s="4"/>
      <c r="BT275" s="4"/>
      <c r="BU275" s="4"/>
    </row>
    <row r="276" spans="1:73" x14ac:dyDescent="0.2">
      <c r="A276" s="854"/>
      <c r="B276" s="4" t="s">
        <v>3410</v>
      </c>
      <c r="C276" s="43"/>
      <c r="D276" s="43"/>
      <c r="E276" s="544"/>
      <c r="F276" s="544"/>
      <c r="G276" s="642">
        <f>IF(G263&lt;2022,0,G23/G289)</f>
        <v>0</v>
      </c>
      <c r="H276" s="642">
        <f t="shared" ref="H276:O276" si="292">IF(H263&lt;2022,0,H23/H289)</f>
        <v>0</v>
      </c>
      <c r="I276" s="642">
        <f t="shared" si="292"/>
        <v>0</v>
      </c>
      <c r="J276" s="642">
        <f t="shared" si="292"/>
        <v>0</v>
      </c>
      <c r="K276" s="642">
        <f t="shared" si="292"/>
        <v>0</v>
      </c>
      <c r="L276" s="642">
        <f t="shared" si="292"/>
        <v>-3.9031515711226664E-2</v>
      </c>
      <c r="M276" s="642">
        <f t="shared" si="292"/>
        <v>-3.2695072710279077E-2</v>
      </c>
      <c r="N276" s="642">
        <f t="shared" si="292"/>
        <v>-3.247090484226469E-2</v>
      </c>
      <c r="O276" s="642" t="e">
        <f t="shared" si="292"/>
        <v>#DIV/0!</v>
      </c>
      <c r="P276" s="544"/>
      <c r="Q276" s="497"/>
      <c r="R276" s="43"/>
      <c r="S276" s="9"/>
      <c r="T276" s="66"/>
      <c r="U276" s="1026"/>
      <c r="V276" s="642"/>
      <c r="W276" s="642"/>
      <c r="X276" s="642"/>
      <c r="Y276" s="642"/>
      <c r="Z276" s="642"/>
      <c r="AA276" s="642"/>
      <c r="AB276" s="642"/>
      <c r="AC276" s="642"/>
      <c r="AD276" s="642"/>
      <c r="AE276" s="642"/>
      <c r="AF276" s="4"/>
      <c r="AG276" s="4"/>
      <c r="AH276" s="4"/>
      <c r="AI276" s="4"/>
      <c r="AJ276" s="4"/>
      <c r="AK276" s="4"/>
      <c r="AL276" s="4"/>
      <c r="AM276" s="4"/>
      <c r="AN276" s="4"/>
      <c r="AO276" s="4"/>
      <c r="AP276" s="4"/>
      <c r="AQ276" s="4"/>
      <c r="AR276" s="4"/>
      <c r="AS276" s="4"/>
      <c r="AT276" s="1102"/>
      <c r="AU276" s="642"/>
      <c r="AV276" s="642"/>
      <c r="AW276" s="642"/>
      <c r="AX276" s="642"/>
      <c r="AY276" s="642"/>
      <c r="AZ276" s="642"/>
      <c r="BA276" s="642"/>
      <c r="BB276" s="642"/>
      <c r="BC276" s="642"/>
      <c r="BD276" s="642"/>
      <c r="BE276" s="4"/>
      <c r="BF276" s="4"/>
      <c r="BG276" s="4"/>
      <c r="BH276" s="4"/>
      <c r="BI276" s="4"/>
      <c r="BJ276" s="4"/>
      <c r="BK276" s="4"/>
      <c r="BL276" s="4"/>
      <c r="BM276" s="4"/>
      <c r="BN276" s="4"/>
      <c r="BO276" s="4"/>
      <c r="BP276" s="4"/>
      <c r="BQ276" s="4"/>
      <c r="BR276" s="4"/>
      <c r="BS276" s="4"/>
      <c r="BT276" s="4"/>
      <c r="BU276" s="4"/>
    </row>
    <row r="277" spans="1:73" s="2" customFormat="1" x14ac:dyDescent="0.25">
      <c r="A277" s="859"/>
      <c r="B277" s="1940" t="s">
        <v>859</v>
      </c>
      <c r="C277" s="1941"/>
      <c r="D277" s="1941"/>
      <c r="E277" s="1942"/>
      <c r="F277" s="1942"/>
      <c r="G277" s="1943">
        <f>SUM(G264:G276)</f>
        <v>1.8130434929114324E-3</v>
      </c>
      <c r="H277" s="1943">
        <f t="shared" ref="H277:O277" si="293">SUM(H264:H276)</f>
        <v>5.7998942187398837E-3</v>
      </c>
      <c r="I277" s="1943">
        <f t="shared" si="293"/>
        <v>1.180365308961857E-2</v>
      </c>
      <c r="J277" s="1943">
        <f t="shared" si="293"/>
        <v>7.5442353226239586E-3</v>
      </c>
      <c r="K277" s="1943">
        <f t="shared" si="293"/>
        <v>1.0105448975213436E-2</v>
      </c>
      <c r="L277" s="1943">
        <f t="shared" si="293"/>
        <v>2.1260297819369403E-3</v>
      </c>
      <c r="M277" s="1943">
        <f t="shared" si="293"/>
        <v>7.7750712081852413E-3</v>
      </c>
      <c r="N277" s="1943">
        <f t="shared" si="293"/>
        <v>1.7410839048617295E-2</v>
      </c>
      <c r="O277" s="1943" t="e">
        <f t="shared" si="293"/>
        <v>#DIV/0!</v>
      </c>
      <c r="P277" s="557"/>
      <c r="Q277" s="500"/>
      <c r="R277" s="46"/>
      <c r="S277" s="17"/>
      <c r="T277" s="502"/>
      <c r="U277" s="1026" t="s">
        <v>155</v>
      </c>
      <c r="V277" s="1774">
        <f t="shared" ref="V277:AE277" si="294">SUM(V264:V275)</f>
        <v>2.5527165300475822E-3</v>
      </c>
      <c r="W277" s="1774">
        <f t="shared" si="294"/>
        <v>1.0326585988076205E-2</v>
      </c>
      <c r="X277" s="1774">
        <f t="shared" si="294"/>
        <v>1.0140684167708256E-2</v>
      </c>
      <c r="Y277" s="1774">
        <f t="shared" si="294"/>
        <v>2.1759532043135313E-2</v>
      </c>
      <c r="Z277" s="1774">
        <f t="shared" si="294"/>
        <v>1.691223281735248E-2</v>
      </c>
      <c r="AA277" s="1774">
        <f t="shared" si="294"/>
        <v>1.7949545878713037E-2</v>
      </c>
      <c r="AB277" s="1774">
        <f t="shared" si="294"/>
        <v>1.257132172883404E-3</v>
      </c>
      <c r="AC277" s="1774">
        <f t="shared" si="294"/>
        <v>2.0896122525184701E-2</v>
      </c>
      <c r="AD277" s="1774">
        <f t="shared" si="294"/>
        <v>1.9610847338254266E-2</v>
      </c>
      <c r="AE277" s="1774">
        <f t="shared" si="294"/>
        <v>1.9816975721862307E-2</v>
      </c>
      <c r="AF277" s="12"/>
      <c r="AG277" s="12"/>
      <c r="AH277" s="12"/>
      <c r="AI277" s="12"/>
      <c r="AJ277" s="12"/>
      <c r="AK277" s="12"/>
      <c r="AL277" s="12"/>
      <c r="AM277" s="12"/>
      <c r="AN277" s="12"/>
      <c r="AO277" s="12"/>
      <c r="AP277" s="12"/>
      <c r="AQ277" s="12"/>
      <c r="AR277" s="12"/>
      <c r="AS277" s="12"/>
      <c r="AT277" s="1102" t="s">
        <v>155</v>
      </c>
      <c r="AU277" s="1774">
        <f>AU53/AU289</f>
        <v>1.0400852650430956E-2</v>
      </c>
      <c r="AV277" s="1774">
        <f>AV53/AV289</f>
        <v>9.6170124058288526E-3</v>
      </c>
      <c r="AW277" s="1774">
        <f>AW53/AW289</f>
        <v>1.3408547254820656E-2</v>
      </c>
      <c r="AX277" s="1774">
        <f>AX53/AX289</f>
        <v>1.2737118482581329E-2</v>
      </c>
      <c r="AY277" s="1774">
        <f>AY53/AY289</f>
        <v>7.2749681590196557E-3</v>
      </c>
      <c r="AZ277" s="1774">
        <f>SUM(AZ264:AZ275)</f>
        <v>1.2254534611096784E-2</v>
      </c>
      <c r="BA277" s="1774">
        <f>SUM(BA264:BA275)</f>
        <v>1.1117791043138757E-2</v>
      </c>
      <c r="BB277" s="1774">
        <f>SUM(BB264:BB275)</f>
        <v>1.0771903789394952E-2</v>
      </c>
      <c r="BC277" s="1774">
        <f>SUM(BC264:BC275)</f>
        <v>1.1327442767736777E-2</v>
      </c>
      <c r="BD277" s="1774">
        <f>SUM(BD264:BD275)</f>
        <v>1.2107124831283955E-2</v>
      </c>
      <c r="BE277" s="12"/>
      <c r="BF277" s="12"/>
      <c r="BG277" s="12"/>
      <c r="BH277" s="12"/>
      <c r="BI277" s="12"/>
      <c r="BJ277" s="12"/>
      <c r="BK277" s="12"/>
      <c r="BL277" s="12"/>
      <c r="BM277" s="12"/>
      <c r="BN277" s="12"/>
      <c r="BO277" s="12"/>
      <c r="BP277" s="12"/>
      <c r="BQ277" s="12"/>
      <c r="BR277" s="12"/>
      <c r="BS277" s="12"/>
      <c r="BT277" s="12"/>
      <c r="BU277" s="12"/>
    </row>
    <row r="278" spans="1:73" s="28" customFormat="1" ht="16.5" outlineLevel="1" x14ac:dyDescent="0.3">
      <c r="A278" s="859"/>
      <c r="B278" s="471" t="s">
        <v>860</v>
      </c>
      <c r="C278" s="12"/>
      <c r="D278" s="541"/>
      <c r="E278" s="804"/>
      <c r="F278" s="804"/>
      <c r="G278" s="1765">
        <f t="shared" ref="G278:O278" si="295">G179-G277</f>
        <v>-1.7347234759768071E-18</v>
      </c>
      <c r="H278" s="1765">
        <f t="shared" si="295"/>
        <v>-1.0408340855860843E-17</v>
      </c>
      <c r="I278" s="1765">
        <f t="shared" si="295"/>
        <v>0</v>
      </c>
      <c r="J278" s="1765">
        <f t="shared" si="295"/>
        <v>0</v>
      </c>
      <c r="K278" s="1765">
        <f t="shared" si="295"/>
        <v>0</v>
      </c>
      <c r="L278" s="1765">
        <f t="shared" si="295"/>
        <v>-5.6378512969246231E-18</v>
      </c>
      <c r="M278" s="1765">
        <f t="shared" si="295"/>
        <v>6.9388939039072284E-18</v>
      </c>
      <c r="N278" s="1765">
        <f t="shared" si="295"/>
        <v>0</v>
      </c>
      <c r="O278" s="1765" t="e">
        <f t="shared" si="295"/>
        <v>#DIV/0!</v>
      </c>
      <c r="P278" s="1293"/>
      <c r="Q278" s="12"/>
      <c r="R278" s="12"/>
      <c r="S278" s="11"/>
      <c r="T278" s="11"/>
      <c r="U278" s="1024"/>
      <c r="V278" s="1765">
        <f t="shared" ref="V278:AE278" si="296">V179-V277</f>
        <v>-6.9388939039072284E-18</v>
      </c>
      <c r="W278" s="1765">
        <f t="shared" si="296"/>
        <v>0</v>
      </c>
      <c r="X278" s="1765">
        <f t="shared" si="296"/>
        <v>0</v>
      </c>
      <c r="Y278" s="1765">
        <f t="shared" si="296"/>
        <v>0</v>
      </c>
      <c r="Z278" s="1765">
        <f t="shared" si="296"/>
        <v>0</v>
      </c>
      <c r="AA278" s="1765">
        <f t="shared" si="296"/>
        <v>0</v>
      </c>
      <c r="AB278" s="1765">
        <f t="shared" si="296"/>
        <v>6.0715321659188248E-18</v>
      </c>
      <c r="AC278" s="1765">
        <f t="shared" si="296"/>
        <v>0</v>
      </c>
      <c r="AD278" s="1765">
        <f t="shared" si="296"/>
        <v>0</v>
      </c>
      <c r="AE278" s="1765">
        <f t="shared" si="296"/>
        <v>0</v>
      </c>
      <c r="AF278" s="11"/>
      <c r="AG278" s="11"/>
      <c r="AH278" s="11"/>
      <c r="AI278" s="11"/>
      <c r="AJ278" s="11"/>
      <c r="AK278" s="11"/>
      <c r="AL278" s="11"/>
      <c r="AM278" s="11"/>
      <c r="AN278" s="11"/>
      <c r="AO278" s="11"/>
      <c r="AP278" s="11"/>
      <c r="AQ278" s="11"/>
      <c r="AR278" s="11"/>
      <c r="AS278" s="11"/>
      <c r="AT278" s="1101"/>
      <c r="AU278" s="1767">
        <f t="shared" ref="AU278:BD278" si="297">SUM(AU264:AU275)-AU277</f>
        <v>0</v>
      </c>
      <c r="AV278" s="1767">
        <f t="shared" si="297"/>
        <v>0</v>
      </c>
      <c r="AW278" s="1767">
        <f t="shared" si="297"/>
        <v>0</v>
      </c>
      <c r="AX278" s="1767">
        <f t="shared" si="297"/>
        <v>0</v>
      </c>
      <c r="AY278" s="1767">
        <f t="shared" si="297"/>
        <v>0</v>
      </c>
      <c r="AZ278" s="1767">
        <f t="shared" si="297"/>
        <v>0</v>
      </c>
      <c r="BA278" s="1767">
        <f t="shared" si="297"/>
        <v>0</v>
      </c>
      <c r="BB278" s="1767">
        <f t="shared" si="297"/>
        <v>0</v>
      </c>
      <c r="BC278" s="1767">
        <f t="shared" si="297"/>
        <v>0</v>
      </c>
      <c r="BD278" s="1767">
        <f t="shared" si="297"/>
        <v>0</v>
      </c>
      <c r="BE278" s="11"/>
      <c r="BF278" s="11"/>
      <c r="BG278" s="11"/>
      <c r="BH278" s="11"/>
      <c r="BI278" s="11"/>
      <c r="BJ278" s="11"/>
      <c r="BK278" s="11"/>
      <c r="BL278" s="11"/>
      <c r="BM278" s="11"/>
      <c r="BN278" s="11"/>
      <c r="BO278" s="11"/>
      <c r="BP278" s="11"/>
      <c r="BQ278" s="11"/>
      <c r="BR278" s="11"/>
      <c r="BS278" s="11"/>
      <c r="BT278" s="11"/>
      <c r="BU278" s="11"/>
    </row>
    <row r="279" spans="1:73" x14ac:dyDescent="0.25">
      <c r="A279" s="854"/>
      <c r="B279" s="4"/>
      <c r="C279" s="43"/>
      <c r="D279" s="43"/>
      <c r="E279" s="497"/>
      <c r="F279" s="497"/>
      <c r="G279" s="497"/>
      <c r="H279" s="497"/>
      <c r="I279" s="498"/>
      <c r="J279" s="498"/>
      <c r="K279" s="498"/>
      <c r="L279" s="498"/>
      <c r="M279" s="498"/>
      <c r="N279" s="498"/>
      <c r="O279" s="498"/>
      <c r="P279" s="498"/>
      <c r="Q279" s="497"/>
      <c r="R279" s="43"/>
      <c r="S279" s="9"/>
      <c r="T279" s="66"/>
      <c r="U279" s="1026"/>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1099"/>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row>
    <row r="280" spans="1:73" x14ac:dyDescent="0.25">
      <c r="A280" s="854"/>
      <c r="B280" s="4"/>
      <c r="C280" s="43"/>
      <c r="D280" s="43"/>
      <c r="E280" s="497"/>
      <c r="F280" s="497"/>
      <c r="G280" s="497"/>
      <c r="H280" s="497"/>
      <c r="I280" s="498"/>
      <c r="J280" s="498"/>
      <c r="K280" s="498"/>
      <c r="L280" s="498"/>
      <c r="M280" s="498"/>
      <c r="N280" s="498"/>
      <c r="O280" s="498"/>
      <c r="P280" s="498"/>
      <c r="Q280" s="497"/>
      <c r="R280" s="43"/>
      <c r="S280" s="9"/>
      <c r="T280" s="66"/>
      <c r="U280" s="1026"/>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1099"/>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row>
    <row r="281" spans="1:73" x14ac:dyDescent="0.25">
      <c r="A281" s="854"/>
      <c r="B281" s="4"/>
      <c r="C281" s="43"/>
      <c r="D281" s="43"/>
      <c r="E281" s="497"/>
      <c r="F281" s="497"/>
      <c r="G281" s="497"/>
      <c r="H281" s="497"/>
      <c r="I281" s="498"/>
      <c r="J281" s="498"/>
      <c r="K281" s="498"/>
      <c r="L281" s="498"/>
      <c r="M281" s="498"/>
      <c r="N281" s="498"/>
      <c r="O281" s="498"/>
      <c r="P281" s="498"/>
      <c r="Q281" s="497"/>
      <c r="R281" s="43"/>
      <c r="S281" s="9"/>
      <c r="T281" s="66"/>
      <c r="U281" s="1026"/>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1099"/>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row>
    <row r="282" spans="1:73" x14ac:dyDescent="0.25">
      <c r="A282" s="854"/>
      <c r="B282" s="4"/>
      <c r="C282" s="43"/>
      <c r="D282" s="43"/>
      <c r="E282" s="544"/>
      <c r="F282" s="519"/>
      <c r="G282" s="519"/>
      <c r="H282" s="519"/>
      <c r="I282" s="519"/>
      <c r="J282" s="519"/>
      <c r="K282" s="519"/>
      <c r="L282" s="519"/>
      <c r="M282" s="519"/>
      <c r="N282" s="519"/>
      <c r="O282" s="519"/>
      <c r="P282" s="519"/>
      <c r="Q282" s="497"/>
      <c r="R282" s="43"/>
      <c r="S282" s="9"/>
      <c r="T282" s="66"/>
      <c r="U282" s="1026"/>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1099"/>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row>
    <row r="283" spans="1:73" x14ac:dyDescent="0.25">
      <c r="A283" s="854"/>
      <c r="B283" s="4"/>
      <c r="C283" s="43"/>
      <c r="D283" s="43"/>
      <c r="E283" s="544"/>
      <c r="F283" s="544"/>
      <c r="G283" s="544"/>
      <c r="H283" s="544"/>
      <c r="I283" s="544"/>
      <c r="J283" s="544"/>
      <c r="K283" s="544"/>
      <c r="L283" s="544"/>
      <c r="M283" s="544"/>
      <c r="N283" s="544"/>
      <c r="O283" s="544"/>
      <c r="P283" s="544"/>
      <c r="Q283" s="497"/>
      <c r="R283" s="43"/>
      <c r="S283" s="9"/>
      <c r="T283" s="66"/>
      <c r="U283" s="1026"/>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1099"/>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row>
    <row r="284" spans="1:73" x14ac:dyDescent="0.25">
      <c r="A284" s="854"/>
      <c r="B284" s="4"/>
      <c r="C284" s="43"/>
      <c r="D284" s="43"/>
      <c r="E284" s="497"/>
      <c r="F284" s="497"/>
      <c r="G284" s="497"/>
      <c r="H284" s="497"/>
      <c r="I284" s="498"/>
      <c r="J284" s="498"/>
      <c r="K284" s="498"/>
      <c r="L284" s="498"/>
      <c r="M284" s="498"/>
      <c r="N284" s="498"/>
      <c r="O284" s="498"/>
      <c r="P284" s="498"/>
      <c r="Q284" s="497"/>
      <c r="R284" s="43"/>
      <c r="S284" s="9"/>
      <c r="T284" s="66"/>
      <c r="U284" s="1026"/>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1099"/>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row>
    <row r="285" spans="1:73" x14ac:dyDescent="0.25">
      <c r="A285" s="860"/>
      <c r="B285" s="534" t="s">
        <v>542</v>
      </c>
      <c r="C285" s="535"/>
      <c r="D285" s="535"/>
      <c r="E285" s="536"/>
      <c r="F285" s="536"/>
      <c r="G285" s="536"/>
      <c r="H285" s="536"/>
      <c r="I285" s="536"/>
      <c r="J285" s="536"/>
      <c r="K285" s="536"/>
      <c r="L285" s="536"/>
      <c r="M285" s="536"/>
      <c r="N285" s="536"/>
      <c r="O285" s="536"/>
      <c r="P285" s="536"/>
      <c r="Q285" s="497"/>
      <c r="R285" s="43"/>
      <c r="S285" s="9"/>
      <c r="T285" s="66"/>
      <c r="U285" s="1026"/>
      <c r="V285" s="534" t="s">
        <v>863</v>
      </c>
      <c r="W285" s="583"/>
      <c r="X285" s="583"/>
      <c r="Y285" s="583"/>
      <c r="Z285" s="583"/>
      <c r="AA285" s="583"/>
      <c r="AB285" s="583"/>
      <c r="AC285" s="583"/>
      <c r="AD285" s="583"/>
      <c r="AE285" s="583"/>
      <c r="AF285" s="583"/>
      <c r="AG285" s="583"/>
      <c r="AH285" s="583"/>
      <c r="AI285" s="583"/>
      <c r="AJ285" s="583"/>
      <c r="AK285" s="583"/>
      <c r="AL285" s="583"/>
      <c r="AM285" s="583"/>
      <c r="AN285" s="583"/>
      <c r="AO285" s="583"/>
      <c r="AP285" s="583"/>
      <c r="AQ285" s="583"/>
      <c r="AR285" s="583"/>
      <c r="AS285" s="4"/>
      <c r="AT285" s="1099"/>
      <c r="AU285" s="534" t="s">
        <v>869</v>
      </c>
      <c r="AV285" s="583"/>
      <c r="AW285" s="583"/>
      <c r="AX285" s="583"/>
      <c r="AY285" s="583"/>
      <c r="AZ285" s="583"/>
      <c r="BA285" s="583"/>
      <c r="BB285" s="583"/>
      <c r="BC285" s="583"/>
      <c r="BD285" s="583"/>
      <c r="BE285" s="583"/>
      <c r="BF285" s="583"/>
      <c r="BG285" s="583"/>
      <c r="BH285" s="583"/>
      <c r="BI285" s="583"/>
      <c r="BJ285" s="583"/>
      <c r="BK285" s="583"/>
      <c r="BL285" s="583"/>
      <c r="BM285" s="583"/>
      <c r="BN285" s="583"/>
      <c r="BO285" s="583"/>
      <c r="BP285" s="583"/>
      <c r="BQ285" s="4"/>
      <c r="BR285" s="4"/>
      <c r="BS285" s="4"/>
      <c r="BT285" s="4"/>
      <c r="BU285" s="4"/>
    </row>
    <row r="286" spans="1:73" outlineLevel="1" x14ac:dyDescent="0.25">
      <c r="A286" s="854"/>
      <c r="B286" s="559"/>
      <c r="C286" s="560"/>
      <c r="D286" s="560" t="str">
        <f>D7</f>
        <v>млрд руб.</v>
      </c>
      <c r="F286" s="561"/>
      <c r="G286" s="561" t="s">
        <v>348</v>
      </c>
      <c r="H286" s="561"/>
      <c r="I286" s="561"/>
      <c r="J286" s="561"/>
      <c r="K286" s="561"/>
      <c r="L286" s="561"/>
      <c r="M286" s="561"/>
      <c r="N286" s="561"/>
      <c r="O286" s="561"/>
      <c r="P286" s="561"/>
      <c r="Q286" s="497"/>
      <c r="R286" s="43"/>
      <c r="S286" s="9"/>
      <c r="T286" s="66"/>
      <c r="U286" s="1026"/>
      <c r="V286" s="561" t="s">
        <v>348</v>
      </c>
      <c r="W286" s="561"/>
      <c r="X286" s="561" t="s">
        <v>286</v>
      </c>
      <c r="Y286" s="561"/>
      <c r="Z286" s="561"/>
      <c r="AA286" s="561"/>
      <c r="AB286" s="561"/>
      <c r="AC286" s="561"/>
      <c r="AD286" s="561"/>
      <c r="AE286" s="561"/>
      <c r="AF286" s="4"/>
      <c r="AG286" s="4"/>
      <c r="AH286" s="4"/>
      <c r="AI286" s="4"/>
      <c r="AJ286" s="4"/>
      <c r="AK286" s="4"/>
      <c r="AL286" s="4"/>
      <c r="AM286" s="4"/>
      <c r="AN286" s="4"/>
      <c r="AO286" s="4"/>
      <c r="AP286" s="4"/>
      <c r="AQ286" s="4"/>
      <c r="AR286" s="4"/>
      <c r="AS286" s="4"/>
      <c r="AT286" s="1099"/>
      <c r="AU286" s="561" t="s">
        <v>348</v>
      </c>
      <c r="AV286" s="561"/>
      <c r="AW286" s="561" t="s">
        <v>304</v>
      </c>
      <c r="AX286" s="561"/>
      <c r="AY286" s="561"/>
      <c r="AZ286" s="561"/>
      <c r="BA286" s="561"/>
      <c r="BB286" s="561"/>
      <c r="BC286" s="561"/>
      <c r="BD286" s="561"/>
      <c r="BE286" s="4"/>
      <c r="BF286" s="4"/>
      <c r="BG286" s="4"/>
      <c r="BH286" s="4"/>
      <c r="BI286" s="4"/>
      <c r="BJ286" s="4"/>
      <c r="BK286" s="4"/>
      <c r="BL286" s="4"/>
      <c r="BM286" s="4"/>
      <c r="BN286" s="4"/>
      <c r="BO286" s="4"/>
      <c r="BP286" s="4"/>
      <c r="BQ286" s="4"/>
      <c r="BR286" s="4"/>
      <c r="BS286" s="4"/>
      <c r="BT286" s="4"/>
      <c r="BU286" s="4"/>
    </row>
    <row r="287" spans="1:73" outlineLevel="1" x14ac:dyDescent="0.25">
      <c r="A287" s="854"/>
      <c r="B287" s="562"/>
      <c r="C287" s="563"/>
      <c r="D287" s="563"/>
      <c r="E287" s="564"/>
      <c r="F287" s="564">
        <f t="shared" ref="F287:K287" si="298">F8</f>
        <v>2015</v>
      </c>
      <c r="G287" s="564">
        <f t="shared" si="298"/>
        <v>2017</v>
      </c>
      <c r="H287" s="564">
        <f t="shared" si="298"/>
        <v>2018</v>
      </c>
      <c r="I287" s="564">
        <f t="shared" si="298"/>
        <v>2019</v>
      </c>
      <c r="J287" s="564">
        <f t="shared" si="298"/>
        <v>2020</v>
      </c>
      <c r="K287" s="564">
        <f t="shared" si="298"/>
        <v>2021</v>
      </c>
      <c r="L287" s="564">
        <f t="shared" ref="L287:O287" si="299">L8</f>
        <v>2022</v>
      </c>
      <c r="M287" s="564">
        <f t="shared" si="299"/>
        <v>2023</v>
      </c>
      <c r="N287" s="564">
        <f t="shared" si="299"/>
        <v>2024</v>
      </c>
      <c r="O287" s="564">
        <f t="shared" si="299"/>
        <v>2025</v>
      </c>
      <c r="P287" s="1749"/>
      <c r="Q287" s="497"/>
      <c r="R287" s="43"/>
      <c r="S287" s="9"/>
      <c r="T287" s="66"/>
      <c r="U287" s="1026"/>
      <c r="V287" s="564">
        <f t="shared" ref="V287:AE287" si="300">V8</f>
        <v>2015</v>
      </c>
      <c r="W287" s="564">
        <f t="shared" si="300"/>
        <v>2017</v>
      </c>
      <c r="X287" s="564">
        <f t="shared" si="300"/>
        <v>2018</v>
      </c>
      <c r="Y287" s="564">
        <f t="shared" si="300"/>
        <v>2019</v>
      </c>
      <c r="Z287" s="564">
        <f t="shared" si="300"/>
        <v>2020</v>
      </c>
      <c r="AA287" s="564">
        <f t="shared" si="300"/>
        <v>2021</v>
      </c>
      <c r="AB287" s="564">
        <f t="shared" si="300"/>
        <v>2022</v>
      </c>
      <c r="AC287" s="564">
        <f t="shared" si="300"/>
        <v>2023</v>
      </c>
      <c r="AD287" s="564">
        <f t="shared" si="300"/>
        <v>2024</v>
      </c>
      <c r="AE287" s="564">
        <f t="shared" si="300"/>
        <v>2025</v>
      </c>
      <c r="AF287" s="4"/>
      <c r="AG287" s="4"/>
      <c r="AH287" s="4"/>
      <c r="AI287" s="4"/>
      <c r="AJ287" s="4"/>
      <c r="AK287" s="4"/>
      <c r="AL287" s="4"/>
      <c r="AM287" s="4"/>
      <c r="AN287" s="4"/>
      <c r="AO287" s="4"/>
      <c r="AP287" s="4"/>
      <c r="AQ287" s="4"/>
      <c r="AR287" s="4"/>
      <c r="AS287" s="4"/>
      <c r="AT287" s="1099"/>
      <c r="AU287" s="564">
        <f t="shared" ref="AU287:BD287" si="301">AU8</f>
        <v>2015</v>
      </c>
      <c r="AV287" s="564">
        <f t="shared" si="301"/>
        <v>2017</v>
      </c>
      <c r="AW287" s="564">
        <f t="shared" si="301"/>
        <v>2018</v>
      </c>
      <c r="AX287" s="564">
        <f t="shared" si="301"/>
        <v>2019</v>
      </c>
      <c r="AY287" s="564">
        <f t="shared" si="301"/>
        <v>2020</v>
      </c>
      <c r="AZ287" s="564">
        <f t="shared" si="301"/>
        <v>2021</v>
      </c>
      <c r="BA287" s="564">
        <f t="shared" si="301"/>
        <v>2022</v>
      </c>
      <c r="BB287" s="564">
        <f t="shared" si="301"/>
        <v>2023</v>
      </c>
      <c r="BC287" s="564">
        <f t="shared" si="301"/>
        <v>2024</v>
      </c>
      <c r="BD287" s="564">
        <f t="shared" si="301"/>
        <v>2025</v>
      </c>
      <c r="BE287" s="4"/>
      <c r="BF287" s="4"/>
      <c r="BG287" s="4"/>
      <c r="BH287" s="4"/>
      <c r="BI287" s="4"/>
      <c r="BJ287" s="4"/>
      <c r="BK287" s="4"/>
      <c r="BL287" s="4"/>
      <c r="BM287" s="4"/>
      <c r="BN287" s="4"/>
      <c r="BO287" s="4"/>
      <c r="BP287" s="4"/>
      <c r="BQ287" s="4"/>
      <c r="BR287" s="4"/>
      <c r="BS287" s="4"/>
      <c r="BT287" s="4"/>
      <c r="BU287" s="4"/>
    </row>
    <row r="288" spans="1:73" outlineLevel="1" x14ac:dyDescent="0.25">
      <c r="A288" s="854"/>
      <c r="B288" s="501" t="s">
        <v>219</v>
      </c>
      <c r="C288" s="560"/>
      <c r="D288" s="560"/>
      <c r="E288" s="565"/>
      <c r="F288" s="565">
        <f t="shared" ref="F288:K288" si="302">F10+F21</f>
        <v>0</v>
      </c>
      <c r="G288" s="565">
        <f t="shared" si="302"/>
        <v>36.746875000000003</v>
      </c>
      <c r="H288" s="565">
        <f t="shared" si="302"/>
        <v>38.276984000000006</v>
      </c>
      <c r="I288" s="565">
        <f t="shared" si="302"/>
        <v>41.884868000000004</v>
      </c>
      <c r="J288" s="565">
        <f t="shared" si="302"/>
        <v>42.982433999999998</v>
      </c>
      <c r="K288" s="565">
        <f t="shared" si="302"/>
        <v>43.312642999999994</v>
      </c>
      <c r="L288" s="565">
        <f t="shared" ref="L288:O288" si="303">L10+L21</f>
        <v>61.443279000000004</v>
      </c>
      <c r="M288" s="565">
        <f t="shared" si="303"/>
        <v>81.531267999999997</v>
      </c>
      <c r="N288" s="565">
        <f t="shared" si="303"/>
        <v>131.342896</v>
      </c>
      <c r="O288" s="565">
        <f t="shared" si="303"/>
        <v>0</v>
      </c>
      <c r="P288" s="565"/>
      <c r="Q288" s="497"/>
      <c r="R288" s="43"/>
      <c r="S288" s="9"/>
      <c r="T288" s="66"/>
      <c r="U288" s="1026"/>
      <c r="V288" s="565">
        <f t="shared" ref="V288" si="304">V10+V21</f>
        <v>6758.4999999999991</v>
      </c>
      <c r="W288" s="565">
        <f t="shared" ref="W288:AE288" si="305">W10+W21</f>
        <v>6962.5</v>
      </c>
      <c r="X288" s="565">
        <f t="shared" si="305"/>
        <v>7575.9200700000001</v>
      </c>
      <c r="Y288" s="565">
        <f t="shared" si="305"/>
        <v>8344.3834159999988</v>
      </c>
      <c r="Z288" s="565">
        <f t="shared" si="305"/>
        <v>8198.3744259999985</v>
      </c>
      <c r="AA288" s="565">
        <f t="shared" si="305"/>
        <v>9397.5611600000011</v>
      </c>
      <c r="AB288" s="565">
        <f t="shared" si="305"/>
        <v>12730.708463999999</v>
      </c>
      <c r="AC288" s="565">
        <f t="shared" si="305"/>
        <v>16143.684409999998</v>
      </c>
      <c r="AD288" s="565">
        <f t="shared" si="305"/>
        <v>26681.708487999997</v>
      </c>
      <c r="AE288" s="565">
        <f t="shared" si="305"/>
        <v>32799.651684999997</v>
      </c>
      <c r="AF288" s="4"/>
      <c r="AG288" s="4"/>
      <c r="AH288" s="4"/>
      <c r="AI288" s="4"/>
      <c r="AJ288" s="4"/>
      <c r="AK288" s="4"/>
      <c r="AL288" s="4"/>
      <c r="AM288" s="4"/>
      <c r="AN288" s="4"/>
      <c r="AO288" s="4"/>
      <c r="AP288" s="4"/>
      <c r="AQ288" s="4"/>
      <c r="AR288" s="4"/>
      <c r="AS288" s="4"/>
      <c r="AT288" s="1099"/>
      <c r="AU288" s="565">
        <f>AU10+AU21</f>
        <v>571.74847799999998</v>
      </c>
      <c r="AV288" s="565">
        <f t="shared" ref="AV288:BD288" si="306">AV10+AV21</f>
        <v>671.64805200000001</v>
      </c>
      <c r="AW288" s="565">
        <f t="shared" si="306"/>
        <v>760.62706099999991</v>
      </c>
      <c r="AX288" s="565">
        <f t="shared" si="306"/>
        <v>797.227079</v>
      </c>
      <c r="AY288" s="565">
        <f t="shared" si="306"/>
        <v>690.98811400000011</v>
      </c>
      <c r="AZ288" s="565">
        <f t="shared" si="306"/>
        <v>668.271207</v>
      </c>
      <c r="BA288" s="565">
        <f t="shared" si="306"/>
        <v>856.67342400000007</v>
      </c>
      <c r="BB288" s="565">
        <f t="shared" si="306"/>
        <v>1246.871351</v>
      </c>
      <c r="BC288" s="565">
        <f t="shared" si="306"/>
        <v>1378.8505539999999</v>
      </c>
      <c r="BD288" s="565">
        <f t="shared" si="306"/>
        <v>1365.2309333333335</v>
      </c>
      <c r="BE288" s="4"/>
      <c r="BF288" s="4"/>
      <c r="BG288" s="4"/>
      <c r="BH288" s="4"/>
      <c r="BI288" s="4"/>
      <c r="BJ288" s="4"/>
      <c r="BK288" s="4"/>
      <c r="BL288" s="4"/>
      <c r="BM288" s="4"/>
      <c r="BN288" s="4"/>
      <c r="BO288" s="4"/>
      <c r="BP288" s="4"/>
      <c r="BQ288" s="4"/>
      <c r="BR288" s="4"/>
      <c r="BS288" s="4"/>
      <c r="BT288" s="4"/>
      <c r="BU288" s="4"/>
    </row>
    <row r="289" spans="1:73" outlineLevel="1" x14ac:dyDescent="0.25">
      <c r="A289" s="854"/>
      <c r="B289" s="559" t="s">
        <v>843</v>
      </c>
      <c r="C289" s="560"/>
      <c r="D289" s="560"/>
      <c r="E289" s="565"/>
      <c r="F289" s="565">
        <f>Баланс!F99</f>
        <v>0</v>
      </c>
      <c r="G289" s="565">
        <f>Баланс!G99</f>
        <v>439.36618349999998</v>
      </c>
      <c r="H289" s="565">
        <f>Баланс!H99</f>
        <v>467.35593749999998</v>
      </c>
      <c r="I289" s="565">
        <f>Баланс!I99</f>
        <v>529.736087</v>
      </c>
      <c r="J289" s="565">
        <f>Баланс!J99</f>
        <v>577.58511150000004</v>
      </c>
      <c r="K289" s="565">
        <f>Баланс!K99</f>
        <v>623.79999299999997</v>
      </c>
      <c r="L289" s="565">
        <f>Баланс!L99</f>
        <v>732.42059600000005</v>
      </c>
      <c r="M289" s="565">
        <f>Баланс!M99</f>
        <v>824.47579299999995</v>
      </c>
      <c r="N289" s="565">
        <f>Баланс!N99</f>
        <v>884.59573699999999</v>
      </c>
      <c r="O289" s="565">
        <f>Баланс!O99</f>
        <v>0</v>
      </c>
      <c r="P289" s="565"/>
      <c r="Q289" s="497"/>
      <c r="R289" s="43"/>
      <c r="S289" s="9"/>
      <c r="T289" s="66"/>
      <c r="U289" s="1026"/>
      <c r="V289" s="565">
        <f>(HLOOKUP(V$287,'Банк. система_ввод'!$G$69:$W$74,2,0)+HLOOKUP(V$287-1,'Банк. система_ввод'!$G$69:$W$74,2,0))/2</f>
        <v>75449.035462</v>
      </c>
      <c r="W289" s="565">
        <f>(HLOOKUP(W$287,'Банк. система_ввод'!$G$69:$W$74,2,0)+HLOOKUP(W$287-1,'Банк. система_ввод'!$G$69:$W$74,2,0))/2</f>
        <v>76027.062662000011</v>
      </c>
      <c r="X289" s="565">
        <f>(HLOOKUP(X$287,'Банк. система_ввод'!$G$69:$W$74,2,0)+HLOOKUP(X$287-1,'Банк. система_ввод'!$G$69:$W$74,2,0))/2</f>
        <v>82096.557119000005</v>
      </c>
      <c r="Y289" s="565">
        <f>(HLOOKUP(Y$287,'Банк. система_ввод'!$G$69:$W$74,2,0)+HLOOKUP(Y$287-1,'Банк. система_ввод'!$G$69:$W$74,2,0))/2</f>
        <v>87514.083906999993</v>
      </c>
      <c r="Z289" s="565">
        <f>(HLOOKUP(Z$287,'Банк. система_ввод'!$G$69:$W$74,2,0)+HLOOKUP(Z$287-1,'Банк. система_ввод'!$G$69:$W$74,2,0))/2</f>
        <v>96409.608099000005</v>
      </c>
      <c r="AA289" s="565">
        <f>(HLOOKUP(AA$287,'Банк. система_ввод'!$G$69:$W$74,2,0)+HLOOKUP(AA$287-1,'Банк. система_ввод'!$G$69:$W$74,2,0))/2</f>
        <v>112279.829229</v>
      </c>
      <c r="AB289" s="565">
        <f>(HLOOKUP(AB$287,'Банк. система_ввод'!$G$69:$W$74,2,0)+HLOOKUP(AB$287-1,'Банк. система_ввод'!$G$69:$W$74,2,0))/2</f>
        <v>127677.5381795</v>
      </c>
      <c r="AC289" s="565">
        <f>(HLOOKUP(AC$287,'Банк. система_ввод'!$G$69:$W$74,2,0)+HLOOKUP(AC$287-1,'Банк. система_ввод'!$G$69:$W$74,2,0))/2</f>
        <v>151324.42601200001</v>
      </c>
      <c r="AD289" s="565">
        <f>(HLOOKUP(AD$287,'Банк. система_ввод'!$G$69:$W$74,2,0)+HLOOKUP(AD$287-1,'Банк. система_ввод'!$G$69:$W$74,2,0))/2</f>
        <v>183543.07332650002</v>
      </c>
      <c r="AE289" s="565">
        <f>(HLOOKUP(AE$287,'Банк. система_ввод'!$G$69:$W$74,2,0)+HLOOKUP(AE$287-1,'Банк. система_ввод'!$G$69:$W$74,2,0))/2</f>
        <v>205065.1302215</v>
      </c>
      <c r="AF289" s="4"/>
      <c r="AG289" s="4"/>
      <c r="AH289" s="4"/>
      <c r="AI289" s="4"/>
      <c r="AJ289" s="4"/>
      <c r="AK289" s="4"/>
      <c r="AL289" s="4"/>
      <c r="AM289" s="4"/>
      <c r="AN289" s="4"/>
      <c r="AO289" s="4"/>
      <c r="AP289" s="4"/>
      <c r="AQ289" s="4"/>
      <c r="AR289" s="4"/>
      <c r="AS289" s="4"/>
      <c r="AT289" s="1099"/>
      <c r="AU289" s="565">
        <f>(HLOOKUP(AU$287,'Банк. система_ввод'!$G$199:$W$205,2,0)+HLOOKUP(AU$287-1,'Банк. система_ввод'!$G$199:$W$205,2,0))/2</f>
        <v>15760.6952535</v>
      </c>
      <c r="AV289" s="565">
        <f>(HLOOKUP(AV$287,'Банк. система_ввод'!$G$199:$W$205,2,0)+HLOOKUP(AV$287-1,'Банк. система_ввод'!$G$199:$W$205,2,0))/2</f>
        <v>17097.545481000001</v>
      </c>
      <c r="AW289" s="565">
        <f>(HLOOKUP(AW$287,'Банк. система_ввод'!$G$199:$W$205,2,0)+HLOOKUP(AW$287-1,'Банк. система_ввод'!$G$199:$W$205,2,0))/2</f>
        <v>17679.200699000001</v>
      </c>
      <c r="AX289" s="565">
        <f>(HLOOKUP(AX$287,'Банк. система_ввод'!$G$199:$W$205,2,0)+HLOOKUP(AX$287-1,'Банк. система_ввод'!$G$199:$W$205,2,0))/2</f>
        <v>18294.017231500002</v>
      </c>
      <c r="AY289" s="565">
        <f>(HLOOKUP(AY$287,'Банк. система_ввод'!$G$199:$W$205,2,0)+HLOOKUP(AY$287-1,'Банк. система_ввод'!$G$199:$W$205,2,0))/2</f>
        <v>20256.791889500004</v>
      </c>
      <c r="AZ289" s="565">
        <f>(HLOOKUP(AZ$287,'Банк. система_ввод'!$G$199:$W$205,2,0)+HLOOKUP(AZ$287-1,'Банк. система_ввод'!$G$199:$W$205,2,0))/2</f>
        <v>22794.143708000003</v>
      </c>
      <c r="BA289" s="565">
        <f>(HLOOKUP(BA$287,'Банк. система_ввод'!$G$199:$W$205,2,0)+HLOOKUP(BA$287-1,'Банк. система_ввод'!$G$199:$W$205,2,0))/2</f>
        <v>23657.561918500003</v>
      </c>
      <c r="BB289" s="565">
        <f>(HLOOKUP(BB$287,'Банк. система_ввод'!$G$199:$W$205,2,0)+HLOOKUP(BB$287-1,'Банк. система_ввод'!$G$199:$W$205,2,0))/2</f>
        <v>23630.900904499998</v>
      </c>
      <c r="BC289" s="565">
        <f>(HLOOKUP(BC$287,'Банк. система_ввод'!$G$199:$W$205,2,0)+HLOOKUP(BC$287-1,'Банк. система_ввод'!$G$199:$W$205,2,0))/2</f>
        <v>23711.662155999999</v>
      </c>
      <c r="BD289" s="565">
        <f>(HLOOKUP(BD$287,'Банк. система_ввод'!$G$199:$W$205,2,0)+HLOOKUP(BD$287-1,'Банк. система_ввод'!$G$199:$W$205,2,0))/2</f>
        <v>24227.1</v>
      </c>
      <c r="BE289" s="4"/>
      <c r="BF289" s="4"/>
      <c r="BG289" s="4"/>
      <c r="BH289" s="4"/>
      <c r="BI289" s="4"/>
      <c r="BJ289" s="4"/>
      <c r="BK289" s="4"/>
      <c r="BL289" s="4"/>
      <c r="BM289" s="4"/>
      <c r="BN289" s="4"/>
      <c r="BO289" s="4"/>
      <c r="BP289" s="4"/>
      <c r="BQ289" s="4"/>
      <c r="BR289" s="4"/>
      <c r="BS289" s="4"/>
      <c r="BT289" s="4"/>
      <c r="BU289" s="4"/>
    </row>
    <row r="290" spans="1:73" outlineLevel="1" x14ac:dyDescent="0.25">
      <c r="A290" s="854"/>
      <c r="B290" s="501" t="s">
        <v>844</v>
      </c>
      <c r="C290" s="560"/>
      <c r="D290" s="560"/>
      <c r="E290" s="565"/>
      <c r="F290" s="565">
        <f>Баланс!F114</f>
        <v>0</v>
      </c>
      <c r="G290" s="565">
        <f>Баланс!G114</f>
        <v>56.873294999999999</v>
      </c>
      <c r="H290" s="565">
        <f>Баланс!H114</f>
        <v>64.677828000000005</v>
      </c>
      <c r="I290" s="565">
        <f>Баланс!I114</f>
        <v>69.321444499999998</v>
      </c>
      <c r="J290" s="565">
        <f>Баланс!J114</f>
        <v>72.945453000000001</v>
      </c>
      <c r="K290" s="565">
        <f>Баланс!K114</f>
        <v>75.462372000000002</v>
      </c>
      <c r="L290" s="565">
        <f>Баланс!L114</f>
        <v>77.422793999999996</v>
      </c>
      <c r="M290" s="565">
        <f>Баланс!M114</f>
        <v>84.643338999999997</v>
      </c>
      <c r="N290" s="565">
        <f>Баланс!N114</f>
        <v>98.868683500000003</v>
      </c>
      <c r="O290" s="565">
        <f>Баланс!O114</f>
        <v>0</v>
      </c>
      <c r="P290" s="565"/>
      <c r="Q290" s="497"/>
      <c r="R290" s="43"/>
      <c r="S290" s="9"/>
      <c r="T290" s="66"/>
      <c r="U290" s="1026"/>
      <c r="V290" s="565">
        <f>(HLOOKUP(V$287,'Банк. система_ввод'!$G$69:$W$74,3,0)+HLOOKUP(V$287-1,'Банк. система_ввод'!$G$69:$W$74,3,0))/2</f>
        <v>7236.8218364999993</v>
      </c>
      <c r="W290" s="565">
        <f>(HLOOKUP(W$287,'Банк. система_ввод'!$G$69:$W$74,3,0)+HLOOKUP(W$287-1,'Банк. система_ввод'!$G$69:$W$74,3,0))/2</f>
        <v>8787.1632705000011</v>
      </c>
      <c r="X290" s="565">
        <f>(HLOOKUP(X$287,'Банк. система_ввод'!$G$69:$W$74,3,0)+HLOOKUP(X$287-1,'Банк. система_ввод'!$G$69:$W$74,3,0))/2</f>
        <v>9134.532579499999</v>
      </c>
      <c r="Y290" s="565">
        <f>(HLOOKUP(Y$287,'Банк. система_ввод'!$G$69:$W$74,3,0)+HLOOKUP(Y$287-1,'Банк. система_ввод'!$G$69:$W$74,3,0))/2</f>
        <v>9657.66741</v>
      </c>
      <c r="Z290" s="565">
        <f>(HLOOKUP(Z$287,'Банк. система_ввод'!$G$69:$W$74,3,0)+HLOOKUP(Z$287-1,'Банк. система_ввод'!$G$69:$W$74,3,0))/2</f>
        <v>10345.048760500002</v>
      </c>
      <c r="AA290" s="565">
        <f>(HLOOKUP(AA$287,'Банк. система_ввод'!$G$69:$W$74,3,0)+HLOOKUP(AA$287-1,'Банк. система_ввод'!$G$69:$W$74,3,0))/2</f>
        <v>11330.080717000001</v>
      </c>
      <c r="AB290" s="565">
        <f>(HLOOKUP(AB$287,'Банк. система_ввод'!$G$69:$W$74,3,0)+HLOOKUP(AB$287-1,'Банк. система_ввод'!$G$69:$W$74,3,0))/2</f>
        <v>12705.171076000001</v>
      </c>
      <c r="AC290" s="565">
        <f>(HLOOKUP(AC$287,'Банк. система_ввод'!$G$69:$W$74,3,0)+HLOOKUP(AC$287-1,'Банк. система_ввод'!$G$69:$W$74,3,0))/2</f>
        <v>14490.644663499999</v>
      </c>
      <c r="AD290" s="565">
        <f>(HLOOKUP(AD$287,'Банк. система_ввод'!$G$69:$W$74,3,0)+HLOOKUP(AD$287-1,'Банк. система_ввод'!$G$69:$W$74,3,0))/2</f>
        <v>16546.976580499999</v>
      </c>
      <c r="AE290" s="565">
        <f>(HLOOKUP(AE$287,'Банк. система_ввод'!$G$69:$W$74,3,0)+HLOOKUP(AE$287-1,'Банк. система_ввод'!$G$69:$W$74,3,0))/2</f>
        <v>18897.473783500001</v>
      </c>
      <c r="AF290" s="4"/>
      <c r="AG290" s="4"/>
      <c r="AH290" s="4"/>
      <c r="AI290" s="4"/>
      <c r="AJ290" s="4"/>
      <c r="AK290" s="4"/>
      <c r="AL290" s="4"/>
      <c r="AM290" s="4"/>
      <c r="AN290" s="4"/>
      <c r="AO290" s="4"/>
      <c r="AP290" s="4"/>
      <c r="AQ290" s="4"/>
      <c r="AR290" s="4"/>
      <c r="AS290" s="4"/>
      <c r="AT290" s="1099"/>
      <c r="AU290" s="565">
        <f>(HLOOKUP(AU$287,'Банк. система_ввод'!$G$199:$W$205,3,0)+HLOOKUP(AU$287-1,'Банк. система_ввод'!$G$199:$W$205,3,0))/2</f>
        <v>1763.9332910000001</v>
      </c>
      <c r="AV290" s="565">
        <f>(HLOOKUP(AV$287,'Банк. система_ввод'!$G$199:$W$205,3,0)+HLOOKUP(AV$287-1,'Банк. система_ввод'!$G$199:$W$205,3,0))/2</f>
        <v>1908.3186190000001</v>
      </c>
      <c r="AW290" s="565">
        <f>(HLOOKUP(AW$287,'Банк. система_ввод'!$G$199:$W$205,3,0)+HLOOKUP(AW$287-1,'Банк. система_ввод'!$G$199:$W$205,3,0))/2</f>
        <v>1986.4107544999999</v>
      </c>
      <c r="AX290" s="565">
        <f>(HLOOKUP(AX$287,'Банк. система_ввод'!$G$199:$W$205,3,0)+HLOOKUP(AX$287-1,'Банк. система_ввод'!$G$199:$W$205,3,0))/2</f>
        <v>2064.9187035</v>
      </c>
      <c r="AY290" s="565">
        <f>(HLOOKUP(AY$287,'Банк. система_ввод'!$G$199:$W$205,3,0)+HLOOKUP(AY$287-1,'Банк. система_ввод'!$G$199:$W$205,3,0))/2</f>
        <v>2167.5288019999998</v>
      </c>
      <c r="AZ290" s="565">
        <f>(HLOOKUP(AZ$287,'Банк. система_ввод'!$G$199:$W$205,3,0)+HLOOKUP(AZ$287-1,'Банк. система_ввод'!$G$199:$W$205,3,0))/2</f>
        <v>2290.8858964999999</v>
      </c>
      <c r="BA290" s="565">
        <f>(HLOOKUP(BA$287,'Банк. система_ввод'!$G$199:$W$205,3,0)+HLOOKUP(BA$287-1,'Банк. система_ввод'!$G$199:$W$205,3,0))/2</f>
        <v>2280.8424215</v>
      </c>
      <c r="BB290" s="565">
        <f>(HLOOKUP(BB$287,'Банк. система_ввод'!$G$199:$W$205,3,0)+HLOOKUP(BB$287-1,'Банк. система_ввод'!$G$199:$W$205,3,0))/2</f>
        <v>2248.0272475000002</v>
      </c>
      <c r="BC290" s="565">
        <f>(HLOOKUP(BC$287,'Банк. система_ввод'!$G$199:$W$205,3,0)+HLOOKUP(BC$287-1,'Банк. система_ввод'!$G$199:$W$205,3,0))/2</f>
        <v>2306.1459205000001</v>
      </c>
      <c r="BD290" s="565">
        <f>(HLOOKUP(BD$287,'Банк. система_ввод'!$G$199:$W$205,3,0)+HLOOKUP(BD$287-1,'Банк. система_ввод'!$G$199:$W$205,3,0))/2</f>
        <v>2398.65</v>
      </c>
      <c r="BE290" s="4"/>
      <c r="BF290" s="4"/>
      <c r="BG290" s="4"/>
      <c r="BH290" s="4"/>
      <c r="BI290" s="4"/>
      <c r="BJ290" s="4"/>
      <c r="BK290" s="4"/>
      <c r="BL290" s="4"/>
      <c r="BM290" s="4"/>
      <c r="BN290" s="4"/>
      <c r="BO290" s="4"/>
      <c r="BP290" s="4"/>
      <c r="BQ290" s="4"/>
      <c r="BR290" s="4"/>
      <c r="BS290" s="4"/>
      <c r="BT290" s="4"/>
      <c r="BU290" s="4"/>
    </row>
    <row r="291" spans="1:73" outlineLevel="1" x14ac:dyDescent="0.25">
      <c r="A291" s="854"/>
      <c r="B291" s="501" t="s">
        <v>983</v>
      </c>
      <c r="C291" s="560"/>
      <c r="D291" s="560"/>
      <c r="E291" s="565"/>
      <c r="F291" s="565">
        <f>Баланс!F107</f>
        <v>0</v>
      </c>
      <c r="G291" s="565">
        <f>Баланс!G107</f>
        <v>0</v>
      </c>
      <c r="H291" s="565">
        <f>Баланс!H107</f>
        <v>411.21959199999998</v>
      </c>
      <c r="I291" s="565">
        <f>Баланс!I107</f>
        <v>467.772921</v>
      </c>
      <c r="J291" s="565">
        <f>Баланс!J107</f>
        <v>505.43675350000001</v>
      </c>
      <c r="K291" s="565">
        <f>Баланс!K107</f>
        <v>546.40500550000002</v>
      </c>
      <c r="L291" s="565">
        <f>Баланс!L107</f>
        <v>598.08913800000005</v>
      </c>
      <c r="M291" s="565">
        <f>Баланс!M107</f>
        <v>660.54207350000001</v>
      </c>
      <c r="N291" s="565">
        <f>Баланс!N107</f>
        <v>751.38459550000005</v>
      </c>
      <c r="O291" s="565">
        <f>Баланс!O107</f>
        <v>0</v>
      </c>
      <c r="P291" s="565"/>
      <c r="Q291" s="497"/>
      <c r="R291" s="43"/>
      <c r="S291" s="9"/>
      <c r="T291" s="66"/>
      <c r="U291" s="1026"/>
      <c r="V291" s="565">
        <f>(HLOOKUP(V$287,'Банк. система_ввод'!$G$69:$W$74,4,0)+HLOOKUP(V$287-1,'Банк. система_ввод'!$G$69:$W$74,4,0))/2</f>
        <v>64571.184640499996</v>
      </c>
      <c r="W291" s="565">
        <f>(HLOOKUP(W$287,'Банк. система_ввод'!$G$69:$W$74,4,0)+HLOOKUP(W$287-1,'Банк. система_ввод'!$G$69:$W$74,4,0))/2</f>
        <v>68249.572289999996</v>
      </c>
      <c r="X291" s="565">
        <f>(HLOOKUP(X$287,'Банк. система_ввод'!$G$69:$W$74,4,0)+HLOOKUP(X$287-1,'Банк. система_ввод'!$G$69:$W$74,4,0))/2</f>
        <v>74281.995877499998</v>
      </c>
      <c r="Y291" s="565">
        <f>(HLOOKUP(Y$287,'Банк. система_ввод'!$G$69:$W$74,4,0)+HLOOKUP(Y$287-1,'Банк. система_ввод'!$G$69:$W$74,4,0))/2</f>
        <v>79368.947627999994</v>
      </c>
      <c r="Z291" s="565">
        <f>(HLOOKUP(Z$287,'Банк. система_ввод'!$G$69:$W$74,4,0)+HLOOKUP(Z$287-1,'Банк. система_ввод'!$G$69:$W$74,4,0))/2</f>
        <v>87693.373078000004</v>
      </c>
      <c r="AA291" s="565">
        <f>(HLOOKUP(AA$287,'Банк. система_ввод'!$G$69:$W$74,4,0)+HLOOKUP(AA$287-1,'Банк. система_ввод'!$G$69:$W$74,4,0))/2</f>
        <v>102239.12783700001</v>
      </c>
      <c r="AB291" s="565">
        <f>(HLOOKUP(AB$287,'Банк. система_ввод'!$G$69:$W$74,4,0)+HLOOKUP(AB$287-1,'Банк. система_ввод'!$G$69:$W$74,4,0))/2</f>
        <v>114649.61972250001</v>
      </c>
      <c r="AC291" s="565">
        <f>(HLOOKUP(AC$287,'Банк. система_ввод'!$G$69:$W$74,4,0)+HLOOKUP(AC$287-1,'Банк. система_ввод'!$G$69:$W$74,4,0))/2</f>
        <v>124853.92400850001</v>
      </c>
      <c r="AD291" s="565">
        <f>(HLOOKUP(AD$287,'Банк. система_ввод'!$G$69:$W$74,4,0)+HLOOKUP(AD$287-1,'Банк. система_ввод'!$G$69:$W$74,4,0))/2</f>
        <v>146443.7317075</v>
      </c>
      <c r="AE291" s="565">
        <f>(HLOOKUP(AE$287,'Банк. система_ввод'!$G$69:$W$74,4,0)+HLOOKUP(AE$287-1,'Банк. система_ввод'!$G$69:$W$74,4,0))/2</f>
        <v>176173.23986899998</v>
      </c>
      <c r="AF291" s="4"/>
      <c r="AG291" s="4"/>
      <c r="AH291" s="4"/>
      <c r="AI291" s="4"/>
      <c r="AJ291" s="4"/>
      <c r="AK291" s="4"/>
      <c r="AL291" s="4"/>
      <c r="AM291" s="4"/>
      <c r="AN291" s="4"/>
      <c r="AO291" s="4"/>
      <c r="AP291" s="4"/>
      <c r="AQ291" s="4"/>
      <c r="AR291" s="4"/>
      <c r="AS291" s="4"/>
      <c r="AT291" s="1099"/>
      <c r="AU291" s="565">
        <f>(HLOOKUP(AU$287,'Банк. система_ввод'!$G$199:$W$205,4,0)+HLOOKUP(AU$287-1,'Банк. система_ввод'!$G$199:$W$205,4,0))/2</f>
        <v>9643.7368035</v>
      </c>
      <c r="AV291" s="565">
        <f>(HLOOKUP(AV$287,'Банк. система_ввод'!$G$199:$W$205,4,0)+HLOOKUP(AV$287-1,'Банк. система_ввод'!$G$199:$W$205,4,0))/2</f>
        <v>10886.685280999998</v>
      </c>
      <c r="AW291" s="565">
        <f>(HLOOKUP(AW$287,'Банк. система_ввод'!$G$199:$W$205,4,0)+HLOOKUP(AW$287-1,'Банк. система_ввод'!$G$199:$W$205,4,0))/2</f>
        <v>11540.855151</v>
      </c>
      <c r="AX291" s="565">
        <f>(HLOOKUP(AX$287,'Банк. система_ввод'!$G$199:$W$205,4,0)+HLOOKUP(AX$287-1,'Банк. система_ввод'!$G$199:$W$205,4,0))/2</f>
        <v>12005.396957000001</v>
      </c>
      <c r="AY291" s="565">
        <f>(HLOOKUP(AY$287,'Банк. система_ввод'!$G$199:$W$205,4,0)+HLOOKUP(AY$287-1,'Банк. система_ввод'!$G$199:$W$205,4,0))/2</f>
        <v>12547.374554500002</v>
      </c>
      <c r="AZ291" s="565">
        <f>(HLOOKUP(AZ$287,'Банк. система_ввод'!$G$199:$W$205,4,0)+HLOOKUP(AZ$287-1,'Банк. система_ввод'!$G$199:$W$205,4,0))/2</f>
        <v>13476.408924000001</v>
      </c>
      <c r="BA291" s="565">
        <f>(HLOOKUP(BA$287,'Банк. система_ввод'!$G$199:$W$205,4,0)+HLOOKUP(BA$287-1,'Банк. система_ввод'!$G$199:$W$205,4,0))/2</f>
        <v>14813.5758695</v>
      </c>
      <c r="BB291" s="565">
        <f>(HLOOKUP(BB$287,'Банк. система_ввод'!$G$199:$W$205,4,0)+HLOOKUP(BB$287-1,'Банк. система_ввод'!$G$199:$W$205,4,0))/2</f>
        <v>15613.693102500001</v>
      </c>
      <c r="BC291" s="565">
        <f>(HLOOKUP(BC$287,'Банк. система_ввод'!$G$199:$W$205,4,0)+HLOOKUP(BC$287-1,'Банк. система_ввод'!$G$199:$W$205,4,0))/2</f>
        <v>16783.317450499999</v>
      </c>
      <c r="BD291" s="565">
        <f>(HLOOKUP(BD$287,'Банк. система_ввод'!$G$199:$W$205,4,0)+HLOOKUP(BD$287-1,'Банк. система_ввод'!$G$199:$W$205,4,0))/2</f>
        <v>18510.099999999999</v>
      </c>
      <c r="BE291" s="4"/>
      <c r="BF291" s="4"/>
      <c r="BG291" s="4"/>
      <c r="BH291" s="4"/>
      <c r="BI291" s="4"/>
      <c r="BJ291" s="4"/>
      <c r="BK291" s="4"/>
      <c r="BL291" s="4"/>
      <c r="BM291" s="4"/>
      <c r="BN291" s="4"/>
      <c r="BO291" s="4"/>
      <c r="BP291" s="4"/>
      <c r="BQ291" s="4"/>
      <c r="BR291" s="4"/>
      <c r="BS291" s="4"/>
      <c r="BT291" s="4"/>
      <c r="BU291" s="4"/>
    </row>
    <row r="292" spans="1:73" outlineLevel="1" x14ac:dyDescent="0.25">
      <c r="A292" s="854"/>
      <c r="B292" s="501" t="s">
        <v>873</v>
      </c>
      <c r="C292" s="560"/>
      <c r="D292" s="560"/>
      <c r="E292" s="565"/>
      <c r="F292" s="565">
        <f>Баланс!F115</f>
        <v>0</v>
      </c>
      <c r="G292" s="565">
        <f>Баланс!G115</f>
        <v>371.30086349999999</v>
      </c>
      <c r="H292" s="565">
        <f>Баланс!H115</f>
        <v>384.28167149999996</v>
      </c>
      <c r="I292" s="565">
        <f>Баланс!I115</f>
        <v>445.27566199999995</v>
      </c>
      <c r="J292" s="565">
        <f>Баланс!J115</f>
        <v>498.1183125</v>
      </c>
      <c r="K292" s="565">
        <f>Баланс!K115</f>
        <v>539.32042500000011</v>
      </c>
      <c r="L292" s="565">
        <f>Баланс!L115</f>
        <v>643.38784299999998</v>
      </c>
      <c r="M292" s="565">
        <f>Баланс!M115</f>
        <v>724.33778200000006</v>
      </c>
      <c r="N292" s="565">
        <f>Баланс!N115</f>
        <v>760.31155550000005</v>
      </c>
      <c r="O292" s="565">
        <f>Баланс!O115</f>
        <v>0</v>
      </c>
      <c r="P292" s="565"/>
      <c r="Q292" s="497"/>
      <c r="R292" s="43"/>
      <c r="S292" s="9"/>
      <c r="T292" s="66"/>
      <c r="U292" s="1026"/>
      <c r="V292" s="565">
        <f>(HLOOKUP(V$287,'Банк. система_ввод'!$G$69:$W$74,5,0)+HLOOKUP(V$287-1,'Банк. система_ввод'!$G$69:$W$74,5,0))/2</f>
        <v>53494.664717499996</v>
      </c>
      <c r="W292" s="565">
        <f>(HLOOKUP(W$287,'Банк. система_ввод'!$G$69:$W$74,5,0)+HLOOKUP(W$287-1,'Банк. система_ввод'!$G$69:$W$74,5,0))/2</f>
        <v>63900.690938</v>
      </c>
      <c r="X292" s="565">
        <f>(HLOOKUP(X$287,'Банк. система_ввод'!$G$69:$W$74,5,0)+HLOOKUP(X$287-1,'Банк. система_ввод'!$G$69:$W$74,5,0))/2</f>
        <v>64049.296049499993</v>
      </c>
      <c r="Y292" s="565">
        <f>(HLOOKUP(Y$287,'Банк. система_ввод'!$G$69:$W$74,5,0)+HLOOKUP(Y$287-1,'Банк. система_ввод'!$G$69:$W$74,5,0))/2</f>
        <v>69691.223313499999</v>
      </c>
      <c r="Z292" s="565">
        <f>(HLOOKUP(Z$287,'Банк. система_ввод'!$G$69:$W$74,5,0)+HLOOKUP(Z$287-1,'Банк. система_ввод'!$G$69:$W$74,5,0))/2</f>
        <v>74282.084884000011</v>
      </c>
      <c r="AA292" s="565">
        <f>(HLOOKUP(AA$287,'Банк. система_ввод'!$G$69:$W$74,5,0)+HLOOKUP(AA$287-1,'Банк. система_ввод'!$G$69:$W$74,5,0))/2</f>
        <v>90040.146823500007</v>
      </c>
      <c r="AB292" s="565">
        <f>(HLOOKUP(AB$287,'Банк. система_ввод'!$G$69:$W$74,5,0)+HLOOKUP(AB$287-1,'Банк. система_ввод'!$G$69:$W$74,5,0))/2</f>
        <v>110864.08656300002</v>
      </c>
      <c r="AC292" s="565">
        <f>(HLOOKUP(AC$287,'Банк. система_ввод'!$G$69:$W$74,5,0)+HLOOKUP(AC$287-1,'Банк. система_ввод'!$G$69:$W$74,5,0))/2</f>
        <v>129966.33198350001</v>
      </c>
      <c r="AD292" s="565">
        <f>(HLOOKUP(AD$287,'Банк. система_ввод'!$G$69:$W$74,5,0)+HLOOKUP(AD$287-1,'Банк. система_ввод'!$G$69:$W$74,5,0))/2</f>
        <v>156445.72654999999</v>
      </c>
      <c r="AE292" s="565">
        <f>(HLOOKUP(AE$287,'Банк. система_ввод'!$G$69:$W$74,5,0)+HLOOKUP(AE$287-1,'Банк. система_ввод'!$G$69:$W$74,5,0))/2</f>
        <v>174653.220699</v>
      </c>
      <c r="AF292" s="4"/>
      <c r="AG292" s="4"/>
      <c r="AH292" s="4"/>
      <c r="AI292" s="4"/>
      <c r="AJ292" s="4"/>
      <c r="AK292" s="4"/>
      <c r="AL292" s="4"/>
      <c r="AM292" s="4"/>
      <c r="AN292" s="4"/>
      <c r="AO292" s="4"/>
      <c r="AP292" s="4"/>
      <c r="AQ292" s="4"/>
      <c r="AR292" s="4"/>
      <c r="AS292" s="4"/>
      <c r="AT292" s="1099"/>
      <c r="AU292" s="565">
        <f>(HLOOKUP(AU$287,'Банк. система_ввод'!$G$199:$W$205,5,0)+HLOOKUP(AU$287-1,'Банк. система_ввод'!$G$199:$W$205,5,0))/2</f>
        <v>13376.234691999998</v>
      </c>
      <c r="AV292" s="565">
        <f>(HLOOKUP(AV$287,'Банк. система_ввод'!$G$199:$W$205,5,0)+HLOOKUP(AV$287-1,'Банк. система_ввод'!$G$199:$W$205,5,0))/2</f>
        <v>14579.221611999999</v>
      </c>
      <c r="AW292" s="565">
        <f>(HLOOKUP(AW$287,'Банк. система_ввод'!$G$199:$W$205,5,0)+HLOOKUP(AW$287-1,'Банк. система_ввод'!$G$199:$W$205,5,0))/2</f>
        <v>15081.229606999999</v>
      </c>
      <c r="AX292" s="565">
        <f>(HLOOKUP(AX$287,'Банк. система_ввод'!$G$199:$W$205,5,0)+HLOOKUP(AX$287-1,'Банк. система_ввод'!$G$199:$W$205,5,0))/2</f>
        <v>15605.574182499999</v>
      </c>
      <c r="AY292" s="565">
        <f>(HLOOKUP(AY$287,'Банк. система_ввод'!$G$199:$W$205,5,0)+HLOOKUP(AY$287-1,'Банк. система_ввод'!$G$199:$W$205,5,0))/2</f>
        <v>17396.6809445</v>
      </c>
      <c r="AZ292" s="565">
        <f>(HLOOKUP(AZ$287,'Банк. система_ввод'!$G$199:$W$205,5,0)+HLOOKUP(AZ$287-1,'Банк. система_ввод'!$G$199:$W$205,5,0))/2</f>
        <v>19751.522215000001</v>
      </c>
      <c r="BA292" s="565">
        <f>(HLOOKUP(BA$287,'Банк. система_ввод'!$G$199:$W$205,5,0)+HLOOKUP(BA$287-1,'Банк. система_ввод'!$G$199:$W$205,5,0))/2</f>
        <v>20564.1326935</v>
      </c>
      <c r="BB292" s="565">
        <f>(HLOOKUP(BB$287,'Банк. система_ввод'!$G$199:$W$205,5,0)+HLOOKUP(BB$287-1,'Банк. система_ввод'!$G$199:$W$205,5,0))/2</f>
        <v>20489.174626</v>
      </c>
      <c r="BC292" s="565">
        <f>(HLOOKUP(BC$287,'Банк. система_ввод'!$G$199:$W$205,5,0)+HLOOKUP(BC$287-1,'Банк. система_ввод'!$G$199:$W$205,5,0))/2</f>
        <v>20293.853349000001</v>
      </c>
      <c r="BD292" s="565">
        <f>(HLOOKUP(BD$287,'Банк. система_ввод'!$G$199:$W$205,5,0)+HLOOKUP(BD$287-1,'Банк. система_ввод'!$G$199:$W$205,5,0))/2</f>
        <v>20462.599999999999</v>
      </c>
      <c r="BE292" s="4"/>
      <c r="BF292" s="4"/>
      <c r="BG292" s="4"/>
      <c r="BH292" s="4"/>
      <c r="BI292" s="4"/>
      <c r="BJ292" s="4"/>
      <c r="BK292" s="4"/>
      <c r="BL292" s="4"/>
      <c r="BM292" s="4"/>
      <c r="BN292" s="4"/>
      <c r="BO292" s="4"/>
      <c r="BP292" s="4"/>
      <c r="BQ292" s="4"/>
      <c r="BR292" s="4"/>
      <c r="BS292" s="4"/>
      <c r="BT292" s="4"/>
      <c r="BU292" s="4"/>
    </row>
    <row r="293" spans="1:73" outlineLevel="1" x14ac:dyDescent="0.25">
      <c r="A293" s="854"/>
      <c r="B293" s="501" t="s">
        <v>874</v>
      </c>
      <c r="C293" s="560"/>
      <c r="D293" s="560"/>
      <c r="E293" s="565"/>
      <c r="F293" s="565">
        <f>Баланс!F120</f>
        <v>379.05146100000002</v>
      </c>
      <c r="G293" s="565">
        <f>Баланс!G120</f>
        <v>381.57907599999999</v>
      </c>
      <c r="H293" s="565">
        <f>Баланс!H120</f>
        <v>442.07325800000001</v>
      </c>
      <c r="I293" s="565">
        <f>Баланс!I120</f>
        <v>496.79016300000001</v>
      </c>
      <c r="J293" s="565">
        <f>Баланс!J120</f>
        <v>520.51105700000005</v>
      </c>
      <c r="K293" s="565">
        <f>Баланс!K120</f>
        <v>578.87075600000003</v>
      </c>
      <c r="L293" s="565">
        <f>Баланс!L120</f>
        <v>621.699433</v>
      </c>
      <c r="M293" s="565">
        <f>Баланс!M120</f>
        <v>701.31384500000001</v>
      </c>
      <c r="N293" s="565">
        <f>Баланс!N120</f>
        <v>803.45094300000005</v>
      </c>
      <c r="O293" s="565">
        <f>Баланс!O120</f>
        <v>0</v>
      </c>
      <c r="P293" s="565"/>
      <c r="Q293" s="497"/>
      <c r="R293" s="43"/>
      <c r="S293" s="9"/>
      <c r="T293" s="66"/>
      <c r="U293" s="1026"/>
      <c r="V293" s="565">
        <f>HLOOKUP(V$287,'Банк. система_ввод'!$G$69:$W$74,6,0)</f>
        <v>67037.934261999995</v>
      </c>
      <c r="W293" s="565">
        <f>HLOOKUP(W$287,'Банк. система_ввод'!$G$69:$W$74,6,0)</f>
        <v>68657.053447000013</v>
      </c>
      <c r="X293" s="565">
        <f>HLOOKUP(X$287,'Банк. система_ввод'!$G$69:$W$74,6,0)</f>
        <v>75969.133024999988</v>
      </c>
      <c r="Y293" s="565">
        <f>HLOOKUP(Y$287,'Банк. система_ввод'!$G$69:$W$74,6,0)</f>
        <v>77748.775030999997</v>
      </c>
      <c r="Z293" s="565">
        <f>HLOOKUP(Z$287,'Банк. система_ввод'!$G$69:$W$74,6,0)</f>
        <v>91650.775771999979</v>
      </c>
      <c r="AA293" s="565">
        <f>HLOOKUP(AA$287,'Банк. система_ввод'!$G$69:$W$74,6,0)</f>
        <v>106659.03140899999</v>
      </c>
      <c r="AB293" s="565">
        <f>HLOOKUP(AB$287,'Банк. система_ввод'!$G$69:$W$74,6,0)</f>
        <v>119955.55115</v>
      </c>
      <c r="AC293" s="565">
        <f>HLOOKUP(AC$287,'Банк. система_ввод'!$G$69:$W$74,6,0)</f>
        <v>148395.165504</v>
      </c>
      <c r="AD293" s="565">
        <f>HLOOKUP(AD$287,'Банк. система_ввод'!$G$69:$W$74,6,0)</f>
        <v>175357.35862300001</v>
      </c>
      <c r="AE293" s="565">
        <f>HLOOKUP(AE$287,'Банк. система_ввод'!$G$69:$W$74,6,0)</f>
        <v>182135.76497899997</v>
      </c>
      <c r="AF293" s="4"/>
      <c r="AG293" s="4"/>
      <c r="AH293" s="4"/>
      <c r="AI293" s="4"/>
      <c r="AJ293" s="4"/>
      <c r="AK293" s="4"/>
      <c r="AL293" s="4"/>
      <c r="AM293" s="4"/>
      <c r="AN293" s="4"/>
      <c r="AO293" s="4"/>
      <c r="AP293" s="4"/>
      <c r="AQ293" s="4"/>
      <c r="AR293" s="4"/>
      <c r="AS293" s="4"/>
      <c r="AT293" s="1099"/>
      <c r="AU293" s="565">
        <f>HLOOKUP(AU$287,'Банк. система_ввод'!$G$199:$W$205,6,0)</f>
        <v>14353.353165999999</v>
      </c>
      <c r="AV293" s="565">
        <f>HLOOKUP(AV$287,'Банк. система_ввод'!$G$199:$W$205,6,0)</f>
        <v>15760.885561000001</v>
      </c>
      <c r="AW293" s="565">
        <f>HLOOKUP(AW$287,'Банк. система_ввод'!$G$199:$W$205,6,0)</f>
        <v>16255.716505</v>
      </c>
      <c r="AX293" s="565">
        <f>HLOOKUP(AX$287,'Банк. система_ввод'!$G$199:$W$205,6,0)</f>
        <v>16870.461653999999</v>
      </c>
      <c r="AY293" s="565">
        <f>HLOOKUP(AY$287,'Банк. система_ввод'!$G$199:$W$205,6,0)</f>
        <v>19920.078745999999</v>
      </c>
      <c r="AZ293" s="565">
        <f>HLOOKUP(AZ$287,'Банк. система_ввод'!$G$199:$W$205,6,0)</f>
        <v>21767.688136000001</v>
      </c>
      <c r="BA293" s="565">
        <f>HLOOKUP(BA$287,'Банк. система_ввод'!$G$199:$W$205,6,0)</f>
        <v>21397.100280999999</v>
      </c>
      <c r="BB293" s="565">
        <f>HLOOKUP(BB$287,'Банк. система_ввод'!$G$199:$W$205,6,0)</f>
        <v>21484.033028999998</v>
      </c>
      <c r="BC293" s="565">
        <f>HLOOKUP(BC$287,'Банк. система_ввод'!$G$199:$W$205,6,0)</f>
        <v>20626.499999999996</v>
      </c>
      <c r="BD293" s="565">
        <f>HLOOKUP(BD$287,'Банк. система_ввод'!$G$199:$W$205,6,0)</f>
        <v>21928.7</v>
      </c>
      <c r="BE293" s="4"/>
      <c r="BF293" s="4"/>
      <c r="BG293" s="4"/>
      <c r="BH293" s="4"/>
      <c r="BI293" s="4"/>
      <c r="BJ293" s="4"/>
      <c r="BK293" s="4"/>
      <c r="BL293" s="4"/>
      <c r="BM293" s="4"/>
      <c r="BN293" s="4"/>
      <c r="BO293" s="4"/>
      <c r="BP293" s="4"/>
      <c r="BQ293" s="4"/>
      <c r="BR293" s="4"/>
      <c r="BS293" s="4"/>
      <c r="BT293" s="4"/>
      <c r="BU293" s="4"/>
    </row>
    <row r="294" spans="1:73" outlineLevel="1" x14ac:dyDescent="0.25">
      <c r="A294" s="854"/>
      <c r="B294" s="501" t="s">
        <v>875</v>
      </c>
      <c r="C294" s="560"/>
      <c r="D294" s="560"/>
      <c r="E294" s="565"/>
      <c r="F294" s="565">
        <f>Баланс!F119</f>
        <v>442.34798599999999</v>
      </c>
      <c r="G294" s="565">
        <f>Баланс!G119</f>
        <v>436.38438100000002</v>
      </c>
      <c r="H294" s="565">
        <f>Баланс!H119</f>
        <v>498.327494</v>
      </c>
      <c r="I294" s="565">
        <f>Баланс!I119</f>
        <v>561.14467999999999</v>
      </c>
      <c r="J294" s="565">
        <f>Баланс!J119</f>
        <v>594.02554299999997</v>
      </c>
      <c r="K294" s="565">
        <f>Баланс!K119</f>
        <v>653.57444299999997</v>
      </c>
      <c r="L294" s="565">
        <f>Баланс!L119</f>
        <v>811.266749</v>
      </c>
      <c r="M294" s="565">
        <f>Баланс!M119</f>
        <v>837.68483700000002</v>
      </c>
      <c r="N294" s="565">
        <f>Баланс!N119</f>
        <v>931.50663699999996</v>
      </c>
      <c r="O294" s="565">
        <f>Баланс!O119</f>
        <v>0</v>
      </c>
      <c r="P294" s="565"/>
      <c r="Q294" s="497"/>
      <c r="R294" s="43"/>
      <c r="S294" s="9"/>
      <c r="T294" s="66"/>
      <c r="U294" s="1026"/>
      <c r="V294" s="565">
        <f>HLOOKUP(V$287,'Банк. система_ввод'!$G$69:$W$74,2,0)</f>
        <v>77474.262327999997</v>
      </c>
      <c r="W294" s="565">
        <f>HLOOKUP(W$287,'Банк. система_ввод'!$G$69:$W$74,2,0)</f>
        <v>77961.133994000003</v>
      </c>
      <c r="X294" s="565">
        <f>HLOOKUP(X$287,'Банк. система_ввод'!$G$69:$W$74,2,0)</f>
        <v>86231.980244000006</v>
      </c>
      <c r="Y294" s="565">
        <f>HLOOKUP(Y$287,'Банк. система_ввод'!$G$69:$W$74,2,0)</f>
        <v>88796.187569999995</v>
      </c>
      <c r="Z294" s="565">
        <f>HLOOKUP(Z$287,'Банк. система_ввод'!$G$69:$W$74,2,0)</f>
        <v>104023.028628</v>
      </c>
      <c r="AA294" s="565">
        <f>HLOOKUP(AA$287,'Банк. система_ввод'!$G$69:$W$74,2,0)</f>
        <v>120536.62983000001</v>
      </c>
      <c r="AB294" s="565">
        <f>HLOOKUP(AB$287,'Банк. система_ввод'!$G$69:$W$74,2,0)</f>
        <v>134818.44652900001</v>
      </c>
      <c r="AC294" s="565">
        <f>HLOOKUP(AC$287,'Банк. система_ввод'!$G$69:$W$74,2,0)</f>
        <v>167830.40549500001</v>
      </c>
      <c r="AD294" s="565">
        <f>HLOOKUP(AD$287,'Банк. система_ввод'!$G$69:$W$74,2,0)</f>
        <v>199255.74115799999</v>
      </c>
      <c r="AE294" s="565">
        <f>HLOOKUP(AE$287,'Банк. система_ввод'!$G$69:$W$74,2,0)</f>
        <v>210874.51928499999</v>
      </c>
      <c r="AF294" s="4"/>
      <c r="AG294" s="4"/>
      <c r="AH294" s="4"/>
      <c r="AI294" s="4"/>
      <c r="AJ294" s="4"/>
      <c r="AK294" s="4"/>
      <c r="AL294" s="4"/>
      <c r="AM294" s="4"/>
      <c r="AN294" s="4"/>
      <c r="AO294" s="4"/>
      <c r="AP294" s="4"/>
      <c r="AQ294" s="4"/>
      <c r="AR294" s="4"/>
      <c r="AS294" s="4"/>
      <c r="AT294" s="1099"/>
      <c r="AU294" s="565">
        <f>HLOOKUP(AU$287,'Банк. система_ввод'!$G$199:$W$205,2,0)</f>
        <v>15967.662111</v>
      </c>
      <c r="AV294" s="565">
        <f>HLOOKUP(AV$287,'Банк. система_ввод'!$G$199:$W$205,2,0)</f>
        <v>17415.409638000001</v>
      </c>
      <c r="AW294" s="565">
        <f>HLOOKUP(AW$287,'Банк. система_ввод'!$G$199:$W$205,2,0)</f>
        <v>17942.991760000001</v>
      </c>
      <c r="AX294" s="565">
        <f>HLOOKUP(AX$287,'Банк. система_ввод'!$G$199:$W$205,2,0)</f>
        <v>18645.042703000003</v>
      </c>
      <c r="AY294" s="565">
        <f>HLOOKUP(AY$287,'Банк. система_ввод'!$G$199:$W$205,2,0)</f>
        <v>21868.541076000001</v>
      </c>
      <c r="AZ294" s="565">
        <f>HLOOKUP(AZ$287,'Банк. система_ввод'!$G$199:$W$205,2,0)</f>
        <v>23719.746340000002</v>
      </c>
      <c r="BA294" s="565">
        <f>HLOOKUP(BA$287,'Банк. система_ввод'!$G$199:$W$205,2,0)</f>
        <v>23595.377497000001</v>
      </c>
      <c r="BB294" s="565">
        <f>HLOOKUP(BB$287,'Банк. система_ввод'!$G$199:$W$205,2,0)</f>
        <v>23666.424311999999</v>
      </c>
      <c r="BC294" s="565">
        <f>HLOOKUP(BC$287,'Банк. система_ввод'!$G$199:$W$205,2,0)</f>
        <v>23756.9</v>
      </c>
      <c r="BD294" s="565">
        <f>HLOOKUP(BD$287,'Банк. система_ввод'!$G$199:$W$205,2,0)</f>
        <v>24697.3</v>
      </c>
      <c r="BE294" s="4"/>
      <c r="BF294" s="4"/>
      <c r="BG294" s="4"/>
      <c r="BH294" s="4"/>
      <c r="BI294" s="4"/>
      <c r="BJ294" s="4"/>
      <c r="BK294" s="4"/>
      <c r="BL294" s="4"/>
      <c r="BM294" s="4"/>
      <c r="BN294" s="4"/>
      <c r="BO294" s="4"/>
      <c r="BP294" s="4"/>
      <c r="BQ294" s="4"/>
      <c r="BR294" s="4"/>
      <c r="BS294" s="4"/>
      <c r="BT294" s="4"/>
      <c r="BU294" s="4"/>
    </row>
    <row r="295" spans="1:73" outlineLevel="1" x14ac:dyDescent="0.25">
      <c r="A295" s="854"/>
      <c r="B295" s="501" t="s">
        <v>984</v>
      </c>
      <c r="C295" s="560"/>
      <c r="D295" s="560"/>
      <c r="E295" s="565"/>
      <c r="F295" s="565">
        <f>Баланс!F100</f>
        <v>0</v>
      </c>
      <c r="G295" s="565">
        <f>Баланс!G100</f>
        <v>234.88718299999999</v>
      </c>
      <c r="H295" s="565">
        <f>Баланс!H100</f>
        <v>228.3965805</v>
      </c>
      <c r="I295" s="565">
        <f>Баланс!I100</f>
        <v>261.24907450000001</v>
      </c>
      <c r="J295" s="565">
        <f>Баланс!J100</f>
        <v>285.04098149999999</v>
      </c>
      <c r="K295" s="565">
        <f>Баланс!K100</f>
        <v>310.90508749999998</v>
      </c>
      <c r="L295" s="565">
        <f>Баланс!L100</f>
        <v>372.13393976760506</v>
      </c>
      <c r="M295" s="565">
        <f>Баланс!M100</f>
        <v>414.20942326760508</v>
      </c>
      <c r="N295" s="565">
        <f>Баланс!N100</f>
        <v>459.58429011000004</v>
      </c>
      <c r="O295" s="565">
        <f>Баланс!O100</f>
        <v>0</v>
      </c>
      <c r="P295" s="565"/>
      <c r="Q295" s="497"/>
      <c r="R295" s="43"/>
      <c r="S295" s="9"/>
      <c r="T295" s="66"/>
      <c r="U295" s="1026"/>
      <c r="V295" s="565"/>
      <c r="W295" s="565"/>
      <c r="X295" s="565"/>
      <c r="Y295" s="565"/>
      <c r="Z295" s="565"/>
      <c r="AA295" s="565"/>
      <c r="AB295" s="565"/>
      <c r="AC295" s="565"/>
      <c r="AD295" s="565"/>
      <c r="AE295" s="565"/>
      <c r="AF295" s="4"/>
      <c r="AG295" s="4"/>
      <c r="AH295" s="4"/>
      <c r="AI295" s="4"/>
      <c r="AJ295" s="4"/>
      <c r="AK295" s="4"/>
      <c r="AL295" s="4"/>
      <c r="AM295" s="4"/>
      <c r="AN295" s="4"/>
      <c r="AO295" s="4"/>
      <c r="AP295" s="4"/>
      <c r="AQ295" s="4"/>
      <c r="AR295" s="4"/>
      <c r="AS295" s="4"/>
      <c r="AT295" s="1099"/>
      <c r="AU295" s="565"/>
      <c r="AV295" s="565"/>
      <c r="AW295" s="565"/>
      <c r="AX295" s="565"/>
      <c r="AY295" s="565"/>
      <c r="AZ295" s="565"/>
      <c r="BA295" s="565"/>
      <c r="BB295" s="565"/>
      <c r="BC295" s="565"/>
      <c r="BD295" s="565"/>
      <c r="BE295" s="4"/>
      <c r="BF295" s="4"/>
      <c r="BG295" s="4"/>
      <c r="BH295" s="4"/>
      <c r="BI295" s="4"/>
      <c r="BJ295" s="4"/>
      <c r="BK295" s="4"/>
      <c r="BL295" s="4"/>
      <c r="BM295" s="4"/>
      <c r="BN295" s="4"/>
      <c r="BO295" s="4"/>
      <c r="BP295" s="4"/>
      <c r="BQ295" s="4"/>
      <c r="BR295" s="4"/>
      <c r="BS295" s="4"/>
      <c r="BT295" s="4"/>
      <c r="BU295" s="4"/>
    </row>
    <row r="296" spans="1:73" outlineLevel="1" x14ac:dyDescent="0.25">
      <c r="A296" s="854"/>
      <c r="B296" s="501" t="s">
        <v>985</v>
      </c>
      <c r="C296" s="560"/>
      <c r="D296" s="560"/>
      <c r="E296" s="565"/>
      <c r="F296" s="565">
        <f>Баланс!F102</f>
        <v>0</v>
      </c>
      <c r="G296" s="565">
        <f>Баланс!G102</f>
        <v>31.237828999999998</v>
      </c>
      <c r="H296" s="565">
        <f>Баланс!H102</f>
        <v>81.348131999999993</v>
      </c>
      <c r="I296" s="565">
        <f>Баланс!I102</f>
        <v>106.47621650000001</v>
      </c>
      <c r="J296" s="565">
        <f>Баланс!J102</f>
        <v>97.564959000000002</v>
      </c>
      <c r="K296" s="565">
        <f>Баланс!K102</f>
        <v>91.005626500000005</v>
      </c>
      <c r="L296" s="565">
        <f>Баланс!L102</f>
        <v>91.760995838155964</v>
      </c>
      <c r="M296" s="565">
        <f>Баланс!M102</f>
        <v>0</v>
      </c>
      <c r="N296" s="565">
        <f>Баланс!N102</f>
        <v>119.97824249999999</v>
      </c>
      <c r="O296" s="565">
        <f>Баланс!O102</f>
        <v>0</v>
      </c>
      <c r="P296" s="565"/>
      <c r="Q296" s="497"/>
      <c r="R296" s="43"/>
      <c r="S296" s="9"/>
      <c r="T296" s="66"/>
      <c r="U296" s="1026"/>
      <c r="V296" s="565"/>
      <c r="W296" s="565"/>
      <c r="X296" s="565"/>
      <c r="Y296" s="565"/>
      <c r="Z296" s="565"/>
      <c r="AA296" s="565"/>
      <c r="AB296" s="565"/>
      <c r="AC296" s="565"/>
      <c r="AD296" s="565"/>
      <c r="AE296" s="565"/>
      <c r="AF296" s="4"/>
      <c r="AG296" s="4"/>
      <c r="AH296" s="4"/>
      <c r="AI296" s="4"/>
      <c r="AJ296" s="4"/>
      <c r="AK296" s="4"/>
      <c r="AL296" s="4"/>
      <c r="AM296" s="4"/>
      <c r="AN296" s="4"/>
      <c r="AO296" s="4"/>
      <c r="AP296" s="4"/>
      <c r="AQ296" s="4"/>
      <c r="AR296" s="4"/>
      <c r="AS296" s="4"/>
      <c r="AT296" s="1099"/>
      <c r="AU296" s="565"/>
      <c r="AV296" s="565"/>
      <c r="AW296" s="565"/>
      <c r="AX296" s="565"/>
      <c r="AY296" s="565"/>
      <c r="AZ296" s="565"/>
      <c r="BA296" s="565"/>
      <c r="BB296" s="565"/>
      <c r="BC296" s="565"/>
      <c r="BD296" s="565"/>
      <c r="BE296" s="4"/>
      <c r="BF296" s="4"/>
      <c r="BG296" s="4"/>
      <c r="BH296" s="4"/>
      <c r="BI296" s="4"/>
      <c r="BJ296" s="4"/>
      <c r="BK296" s="4"/>
      <c r="BL296" s="4"/>
      <c r="BM296" s="4"/>
      <c r="BN296" s="4"/>
      <c r="BO296" s="4"/>
      <c r="BP296" s="4"/>
      <c r="BQ296" s="4"/>
      <c r="BR296" s="4"/>
      <c r="BS296" s="4"/>
      <c r="BT296" s="4"/>
      <c r="BU296" s="4"/>
    </row>
    <row r="297" spans="1:73" outlineLevel="1" x14ac:dyDescent="0.25">
      <c r="A297" s="854"/>
      <c r="B297" s="501"/>
      <c r="C297" s="560"/>
      <c r="D297" s="560"/>
      <c r="E297" s="565"/>
      <c r="F297" s="565"/>
      <c r="G297" s="565"/>
      <c r="H297" s="565"/>
      <c r="I297" s="565"/>
      <c r="J297" s="565"/>
      <c r="K297" s="565"/>
      <c r="L297" s="565"/>
      <c r="M297" s="565"/>
      <c r="N297" s="565"/>
      <c r="O297" s="565"/>
      <c r="P297" s="565"/>
      <c r="Q297" s="497"/>
      <c r="R297" s="43"/>
      <c r="S297" s="9"/>
      <c r="T297" s="66"/>
      <c r="U297" s="1026"/>
      <c r="V297" s="565"/>
      <c r="W297" s="565"/>
      <c r="X297" s="565"/>
      <c r="Y297" s="565"/>
      <c r="Z297" s="565"/>
      <c r="AA297" s="565"/>
      <c r="AB297" s="565"/>
      <c r="AC297" s="565"/>
      <c r="AD297" s="565"/>
      <c r="AE297" s="565"/>
      <c r="AF297" s="4"/>
      <c r="AG297" s="4"/>
      <c r="AH297" s="4"/>
      <c r="AI297" s="4"/>
      <c r="AJ297" s="4"/>
      <c r="AK297" s="4"/>
      <c r="AL297" s="4"/>
      <c r="AM297" s="4"/>
      <c r="AN297" s="4"/>
      <c r="AO297" s="4"/>
      <c r="AP297" s="4"/>
      <c r="AQ297" s="4"/>
      <c r="AR297" s="4"/>
      <c r="AS297" s="4"/>
      <c r="AT297" s="1099"/>
      <c r="AU297" s="565"/>
      <c r="AV297" s="565"/>
      <c r="AW297" s="565"/>
      <c r="AX297" s="565"/>
      <c r="AY297" s="565"/>
      <c r="AZ297" s="565"/>
      <c r="BA297" s="565"/>
      <c r="BB297" s="565"/>
      <c r="BC297" s="565"/>
      <c r="BD297" s="565"/>
      <c r="BE297" s="4"/>
      <c r="BF297" s="4"/>
      <c r="BG297" s="4"/>
      <c r="BH297" s="4"/>
      <c r="BI297" s="4"/>
      <c r="BJ297" s="4"/>
      <c r="BK297" s="4"/>
      <c r="BL297" s="4"/>
      <c r="BM297" s="4"/>
      <c r="BN297" s="4"/>
      <c r="BO297" s="4"/>
      <c r="BP297" s="4"/>
      <c r="BQ297" s="4"/>
      <c r="BR297" s="4"/>
      <c r="BS297" s="4"/>
      <c r="BT297" s="4"/>
      <c r="BU297" s="4"/>
    </row>
    <row r="298" spans="1:73" outlineLevel="1" x14ac:dyDescent="0.25">
      <c r="A298" s="854"/>
      <c r="B298" s="501" t="s">
        <v>1130</v>
      </c>
      <c r="C298" s="560"/>
      <c r="D298" s="560"/>
      <c r="E298" s="565"/>
      <c r="F298" s="565">
        <f t="shared" ref="F298:K298" si="307">F20+F21+F22+F37+F44+F45</f>
        <v>0</v>
      </c>
      <c r="G298" s="565">
        <f t="shared" si="307"/>
        <v>33.249210000000005</v>
      </c>
      <c r="H298" s="565">
        <f t="shared" si="307"/>
        <v>34.238242999999997</v>
      </c>
      <c r="I298" s="565">
        <f t="shared" si="307"/>
        <v>24.193706000000002</v>
      </c>
      <c r="J298" s="565">
        <f t="shared" si="307"/>
        <v>41.241288999999995</v>
      </c>
      <c r="K298" s="565">
        <f t="shared" si="307"/>
        <v>32.413232999999998</v>
      </c>
      <c r="L298" s="565">
        <f t="shared" ref="L298:O298" si="308">L20+L21+L22+L37+L44+L45</f>
        <v>29.878385000000002</v>
      </c>
      <c r="M298" s="565">
        <f t="shared" si="308"/>
        <v>44.059213</v>
      </c>
      <c r="N298" s="565">
        <f t="shared" si="308"/>
        <v>51.765225999999998</v>
      </c>
      <c r="O298" s="565">
        <f t="shared" si="308"/>
        <v>0</v>
      </c>
      <c r="P298" s="565"/>
      <c r="Q298" s="497"/>
      <c r="R298" s="43"/>
      <c r="S298" s="9"/>
      <c r="T298" s="66"/>
      <c r="U298" s="1026"/>
      <c r="V298" s="565">
        <f t="shared" ref="V298:AE298" si="309">V20+V21+V22+V37+V45</f>
        <v>3149.0999999999931</v>
      </c>
      <c r="W298" s="565">
        <f t="shared" si="309"/>
        <v>4039.7000000000003</v>
      </c>
      <c r="X298" s="565">
        <f t="shared" si="309"/>
        <v>4863.2686920000006</v>
      </c>
      <c r="Y298" s="565">
        <f t="shared" si="309"/>
        <v>4982.272630999998</v>
      </c>
      <c r="Z298" s="565">
        <f t="shared" si="309"/>
        <v>5867.8511809999982</v>
      </c>
      <c r="AA298" s="565">
        <f t="shared" si="309"/>
        <v>5797.1549840000016</v>
      </c>
      <c r="AB298" s="565">
        <f t="shared" si="309"/>
        <v>5320.7649419999989</v>
      </c>
      <c r="AC298" s="565">
        <f t="shared" si="309"/>
        <v>9103.0365119999988</v>
      </c>
      <c r="AD298" s="565">
        <f t="shared" si="309"/>
        <v>9999.2349220000015</v>
      </c>
      <c r="AE298" s="565">
        <f t="shared" si="309"/>
        <v>11261.837047999999</v>
      </c>
      <c r="AF298" s="4"/>
      <c r="AG298" s="4"/>
      <c r="AH298" s="4"/>
      <c r="AI298" s="4"/>
      <c r="AJ298" s="4"/>
      <c r="AK298" s="4"/>
      <c r="AL298" s="4"/>
      <c r="AM298" s="4"/>
      <c r="AN298" s="4"/>
      <c r="AO298" s="4"/>
      <c r="AP298" s="4"/>
      <c r="AQ298" s="4"/>
      <c r="AR298" s="4"/>
      <c r="AS298" s="4"/>
      <c r="AT298" s="1099"/>
      <c r="AU298" s="565"/>
      <c r="AV298" s="565"/>
      <c r="AW298" s="565"/>
      <c r="AX298" s="565"/>
      <c r="AY298" s="565"/>
      <c r="AZ298" s="565"/>
      <c r="BA298" s="565"/>
      <c r="BB298" s="565"/>
      <c r="BC298" s="565"/>
      <c r="BD298" s="565"/>
      <c r="BE298" s="4"/>
      <c r="BF298" s="4"/>
      <c r="BG298" s="4"/>
      <c r="BH298" s="4"/>
      <c r="BI298" s="4"/>
      <c r="BJ298" s="4"/>
      <c r="BK298" s="4"/>
      <c r="BL298" s="4"/>
      <c r="BM298" s="4"/>
      <c r="BN298" s="4"/>
      <c r="BO298" s="4"/>
      <c r="BP298" s="4"/>
      <c r="BQ298" s="4"/>
      <c r="BR298" s="4"/>
      <c r="BS298" s="4"/>
      <c r="BT298" s="4"/>
      <c r="BU298" s="4"/>
    </row>
    <row r="299" spans="1:73" outlineLevel="1" x14ac:dyDescent="0.25">
      <c r="A299" s="854"/>
      <c r="B299" s="501"/>
      <c r="C299" s="560"/>
      <c r="D299" s="560"/>
      <c r="E299" s="565"/>
      <c r="F299" s="565"/>
      <c r="G299" s="565"/>
      <c r="H299" s="565"/>
      <c r="I299" s="565"/>
      <c r="J299" s="565"/>
      <c r="K299" s="565"/>
      <c r="L299" s="565"/>
      <c r="M299" s="565"/>
      <c r="N299" s="565"/>
      <c r="O299" s="565"/>
      <c r="P299" s="565"/>
      <c r="Q299" s="497"/>
      <c r="R299" s="43"/>
      <c r="S299" s="9"/>
      <c r="T299" s="66"/>
      <c r="U299" s="1026"/>
      <c r="V299" s="565"/>
      <c r="W299" s="565"/>
      <c r="X299" s="565"/>
      <c r="Y299" s="565"/>
      <c r="Z299" s="565"/>
      <c r="AA299" s="565"/>
      <c r="AB299" s="565"/>
      <c r="AC299" s="565"/>
      <c r="AD299" s="565"/>
      <c r="AE299" s="565"/>
      <c r="AF299" s="4"/>
      <c r="AG299" s="4"/>
      <c r="AH299" s="4"/>
      <c r="AI299" s="4"/>
      <c r="AJ299" s="4"/>
      <c r="AK299" s="4"/>
      <c r="AL299" s="4"/>
      <c r="AM299" s="4"/>
      <c r="AN299" s="4"/>
      <c r="AO299" s="4"/>
      <c r="AP299" s="4"/>
      <c r="AQ299" s="4"/>
      <c r="AR299" s="4"/>
      <c r="AS299" s="4"/>
      <c r="AT299" s="1099"/>
      <c r="AU299" s="565"/>
      <c r="AV299" s="565"/>
      <c r="AW299" s="565"/>
      <c r="AX299" s="565"/>
      <c r="AY299" s="565"/>
      <c r="AZ299" s="565"/>
      <c r="BA299" s="565"/>
      <c r="BB299" s="565"/>
      <c r="BC299" s="565"/>
      <c r="BD299" s="565"/>
      <c r="BE299" s="4"/>
      <c r="BF299" s="4"/>
      <c r="BG299" s="4"/>
      <c r="BH299" s="4"/>
      <c r="BI299" s="4"/>
      <c r="BJ299" s="4"/>
      <c r="BK299" s="4"/>
      <c r="BL299" s="4"/>
      <c r="BM299" s="4"/>
      <c r="BN299" s="4"/>
      <c r="BO299" s="4"/>
      <c r="BP299" s="4"/>
      <c r="BQ299" s="4"/>
      <c r="BR299" s="4"/>
      <c r="BS299" s="4"/>
      <c r="BT299" s="4"/>
      <c r="BU299" s="4"/>
    </row>
    <row r="300" spans="1:73" ht="16.5" outlineLevel="1" x14ac:dyDescent="0.3">
      <c r="A300" s="854"/>
      <c r="B300" s="501" t="s">
        <v>986</v>
      </c>
      <c r="C300" s="560"/>
      <c r="D300" s="560"/>
      <c r="E300" s="561"/>
      <c r="F300" s="560">
        <f>Ввод!G419</f>
        <v>5209</v>
      </c>
      <c r="G300" s="560">
        <f>Ввод!H419</f>
        <v>5292</v>
      </c>
      <c r="H300" s="560">
        <f>Ввод!I419</f>
        <v>5500</v>
      </c>
      <c r="I300" s="560">
        <f>Ввод!J419</f>
        <v>5345</v>
      </c>
      <c r="J300" s="560">
        <f>Ввод!K419</f>
        <v>5299</v>
      </c>
      <c r="K300" s="560">
        <f>Ввод!L419</f>
        <v>5189.4675000000007</v>
      </c>
      <c r="L300" s="560">
        <f>Ввод!M419</f>
        <v>4942.3500000000004</v>
      </c>
      <c r="M300" s="560">
        <f>Ввод!N419</f>
        <v>4707</v>
      </c>
      <c r="N300" s="560">
        <f>Ввод!O419</f>
        <v>5032</v>
      </c>
      <c r="O300" s="560">
        <f>Ввод!P419</f>
        <v>5053</v>
      </c>
      <c r="P300" s="560"/>
      <c r="Q300" s="497"/>
      <c r="R300" s="43"/>
      <c r="S300" s="9"/>
      <c r="T300" s="66"/>
      <c r="U300" s="1026"/>
      <c r="V300" s="1083">
        <f>HLOOKUP(V$287,'Банк. система_ввод'!$G$69:$W$75,7,0)</f>
        <v>950000</v>
      </c>
      <c r="W300" s="1083">
        <f>HLOOKUP(W$287,'Банк. система_ввод'!$G$69:$W$75,7,0)</f>
        <v>812860</v>
      </c>
      <c r="X300" s="1083">
        <f>HLOOKUP(X$287,'Банк. система_ввод'!$G$69:$W$75,7,0)</f>
        <v>788474.2</v>
      </c>
      <c r="Y300" s="1083">
        <f>HLOOKUP(Y$287,'Банк. система_ввод'!$G$69:$W$75,7,0)</f>
        <v>764819.97399999993</v>
      </c>
      <c r="Z300" s="1083">
        <f>HLOOKUP(Z$287,'Банк. система_ввод'!$G$69:$W$75,7,0)</f>
        <v>741875.37477999995</v>
      </c>
      <c r="AA300" s="1083">
        <f>HLOOKUP(AA$287,'Банк. система_ввод'!$G$69:$W$75,7,0)</f>
        <v>741875.37477999995</v>
      </c>
      <c r="AB300" s="1083">
        <f>HLOOKUP(AB$287,'Банк. система_ввод'!$G$69:$W$75,7,0)</f>
        <v>741875.37477999995</v>
      </c>
      <c r="AC300" s="1083">
        <f>HLOOKUP(AC$287,'Банк. система_ввод'!$G$69:$W$75,7,0)</f>
        <v>778969.14351900003</v>
      </c>
      <c r="AD300" s="1083">
        <f>HLOOKUP(AD$287,'Банк. система_ввод'!$G$69:$W$75,7,0)</f>
        <v>817917.60069495009</v>
      </c>
      <c r="AE300" s="1083">
        <f>HLOOKUP(AE$287,'Банк. система_ввод'!$G$69:$W$75,7,0)</f>
        <v>817917.60069495009</v>
      </c>
      <c r="AF300" s="4"/>
      <c r="AG300" s="4"/>
      <c r="AH300" s="4"/>
      <c r="AI300" s="4"/>
      <c r="AJ300" s="4"/>
      <c r="AK300" s="4"/>
      <c r="AL300" s="4"/>
      <c r="AM300" s="4"/>
      <c r="AN300" s="4"/>
      <c r="AO300" s="4"/>
      <c r="AP300" s="4"/>
      <c r="AQ300" s="4"/>
      <c r="AR300" s="4"/>
      <c r="AS300" s="4"/>
      <c r="AT300" s="1099"/>
      <c r="AU300" s="588">
        <f>HLOOKUP(AU$287,'Банк. система_ввод'!$G$199:$W$205,7,0)</f>
        <v>2033727</v>
      </c>
      <c r="AV300" s="588">
        <f>HLOOKUP(AV$287,'Банк. система_ввод'!$G$199:$W$205,7,0)</f>
        <v>2076128</v>
      </c>
      <c r="AW300" s="588">
        <f>HLOOKUP(AW$287,'Банк. система_ввод'!$G$199:$W$205,7,0)</f>
        <v>2067089</v>
      </c>
      <c r="AX300" s="588">
        <f>HLOOKUP(AX$287,'Банк. система_ввод'!$G$199:$W$205,7,0)</f>
        <v>2063060</v>
      </c>
      <c r="AY300" s="588">
        <f>HLOOKUP(AY$287,'Банк. система_ввод'!$G$199:$W$205,7,0)</f>
        <v>2065530</v>
      </c>
      <c r="AZ300" s="588">
        <f>HLOOKUP(AZ$287,'Банк. система_ввод'!$G$199:$W$205,7,0)</f>
        <v>2069043</v>
      </c>
      <c r="BA300" s="588">
        <f>HLOOKUP(BA$287,'Банк. система_ввод'!$G$199:$W$205,7,0)</f>
        <v>2125175</v>
      </c>
      <c r="BB300" s="588">
        <f>HLOOKUP(BB$287,'Банк. система_ввод'!$G$199:$W$205,7,0)</f>
        <v>2078686</v>
      </c>
      <c r="BC300" s="588">
        <f>HLOOKUP(BC$287,'Банк. система_ввод'!$G$199:$W$205,7,0)</f>
        <v>2059515</v>
      </c>
      <c r="BD300" s="588">
        <f>HLOOKUP(BD$287,'Банк. система_ввод'!$G$199:$W$205,7,0)</f>
        <v>2047338</v>
      </c>
      <c r="BE300" s="4"/>
      <c r="BF300" s="4"/>
      <c r="BG300" s="4"/>
      <c r="BH300" s="4"/>
      <c r="BI300" s="4"/>
      <c r="BJ300" s="4"/>
      <c r="BK300" s="4"/>
      <c r="BL300" s="4"/>
      <c r="BM300" s="4"/>
      <c r="BN300" s="4"/>
      <c r="BO300" s="4"/>
      <c r="BP300" s="4"/>
      <c r="BQ300" s="4"/>
      <c r="BR300" s="4"/>
      <c r="BS300" s="4"/>
      <c r="BT300" s="4"/>
      <c r="BU300" s="4"/>
    </row>
    <row r="301" spans="1:73" outlineLevel="1" x14ac:dyDescent="0.25">
      <c r="A301" s="854"/>
      <c r="B301" s="501"/>
      <c r="C301" s="560"/>
      <c r="D301" s="560"/>
      <c r="E301" s="561"/>
      <c r="F301" s="561"/>
      <c r="G301" s="561"/>
      <c r="H301" s="561"/>
      <c r="I301" s="561"/>
      <c r="J301" s="561"/>
      <c r="K301" s="561"/>
      <c r="L301" s="561"/>
      <c r="M301" s="561"/>
      <c r="N301" s="561"/>
      <c r="O301" s="561"/>
      <c r="P301" s="561"/>
      <c r="Q301" s="497"/>
      <c r="R301" s="43"/>
      <c r="S301" s="9"/>
      <c r="T301" s="66"/>
      <c r="U301" s="1026"/>
      <c r="V301" s="561"/>
      <c r="W301" s="561"/>
      <c r="X301" s="561"/>
      <c r="Y301" s="561"/>
      <c r="Z301" s="561"/>
      <c r="AA301" s="561"/>
      <c r="AB301" s="561"/>
      <c r="AC301" s="561"/>
      <c r="AD301" s="561"/>
      <c r="AE301" s="561"/>
      <c r="AF301" s="4"/>
      <c r="AG301" s="4"/>
      <c r="AH301" s="4"/>
      <c r="AI301" s="4"/>
      <c r="AJ301" s="4"/>
      <c r="AK301" s="4"/>
      <c r="AL301" s="4"/>
      <c r="AM301" s="4"/>
      <c r="AN301" s="4"/>
      <c r="AO301" s="4"/>
      <c r="AP301" s="4"/>
      <c r="AQ301" s="4"/>
      <c r="AR301" s="4"/>
      <c r="AS301" s="4"/>
      <c r="AT301" s="1099"/>
      <c r="AU301" s="561"/>
      <c r="AV301" s="561"/>
      <c r="AW301" s="561"/>
      <c r="AX301" s="561"/>
      <c r="AY301" s="561"/>
      <c r="AZ301" s="561"/>
      <c r="BA301" s="561"/>
      <c r="BB301" s="561"/>
      <c r="BC301" s="561"/>
      <c r="BD301" s="561"/>
      <c r="BE301" s="4"/>
      <c r="BF301" s="4"/>
      <c r="BG301" s="4"/>
      <c r="BH301" s="4"/>
      <c r="BI301" s="4"/>
      <c r="BJ301" s="4"/>
      <c r="BK301" s="4"/>
      <c r="BL301" s="4"/>
      <c r="BM301" s="4"/>
      <c r="BN301" s="4"/>
      <c r="BO301" s="4"/>
      <c r="BP301" s="4"/>
      <c r="BQ301" s="4"/>
      <c r="BR301" s="4"/>
      <c r="BS301" s="4"/>
      <c r="BT301" s="4"/>
      <c r="BU301" s="4"/>
    </row>
    <row r="302" spans="1:73" outlineLevel="1" x14ac:dyDescent="0.25">
      <c r="A302" s="854"/>
      <c r="B302" s="501" t="s">
        <v>852</v>
      </c>
      <c r="C302" s="560"/>
      <c r="D302" s="560"/>
      <c r="E302" s="561"/>
      <c r="F302" s="566">
        <f>HLOOKUP(V$8,'Банк. система_ввод'!$G$87:$W$88,2,0)</f>
        <v>72.8827</v>
      </c>
      <c r="G302" s="566">
        <f>HLOOKUP(W$8,'Банк. система_ввод'!$G$87:$W$88,2,0)</f>
        <v>57.600200000000001</v>
      </c>
      <c r="H302" s="566">
        <f>HLOOKUP(X$8,'Банк. система_ввод'!$G$87:$W$88,2,0)</f>
        <v>69.470600000000005</v>
      </c>
      <c r="I302" s="566">
        <f>HLOOKUP(Y$8,'Банк. система_ввод'!$G$87:$W$88,2,0)</f>
        <v>61.905700000000003</v>
      </c>
      <c r="J302" s="566">
        <f>HLOOKUP(Z$8,'Банк. система_ввод'!$G$87:$W$88,2,0)</f>
        <v>73.875699999999995</v>
      </c>
      <c r="K302" s="566">
        <f>HLOOKUP(AA$8,'Банк. система_ввод'!$G$87:$W$88,2,0)</f>
        <v>75.131500000000003</v>
      </c>
      <c r="L302" s="566">
        <f>HLOOKUP(AB$8,'Банк. система_ввод'!$G$87:$W$88,2,0)</f>
        <v>70.300200000000004</v>
      </c>
      <c r="M302" s="566">
        <f>HLOOKUP(AC$8,'Банк. система_ввод'!$G$87:$W$88,2,0)</f>
        <v>90.403999999999996</v>
      </c>
      <c r="N302" s="566">
        <f>HLOOKUP(AD$8,'Банк. система_ввод'!$G$87:$W$88,2,0)</f>
        <v>101.6797</v>
      </c>
      <c r="O302" s="566">
        <f>HLOOKUP(AE$8,'Банк. система_ввод'!$G$87:$W$88,2,0)</f>
        <v>78.226699999999994</v>
      </c>
      <c r="P302" s="566"/>
      <c r="Q302" s="497"/>
      <c r="R302" s="43"/>
      <c r="S302" s="9"/>
      <c r="T302" s="66"/>
      <c r="U302" s="1026"/>
      <c r="V302" s="566">
        <f>HLOOKUP(V$8,'Банк. система_ввод'!$G$87:$W$88,2,0)</f>
        <v>72.8827</v>
      </c>
      <c r="W302" s="566">
        <f>HLOOKUP(W$8,'Банк. система_ввод'!$G$87:$W$88,2,0)</f>
        <v>57.600200000000001</v>
      </c>
      <c r="X302" s="566">
        <f>HLOOKUP(X$8,'Банк. система_ввод'!$G$87:$W$88,2,0)</f>
        <v>69.470600000000005</v>
      </c>
      <c r="Y302" s="566">
        <f>HLOOKUP(Y$8,'Банк. система_ввод'!$G$87:$W$88,2,0)</f>
        <v>61.905700000000003</v>
      </c>
      <c r="Z302" s="566">
        <f>HLOOKUP(Z$8,'Банк. система_ввод'!$G$87:$W$88,2,0)</f>
        <v>73.875699999999995</v>
      </c>
      <c r="AA302" s="566">
        <f>HLOOKUP(AA$8,'Банк. система_ввод'!$G$87:$W$88,2,0)</f>
        <v>75.131500000000003</v>
      </c>
      <c r="AB302" s="566">
        <f>HLOOKUP(AB$8,'Банк. система_ввод'!$G$87:$W$88,2,0)</f>
        <v>70.300200000000004</v>
      </c>
      <c r="AC302" s="566">
        <f>HLOOKUP(AC$8,'Банк. система_ввод'!$G$87:$W$88,2,0)</f>
        <v>90.403999999999996</v>
      </c>
      <c r="AD302" s="566">
        <f>HLOOKUP(AD$8,'Банк. система_ввод'!$G$87:$W$88,2,0)</f>
        <v>101.6797</v>
      </c>
      <c r="AE302" s="566">
        <f>HLOOKUP(AE$8,'Банк. система_ввод'!$G$87:$W$88,2,0)</f>
        <v>78.226699999999994</v>
      </c>
      <c r="AF302" s="4"/>
      <c r="AG302" s="4"/>
      <c r="AH302" s="4"/>
      <c r="AI302" s="4"/>
      <c r="AJ302" s="4"/>
      <c r="AK302" s="4"/>
      <c r="AL302" s="4"/>
      <c r="AM302" s="4"/>
      <c r="AN302" s="4"/>
      <c r="AO302" s="4"/>
      <c r="AP302" s="4"/>
      <c r="AQ302" s="4"/>
      <c r="AR302" s="4"/>
      <c r="AS302" s="4"/>
      <c r="AT302" s="1099"/>
      <c r="AU302" s="566">
        <f>HLOOKUP(AU$8,'Банк. система_ввод'!$G$87:$W$88,2,0)</f>
        <v>72.8827</v>
      </c>
      <c r="AV302" s="566">
        <f>HLOOKUP(AV$8,'Банк. система_ввод'!$G$87:$W$88,2,0)</f>
        <v>57.600200000000001</v>
      </c>
      <c r="AW302" s="566">
        <f>HLOOKUP(AW$8,'Банк. система_ввод'!$G$87:$W$88,2,0)</f>
        <v>69.470600000000005</v>
      </c>
      <c r="AX302" s="566">
        <f>HLOOKUP(AX$8,'Банк. система_ввод'!$G$87:$W$88,2,0)</f>
        <v>61.905700000000003</v>
      </c>
      <c r="AY302" s="566">
        <f>HLOOKUP(AY$8,'Банк. система_ввод'!$G$87:$W$88,2,0)</f>
        <v>73.875699999999995</v>
      </c>
      <c r="AZ302" s="566">
        <f>HLOOKUP(AZ$8,'Банк. система_ввод'!$G$87:$W$88,2,0)</f>
        <v>75.131500000000003</v>
      </c>
      <c r="BA302" s="566">
        <f>HLOOKUP(BA$8,'Банк. система_ввод'!$G$87:$W$88,2,0)</f>
        <v>70.300200000000004</v>
      </c>
      <c r="BB302" s="566">
        <f>HLOOKUP(BB$8,'Банк. система_ввод'!$G$87:$W$88,2,0)</f>
        <v>90.403999999999996</v>
      </c>
      <c r="BC302" s="566">
        <f>HLOOKUP(BC$8,'Банк. система_ввод'!$G$87:$W$88,2,0)</f>
        <v>101.6797</v>
      </c>
      <c r="BD302" s="566">
        <f>HLOOKUP(BD$8,'Банк. система_ввод'!$G$87:$W$88,2,0)</f>
        <v>78.226699999999994</v>
      </c>
      <c r="BE302" s="4"/>
      <c r="BF302" s="4"/>
      <c r="BG302" s="4"/>
      <c r="BH302" s="4"/>
      <c r="BI302" s="4"/>
      <c r="BJ302" s="4"/>
      <c r="BK302" s="4"/>
      <c r="BL302" s="4"/>
      <c r="BM302" s="4"/>
      <c r="BN302" s="4"/>
      <c r="BO302" s="4"/>
      <c r="BP302" s="4"/>
      <c r="BQ302" s="4"/>
      <c r="BR302" s="4"/>
      <c r="BS302" s="4"/>
      <c r="BT302" s="4"/>
      <c r="BU302" s="4"/>
    </row>
    <row r="303" spans="1:73" outlineLevel="1" x14ac:dyDescent="0.25">
      <c r="A303" s="854"/>
      <c r="B303" s="501"/>
      <c r="C303" s="560"/>
      <c r="D303" s="560"/>
      <c r="E303" s="561"/>
      <c r="F303" s="561"/>
      <c r="G303" s="561"/>
      <c r="H303" s="561"/>
      <c r="I303" s="561"/>
      <c r="J303" s="561"/>
      <c r="K303" s="561"/>
      <c r="L303" s="561"/>
      <c r="M303" s="561"/>
      <c r="N303" s="561"/>
      <c r="O303" s="561"/>
      <c r="P303" s="561"/>
      <c r="Q303" s="497"/>
      <c r="R303" s="43"/>
      <c r="S303" s="9"/>
      <c r="T303" s="66"/>
      <c r="U303" s="1026"/>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1099"/>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row>
    <row r="304" spans="1:73" outlineLevel="1" x14ac:dyDescent="0.25">
      <c r="A304" s="854"/>
      <c r="B304" s="501"/>
      <c r="C304" s="560"/>
      <c r="D304" s="560"/>
      <c r="E304" s="561"/>
      <c r="F304" s="561"/>
      <c r="G304" s="561"/>
      <c r="H304" s="561"/>
      <c r="I304" s="561"/>
      <c r="J304" s="561"/>
      <c r="K304" s="561"/>
      <c r="L304" s="561"/>
      <c r="M304" s="561"/>
      <c r="N304" s="561"/>
      <c r="O304" s="561"/>
      <c r="P304" s="561"/>
      <c r="Q304" s="497"/>
      <c r="R304" s="43"/>
      <c r="S304" s="9"/>
      <c r="T304" s="66"/>
      <c r="U304" s="1026"/>
      <c r="V304" s="4"/>
      <c r="W304" s="4"/>
      <c r="X304" s="4"/>
      <c r="Y304" s="4"/>
      <c r="Z304" s="576"/>
      <c r="AA304" s="576"/>
      <c r="AB304" s="576"/>
      <c r="AC304" s="576"/>
      <c r="AD304" s="576"/>
      <c r="AE304" s="576"/>
      <c r="AF304" s="4"/>
      <c r="AG304" s="4"/>
      <c r="AH304" s="4"/>
      <c r="AI304" s="4"/>
      <c r="AJ304" s="4"/>
      <c r="AK304" s="4"/>
      <c r="AL304" s="4"/>
      <c r="AM304" s="4"/>
      <c r="AN304" s="4"/>
      <c r="AO304" s="4"/>
      <c r="AP304" s="4"/>
      <c r="AQ304" s="4"/>
      <c r="AR304" s="4"/>
      <c r="AS304" s="4"/>
      <c r="AT304" s="1099"/>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row>
    <row r="305" spans="1:73" x14ac:dyDescent="0.25">
      <c r="A305" s="854"/>
      <c r="B305" s="4"/>
      <c r="C305" s="43"/>
      <c r="D305" s="43"/>
      <c r="E305" s="497"/>
      <c r="F305" s="497"/>
      <c r="G305" s="497"/>
      <c r="H305" s="497"/>
      <c r="I305" s="498"/>
      <c r="J305" s="498"/>
      <c r="K305" s="498"/>
      <c r="L305" s="498"/>
      <c r="M305" s="498"/>
      <c r="N305" s="498"/>
      <c r="O305" s="498"/>
      <c r="P305" s="498"/>
      <c r="Q305" s="497"/>
      <c r="R305" s="43"/>
      <c r="S305" s="9"/>
      <c r="T305" s="66"/>
      <c r="U305" s="1026"/>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1099"/>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row>
    <row r="306" spans="1:73" x14ac:dyDescent="0.25">
      <c r="A306" s="854"/>
      <c r="B306" s="4"/>
      <c r="C306" s="43"/>
      <c r="D306" s="43"/>
      <c r="E306" s="497"/>
      <c r="F306" s="497"/>
      <c r="G306" s="497"/>
      <c r="H306" s="497"/>
      <c r="I306" s="498"/>
      <c r="J306" s="498"/>
      <c r="K306" s="498"/>
      <c r="L306" s="498"/>
      <c r="M306" s="498"/>
      <c r="N306" s="498"/>
      <c r="O306" s="498"/>
      <c r="P306" s="498"/>
      <c r="Q306" s="497"/>
      <c r="R306" s="43"/>
      <c r="S306" s="9"/>
      <c r="T306" s="66"/>
      <c r="U306" s="1026"/>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1099"/>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row>
    <row r="307" spans="1:73" x14ac:dyDescent="0.25">
      <c r="A307" s="854"/>
      <c r="B307" s="4"/>
      <c r="C307" s="43"/>
      <c r="D307" s="43"/>
      <c r="E307" s="497"/>
      <c r="F307" s="497"/>
      <c r="G307" s="497"/>
      <c r="H307" s="497"/>
      <c r="I307" s="498"/>
      <c r="J307" s="498"/>
      <c r="K307" s="498"/>
      <c r="L307" s="498"/>
      <c r="M307" s="498"/>
      <c r="N307" s="498"/>
      <c r="O307" s="498"/>
      <c r="P307" s="498"/>
      <c r="Q307" s="497"/>
      <c r="R307" s="43"/>
      <c r="S307" s="9"/>
      <c r="T307" s="66"/>
      <c r="U307" s="1026"/>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1099"/>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row>
    <row r="308" spans="1:73" x14ac:dyDescent="0.25">
      <c r="A308" s="854"/>
      <c r="B308" s="4"/>
      <c r="C308" s="43"/>
      <c r="D308" s="43"/>
      <c r="E308" s="497"/>
      <c r="F308" s="497"/>
      <c r="G308" s="497"/>
      <c r="H308" s="497"/>
      <c r="I308" s="498"/>
      <c r="J308" s="498"/>
      <c r="K308" s="498"/>
      <c r="L308" s="498"/>
      <c r="M308" s="498"/>
      <c r="N308" s="498"/>
      <c r="O308" s="498"/>
      <c r="P308" s="498"/>
      <c r="Q308" s="497"/>
      <c r="R308" s="43"/>
      <c r="S308" s="9"/>
      <c r="T308" s="66"/>
      <c r="U308" s="1026"/>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1099"/>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row>
    <row r="309" spans="1:73" x14ac:dyDescent="0.25">
      <c r="A309" s="854"/>
      <c r="B309" s="4"/>
      <c r="C309" s="43"/>
      <c r="D309" s="43"/>
      <c r="E309" s="497"/>
      <c r="F309" s="497"/>
      <c r="G309" s="497"/>
      <c r="H309" s="497"/>
      <c r="I309" s="498"/>
      <c r="J309" s="498"/>
      <c r="K309" s="498"/>
      <c r="L309" s="498"/>
      <c r="M309" s="498"/>
      <c r="N309" s="498"/>
      <c r="O309" s="498"/>
      <c r="P309" s="498"/>
      <c r="Q309" s="497"/>
      <c r="R309" s="43"/>
      <c r="S309" s="9"/>
      <c r="T309" s="66"/>
      <c r="U309" s="1026"/>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1099"/>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row>
    <row r="310" spans="1:73" s="68" customFormat="1" ht="12.75" x14ac:dyDescent="0.2">
      <c r="A310" s="863"/>
      <c r="B310" s="69"/>
      <c r="C310" s="69"/>
      <c r="D310" s="69"/>
      <c r="E310" s="69"/>
      <c r="F310" s="69"/>
      <c r="G310" s="69"/>
      <c r="H310" s="69"/>
      <c r="I310" s="231"/>
      <c r="J310" s="231"/>
      <c r="K310" s="69"/>
      <c r="L310" s="69"/>
      <c r="M310" s="69"/>
      <c r="N310" s="69"/>
      <c r="O310" s="69"/>
      <c r="P310" s="69"/>
      <c r="Q310" s="69"/>
      <c r="R310" s="69"/>
      <c r="S310" s="231"/>
      <c r="T310" s="70"/>
      <c r="U310" s="1027"/>
      <c r="V310" s="231"/>
      <c r="W310" s="231"/>
      <c r="X310" s="231"/>
      <c r="Y310" s="231"/>
      <c r="Z310" s="231"/>
      <c r="AA310" s="231"/>
      <c r="AB310" s="231"/>
      <c r="AC310" s="231"/>
      <c r="AD310" s="231"/>
      <c r="AE310" s="231"/>
      <c r="AF310" s="231"/>
      <c r="AG310" s="69"/>
      <c r="AH310" s="69"/>
      <c r="AI310" s="231"/>
      <c r="AJ310" s="231"/>
      <c r="AK310" s="231"/>
      <c r="AL310" s="231"/>
      <c r="AM310" s="231"/>
      <c r="AN310" s="231"/>
      <c r="AO310" s="231"/>
      <c r="AP310" s="231"/>
      <c r="AQ310" s="231"/>
      <c r="AR310" s="231"/>
      <c r="AS310" s="69"/>
      <c r="AT310" s="1103"/>
      <c r="AU310" s="231"/>
      <c r="AV310" s="231"/>
      <c r="AW310" s="231"/>
      <c r="AX310" s="231"/>
      <c r="AY310" s="231"/>
      <c r="AZ310" s="231"/>
      <c r="BA310" s="231"/>
      <c r="BB310" s="231"/>
      <c r="BC310" s="231"/>
      <c r="BD310" s="231"/>
      <c r="BE310" s="231"/>
      <c r="BF310" s="69"/>
      <c r="BG310" s="69"/>
      <c r="BH310" s="231"/>
      <c r="BI310" s="231"/>
      <c r="BJ310" s="231"/>
      <c r="BK310" s="231"/>
      <c r="BL310" s="231"/>
      <c r="BM310" s="231"/>
      <c r="BN310" s="231"/>
      <c r="BO310" s="231"/>
      <c r="BP310" s="231"/>
      <c r="BQ310" s="242"/>
      <c r="BR310" s="242"/>
      <c r="BS310" s="242"/>
    </row>
    <row r="311" spans="1:73" s="68" customFormat="1" ht="12.75" x14ac:dyDescent="0.2">
      <c r="A311" s="863"/>
      <c r="B311" s="69"/>
      <c r="C311" s="69"/>
      <c r="D311" s="69"/>
      <c r="E311" s="69"/>
      <c r="F311" s="69"/>
      <c r="G311" s="69"/>
      <c r="H311" s="69"/>
      <c r="I311" s="231"/>
      <c r="J311" s="231"/>
      <c r="K311" s="69"/>
      <c r="L311" s="69"/>
      <c r="M311" s="69"/>
      <c r="N311" s="69"/>
      <c r="O311" s="69"/>
      <c r="P311" s="69"/>
      <c r="Q311" s="69"/>
      <c r="R311" s="69"/>
      <c r="S311" s="231"/>
      <c r="T311" s="70"/>
      <c r="U311" s="1027"/>
      <c r="V311" s="231"/>
      <c r="W311" s="231"/>
      <c r="X311" s="231"/>
      <c r="Y311" s="231"/>
      <c r="Z311" s="231"/>
      <c r="AA311" s="231"/>
      <c r="AB311" s="231"/>
      <c r="AC311" s="231"/>
      <c r="AD311" s="231"/>
      <c r="AE311" s="231"/>
      <c r="AF311" s="231"/>
      <c r="AG311" s="69"/>
      <c r="AH311" s="69"/>
      <c r="AI311" s="231"/>
      <c r="AJ311" s="231"/>
      <c r="AK311" s="231"/>
      <c r="AL311" s="231"/>
      <c r="AM311" s="231"/>
      <c r="AN311" s="231"/>
      <c r="AO311" s="231"/>
      <c r="AP311" s="231"/>
      <c r="AQ311" s="231"/>
      <c r="AR311" s="231"/>
      <c r="AS311" s="69"/>
      <c r="AT311" s="1103"/>
      <c r="AU311" s="231"/>
      <c r="AV311" s="231"/>
      <c r="AW311" s="231"/>
      <c r="AX311" s="231"/>
      <c r="AY311" s="231"/>
      <c r="AZ311" s="231"/>
      <c r="BA311" s="231"/>
      <c r="BB311" s="231"/>
      <c r="BC311" s="231"/>
      <c r="BD311" s="231"/>
      <c r="BE311" s="231"/>
      <c r="BF311" s="69"/>
      <c r="BG311" s="69"/>
      <c r="BH311" s="231"/>
      <c r="BI311" s="231"/>
      <c r="BJ311" s="231"/>
      <c r="BK311" s="231"/>
      <c r="BL311" s="231"/>
      <c r="BM311" s="231"/>
      <c r="BN311" s="231"/>
      <c r="BO311" s="231"/>
      <c r="BP311" s="231"/>
      <c r="BQ311" s="242"/>
      <c r="BR311" s="242"/>
      <c r="BS311" s="242"/>
    </row>
    <row r="312" spans="1:73" s="68" customFormat="1" ht="12.75" x14ac:dyDescent="0.2">
      <c r="A312" s="863"/>
      <c r="B312" s="69"/>
      <c r="C312" s="69"/>
      <c r="D312" s="69"/>
      <c r="E312" s="69"/>
      <c r="F312" s="69"/>
      <c r="G312" s="69"/>
      <c r="H312" s="69"/>
      <c r="I312" s="231"/>
      <c r="J312" s="231"/>
      <c r="K312" s="69"/>
      <c r="L312" s="69"/>
      <c r="M312" s="69"/>
      <c r="N312" s="69"/>
      <c r="O312" s="69"/>
      <c r="P312" s="69"/>
      <c r="Q312" s="69"/>
      <c r="R312" s="69"/>
      <c r="S312" s="231"/>
      <c r="T312" s="70"/>
      <c r="U312" s="1027"/>
      <c r="V312" s="231"/>
      <c r="W312" s="231"/>
      <c r="X312" s="231"/>
      <c r="Y312" s="231"/>
      <c r="Z312" s="231"/>
      <c r="AA312" s="231"/>
      <c r="AB312" s="231"/>
      <c r="AC312" s="231"/>
      <c r="AD312" s="231"/>
      <c r="AE312" s="231"/>
      <c r="AF312" s="231"/>
      <c r="AG312" s="69"/>
      <c r="AH312" s="69"/>
      <c r="AI312" s="231"/>
      <c r="AJ312" s="231"/>
      <c r="AK312" s="231"/>
      <c r="AL312" s="231"/>
      <c r="AM312" s="231"/>
      <c r="AN312" s="231"/>
      <c r="AO312" s="231"/>
      <c r="AP312" s="231"/>
      <c r="AQ312" s="231"/>
      <c r="AR312" s="231"/>
      <c r="AS312" s="69"/>
      <c r="AT312" s="1103"/>
      <c r="AU312" s="231"/>
      <c r="AV312" s="231"/>
      <c r="AW312" s="231"/>
      <c r="AX312" s="231"/>
      <c r="AY312" s="231"/>
      <c r="AZ312" s="231"/>
      <c r="BA312" s="231"/>
      <c r="BB312" s="231"/>
      <c r="BC312" s="231"/>
      <c r="BD312" s="231"/>
      <c r="BE312" s="231"/>
      <c r="BF312" s="69"/>
      <c r="BG312" s="69"/>
      <c r="BH312" s="231"/>
      <c r="BI312" s="231"/>
      <c r="BJ312" s="231"/>
      <c r="BK312" s="231"/>
      <c r="BL312" s="231"/>
      <c r="BM312" s="231"/>
      <c r="BN312" s="231"/>
      <c r="BO312" s="231"/>
      <c r="BP312" s="231"/>
      <c r="BQ312" s="242"/>
      <c r="BR312" s="242"/>
      <c r="BS312" s="242"/>
    </row>
    <row r="313" spans="1:73" s="68" customFormat="1" ht="12.75" x14ac:dyDescent="0.2">
      <c r="A313" s="863"/>
      <c r="B313" s="69"/>
      <c r="C313" s="69"/>
      <c r="D313" s="69"/>
      <c r="E313" s="69"/>
      <c r="F313" s="69"/>
      <c r="G313" s="69"/>
      <c r="H313" s="69"/>
      <c r="I313" s="231"/>
      <c r="J313" s="231"/>
      <c r="K313" s="69"/>
      <c r="L313" s="69"/>
      <c r="M313" s="69"/>
      <c r="N313" s="69"/>
      <c r="O313" s="69"/>
      <c r="P313" s="69"/>
      <c r="Q313" s="69"/>
      <c r="R313" s="69"/>
      <c r="S313" s="231"/>
      <c r="T313" s="70"/>
      <c r="U313" s="1027"/>
      <c r="V313" s="231"/>
      <c r="W313" s="231"/>
      <c r="X313" s="231"/>
      <c r="Y313" s="231"/>
      <c r="Z313" s="231"/>
      <c r="AA313" s="231"/>
      <c r="AB313" s="231"/>
      <c r="AC313" s="231"/>
      <c r="AD313" s="231"/>
      <c r="AE313" s="231"/>
      <c r="AF313" s="231"/>
      <c r="AG313" s="69"/>
      <c r="AH313" s="69"/>
      <c r="AI313" s="231"/>
      <c r="AJ313" s="231"/>
      <c r="AK313" s="231"/>
      <c r="AL313" s="231"/>
      <c r="AM313" s="231"/>
      <c r="AN313" s="231"/>
      <c r="AO313" s="231"/>
      <c r="AP313" s="231"/>
      <c r="AQ313" s="231"/>
      <c r="AR313" s="231"/>
      <c r="AS313" s="69"/>
      <c r="AT313" s="1103"/>
      <c r="AU313" s="231"/>
      <c r="AV313" s="231"/>
      <c r="AW313" s="231"/>
      <c r="AX313" s="231"/>
      <c r="AY313" s="231"/>
      <c r="AZ313" s="231"/>
      <c r="BA313" s="231"/>
      <c r="BB313" s="231"/>
      <c r="BC313" s="231"/>
      <c r="BD313" s="231"/>
      <c r="BE313" s="231"/>
      <c r="BF313" s="69"/>
      <c r="BG313" s="69"/>
      <c r="BH313" s="231"/>
      <c r="BI313" s="231"/>
      <c r="BJ313" s="231"/>
      <c r="BK313" s="231"/>
      <c r="BL313" s="231"/>
      <c r="BM313" s="231"/>
      <c r="BN313" s="231"/>
      <c r="BO313" s="231"/>
      <c r="BP313" s="231"/>
      <c r="BQ313" s="242"/>
      <c r="BR313" s="242"/>
      <c r="BS313" s="242"/>
    </row>
    <row r="314" spans="1:73" s="68" customFormat="1" ht="12.75" x14ac:dyDescent="0.2">
      <c r="A314" s="863"/>
      <c r="B314" s="69"/>
      <c r="C314" s="69"/>
      <c r="D314" s="69"/>
      <c r="E314" s="69"/>
      <c r="F314" s="69"/>
      <c r="G314" s="69"/>
      <c r="H314" s="69"/>
      <c r="I314" s="231"/>
      <c r="J314" s="231"/>
      <c r="K314" s="69"/>
      <c r="L314" s="69"/>
      <c r="M314" s="69"/>
      <c r="N314" s="69"/>
      <c r="O314" s="69"/>
      <c r="P314" s="69"/>
      <c r="Q314" s="69"/>
      <c r="R314" s="69"/>
      <c r="S314" s="231"/>
      <c r="T314" s="70"/>
      <c r="U314" s="1027"/>
      <c r="V314" s="231"/>
      <c r="W314" s="231"/>
      <c r="X314" s="231"/>
      <c r="Y314" s="231"/>
      <c r="Z314" s="231"/>
      <c r="AA314" s="231"/>
      <c r="AB314" s="231"/>
      <c r="AC314" s="231"/>
      <c r="AD314" s="231"/>
      <c r="AE314" s="231"/>
      <c r="AF314" s="231"/>
      <c r="AG314" s="69"/>
      <c r="AH314" s="69"/>
      <c r="AI314" s="231"/>
      <c r="AJ314" s="231"/>
      <c r="AK314" s="231"/>
      <c r="AL314" s="231"/>
      <c r="AM314" s="231"/>
      <c r="AN314" s="231"/>
      <c r="AO314" s="231"/>
      <c r="AP314" s="231"/>
      <c r="AQ314" s="231"/>
      <c r="AR314" s="231"/>
      <c r="AS314" s="69"/>
      <c r="AT314" s="1103"/>
      <c r="AU314" s="231"/>
      <c r="AV314" s="231"/>
      <c r="AW314" s="231"/>
      <c r="AX314" s="231"/>
      <c r="AY314" s="231"/>
      <c r="AZ314" s="231"/>
      <c r="BA314" s="231"/>
      <c r="BB314" s="231"/>
      <c r="BC314" s="231"/>
      <c r="BD314" s="231"/>
      <c r="BE314" s="231"/>
      <c r="BF314" s="69"/>
      <c r="BG314" s="69"/>
      <c r="BH314" s="231"/>
      <c r="BI314" s="231"/>
      <c r="BJ314" s="231"/>
      <c r="BK314" s="231"/>
      <c r="BL314" s="231"/>
      <c r="BM314" s="231"/>
      <c r="BN314" s="231"/>
      <c r="BO314" s="231"/>
      <c r="BP314" s="231"/>
      <c r="BQ314" s="242"/>
      <c r="BR314" s="242"/>
      <c r="BS314" s="242"/>
    </row>
    <row r="315" spans="1:73" s="68" customFormat="1" ht="12.75" x14ac:dyDescent="0.2">
      <c r="A315" s="863"/>
      <c r="B315" s="69"/>
      <c r="C315" s="69"/>
      <c r="D315" s="69"/>
      <c r="E315" s="69"/>
      <c r="F315" s="69"/>
      <c r="G315" s="69"/>
      <c r="H315" s="69"/>
      <c r="I315" s="231"/>
      <c r="J315" s="231"/>
      <c r="K315" s="69"/>
      <c r="L315" s="69"/>
      <c r="M315" s="69"/>
      <c r="N315" s="69"/>
      <c r="O315" s="69"/>
      <c r="P315" s="69"/>
      <c r="Q315" s="69"/>
      <c r="R315" s="69"/>
      <c r="S315" s="231"/>
      <c r="T315" s="70"/>
      <c r="U315" s="1027"/>
      <c r="V315" s="231"/>
      <c r="W315" s="231"/>
      <c r="X315" s="231"/>
      <c r="Y315" s="231"/>
      <c r="Z315" s="231"/>
      <c r="AA315" s="231"/>
      <c r="AB315" s="231"/>
      <c r="AC315" s="231"/>
      <c r="AD315" s="231"/>
      <c r="AE315" s="231"/>
      <c r="AF315" s="231"/>
      <c r="AG315" s="69"/>
      <c r="AH315" s="69"/>
      <c r="AI315" s="231"/>
      <c r="AJ315" s="231"/>
      <c r="AK315" s="231"/>
      <c r="AL315" s="231"/>
      <c r="AM315" s="231"/>
      <c r="AN315" s="231"/>
      <c r="AO315" s="231"/>
      <c r="AP315" s="231"/>
      <c r="AQ315" s="231"/>
      <c r="AR315" s="231"/>
      <c r="AS315" s="69"/>
      <c r="AT315" s="1103"/>
      <c r="AU315" s="231"/>
      <c r="AV315" s="231"/>
      <c r="AW315" s="231"/>
      <c r="AX315" s="231"/>
      <c r="AY315" s="231"/>
      <c r="AZ315" s="231"/>
      <c r="BA315" s="231"/>
      <c r="BB315" s="231"/>
      <c r="BC315" s="231"/>
      <c r="BD315" s="231"/>
      <c r="BE315" s="231"/>
      <c r="BF315" s="69"/>
      <c r="BG315" s="69"/>
      <c r="BH315" s="231"/>
      <c r="BI315" s="231"/>
      <c r="BJ315" s="231"/>
      <c r="BK315" s="231"/>
      <c r="BL315" s="231"/>
      <c r="BM315" s="231"/>
      <c r="BN315" s="231"/>
      <c r="BO315" s="231"/>
      <c r="BP315" s="231"/>
      <c r="BQ315" s="242"/>
      <c r="BR315" s="242"/>
      <c r="BS315" s="242"/>
    </row>
    <row r="316" spans="1:73" s="68" customFormat="1" ht="12.75" x14ac:dyDescent="0.2">
      <c r="A316" s="863"/>
      <c r="B316" s="69"/>
      <c r="C316" s="69"/>
      <c r="D316" s="69"/>
      <c r="E316" s="69"/>
      <c r="F316" s="69"/>
      <c r="G316" s="69"/>
      <c r="H316" s="69"/>
      <c r="I316" s="231"/>
      <c r="J316" s="231"/>
      <c r="K316" s="69"/>
      <c r="L316" s="69"/>
      <c r="M316" s="69"/>
      <c r="N316" s="69"/>
      <c r="O316" s="69"/>
      <c r="P316" s="69"/>
      <c r="Q316" s="69"/>
      <c r="R316" s="69"/>
      <c r="S316" s="231"/>
      <c r="T316" s="70"/>
      <c r="U316" s="1027"/>
      <c r="V316" s="231"/>
      <c r="W316" s="231"/>
      <c r="X316" s="231"/>
      <c r="Y316" s="231"/>
      <c r="Z316" s="231"/>
      <c r="AA316" s="231"/>
      <c r="AB316" s="231"/>
      <c r="AC316" s="231"/>
      <c r="AD316" s="231"/>
      <c r="AE316" s="231"/>
      <c r="AF316" s="231"/>
      <c r="AG316" s="69"/>
      <c r="AH316" s="69"/>
      <c r="AI316" s="231"/>
      <c r="AJ316" s="231"/>
      <c r="AK316" s="231"/>
      <c r="AL316" s="231"/>
      <c r="AM316" s="231"/>
      <c r="AN316" s="231"/>
      <c r="AO316" s="231"/>
      <c r="AP316" s="231"/>
      <c r="AQ316" s="231"/>
      <c r="AR316" s="231"/>
      <c r="AS316" s="69"/>
      <c r="AT316" s="1103"/>
      <c r="AU316" s="231"/>
      <c r="AV316" s="231"/>
      <c r="AW316" s="231"/>
      <c r="AX316" s="231"/>
      <c r="AY316" s="231"/>
      <c r="AZ316" s="231"/>
      <c r="BA316" s="231"/>
      <c r="BB316" s="231"/>
      <c r="BC316" s="231"/>
      <c r="BD316" s="231"/>
      <c r="BE316" s="231"/>
      <c r="BF316" s="69"/>
      <c r="BG316" s="69"/>
      <c r="BH316" s="231"/>
      <c r="BI316" s="231"/>
      <c r="BJ316" s="231"/>
      <c r="BK316" s="231"/>
      <c r="BL316" s="231"/>
      <c r="BM316" s="231"/>
      <c r="BN316" s="231"/>
      <c r="BO316" s="231"/>
      <c r="BP316" s="231"/>
      <c r="BQ316" s="242"/>
      <c r="BR316" s="242"/>
      <c r="BS316" s="242"/>
    </row>
    <row r="317" spans="1:73" x14ac:dyDescent="0.25">
      <c r="A317" s="854"/>
      <c r="B317" s="4"/>
      <c r="C317" s="4"/>
      <c r="D317" s="4"/>
      <c r="E317" s="4"/>
      <c r="F317" s="4"/>
      <c r="G317" s="4"/>
      <c r="H317" s="4"/>
      <c r="I317" s="38"/>
      <c r="J317" s="38"/>
      <c r="K317" s="4"/>
      <c r="L317" s="4"/>
      <c r="M317" s="4"/>
      <c r="N317" s="4"/>
      <c r="O317" s="4"/>
      <c r="P317" s="4"/>
      <c r="Q317" s="4"/>
      <c r="R317" s="4"/>
      <c r="S317" s="38"/>
      <c r="T317" s="66"/>
      <c r="U317" s="1026"/>
      <c r="V317" s="38"/>
      <c r="W317" s="38"/>
      <c r="X317" s="38"/>
      <c r="Y317" s="38"/>
      <c r="Z317" s="38"/>
      <c r="AA317" s="38"/>
      <c r="AB317" s="38"/>
      <c r="AC317" s="38"/>
      <c r="AD317" s="38"/>
      <c r="AE317" s="38"/>
      <c r="AF317" s="38"/>
      <c r="AG317" s="4"/>
      <c r="AH317" s="4"/>
      <c r="AI317" s="38"/>
      <c r="AJ317" s="38"/>
      <c r="AK317" s="38"/>
      <c r="AL317" s="38"/>
      <c r="AM317" s="38"/>
      <c r="AN317" s="38"/>
      <c r="AO317" s="38"/>
      <c r="AP317" s="38"/>
      <c r="AQ317" s="38"/>
      <c r="AR317" s="38"/>
      <c r="AS317" s="4"/>
      <c r="AT317" s="1099"/>
      <c r="AU317" s="38"/>
      <c r="AV317" s="38"/>
      <c r="AW317" s="38"/>
      <c r="AX317" s="38"/>
      <c r="AY317" s="38"/>
      <c r="AZ317" s="38"/>
      <c r="BA317" s="38"/>
      <c r="BB317" s="38"/>
      <c r="BC317" s="38"/>
      <c r="BD317" s="38"/>
      <c r="BE317" s="38"/>
      <c r="BF317" s="4"/>
      <c r="BG317" s="4"/>
      <c r="BH317" s="38"/>
      <c r="BI317" s="38"/>
      <c r="BJ317" s="38"/>
      <c r="BK317" s="38"/>
      <c r="BL317" s="38"/>
      <c r="BM317" s="38"/>
      <c r="BN317" s="38"/>
      <c r="BO317" s="38"/>
      <c r="BP317" s="38"/>
      <c r="BQ317" s="4"/>
      <c r="BR317" s="4"/>
      <c r="BS317" s="4"/>
    </row>
    <row r="318" spans="1:73" x14ac:dyDescent="0.25">
      <c r="A318" s="854"/>
      <c r="B318" s="4"/>
      <c r="C318" s="4"/>
      <c r="D318" s="4"/>
      <c r="E318" s="4"/>
      <c r="F318" s="4"/>
      <c r="G318" s="4"/>
      <c r="H318" s="4"/>
      <c r="I318" s="38"/>
      <c r="J318" s="38"/>
      <c r="K318" s="4"/>
      <c r="L318" s="4"/>
      <c r="M318" s="4"/>
      <c r="N318" s="4"/>
      <c r="O318" s="4"/>
      <c r="P318" s="4"/>
      <c r="Q318" s="4"/>
      <c r="R318" s="4"/>
      <c r="S318" s="38"/>
      <c r="T318" s="66"/>
      <c r="U318" s="1026"/>
      <c r="V318" s="38"/>
      <c r="W318" s="38"/>
      <c r="X318" s="38"/>
      <c r="Y318" s="38"/>
      <c r="Z318" s="38"/>
      <c r="AA318" s="38"/>
      <c r="AB318" s="38"/>
      <c r="AC318" s="38"/>
      <c r="AD318" s="38"/>
      <c r="AE318" s="38"/>
      <c r="AF318" s="38"/>
      <c r="AG318" s="4"/>
      <c r="AH318" s="4"/>
      <c r="AI318" s="38"/>
      <c r="AJ318" s="38"/>
      <c r="AK318" s="38"/>
      <c r="AL318" s="38"/>
      <c r="AM318" s="38"/>
      <c r="AN318" s="38"/>
      <c r="AO318" s="38"/>
      <c r="AP318" s="38"/>
      <c r="AQ318" s="38"/>
      <c r="AR318" s="38"/>
      <c r="AS318" s="4"/>
      <c r="AT318" s="1099"/>
      <c r="AU318" s="38"/>
      <c r="AV318" s="38"/>
      <c r="AW318" s="38"/>
      <c r="AX318" s="38"/>
      <c r="AY318" s="38"/>
      <c r="AZ318" s="38"/>
      <c r="BA318" s="38"/>
      <c r="BB318" s="38"/>
      <c r="BC318" s="38"/>
      <c r="BD318" s="38"/>
      <c r="BE318" s="38"/>
      <c r="BF318" s="4"/>
      <c r="BG318" s="4"/>
      <c r="BH318" s="38"/>
      <c r="BI318" s="38"/>
      <c r="BJ318" s="38"/>
      <c r="BK318" s="38"/>
      <c r="BL318" s="38"/>
      <c r="BM318" s="38"/>
      <c r="BN318" s="38"/>
      <c r="BO318" s="38"/>
      <c r="BP318" s="38"/>
      <c r="BQ318" s="4"/>
      <c r="BR318" s="4"/>
      <c r="BS318" s="4"/>
    </row>
    <row r="319" spans="1:73" x14ac:dyDescent="0.25">
      <c r="A319" s="854"/>
      <c r="B319" s="4"/>
      <c r="C319" s="4"/>
      <c r="D319" s="4"/>
      <c r="E319" s="4"/>
      <c r="F319" s="4"/>
      <c r="G319" s="4"/>
      <c r="H319" s="4"/>
      <c r="I319" s="38"/>
      <c r="J319" s="38"/>
      <c r="K319" s="4"/>
      <c r="L319" s="4"/>
      <c r="M319" s="4"/>
      <c r="N319" s="4"/>
      <c r="O319" s="4"/>
      <c r="P319" s="4"/>
      <c r="Q319" s="4"/>
      <c r="R319" s="4"/>
      <c r="S319" s="38"/>
      <c r="T319" s="66"/>
      <c r="U319" s="1026"/>
      <c r="V319" s="38"/>
      <c r="W319" s="38"/>
      <c r="X319" s="38"/>
      <c r="Y319" s="38"/>
      <c r="Z319" s="38"/>
      <c r="AA319" s="38"/>
      <c r="AB319" s="38"/>
      <c r="AC319" s="38"/>
      <c r="AD319" s="38"/>
      <c r="AE319" s="38"/>
      <c r="AF319" s="38"/>
      <c r="AG319" s="4"/>
      <c r="AH319" s="4"/>
      <c r="AI319" s="38"/>
      <c r="AJ319" s="38"/>
      <c r="AK319" s="38"/>
      <c r="AL319" s="38"/>
      <c r="AM319" s="38"/>
      <c r="AN319" s="38"/>
      <c r="AO319" s="38"/>
      <c r="AP319" s="38"/>
      <c r="AQ319" s="38"/>
      <c r="AR319" s="38"/>
      <c r="AS319" s="4"/>
      <c r="AT319" s="1099"/>
      <c r="AU319" s="38"/>
      <c r="AV319" s="38"/>
      <c r="AW319" s="38"/>
      <c r="AX319" s="38"/>
      <c r="AY319" s="38"/>
      <c r="AZ319" s="38"/>
      <c r="BA319" s="38"/>
      <c r="BB319" s="38"/>
      <c r="BC319" s="38"/>
      <c r="BD319" s="38"/>
      <c r="BE319" s="38"/>
      <c r="BF319" s="4"/>
      <c r="BG319" s="4"/>
      <c r="BH319" s="38"/>
      <c r="BI319" s="38"/>
      <c r="BJ319" s="38"/>
      <c r="BK319" s="38"/>
      <c r="BL319" s="38"/>
      <c r="BM319" s="38"/>
      <c r="BN319" s="38"/>
      <c r="BO319" s="38"/>
      <c r="BP319" s="38"/>
      <c r="BQ319" s="4"/>
      <c r="BR319" s="4"/>
      <c r="BS319" s="4"/>
    </row>
    <row r="320" spans="1:73" x14ac:dyDescent="0.25">
      <c r="A320" s="854"/>
      <c r="B320" s="4"/>
      <c r="C320" s="4"/>
      <c r="D320" s="4"/>
      <c r="E320" s="4"/>
      <c r="F320" s="4"/>
      <c r="G320" s="4"/>
      <c r="H320" s="4"/>
      <c r="I320" s="38"/>
      <c r="J320" s="38"/>
      <c r="K320" s="4"/>
      <c r="L320" s="4"/>
      <c r="M320" s="4"/>
      <c r="N320" s="4"/>
      <c r="O320" s="4"/>
      <c r="P320" s="4"/>
      <c r="Q320" s="4"/>
      <c r="R320" s="4"/>
      <c r="S320" s="38"/>
      <c r="T320" s="66"/>
      <c r="U320" s="1026"/>
      <c r="V320" s="38"/>
      <c r="W320" s="38"/>
      <c r="X320" s="38"/>
      <c r="Y320" s="38"/>
      <c r="Z320" s="38"/>
      <c r="AA320" s="38"/>
      <c r="AB320" s="38"/>
      <c r="AC320" s="38"/>
      <c r="AD320" s="38"/>
      <c r="AE320" s="38"/>
      <c r="AF320" s="38"/>
      <c r="AG320" s="4"/>
      <c r="AH320" s="4"/>
      <c r="AI320" s="38"/>
      <c r="AJ320" s="38"/>
      <c r="AK320" s="38"/>
      <c r="AL320" s="38"/>
      <c r="AM320" s="38"/>
      <c r="AN320" s="38"/>
      <c r="AO320" s="38"/>
      <c r="AP320" s="38"/>
      <c r="AQ320" s="38"/>
      <c r="AR320" s="38"/>
      <c r="AS320" s="4"/>
      <c r="AT320" s="1099"/>
      <c r="AU320" s="38"/>
      <c r="AV320" s="38"/>
      <c r="AW320" s="38"/>
      <c r="AX320" s="38"/>
      <c r="AY320" s="38"/>
      <c r="AZ320" s="38"/>
      <c r="BA320" s="38"/>
      <c r="BB320" s="38"/>
      <c r="BC320" s="38"/>
      <c r="BD320" s="38"/>
      <c r="BE320" s="38"/>
      <c r="BF320" s="4"/>
      <c r="BG320" s="4"/>
      <c r="BH320" s="38"/>
      <c r="BI320" s="38"/>
      <c r="BJ320" s="38"/>
      <c r="BK320" s="38"/>
      <c r="BL320" s="38"/>
      <c r="BM320" s="38"/>
      <c r="BN320" s="38"/>
      <c r="BO320" s="38"/>
      <c r="BP320" s="38"/>
      <c r="BQ320" s="4"/>
      <c r="BR320" s="4"/>
      <c r="BS320" s="4"/>
    </row>
    <row r="321" spans="1:71" x14ac:dyDescent="0.25">
      <c r="A321" s="854"/>
      <c r="B321" s="4"/>
      <c r="C321" s="4"/>
      <c r="D321" s="4"/>
      <c r="E321" s="4"/>
      <c r="F321" s="4"/>
      <c r="G321" s="4"/>
      <c r="H321" s="4"/>
      <c r="I321" s="38"/>
      <c r="J321" s="38"/>
      <c r="K321" s="4"/>
      <c r="L321" s="4"/>
      <c r="M321" s="4"/>
      <c r="N321" s="4"/>
      <c r="O321" s="4"/>
      <c r="P321" s="4"/>
      <c r="Q321" s="4"/>
      <c r="R321" s="4"/>
      <c r="S321" s="38"/>
      <c r="T321" s="66"/>
      <c r="U321" s="1026"/>
      <c r="V321" s="38"/>
      <c r="W321" s="38"/>
      <c r="X321" s="38"/>
      <c r="Y321" s="38"/>
      <c r="Z321" s="38"/>
      <c r="AA321" s="38"/>
      <c r="AB321" s="38"/>
      <c r="AC321" s="38"/>
      <c r="AD321" s="38"/>
      <c r="AE321" s="38"/>
      <c r="AF321" s="38"/>
      <c r="AG321" s="4"/>
      <c r="AH321" s="4"/>
      <c r="AI321" s="38"/>
      <c r="AJ321" s="38"/>
      <c r="AK321" s="38"/>
      <c r="AL321" s="38"/>
      <c r="AM321" s="38"/>
      <c r="AN321" s="38"/>
      <c r="AO321" s="38"/>
      <c r="AP321" s="38"/>
      <c r="AQ321" s="38"/>
      <c r="AR321" s="38"/>
      <c r="AS321" s="4"/>
      <c r="AT321" s="1099"/>
      <c r="AU321" s="38"/>
      <c r="AV321" s="38"/>
      <c r="AW321" s="38"/>
      <c r="AX321" s="38"/>
      <c r="AY321" s="38"/>
      <c r="AZ321" s="38"/>
      <c r="BA321" s="38"/>
      <c r="BB321" s="38"/>
      <c r="BC321" s="38"/>
      <c r="BD321" s="38"/>
      <c r="BE321" s="38"/>
      <c r="BF321" s="4"/>
      <c r="BG321" s="4"/>
      <c r="BH321" s="38"/>
      <c r="BI321" s="38"/>
      <c r="BJ321" s="38"/>
      <c r="BK321" s="38"/>
      <c r="BL321" s="38"/>
      <c r="BM321" s="38"/>
      <c r="BN321" s="38"/>
      <c r="BO321" s="38"/>
      <c r="BP321" s="38"/>
      <c r="BQ321" s="4"/>
      <c r="BR321" s="4"/>
      <c r="BS321" s="4"/>
    </row>
    <row r="322" spans="1:71" x14ac:dyDescent="0.25">
      <c r="A322" s="854"/>
      <c r="B322" s="4"/>
      <c r="C322" s="4"/>
      <c r="D322" s="4"/>
      <c r="E322" s="4"/>
      <c r="F322" s="4"/>
      <c r="G322" s="4"/>
      <c r="H322" s="4"/>
      <c r="I322" s="38"/>
      <c r="J322" s="38"/>
      <c r="K322" s="4"/>
      <c r="L322" s="4"/>
      <c r="M322" s="4"/>
      <c r="N322" s="4"/>
      <c r="O322" s="4"/>
      <c r="P322" s="4"/>
      <c r="Q322" s="4"/>
      <c r="R322" s="4"/>
      <c r="S322" s="38"/>
      <c r="T322" s="66"/>
      <c r="U322" s="1026"/>
      <c r="V322" s="38"/>
      <c r="W322" s="38"/>
      <c r="X322" s="38"/>
      <c r="Y322" s="38"/>
      <c r="Z322" s="38"/>
      <c r="AA322" s="38"/>
      <c r="AB322" s="38"/>
      <c r="AC322" s="38"/>
      <c r="AD322" s="38"/>
      <c r="AE322" s="38"/>
      <c r="AF322" s="38"/>
      <c r="AG322" s="4"/>
      <c r="AH322" s="4"/>
      <c r="AI322" s="38"/>
      <c r="AJ322" s="38"/>
      <c r="AK322" s="38"/>
      <c r="AL322" s="38"/>
      <c r="AM322" s="38"/>
      <c r="AN322" s="38"/>
      <c r="AO322" s="38"/>
      <c r="AP322" s="38"/>
      <c r="AQ322" s="38"/>
      <c r="AR322" s="38"/>
      <c r="AS322" s="4"/>
      <c r="AT322" s="1099"/>
      <c r="AU322" s="38"/>
      <c r="AV322" s="38"/>
      <c r="AW322" s="38"/>
      <c r="AX322" s="38"/>
      <c r="AY322" s="38"/>
      <c r="AZ322" s="38"/>
      <c r="BA322" s="38"/>
      <c r="BB322" s="38"/>
      <c r="BC322" s="38"/>
      <c r="BD322" s="38"/>
      <c r="BE322" s="38"/>
      <c r="BF322" s="4"/>
      <c r="BG322" s="4"/>
      <c r="BH322" s="38"/>
      <c r="BI322" s="38"/>
      <c r="BJ322" s="38"/>
      <c r="BK322" s="38"/>
      <c r="BL322" s="38"/>
      <c r="BM322" s="38"/>
      <c r="BN322" s="38"/>
      <c r="BO322" s="38"/>
      <c r="BP322" s="38"/>
      <c r="BQ322" s="4"/>
      <c r="BR322" s="4"/>
      <c r="BS322" s="4"/>
    </row>
    <row r="323" spans="1:71" x14ac:dyDescent="0.25">
      <c r="A323" s="854"/>
      <c r="B323" s="4"/>
      <c r="C323" s="4"/>
      <c r="D323" s="4"/>
      <c r="E323" s="4"/>
      <c r="F323" s="4"/>
      <c r="G323" s="4"/>
      <c r="H323" s="4"/>
      <c r="I323" s="38"/>
      <c r="J323" s="38"/>
      <c r="K323" s="4"/>
      <c r="L323" s="4"/>
      <c r="M323" s="4"/>
      <c r="N323" s="4"/>
      <c r="O323" s="4"/>
      <c r="P323" s="4"/>
      <c r="Q323" s="4"/>
      <c r="R323" s="4"/>
      <c r="S323" s="38"/>
      <c r="T323" s="66"/>
      <c r="U323" s="1026"/>
      <c r="V323" s="38"/>
      <c r="W323" s="38"/>
      <c r="X323" s="38"/>
      <c r="Y323" s="38"/>
      <c r="Z323" s="38"/>
      <c r="AA323" s="38"/>
      <c r="AB323" s="38"/>
      <c r="AC323" s="38"/>
      <c r="AD323" s="38"/>
      <c r="AE323" s="38"/>
      <c r="AF323" s="38"/>
      <c r="AG323" s="4"/>
      <c r="AH323" s="4"/>
      <c r="AI323" s="38"/>
      <c r="AJ323" s="38"/>
      <c r="AK323" s="38"/>
      <c r="AL323" s="38"/>
      <c r="AM323" s="38"/>
      <c r="AN323" s="38"/>
      <c r="AO323" s="38"/>
      <c r="AP323" s="38"/>
      <c r="AQ323" s="38"/>
      <c r="AR323" s="38"/>
      <c r="AS323" s="4"/>
      <c r="AT323" s="1099"/>
      <c r="AU323" s="38"/>
      <c r="AV323" s="38"/>
      <c r="AW323" s="38"/>
      <c r="AX323" s="38"/>
      <c r="AY323" s="38"/>
      <c r="AZ323" s="38"/>
      <c r="BA323" s="38"/>
      <c r="BB323" s="38"/>
      <c r="BC323" s="38"/>
      <c r="BD323" s="38"/>
      <c r="BE323" s="38"/>
      <c r="BF323" s="4"/>
      <c r="BG323" s="4"/>
      <c r="BH323" s="38"/>
      <c r="BI323" s="38"/>
      <c r="BJ323" s="38"/>
      <c r="BK323" s="38"/>
      <c r="BL323" s="38"/>
      <c r="BM323" s="38"/>
      <c r="BN323" s="38"/>
      <c r="BO323" s="38"/>
      <c r="BP323" s="38"/>
      <c r="BQ323" s="4"/>
      <c r="BR323" s="4"/>
      <c r="BS323" s="4"/>
    </row>
    <row r="324" spans="1:71" x14ac:dyDescent="0.25">
      <c r="A324" s="854"/>
      <c r="B324" s="4"/>
      <c r="C324" s="4"/>
      <c r="D324" s="4"/>
      <c r="E324" s="4"/>
      <c r="F324" s="4"/>
      <c r="G324" s="4"/>
      <c r="H324" s="4"/>
      <c r="I324" s="38"/>
      <c r="J324" s="38"/>
      <c r="K324" s="4"/>
      <c r="L324" s="4"/>
      <c r="M324" s="4"/>
      <c r="N324" s="4"/>
      <c r="O324" s="4"/>
      <c r="P324" s="4"/>
      <c r="Q324" s="4"/>
      <c r="R324" s="4"/>
      <c r="S324" s="38"/>
      <c r="T324" s="66"/>
      <c r="U324" s="1026"/>
      <c r="V324" s="38"/>
      <c r="W324" s="38"/>
      <c r="X324" s="38"/>
      <c r="Y324" s="38"/>
      <c r="Z324" s="38"/>
      <c r="AA324" s="38"/>
      <c r="AB324" s="38"/>
      <c r="AC324" s="38"/>
      <c r="AD324" s="38"/>
      <c r="AE324" s="38"/>
      <c r="AF324" s="38"/>
      <c r="AG324" s="4"/>
      <c r="AH324" s="4"/>
      <c r="AI324" s="38"/>
      <c r="AJ324" s="38"/>
      <c r="AK324" s="38"/>
      <c r="AL324" s="38"/>
      <c r="AM324" s="38"/>
      <c r="AN324" s="38"/>
      <c r="AO324" s="38"/>
      <c r="AP324" s="38"/>
      <c r="AQ324" s="38"/>
      <c r="AR324" s="38"/>
      <c r="AS324" s="4"/>
      <c r="AT324" s="1099"/>
      <c r="AU324" s="38"/>
      <c r="AV324" s="38"/>
      <c r="AW324" s="38"/>
      <c r="AX324" s="38"/>
      <c r="AY324" s="38"/>
      <c r="AZ324" s="38"/>
      <c r="BA324" s="38"/>
      <c r="BB324" s="38"/>
      <c r="BC324" s="38"/>
      <c r="BD324" s="38"/>
      <c r="BE324" s="38"/>
      <c r="BF324" s="4"/>
      <c r="BG324" s="4"/>
      <c r="BH324" s="38"/>
      <c r="BI324" s="38"/>
      <c r="BJ324" s="38"/>
      <c r="BK324" s="38"/>
      <c r="BL324" s="38"/>
      <c r="BM324" s="38"/>
      <c r="BN324" s="38"/>
      <c r="BO324" s="38"/>
      <c r="BP324" s="38"/>
      <c r="BQ324" s="4"/>
      <c r="BR324" s="4"/>
      <c r="BS324" s="4"/>
    </row>
    <row r="325" spans="1:71" x14ac:dyDescent="0.25">
      <c r="A325" s="854"/>
      <c r="B325" s="4"/>
      <c r="C325" s="4"/>
      <c r="D325" s="4"/>
      <c r="E325" s="4"/>
      <c r="F325" s="4"/>
      <c r="G325" s="4"/>
      <c r="H325" s="4"/>
      <c r="I325" s="38"/>
      <c r="J325" s="38"/>
      <c r="K325" s="4"/>
      <c r="L325" s="4"/>
      <c r="M325" s="4"/>
      <c r="N325" s="4"/>
      <c r="O325" s="4"/>
      <c r="P325" s="4"/>
      <c r="Q325" s="4"/>
      <c r="R325" s="4"/>
      <c r="S325" s="38"/>
      <c r="T325" s="66"/>
      <c r="U325" s="1026"/>
      <c r="V325" s="38"/>
      <c r="W325" s="38"/>
      <c r="X325" s="38"/>
      <c r="Y325" s="38"/>
      <c r="Z325" s="38"/>
      <c r="AA325" s="38"/>
      <c r="AB325" s="38"/>
      <c r="AC325" s="38"/>
      <c r="AD325" s="38"/>
      <c r="AE325" s="38"/>
      <c r="AF325" s="38"/>
      <c r="AG325" s="4"/>
      <c r="AH325" s="4"/>
      <c r="AI325" s="38"/>
      <c r="AJ325" s="38"/>
      <c r="AK325" s="38"/>
      <c r="AL325" s="38"/>
      <c r="AM325" s="38"/>
      <c r="AN325" s="38"/>
      <c r="AO325" s="38"/>
      <c r="AP325" s="38"/>
      <c r="AQ325" s="38"/>
      <c r="AR325" s="38"/>
      <c r="AS325" s="4"/>
      <c r="AT325" s="1099"/>
      <c r="AU325" s="38"/>
      <c r="AV325" s="38"/>
      <c r="AW325" s="38"/>
      <c r="AX325" s="38"/>
      <c r="AY325" s="38"/>
      <c r="AZ325" s="38"/>
      <c r="BA325" s="38"/>
      <c r="BB325" s="38"/>
      <c r="BC325" s="38"/>
      <c r="BD325" s="38"/>
      <c r="BE325" s="38"/>
      <c r="BF325" s="4"/>
      <c r="BG325" s="4"/>
      <c r="BH325" s="38"/>
      <c r="BI325" s="38"/>
      <c r="BJ325" s="38"/>
      <c r="BK325" s="38"/>
      <c r="BL325" s="38"/>
      <c r="BM325" s="38"/>
      <c r="BN325" s="38"/>
      <c r="BO325" s="38"/>
      <c r="BP325" s="38"/>
      <c r="BQ325" s="4"/>
      <c r="BR325" s="4"/>
      <c r="BS325" s="4"/>
    </row>
    <row r="326" spans="1:71" x14ac:dyDescent="0.25">
      <c r="A326" s="854"/>
      <c r="B326" s="4"/>
      <c r="C326" s="4"/>
      <c r="D326" s="4"/>
      <c r="E326" s="4"/>
      <c r="F326" s="4"/>
      <c r="G326" s="4"/>
      <c r="H326" s="4"/>
      <c r="I326" s="38"/>
      <c r="J326" s="38"/>
      <c r="K326" s="4"/>
      <c r="L326" s="4"/>
      <c r="M326" s="4"/>
      <c r="N326" s="4"/>
      <c r="O326" s="4"/>
      <c r="P326" s="4"/>
      <c r="Q326" s="4"/>
      <c r="R326" s="4"/>
      <c r="S326" s="38"/>
      <c r="T326" s="66"/>
      <c r="U326" s="1026"/>
      <c r="V326" s="38"/>
      <c r="W326" s="38"/>
      <c r="X326" s="38"/>
      <c r="Y326" s="38"/>
      <c r="Z326" s="38"/>
      <c r="AA326" s="38"/>
      <c r="AB326" s="38"/>
      <c r="AC326" s="38"/>
      <c r="AD326" s="38"/>
      <c r="AE326" s="38"/>
      <c r="AF326" s="38"/>
      <c r="AG326" s="4"/>
      <c r="AH326" s="4"/>
      <c r="AI326" s="38"/>
      <c r="AJ326" s="38"/>
      <c r="AK326" s="38"/>
      <c r="AL326" s="38"/>
      <c r="AM326" s="38"/>
      <c r="AN326" s="38"/>
      <c r="AO326" s="38"/>
      <c r="AP326" s="38"/>
      <c r="AQ326" s="38"/>
      <c r="AR326" s="38"/>
      <c r="AS326" s="4"/>
      <c r="AT326" s="1099"/>
      <c r="AU326" s="38"/>
      <c r="AV326" s="38"/>
      <c r="AW326" s="38"/>
      <c r="AX326" s="38"/>
      <c r="AY326" s="38"/>
      <c r="AZ326" s="38"/>
      <c r="BA326" s="38"/>
      <c r="BB326" s="38"/>
      <c r="BC326" s="38"/>
      <c r="BD326" s="38"/>
      <c r="BE326" s="38"/>
      <c r="BF326" s="4"/>
      <c r="BG326" s="4"/>
      <c r="BH326" s="38"/>
      <c r="BI326" s="38"/>
      <c r="BJ326" s="38"/>
      <c r="BK326" s="38"/>
      <c r="BL326" s="38"/>
      <c r="BM326" s="38"/>
      <c r="BN326" s="38"/>
      <c r="BO326" s="38"/>
      <c r="BP326" s="38"/>
      <c r="BQ326" s="4"/>
      <c r="BR326" s="4"/>
      <c r="BS326" s="4"/>
    </row>
    <row r="327" spans="1:71" x14ac:dyDescent="0.25">
      <c r="A327" s="854"/>
      <c r="B327" s="4"/>
      <c r="C327" s="4"/>
      <c r="D327" s="4"/>
      <c r="E327" s="4"/>
      <c r="F327" s="4"/>
      <c r="G327" s="4"/>
      <c r="H327" s="4"/>
      <c r="I327" s="38"/>
      <c r="J327" s="38"/>
      <c r="K327" s="4"/>
      <c r="L327" s="4"/>
      <c r="M327" s="4"/>
      <c r="N327" s="4"/>
      <c r="O327" s="4"/>
      <c r="P327" s="4"/>
      <c r="Q327" s="4"/>
      <c r="R327" s="4"/>
      <c r="S327" s="38"/>
      <c r="T327" s="66"/>
      <c r="U327" s="1026"/>
      <c r="V327" s="38"/>
      <c r="W327" s="38"/>
      <c r="X327" s="38"/>
      <c r="Y327" s="38"/>
      <c r="Z327" s="38"/>
      <c r="AA327" s="38"/>
      <c r="AB327" s="38"/>
      <c r="AC327" s="38"/>
      <c r="AD327" s="38"/>
      <c r="AE327" s="38"/>
      <c r="AF327" s="38"/>
      <c r="AG327" s="4"/>
      <c r="AH327" s="4"/>
      <c r="AI327" s="38"/>
      <c r="AJ327" s="38"/>
      <c r="AK327" s="38"/>
      <c r="AL327" s="38"/>
      <c r="AM327" s="38"/>
      <c r="AN327" s="38"/>
      <c r="AO327" s="38"/>
      <c r="AP327" s="38"/>
      <c r="AQ327" s="38"/>
      <c r="AR327" s="38"/>
      <c r="AS327" s="4"/>
      <c r="AT327" s="1099"/>
      <c r="AU327" s="38"/>
      <c r="AV327" s="38"/>
      <c r="AW327" s="38"/>
      <c r="AX327" s="38"/>
      <c r="AY327" s="38"/>
      <c r="AZ327" s="38"/>
      <c r="BA327" s="38"/>
      <c r="BB327" s="38"/>
      <c r="BC327" s="38"/>
      <c r="BD327" s="38"/>
      <c r="BE327" s="38"/>
      <c r="BF327" s="4"/>
      <c r="BG327" s="4"/>
      <c r="BH327" s="38"/>
      <c r="BI327" s="38"/>
      <c r="BJ327" s="38"/>
      <c r="BK327" s="38"/>
      <c r="BL327" s="38"/>
      <c r="BM327" s="38"/>
      <c r="BN327" s="38"/>
      <c r="BO327" s="38"/>
      <c r="BP327" s="38"/>
      <c r="BQ327" s="4"/>
      <c r="BR327" s="4"/>
      <c r="BS327" s="4"/>
    </row>
    <row r="328" spans="1:71" x14ac:dyDescent="0.25">
      <c r="A328" s="854"/>
      <c r="B328" s="4"/>
      <c r="C328" s="4"/>
      <c r="D328" s="4"/>
      <c r="E328" s="4"/>
      <c r="F328" s="4"/>
      <c r="G328" s="4"/>
      <c r="H328" s="4"/>
      <c r="I328" s="38"/>
      <c r="J328" s="38"/>
      <c r="K328" s="4"/>
      <c r="L328" s="4"/>
      <c r="M328" s="4"/>
      <c r="N328" s="4"/>
      <c r="O328" s="4"/>
      <c r="P328" s="4"/>
      <c r="Q328" s="4"/>
      <c r="R328" s="4"/>
      <c r="S328" s="38"/>
      <c r="T328" s="66"/>
      <c r="U328" s="1026"/>
      <c r="V328" s="38"/>
      <c r="W328" s="38"/>
      <c r="X328" s="38"/>
      <c r="Y328" s="38"/>
      <c r="Z328" s="38"/>
      <c r="AA328" s="38"/>
      <c r="AB328" s="38"/>
      <c r="AC328" s="38"/>
      <c r="AD328" s="38"/>
      <c r="AE328" s="38"/>
      <c r="AF328" s="38"/>
      <c r="AG328" s="4"/>
      <c r="AH328" s="4"/>
      <c r="AI328" s="38"/>
      <c r="AJ328" s="38"/>
      <c r="AK328" s="38"/>
      <c r="AL328" s="38"/>
      <c r="AM328" s="38"/>
      <c r="AN328" s="38"/>
      <c r="AO328" s="38"/>
      <c r="AP328" s="38"/>
      <c r="AQ328" s="38"/>
      <c r="AR328" s="38"/>
      <c r="AS328" s="4"/>
      <c r="AT328" s="1099"/>
      <c r="AU328" s="38"/>
      <c r="AV328" s="38"/>
      <c r="AW328" s="38"/>
      <c r="AX328" s="38"/>
      <c r="AY328" s="38"/>
      <c r="AZ328" s="38"/>
      <c r="BA328" s="38"/>
      <c r="BB328" s="38"/>
      <c r="BC328" s="38"/>
      <c r="BD328" s="38"/>
      <c r="BE328" s="38"/>
      <c r="BF328" s="4"/>
      <c r="BG328" s="4"/>
      <c r="BH328" s="38"/>
      <c r="BI328" s="38"/>
      <c r="BJ328" s="38"/>
      <c r="BK328" s="38"/>
      <c r="BL328" s="38"/>
      <c r="BM328" s="38"/>
      <c r="BN328" s="38"/>
      <c r="BO328" s="38"/>
      <c r="BP328" s="38"/>
      <c r="BQ328" s="4"/>
      <c r="BR328" s="4"/>
      <c r="BS328" s="4"/>
    </row>
    <row r="329" spans="1:71" x14ac:dyDescent="0.25">
      <c r="A329" s="854"/>
      <c r="B329" s="4"/>
      <c r="C329" s="4"/>
      <c r="D329" s="4"/>
      <c r="E329" s="4"/>
      <c r="F329" s="4"/>
      <c r="G329" s="4"/>
      <c r="H329" s="4"/>
      <c r="I329" s="38"/>
      <c r="J329" s="38"/>
      <c r="K329" s="4"/>
      <c r="L329" s="4"/>
      <c r="M329" s="4"/>
      <c r="N329" s="4"/>
      <c r="O329" s="4"/>
      <c r="P329" s="4"/>
      <c r="Q329" s="4"/>
      <c r="R329" s="4"/>
      <c r="S329" s="38"/>
      <c r="T329" s="66"/>
      <c r="U329" s="1026"/>
      <c r="V329" s="38"/>
      <c r="W329" s="38"/>
      <c r="X329" s="38"/>
      <c r="Y329" s="38"/>
      <c r="Z329" s="38"/>
      <c r="AA329" s="38"/>
      <c r="AB329" s="38"/>
      <c r="AC329" s="38"/>
      <c r="AD329" s="38"/>
      <c r="AE329" s="38"/>
      <c r="AF329" s="38"/>
      <c r="AG329" s="4"/>
      <c r="AH329" s="4"/>
      <c r="AI329" s="38"/>
      <c r="AJ329" s="38"/>
      <c r="AK329" s="38"/>
      <c r="AL329" s="38"/>
      <c r="AM329" s="38"/>
      <c r="AN329" s="38"/>
      <c r="AO329" s="38"/>
      <c r="AP329" s="38"/>
      <c r="AQ329" s="38"/>
      <c r="AR329" s="38"/>
      <c r="AS329" s="4"/>
      <c r="AT329" s="1099"/>
      <c r="AU329" s="38"/>
      <c r="AV329" s="38"/>
      <c r="AW329" s="38"/>
      <c r="AX329" s="38"/>
      <c r="AY329" s="38"/>
      <c r="AZ329" s="38"/>
      <c r="BA329" s="38"/>
      <c r="BB329" s="38"/>
      <c r="BC329" s="38"/>
      <c r="BD329" s="38"/>
      <c r="BE329" s="38"/>
      <c r="BF329" s="4"/>
      <c r="BG329" s="4"/>
      <c r="BH329" s="38"/>
      <c r="BI329" s="38"/>
      <c r="BJ329" s="38"/>
      <c r="BK329" s="38"/>
      <c r="BL329" s="38"/>
      <c r="BM329" s="38"/>
      <c r="BN329" s="38"/>
      <c r="BO329" s="38"/>
      <c r="BP329" s="38"/>
      <c r="BQ329" s="4"/>
      <c r="BR329" s="4"/>
      <c r="BS329" s="4"/>
    </row>
    <row r="330" spans="1:71" x14ac:dyDescent="0.25">
      <c r="A330" s="854"/>
      <c r="B330" s="4"/>
      <c r="C330" s="4"/>
      <c r="D330" s="4"/>
      <c r="E330" s="4"/>
      <c r="F330" s="4"/>
      <c r="G330" s="4"/>
      <c r="H330" s="4"/>
      <c r="I330" s="38"/>
      <c r="J330" s="38"/>
      <c r="K330" s="4"/>
      <c r="L330" s="4"/>
      <c r="M330" s="4"/>
      <c r="N330" s="4"/>
      <c r="O330" s="4"/>
      <c r="P330" s="4"/>
      <c r="Q330" s="4"/>
      <c r="R330" s="4"/>
      <c r="S330" s="38"/>
      <c r="T330" s="66"/>
      <c r="U330" s="1026"/>
      <c r="V330" s="38"/>
      <c r="W330" s="38"/>
      <c r="X330" s="38"/>
      <c r="Y330" s="38"/>
      <c r="Z330" s="38"/>
      <c r="AA330" s="38"/>
      <c r="AB330" s="38"/>
      <c r="AC330" s="38"/>
      <c r="AD330" s="38"/>
      <c r="AE330" s="38"/>
      <c r="AF330" s="38"/>
      <c r="AG330" s="4"/>
      <c r="AH330" s="4"/>
      <c r="AI330" s="38"/>
      <c r="AJ330" s="38"/>
      <c r="AK330" s="38"/>
      <c r="AL330" s="38"/>
      <c r="AM330" s="38"/>
      <c r="AN330" s="38"/>
      <c r="AO330" s="38"/>
      <c r="AP330" s="38"/>
      <c r="AQ330" s="38"/>
      <c r="AR330" s="38"/>
      <c r="AS330" s="4"/>
      <c r="AT330" s="1099"/>
      <c r="AU330" s="38"/>
      <c r="AV330" s="38"/>
      <c r="AW330" s="38"/>
      <c r="AX330" s="38"/>
      <c r="AY330" s="38"/>
      <c r="AZ330" s="38"/>
      <c r="BA330" s="38"/>
      <c r="BB330" s="38"/>
      <c r="BC330" s="38"/>
      <c r="BD330" s="38"/>
      <c r="BE330" s="38"/>
      <c r="BF330" s="4"/>
      <c r="BG330" s="4"/>
      <c r="BH330" s="38"/>
      <c r="BI330" s="38"/>
      <c r="BJ330" s="38"/>
      <c r="BK330" s="38"/>
      <c r="BL330" s="38"/>
      <c r="BM330" s="38"/>
      <c r="BN330" s="38"/>
      <c r="BO330" s="38"/>
      <c r="BP330" s="38"/>
      <c r="BQ330" s="4"/>
      <c r="BR330" s="4"/>
      <c r="BS330" s="4"/>
    </row>
    <row r="331" spans="1:71" x14ac:dyDescent="0.25">
      <c r="A331" s="854"/>
      <c r="B331" s="4"/>
      <c r="C331" s="4"/>
      <c r="D331" s="4"/>
      <c r="E331" s="4"/>
      <c r="F331" s="4"/>
      <c r="G331" s="4"/>
      <c r="H331" s="4"/>
      <c r="I331" s="38"/>
      <c r="J331" s="38"/>
      <c r="K331" s="4"/>
      <c r="L331" s="4"/>
      <c r="M331" s="4"/>
      <c r="N331" s="4"/>
      <c r="O331" s="4"/>
      <c r="P331" s="4"/>
      <c r="Q331" s="4"/>
      <c r="R331" s="4"/>
      <c r="S331" s="38"/>
      <c r="T331" s="66"/>
      <c r="U331" s="1026"/>
      <c r="V331" s="38"/>
      <c r="W331" s="38"/>
      <c r="X331" s="38"/>
      <c r="Y331" s="38"/>
      <c r="Z331" s="38"/>
      <c r="AA331" s="38"/>
      <c r="AB331" s="38"/>
      <c r="AC331" s="38"/>
      <c r="AD331" s="38"/>
      <c r="AE331" s="38"/>
      <c r="AF331" s="38"/>
      <c r="AG331" s="4"/>
      <c r="AH331" s="4"/>
      <c r="AI331" s="38"/>
      <c r="AJ331" s="38"/>
      <c r="AK331" s="38"/>
      <c r="AL331" s="38"/>
      <c r="AM331" s="38"/>
      <c r="AN331" s="38"/>
      <c r="AO331" s="38"/>
      <c r="AP331" s="38"/>
      <c r="AQ331" s="38"/>
      <c r="AR331" s="38"/>
      <c r="AS331" s="4"/>
      <c r="AT331" s="1099"/>
      <c r="AU331" s="38"/>
      <c r="AV331" s="38"/>
      <c r="AW331" s="38"/>
      <c r="AX331" s="38"/>
      <c r="AY331" s="38"/>
      <c r="AZ331" s="38"/>
      <c r="BA331" s="38"/>
      <c r="BB331" s="38"/>
      <c r="BC331" s="38"/>
      <c r="BD331" s="38"/>
      <c r="BE331" s="38"/>
      <c r="BF331" s="4"/>
      <c r="BG331" s="4"/>
      <c r="BH331" s="38"/>
      <c r="BI331" s="38"/>
      <c r="BJ331" s="38"/>
      <c r="BK331" s="38"/>
      <c r="BL331" s="38"/>
      <c r="BM331" s="38"/>
      <c r="BN331" s="38"/>
      <c r="BO331" s="38"/>
      <c r="BP331" s="38"/>
      <c r="BQ331" s="4"/>
      <c r="BR331" s="4"/>
      <c r="BS331" s="4"/>
    </row>
    <row r="332" spans="1:71" x14ac:dyDescent="0.25">
      <c r="A332" s="854"/>
      <c r="B332" s="4"/>
      <c r="C332" s="4"/>
      <c r="D332" s="4"/>
      <c r="E332" s="4"/>
      <c r="F332" s="4"/>
      <c r="G332" s="4"/>
      <c r="H332" s="4"/>
      <c r="I332" s="38"/>
      <c r="J332" s="38"/>
      <c r="K332" s="4"/>
      <c r="L332" s="4"/>
      <c r="M332" s="4"/>
      <c r="N332" s="4"/>
      <c r="O332" s="4"/>
      <c r="P332" s="4"/>
      <c r="Q332" s="4"/>
      <c r="R332" s="4"/>
      <c r="S332" s="38"/>
      <c r="T332" s="66"/>
      <c r="U332" s="1026"/>
      <c r="V332" s="38"/>
      <c r="W332" s="38"/>
      <c r="X332" s="38"/>
      <c r="Y332" s="38"/>
      <c r="Z332" s="38"/>
      <c r="AA332" s="38"/>
      <c r="AB332" s="38"/>
      <c r="AC332" s="38"/>
      <c r="AD332" s="38"/>
      <c r="AE332" s="38"/>
      <c r="AF332" s="38"/>
      <c r="AG332" s="4"/>
      <c r="AH332" s="4"/>
      <c r="AI332" s="38"/>
      <c r="AJ332" s="38"/>
      <c r="AK332" s="38"/>
      <c r="AL332" s="38"/>
      <c r="AM332" s="38"/>
      <c r="AN332" s="38"/>
      <c r="AO332" s="38"/>
      <c r="AP332" s="38"/>
      <c r="AQ332" s="38"/>
      <c r="AR332" s="38"/>
      <c r="AS332" s="4"/>
      <c r="AT332" s="1099"/>
      <c r="AU332" s="38"/>
      <c r="AV332" s="38"/>
      <c r="AW332" s="38"/>
      <c r="AX332" s="38"/>
      <c r="AY332" s="38"/>
      <c r="AZ332" s="38"/>
      <c r="BA332" s="38"/>
      <c r="BB332" s="38"/>
      <c r="BC332" s="38"/>
      <c r="BD332" s="38"/>
      <c r="BE332" s="38"/>
      <c r="BF332" s="4"/>
      <c r="BG332" s="4"/>
      <c r="BH332" s="38"/>
      <c r="BI332" s="38"/>
      <c r="BJ332" s="38"/>
      <c r="BK332" s="38"/>
      <c r="BL332" s="38"/>
      <c r="BM332" s="38"/>
      <c r="BN332" s="38"/>
      <c r="BO332" s="38"/>
      <c r="BP332" s="38"/>
      <c r="BQ332" s="4"/>
      <c r="BR332" s="4"/>
      <c r="BS332" s="4"/>
    </row>
    <row r="333" spans="1:71" x14ac:dyDescent="0.25">
      <c r="A333" s="854"/>
      <c r="B333" s="4"/>
      <c r="C333" s="4"/>
      <c r="D333" s="4"/>
      <c r="E333" s="4"/>
      <c r="F333" s="4"/>
      <c r="G333" s="4"/>
      <c r="H333" s="4"/>
      <c r="I333" s="38"/>
      <c r="J333" s="38"/>
      <c r="K333" s="4"/>
      <c r="L333" s="4"/>
      <c r="M333" s="4"/>
      <c r="N333" s="4"/>
      <c r="O333" s="4"/>
      <c r="P333" s="4"/>
      <c r="Q333" s="4"/>
      <c r="R333" s="4"/>
      <c r="S333" s="38"/>
      <c r="T333" s="66"/>
      <c r="U333" s="1026"/>
      <c r="V333" s="38"/>
      <c r="W333" s="38"/>
      <c r="X333" s="38"/>
      <c r="Y333" s="38"/>
      <c r="Z333" s="38"/>
      <c r="AA333" s="38"/>
      <c r="AB333" s="38"/>
      <c r="AC333" s="38"/>
      <c r="AD333" s="38"/>
      <c r="AE333" s="38"/>
      <c r="AF333" s="38"/>
      <c r="AG333" s="4"/>
      <c r="AH333" s="4"/>
      <c r="AI333" s="38"/>
      <c r="AJ333" s="38"/>
      <c r="AK333" s="38"/>
      <c r="AL333" s="38"/>
      <c r="AM333" s="38"/>
      <c r="AN333" s="38"/>
      <c r="AO333" s="38"/>
      <c r="AP333" s="38"/>
      <c r="AQ333" s="38"/>
      <c r="AR333" s="38"/>
      <c r="AS333" s="4"/>
      <c r="AT333" s="1099"/>
      <c r="AU333" s="38"/>
      <c r="AV333" s="38"/>
      <c r="AW333" s="38"/>
      <c r="AX333" s="38"/>
      <c r="AY333" s="38"/>
      <c r="AZ333" s="38"/>
      <c r="BA333" s="38"/>
      <c r="BB333" s="38"/>
      <c r="BC333" s="38"/>
      <c r="BD333" s="38"/>
      <c r="BE333" s="38"/>
      <c r="BF333" s="4"/>
      <c r="BG333" s="4"/>
      <c r="BH333" s="38"/>
      <c r="BI333" s="38"/>
      <c r="BJ333" s="38"/>
      <c r="BK333" s="38"/>
      <c r="BL333" s="38"/>
      <c r="BM333" s="38"/>
      <c r="BN333" s="38"/>
      <c r="BO333" s="38"/>
      <c r="BP333" s="38"/>
      <c r="BQ333" s="4"/>
      <c r="BR333" s="4"/>
      <c r="BS333" s="4"/>
    </row>
    <row r="334" spans="1:71" x14ac:dyDescent="0.25">
      <c r="A334" s="854"/>
      <c r="B334" s="4"/>
      <c r="C334" s="4"/>
      <c r="D334" s="4"/>
      <c r="E334" s="4"/>
      <c r="F334" s="4"/>
      <c r="G334" s="4"/>
      <c r="H334" s="4"/>
      <c r="I334" s="38"/>
      <c r="J334" s="38"/>
      <c r="K334" s="4"/>
      <c r="L334" s="4"/>
      <c r="M334" s="4"/>
      <c r="N334" s="4"/>
      <c r="O334" s="4"/>
      <c r="P334" s="4"/>
      <c r="Q334" s="4"/>
      <c r="R334" s="4"/>
      <c r="S334" s="38"/>
      <c r="T334" s="66"/>
      <c r="U334" s="1026"/>
      <c r="V334" s="38"/>
      <c r="W334" s="38"/>
      <c r="X334" s="38"/>
      <c r="Y334" s="38"/>
      <c r="Z334" s="38"/>
      <c r="AA334" s="38"/>
      <c r="AB334" s="38"/>
      <c r="AC334" s="38"/>
      <c r="AD334" s="38"/>
      <c r="AE334" s="38"/>
      <c r="AF334" s="38"/>
      <c r="AG334" s="4"/>
      <c r="AH334" s="4"/>
      <c r="AI334" s="38"/>
      <c r="AJ334" s="38"/>
      <c r="AK334" s="38"/>
      <c r="AL334" s="38"/>
      <c r="AM334" s="38"/>
      <c r="AN334" s="38"/>
      <c r="AO334" s="38"/>
      <c r="AP334" s="38"/>
      <c r="AQ334" s="38"/>
      <c r="AR334" s="38"/>
      <c r="AS334" s="4"/>
      <c r="AT334" s="1099"/>
      <c r="AU334" s="38"/>
      <c r="AV334" s="38"/>
      <c r="AW334" s="38"/>
      <c r="AX334" s="38"/>
      <c r="AY334" s="38"/>
      <c r="AZ334" s="38"/>
      <c r="BA334" s="38"/>
      <c r="BB334" s="38"/>
      <c r="BC334" s="38"/>
      <c r="BD334" s="38"/>
      <c r="BE334" s="38"/>
      <c r="BF334" s="4"/>
      <c r="BG334" s="4"/>
      <c r="BH334" s="38"/>
      <c r="BI334" s="38"/>
      <c r="BJ334" s="38"/>
      <c r="BK334" s="38"/>
      <c r="BL334" s="38"/>
      <c r="BM334" s="38"/>
      <c r="BN334" s="38"/>
      <c r="BO334" s="38"/>
      <c r="BP334" s="38"/>
      <c r="BQ334" s="4"/>
      <c r="BR334" s="4"/>
      <c r="BS334" s="4"/>
    </row>
    <row r="335" spans="1:71" x14ac:dyDescent="0.25">
      <c r="A335" s="854"/>
      <c r="B335" s="4"/>
      <c r="C335" s="4"/>
      <c r="D335" s="4"/>
      <c r="E335" s="4"/>
      <c r="F335" s="4"/>
      <c r="G335" s="4"/>
      <c r="H335" s="4"/>
      <c r="I335" s="38"/>
      <c r="J335" s="38"/>
      <c r="K335" s="4"/>
      <c r="L335" s="4"/>
      <c r="M335" s="4"/>
      <c r="N335" s="4"/>
      <c r="O335" s="4"/>
      <c r="P335" s="4"/>
      <c r="Q335" s="4"/>
      <c r="R335" s="4"/>
      <c r="S335" s="38"/>
      <c r="T335" s="66"/>
      <c r="U335" s="1026"/>
      <c r="V335" s="38"/>
      <c r="W335" s="38"/>
      <c r="X335" s="38"/>
      <c r="Y335" s="38"/>
      <c r="Z335" s="38"/>
      <c r="AA335" s="38"/>
      <c r="AB335" s="38"/>
      <c r="AC335" s="38"/>
      <c r="AD335" s="38"/>
      <c r="AE335" s="38"/>
      <c r="AF335" s="38"/>
      <c r="AG335" s="4"/>
      <c r="AH335" s="4"/>
      <c r="AI335" s="38"/>
      <c r="AJ335" s="38"/>
      <c r="AK335" s="38"/>
      <c r="AL335" s="38"/>
      <c r="AM335" s="38"/>
      <c r="AN335" s="38"/>
      <c r="AO335" s="38"/>
      <c r="AP335" s="38"/>
      <c r="AQ335" s="38"/>
      <c r="AR335" s="38"/>
      <c r="AS335" s="4"/>
      <c r="AT335" s="1099"/>
      <c r="AU335" s="38"/>
      <c r="AV335" s="38"/>
      <c r="AW335" s="38"/>
      <c r="AX335" s="38"/>
      <c r="AY335" s="38"/>
      <c r="AZ335" s="38"/>
      <c r="BA335" s="38"/>
      <c r="BB335" s="38"/>
      <c r="BC335" s="38"/>
      <c r="BD335" s="38"/>
      <c r="BE335" s="38"/>
      <c r="BF335" s="4"/>
      <c r="BG335" s="4"/>
      <c r="BH335" s="38"/>
      <c r="BI335" s="38"/>
      <c r="BJ335" s="38"/>
      <c r="BK335" s="38"/>
      <c r="BL335" s="38"/>
      <c r="BM335" s="38"/>
      <c r="BN335" s="38"/>
      <c r="BO335" s="38"/>
      <c r="BP335" s="38"/>
      <c r="BQ335" s="4"/>
      <c r="BR335" s="4"/>
      <c r="BS335" s="4"/>
    </row>
    <row r="336" spans="1:71" x14ac:dyDescent="0.25">
      <c r="A336" s="854"/>
      <c r="B336" s="4"/>
      <c r="C336" s="4"/>
      <c r="D336" s="4"/>
      <c r="E336" s="4"/>
      <c r="F336" s="4"/>
      <c r="G336" s="4"/>
      <c r="H336" s="4"/>
      <c r="I336" s="38"/>
      <c r="J336" s="38"/>
      <c r="K336" s="4"/>
      <c r="L336" s="4"/>
      <c r="M336" s="4"/>
      <c r="N336" s="4"/>
      <c r="O336" s="4"/>
      <c r="P336" s="4"/>
      <c r="Q336" s="4"/>
      <c r="R336" s="4"/>
      <c r="S336" s="38"/>
      <c r="T336" s="66"/>
      <c r="U336" s="1026"/>
      <c r="V336" s="38"/>
      <c r="W336" s="38"/>
      <c r="X336" s="38"/>
      <c r="Y336" s="38"/>
      <c r="Z336" s="38"/>
      <c r="AA336" s="38"/>
      <c r="AB336" s="38"/>
      <c r="AC336" s="38"/>
      <c r="AD336" s="38"/>
      <c r="AE336" s="38"/>
      <c r="AF336" s="38"/>
      <c r="AG336" s="4"/>
      <c r="AH336" s="4"/>
      <c r="AI336" s="38"/>
      <c r="AJ336" s="38"/>
      <c r="AK336" s="38"/>
      <c r="AL336" s="38"/>
      <c r="AM336" s="38"/>
      <c r="AN336" s="38"/>
      <c r="AO336" s="38"/>
      <c r="AP336" s="38"/>
      <c r="AQ336" s="38"/>
      <c r="AR336" s="38"/>
      <c r="AS336" s="4"/>
      <c r="AT336" s="1099"/>
      <c r="AU336" s="38"/>
      <c r="AV336" s="38"/>
      <c r="AW336" s="38"/>
      <c r="AX336" s="38"/>
      <c r="AY336" s="38"/>
      <c r="AZ336" s="38"/>
      <c r="BA336" s="38"/>
      <c r="BB336" s="38"/>
      <c r="BC336" s="38"/>
      <c r="BD336" s="38"/>
      <c r="BE336" s="38"/>
      <c r="BF336" s="4"/>
      <c r="BG336" s="4"/>
      <c r="BH336" s="38"/>
      <c r="BI336" s="38"/>
      <c r="BJ336" s="38"/>
      <c r="BK336" s="38"/>
      <c r="BL336" s="38"/>
      <c r="BM336" s="38"/>
      <c r="BN336" s="38"/>
      <c r="BO336" s="38"/>
      <c r="BP336" s="38"/>
      <c r="BQ336" s="4"/>
      <c r="BR336" s="4"/>
      <c r="BS336" s="4"/>
    </row>
    <row r="337" spans="1:71" x14ac:dyDescent="0.25">
      <c r="A337" s="854"/>
      <c r="B337" s="4"/>
      <c r="C337" s="4"/>
      <c r="D337" s="4"/>
      <c r="E337" s="4"/>
      <c r="F337" s="4"/>
      <c r="G337" s="4"/>
      <c r="H337" s="4"/>
      <c r="I337" s="38"/>
      <c r="J337" s="38"/>
      <c r="K337" s="4"/>
      <c r="L337" s="4"/>
      <c r="M337" s="4"/>
      <c r="N337" s="4"/>
      <c r="O337" s="4"/>
      <c r="P337" s="4"/>
      <c r="Q337" s="4"/>
      <c r="R337" s="4"/>
      <c r="S337" s="38"/>
      <c r="T337" s="66"/>
      <c r="U337" s="1026"/>
      <c r="V337" s="38"/>
      <c r="W337" s="38"/>
      <c r="X337" s="38"/>
      <c r="Y337" s="38"/>
      <c r="Z337" s="38"/>
      <c r="AA337" s="38"/>
      <c r="AB337" s="38"/>
      <c r="AC337" s="38"/>
      <c r="AD337" s="38"/>
      <c r="AE337" s="38"/>
      <c r="AF337" s="38"/>
      <c r="AG337" s="4"/>
      <c r="AH337" s="4"/>
      <c r="AI337" s="38"/>
      <c r="AJ337" s="38"/>
      <c r="AK337" s="38"/>
      <c r="AL337" s="38"/>
      <c r="AM337" s="38"/>
      <c r="AN337" s="38"/>
      <c r="AO337" s="38"/>
      <c r="AP337" s="38"/>
      <c r="AQ337" s="38"/>
      <c r="AR337" s="38"/>
      <c r="AS337" s="4"/>
      <c r="AT337" s="1099"/>
      <c r="AU337" s="38"/>
      <c r="AV337" s="38"/>
      <c r="AW337" s="38"/>
      <c r="AX337" s="38"/>
      <c r="AY337" s="38"/>
      <c r="AZ337" s="38"/>
      <c r="BA337" s="38"/>
      <c r="BB337" s="38"/>
      <c r="BC337" s="38"/>
      <c r="BD337" s="38"/>
      <c r="BE337" s="38"/>
      <c r="BF337" s="4"/>
      <c r="BG337" s="4"/>
      <c r="BH337" s="38"/>
      <c r="BI337" s="38"/>
      <c r="BJ337" s="38"/>
      <c r="BK337" s="38"/>
      <c r="BL337" s="38"/>
      <c r="BM337" s="38"/>
      <c r="BN337" s="38"/>
      <c r="BO337" s="38"/>
      <c r="BP337" s="38"/>
      <c r="BQ337" s="4"/>
      <c r="BR337" s="4"/>
      <c r="BS337" s="4"/>
    </row>
    <row r="338" spans="1:71" x14ac:dyDescent="0.25">
      <c r="A338" s="854"/>
      <c r="B338" s="4"/>
      <c r="C338" s="4"/>
      <c r="D338" s="4"/>
      <c r="E338" s="4"/>
      <c r="F338" s="4"/>
      <c r="G338" s="4"/>
      <c r="H338" s="4"/>
      <c r="I338" s="38"/>
      <c r="J338" s="38"/>
      <c r="K338" s="4"/>
      <c r="L338" s="4"/>
      <c r="M338" s="4"/>
      <c r="N338" s="4"/>
      <c r="O338" s="4"/>
      <c r="P338" s="4"/>
      <c r="Q338" s="4"/>
      <c r="R338" s="4"/>
      <c r="S338" s="38"/>
      <c r="T338" s="66"/>
      <c r="U338" s="1026"/>
      <c r="V338" s="38"/>
      <c r="W338" s="38"/>
      <c r="X338" s="38"/>
      <c r="Y338" s="38"/>
      <c r="Z338" s="38"/>
      <c r="AA338" s="38"/>
      <c r="AB338" s="38"/>
      <c r="AC338" s="38"/>
      <c r="AD338" s="38"/>
      <c r="AE338" s="38"/>
      <c r="AF338" s="38"/>
      <c r="AG338" s="4"/>
      <c r="AH338" s="4"/>
      <c r="AI338" s="38"/>
      <c r="AJ338" s="38"/>
      <c r="AK338" s="38"/>
      <c r="AL338" s="38"/>
      <c r="AM338" s="38"/>
      <c r="AN338" s="38"/>
      <c r="AO338" s="38"/>
      <c r="AP338" s="38"/>
      <c r="AQ338" s="38"/>
      <c r="AR338" s="38"/>
      <c r="AS338" s="4"/>
      <c r="AT338" s="1099"/>
      <c r="AU338" s="38"/>
      <c r="AV338" s="38"/>
      <c r="AW338" s="38"/>
      <c r="AX338" s="38"/>
      <c r="AY338" s="38"/>
      <c r="AZ338" s="38"/>
      <c r="BA338" s="38"/>
      <c r="BB338" s="38"/>
      <c r="BC338" s="38"/>
      <c r="BD338" s="38"/>
      <c r="BE338" s="38"/>
      <c r="BF338" s="4"/>
      <c r="BG338" s="4"/>
      <c r="BH338" s="38"/>
      <c r="BI338" s="38"/>
      <c r="BJ338" s="38"/>
      <c r="BK338" s="38"/>
      <c r="BL338" s="38"/>
      <c r="BM338" s="38"/>
      <c r="BN338" s="38"/>
      <c r="BO338" s="38"/>
      <c r="BP338" s="38"/>
      <c r="BQ338" s="4"/>
      <c r="BR338" s="4"/>
      <c r="BS338" s="4"/>
    </row>
    <row r="339" spans="1:71" x14ac:dyDescent="0.25">
      <c r="A339" s="854"/>
      <c r="B339" s="4"/>
      <c r="C339" s="4"/>
      <c r="D339" s="4"/>
      <c r="E339" s="4"/>
      <c r="F339" s="4"/>
      <c r="G339" s="4"/>
      <c r="H339" s="4"/>
      <c r="I339" s="38"/>
      <c r="J339" s="38"/>
      <c r="K339" s="4"/>
      <c r="L339" s="4"/>
      <c r="M339" s="4"/>
      <c r="N339" s="4"/>
      <c r="O339" s="4"/>
      <c r="P339" s="4"/>
      <c r="Q339" s="4"/>
      <c r="R339" s="4"/>
      <c r="S339" s="38"/>
      <c r="T339" s="66"/>
      <c r="U339" s="1026"/>
      <c r="V339" s="38"/>
      <c r="W339" s="38"/>
      <c r="X339" s="38"/>
      <c r="Y339" s="38"/>
      <c r="Z339" s="38"/>
      <c r="AA339" s="38"/>
      <c r="AB339" s="38"/>
      <c r="AC339" s="38"/>
      <c r="AD339" s="38"/>
      <c r="AE339" s="38"/>
      <c r="AF339" s="38"/>
      <c r="AG339" s="4"/>
      <c r="AH339" s="4"/>
      <c r="AI339" s="38"/>
      <c r="AJ339" s="38"/>
      <c r="AK339" s="38"/>
      <c r="AL339" s="38"/>
      <c r="AM339" s="38"/>
      <c r="AN339" s="38"/>
      <c r="AO339" s="38"/>
      <c r="AP339" s="38"/>
      <c r="AQ339" s="38"/>
      <c r="AR339" s="38"/>
      <c r="AS339" s="4"/>
      <c r="AT339" s="1099"/>
      <c r="AU339" s="38"/>
      <c r="AV339" s="38"/>
      <c r="AW339" s="38"/>
      <c r="AX339" s="38"/>
      <c r="AY339" s="38"/>
      <c r="AZ339" s="38"/>
      <c r="BA339" s="38"/>
      <c r="BB339" s="38"/>
      <c r="BC339" s="38"/>
      <c r="BD339" s="38"/>
      <c r="BE339" s="38"/>
      <c r="BF339" s="4"/>
      <c r="BG339" s="4"/>
      <c r="BH339" s="38"/>
      <c r="BI339" s="38"/>
      <c r="BJ339" s="38"/>
      <c r="BK339" s="38"/>
      <c r="BL339" s="38"/>
      <c r="BM339" s="38"/>
      <c r="BN339" s="38"/>
      <c r="BO339" s="38"/>
      <c r="BP339" s="38"/>
      <c r="BQ339" s="4"/>
      <c r="BR339" s="4"/>
      <c r="BS339" s="4"/>
    </row>
    <row r="340" spans="1:71" x14ac:dyDescent="0.25">
      <c r="A340" s="854"/>
      <c r="B340" s="4"/>
      <c r="C340" s="4"/>
      <c r="D340" s="4"/>
      <c r="E340" s="4"/>
      <c r="F340" s="4"/>
      <c r="G340" s="4"/>
      <c r="H340" s="4"/>
      <c r="I340" s="38"/>
      <c r="J340" s="38"/>
      <c r="K340" s="4"/>
      <c r="L340" s="4"/>
      <c r="M340" s="4"/>
      <c r="N340" s="4"/>
      <c r="O340" s="4"/>
      <c r="P340" s="4"/>
      <c r="Q340" s="4"/>
      <c r="R340" s="4"/>
      <c r="S340" s="38"/>
      <c r="T340" s="66"/>
      <c r="U340" s="1026"/>
      <c r="V340" s="38"/>
      <c r="W340" s="38"/>
      <c r="X340" s="38"/>
      <c r="Y340" s="38"/>
      <c r="Z340" s="38"/>
      <c r="AA340" s="38"/>
      <c r="AB340" s="38"/>
      <c r="AC340" s="38"/>
      <c r="AD340" s="38"/>
      <c r="AE340" s="38"/>
      <c r="AF340" s="38"/>
      <c r="AG340" s="4"/>
      <c r="AH340" s="4"/>
      <c r="AI340" s="38"/>
      <c r="AJ340" s="38"/>
      <c r="AK340" s="38"/>
      <c r="AL340" s="38"/>
      <c r="AM340" s="38"/>
      <c r="AN340" s="38"/>
      <c r="AO340" s="38"/>
      <c r="AP340" s="38"/>
      <c r="AQ340" s="38"/>
      <c r="AR340" s="38"/>
      <c r="AS340" s="4"/>
      <c r="AT340" s="1099"/>
      <c r="AU340" s="38"/>
      <c r="AV340" s="38"/>
      <c r="AW340" s="38"/>
      <c r="AX340" s="38"/>
      <c r="AY340" s="38"/>
      <c r="AZ340" s="38"/>
      <c r="BA340" s="38"/>
      <c r="BB340" s="38"/>
      <c r="BC340" s="38"/>
      <c r="BD340" s="38"/>
      <c r="BE340" s="38"/>
      <c r="BF340" s="4"/>
      <c r="BG340" s="4"/>
      <c r="BH340" s="38"/>
      <c r="BI340" s="38"/>
      <c r="BJ340" s="38"/>
      <c r="BK340" s="38"/>
      <c r="BL340" s="38"/>
      <c r="BM340" s="38"/>
      <c r="BN340" s="38"/>
      <c r="BO340" s="38"/>
      <c r="BP340" s="38"/>
      <c r="BQ340" s="4"/>
      <c r="BR340" s="4"/>
      <c r="BS340" s="4"/>
    </row>
    <row r="341" spans="1:71" x14ac:dyDescent="0.25">
      <c r="A341" s="854"/>
      <c r="B341" s="4"/>
      <c r="C341" s="4"/>
      <c r="D341" s="4"/>
      <c r="E341" s="4"/>
      <c r="F341" s="4"/>
      <c r="G341" s="4"/>
      <c r="H341" s="4"/>
      <c r="I341" s="38"/>
      <c r="J341" s="38"/>
      <c r="K341" s="4"/>
      <c r="L341" s="4"/>
      <c r="M341" s="4"/>
      <c r="N341" s="4"/>
      <c r="O341" s="4"/>
      <c r="P341" s="4"/>
      <c r="Q341" s="4"/>
      <c r="R341" s="4"/>
      <c r="S341" s="38"/>
      <c r="T341" s="66"/>
      <c r="U341" s="1026"/>
      <c r="V341" s="38"/>
      <c r="W341" s="38"/>
      <c r="X341" s="38"/>
      <c r="Y341" s="38"/>
      <c r="Z341" s="38"/>
      <c r="AA341" s="38"/>
      <c r="AB341" s="38"/>
      <c r="AC341" s="38"/>
      <c r="AD341" s="38"/>
      <c r="AE341" s="38"/>
      <c r="AF341" s="38"/>
      <c r="AG341" s="4"/>
      <c r="AH341" s="4"/>
      <c r="AI341" s="38"/>
      <c r="AJ341" s="38"/>
      <c r="AK341" s="38"/>
      <c r="AL341" s="38"/>
      <c r="AM341" s="38"/>
      <c r="AN341" s="38"/>
      <c r="AO341" s="38"/>
      <c r="AP341" s="38"/>
      <c r="AQ341" s="38"/>
      <c r="AR341" s="38"/>
      <c r="AS341" s="4"/>
      <c r="AT341" s="1099"/>
      <c r="AU341" s="38"/>
      <c r="AV341" s="38"/>
      <c r="AW341" s="38"/>
      <c r="AX341" s="38"/>
      <c r="AY341" s="38"/>
      <c r="AZ341" s="38"/>
      <c r="BA341" s="38"/>
      <c r="BB341" s="38"/>
      <c r="BC341" s="38"/>
      <c r="BD341" s="38"/>
      <c r="BE341" s="38"/>
      <c r="BF341" s="4"/>
      <c r="BG341" s="4"/>
      <c r="BH341" s="38"/>
      <c r="BI341" s="38"/>
      <c r="BJ341" s="38"/>
      <c r="BK341" s="38"/>
      <c r="BL341" s="38"/>
      <c r="BM341" s="38"/>
      <c r="BN341" s="38"/>
      <c r="BO341" s="38"/>
      <c r="BP341" s="38"/>
      <c r="BQ341" s="4"/>
      <c r="BR341" s="4"/>
      <c r="BS341" s="4"/>
    </row>
    <row r="342" spans="1:71" x14ac:dyDescent="0.25">
      <c r="A342" s="854"/>
      <c r="B342" s="4"/>
      <c r="C342" s="4"/>
      <c r="D342" s="4"/>
      <c r="E342" s="4"/>
      <c r="F342" s="4"/>
      <c r="G342" s="4"/>
      <c r="H342" s="4"/>
      <c r="I342" s="38"/>
      <c r="J342" s="38"/>
      <c r="K342" s="4"/>
      <c r="L342" s="4"/>
      <c r="M342" s="4"/>
      <c r="N342" s="4"/>
      <c r="O342" s="4"/>
      <c r="P342" s="4"/>
      <c r="Q342" s="4"/>
      <c r="R342" s="4"/>
      <c r="S342" s="38"/>
      <c r="T342" s="66"/>
      <c r="U342" s="1026"/>
      <c r="V342" s="38"/>
      <c r="W342" s="38"/>
      <c r="X342" s="38"/>
      <c r="Y342" s="38"/>
      <c r="Z342" s="38"/>
      <c r="AA342" s="38"/>
      <c r="AB342" s="38"/>
      <c r="AC342" s="38"/>
      <c r="AD342" s="38"/>
      <c r="AE342" s="38"/>
      <c r="AF342" s="38"/>
      <c r="AG342" s="4"/>
      <c r="AH342" s="4"/>
      <c r="AI342" s="38"/>
      <c r="AJ342" s="38"/>
      <c r="AK342" s="38"/>
      <c r="AL342" s="38"/>
      <c r="AM342" s="38"/>
      <c r="AN342" s="38"/>
      <c r="AO342" s="38"/>
      <c r="AP342" s="38"/>
      <c r="AQ342" s="38"/>
      <c r="AR342" s="38"/>
      <c r="AS342" s="4"/>
      <c r="AT342" s="1099"/>
      <c r="AU342" s="38"/>
      <c r="AV342" s="38"/>
      <c r="AW342" s="38"/>
      <c r="AX342" s="38"/>
      <c r="AY342" s="38"/>
      <c r="AZ342" s="38"/>
      <c r="BA342" s="38"/>
      <c r="BB342" s="38"/>
      <c r="BC342" s="38"/>
      <c r="BD342" s="38"/>
      <c r="BE342" s="38"/>
      <c r="BF342" s="4"/>
      <c r="BG342" s="4"/>
      <c r="BH342" s="38"/>
      <c r="BI342" s="38"/>
      <c r="BJ342" s="38"/>
      <c r="BK342" s="38"/>
      <c r="BL342" s="38"/>
      <c r="BM342" s="38"/>
      <c r="BN342" s="38"/>
      <c r="BO342" s="38"/>
      <c r="BP342" s="38"/>
      <c r="BQ342" s="4"/>
      <c r="BR342" s="4"/>
      <c r="BS342" s="4"/>
    </row>
    <row r="343" spans="1:71" x14ac:dyDescent="0.25">
      <c r="A343" s="854"/>
      <c r="B343" s="4"/>
      <c r="C343" s="4"/>
      <c r="D343" s="4"/>
      <c r="E343" s="4"/>
      <c r="F343" s="4"/>
      <c r="G343" s="4"/>
      <c r="H343" s="4"/>
      <c r="I343" s="38"/>
      <c r="J343" s="38"/>
      <c r="K343" s="4"/>
      <c r="L343" s="4"/>
      <c r="M343" s="4"/>
      <c r="N343" s="4"/>
      <c r="O343" s="4"/>
      <c r="P343" s="4"/>
      <c r="Q343" s="4"/>
      <c r="R343" s="4"/>
      <c r="S343" s="38"/>
      <c r="T343" s="66"/>
      <c r="U343" s="1026"/>
      <c r="V343" s="38"/>
      <c r="W343" s="38"/>
      <c r="X343" s="38"/>
      <c r="Y343" s="38"/>
      <c r="Z343" s="38"/>
      <c r="AA343" s="38"/>
      <c r="AB343" s="38"/>
      <c r="AC343" s="38"/>
      <c r="AD343" s="38"/>
      <c r="AE343" s="38"/>
      <c r="AF343" s="38"/>
      <c r="AG343" s="4"/>
      <c r="AH343" s="4"/>
      <c r="AI343" s="38"/>
      <c r="AJ343" s="38"/>
      <c r="AK343" s="38"/>
      <c r="AL343" s="38"/>
      <c r="AM343" s="38"/>
      <c r="AN343" s="38"/>
      <c r="AO343" s="38"/>
      <c r="AP343" s="38"/>
      <c r="AQ343" s="38"/>
      <c r="AR343" s="38"/>
      <c r="AS343" s="4"/>
      <c r="AT343" s="1099"/>
      <c r="AU343" s="38"/>
      <c r="AV343" s="38"/>
      <c r="AW343" s="38"/>
      <c r="AX343" s="38"/>
      <c r="AY343" s="38"/>
      <c r="AZ343" s="38"/>
      <c r="BA343" s="38"/>
      <c r="BB343" s="38"/>
      <c r="BC343" s="38"/>
      <c r="BD343" s="38"/>
      <c r="BE343" s="38"/>
      <c r="BF343" s="4"/>
      <c r="BG343" s="4"/>
      <c r="BH343" s="38"/>
      <c r="BI343" s="38"/>
      <c r="BJ343" s="38"/>
      <c r="BK343" s="38"/>
      <c r="BL343" s="38"/>
      <c r="BM343" s="38"/>
      <c r="BN343" s="38"/>
      <c r="BO343" s="38"/>
      <c r="BP343" s="38"/>
      <c r="BQ343" s="4"/>
      <c r="BR343" s="4"/>
      <c r="BS343" s="4"/>
    </row>
    <row r="344" spans="1:71" x14ac:dyDescent="0.25">
      <c r="A344" s="854"/>
      <c r="B344" s="4"/>
      <c r="C344" s="4"/>
      <c r="D344" s="4"/>
      <c r="E344" s="4"/>
      <c r="F344" s="4"/>
      <c r="G344" s="4"/>
      <c r="H344" s="4"/>
      <c r="I344" s="38"/>
      <c r="J344" s="38"/>
      <c r="K344" s="4"/>
      <c r="L344" s="4"/>
      <c r="M344" s="4"/>
      <c r="N344" s="4"/>
      <c r="O344" s="4"/>
      <c r="P344" s="4"/>
      <c r="Q344" s="4"/>
      <c r="R344" s="4"/>
      <c r="S344" s="38"/>
      <c r="T344" s="66"/>
      <c r="U344" s="1026"/>
      <c r="V344" s="38"/>
      <c r="W344" s="38"/>
      <c r="X344" s="38"/>
      <c r="Y344" s="38"/>
      <c r="Z344" s="38"/>
      <c r="AA344" s="38"/>
      <c r="AB344" s="38"/>
      <c r="AC344" s="38"/>
      <c r="AD344" s="38"/>
      <c r="AE344" s="38"/>
      <c r="AF344" s="38"/>
      <c r="AG344" s="4"/>
      <c r="AH344" s="4"/>
      <c r="AI344" s="38"/>
      <c r="AJ344" s="38"/>
      <c r="AK344" s="38"/>
      <c r="AL344" s="38"/>
      <c r="AM344" s="38"/>
      <c r="AN344" s="38"/>
      <c r="AO344" s="38"/>
      <c r="AP344" s="38"/>
      <c r="AQ344" s="38"/>
      <c r="AR344" s="38"/>
      <c r="AS344" s="4"/>
      <c r="AT344" s="1099"/>
      <c r="AU344" s="38"/>
      <c r="AV344" s="38"/>
      <c r="AW344" s="38"/>
      <c r="AX344" s="38"/>
      <c r="AY344" s="38"/>
      <c r="AZ344" s="38"/>
      <c r="BA344" s="38"/>
      <c r="BB344" s="38"/>
      <c r="BC344" s="38"/>
      <c r="BD344" s="38"/>
      <c r="BE344" s="38"/>
      <c r="BF344" s="4"/>
      <c r="BG344" s="4"/>
      <c r="BH344" s="38"/>
      <c r="BI344" s="38"/>
      <c r="BJ344" s="38"/>
      <c r="BK344" s="38"/>
      <c r="BL344" s="38"/>
      <c r="BM344" s="38"/>
      <c r="BN344" s="38"/>
      <c r="BO344" s="38"/>
      <c r="BP344" s="38"/>
      <c r="BQ344" s="4"/>
      <c r="BR344" s="4"/>
      <c r="BS344" s="4"/>
    </row>
    <row r="345" spans="1:71" x14ac:dyDescent="0.25">
      <c r="A345" s="854"/>
      <c r="B345" s="4"/>
      <c r="C345" s="4"/>
      <c r="D345" s="4"/>
      <c r="E345" s="4"/>
      <c r="F345" s="4"/>
      <c r="G345" s="4"/>
      <c r="H345" s="4"/>
      <c r="I345" s="38"/>
      <c r="J345" s="38"/>
      <c r="K345" s="4"/>
      <c r="L345" s="4"/>
      <c r="M345" s="4"/>
      <c r="N345" s="4"/>
      <c r="O345" s="4"/>
      <c r="P345" s="4"/>
      <c r="Q345" s="4"/>
      <c r="R345" s="4"/>
      <c r="S345" s="38"/>
      <c r="T345" s="66"/>
      <c r="U345" s="1026"/>
      <c r="V345" s="38"/>
      <c r="W345" s="38"/>
      <c r="X345" s="38"/>
      <c r="Y345" s="38"/>
      <c r="Z345" s="38"/>
      <c r="AA345" s="38"/>
      <c r="AB345" s="38"/>
      <c r="AC345" s="38"/>
      <c r="AD345" s="38"/>
      <c r="AE345" s="38"/>
      <c r="AF345" s="38"/>
      <c r="AG345" s="4"/>
      <c r="AH345" s="4"/>
      <c r="AI345" s="38"/>
      <c r="AJ345" s="38"/>
      <c r="AK345" s="38"/>
      <c r="AL345" s="38"/>
      <c r="AM345" s="38"/>
      <c r="AN345" s="38"/>
      <c r="AO345" s="38"/>
      <c r="AP345" s="38"/>
      <c r="AQ345" s="38"/>
      <c r="AR345" s="38"/>
      <c r="AS345" s="4"/>
      <c r="AT345" s="1099"/>
      <c r="AU345" s="38"/>
      <c r="AV345" s="38"/>
      <c r="AW345" s="38"/>
      <c r="AX345" s="38"/>
      <c r="AY345" s="38"/>
      <c r="AZ345" s="38"/>
      <c r="BA345" s="38"/>
      <c r="BB345" s="38"/>
      <c r="BC345" s="38"/>
      <c r="BD345" s="38"/>
      <c r="BE345" s="38"/>
      <c r="BF345" s="4"/>
      <c r="BG345" s="4"/>
      <c r="BH345" s="38"/>
      <c r="BI345" s="38"/>
      <c r="BJ345" s="38"/>
      <c r="BK345" s="38"/>
      <c r="BL345" s="38"/>
      <c r="BM345" s="38"/>
      <c r="BN345" s="38"/>
      <c r="BO345" s="38"/>
      <c r="BP345" s="38"/>
      <c r="BQ345" s="4"/>
      <c r="BR345" s="4"/>
      <c r="BS345" s="4"/>
    </row>
    <row r="346" spans="1:71" x14ac:dyDescent="0.25">
      <c r="A346" s="854"/>
      <c r="B346" s="4"/>
      <c r="C346" s="4"/>
      <c r="D346" s="4"/>
      <c r="E346" s="4"/>
      <c r="F346" s="4"/>
      <c r="G346" s="4"/>
      <c r="H346" s="4"/>
      <c r="I346" s="38"/>
      <c r="J346" s="38"/>
      <c r="K346" s="4"/>
      <c r="L346" s="4"/>
      <c r="M346" s="4"/>
      <c r="N346" s="4"/>
      <c r="O346" s="4"/>
      <c r="P346" s="4"/>
      <c r="Q346" s="4"/>
      <c r="R346" s="4"/>
      <c r="S346" s="38"/>
      <c r="T346" s="66"/>
      <c r="U346" s="1026"/>
      <c r="V346" s="38"/>
      <c r="W346" s="38"/>
      <c r="X346" s="38"/>
      <c r="Y346" s="38"/>
      <c r="Z346" s="38"/>
      <c r="AA346" s="38"/>
      <c r="AB346" s="38"/>
      <c r="AC346" s="38"/>
      <c r="AD346" s="38"/>
      <c r="AE346" s="38"/>
      <c r="AF346" s="38"/>
      <c r="AG346" s="4"/>
      <c r="AH346" s="4"/>
      <c r="AI346" s="38"/>
      <c r="AJ346" s="38"/>
      <c r="AK346" s="38"/>
      <c r="AL346" s="38"/>
      <c r="AM346" s="38"/>
      <c r="AN346" s="38"/>
      <c r="AO346" s="38"/>
      <c r="AP346" s="38"/>
      <c r="AQ346" s="38"/>
      <c r="AR346" s="38"/>
      <c r="AS346" s="4"/>
      <c r="AT346" s="1099"/>
      <c r="AU346" s="38"/>
      <c r="AV346" s="38"/>
      <c r="AW346" s="38"/>
      <c r="AX346" s="38"/>
      <c r="AY346" s="38"/>
      <c r="AZ346" s="38"/>
      <c r="BA346" s="38"/>
      <c r="BB346" s="38"/>
      <c r="BC346" s="38"/>
      <c r="BD346" s="38"/>
      <c r="BE346" s="38"/>
      <c r="BF346" s="4"/>
      <c r="BG346" s="4"/>
      <c r="BH346" s="38"/>
      <c r="BI346" s="38"/>
      <c r="BJ346" s="38"/>
      <c r="BK346" s="38"/>
      <c r="BL346" s="38"/>
      <c r="BM346" s="38"/>
      <c r="BN346" s="38"/>
      <c r="BO346" s="38"/>
      <c r="BP346" s="38"/>
      <c r="BQ346" s="4"/>
      <c r="BR346" s="4"/>
      <c r="BS346" s="4"/>
    </row>
    <row r="347" spans="1:71" x14ac:dyDescent="0.25">
      <c r="A347" s="854"/>
      <c r="B347" s="4"/>
      <c r="C347" s="4"/>
      <c r="D347" s="4"/>
      <c r="E347" s="4"/>
      <c r="F347" s="4"/>
      <c r="G347" s="4"/>
      <c r="H347" s="4"/>
      <c r="I347" s="38"/>
      <c r="J347" s="38"/>
      <c r="K347" s="4"/>
      <c r="L347" s="4"/>
      <c r="M347" s="4"/>
      <c r="N347" s="4"/>
      <c r="O347" s="4"/>
      <c r="P347" s="4"/>
      <c r="Q347" s="4"/>
      <c r="R347" s="4"/>
      <c r="S347" s="38"/>
      <c r="T347" s="66"/>
      <c r="U347" s="1026"/>
      <c r="V347" s="38"/>
      <c r="W347" s="38"/>
      <c r="X347" s="38"/>
      <c r="Y347" s="38"/>
      <c r="Z347" s="38"/>
      <c r="AA347" s="38"/>
      <c r="AB347" s="38"/>
      <c r="AC347" s="38"/>
      <c r="AD347" s="38"/>
      <c r="AE347" s="38"/>
      <c r="AF347" s="38"/>
      <c r="AG347" s="4"/>
      <c r="AH347" s="4"/>
      <c r="AI347" s="38"/>
      <c r="AJ347" s="38"/>
      <c r="AK347" s="38"/>
      <c r="AL347" s="38"/>
      <c r="AM347" s="38"/>
      <c r="AN347" s="38"/>
      <c r="AO347" s="38"/>
      <c r="AP347" s="38"/>
      <c r="AQ347" s="38"/>
      <c r="AR347" s="38"/>
      <c r="AS347" s="4"/>
      <c r="AT347" s="1099"/>
      <c r="AU347" s="38"/>
      <c r="AV347" s="38"/>
      <c r="AW347" s="38"/>
      <c r="AX347" s="38"/>
      <c r="AY347" s="38"/>
      <c r="AZ347" s="38"/>
      <c r="BA347" s="38"/>
      <c r="BB347" s="38"/>
      <c r="BC347" s="38"/>
      <c r="BD347" s="38"/>
      <c r="BE347" s="38"/>
      <c r="BF347" s="4"/>
      <c r="BG347" s="4"/>
      <c r="BH347" s="38"/>
      <c r="BI347" s="38"/>
      <c r="BJ347" s="38"/>
      <c r="BK347" s="38"/>
      <c r="BL347" s="38"/>
      <c r="BM347" s="38"/>
      <c r="BN347" s="38"/>
      <c r="BO347" s="38"/>
      <c r="BP347" s="38"/>
      <c r="BQ347" s="4"/>
      <c r="BR347" s="4"/>
      <c r="BS347" s="4"/>
    </row>
    <row r="348" spans="1:71" x14ac:dyDescent="0.25">
      <c r="A348" s="854"/>
      <c r="B348" s="4"/>
      <c r="C348" s="4"/>
      <c r="D348" s="4"/>
      <c r="E348" s="4"/>
      <c r="F348" s="4"/>
      <c r="G348" s="4"/>
      <c r="H348" s="4"/>
      <c r="I348" s="38"/>
      <c r="J348" s="38"/>
      <c r="K348" s="4"/>
      <c r="L348" s="4"/>
      <c r="M348" s="4"/>
      <c r="N348" s="4"/>
      <c r="O348" s="4"/>
      <c r="P348" s="4"/>
      <c r="Q348" s="4"/>
      <c r="R348" s="4"/>
      <c r="S348" s="38"/>
      <c r="T348" s="66"/>
      <c r="U348" s="1026"/>
      <c r="V348" s="38"/>
      <c r="W348" s="38"/>
      <c r="X348" s="38"/>
      <c r="Y348" s="38"/>
      <c r="Z348" s="38"/>
      <c r="AA348" s="38"/>
      <c r="AB348" s="38"/>
      <c r="AC348" s="38"/>
      <c r="AD348" s="38"/>
      <c r="AE348" s="38"/>
      <c r="AF348" s="38"/>
      <c r="AG348" s="4"/>
      <c r="AH348" s="4"/>
      <c r="AI348" s="38"/>
      <c r="AJ348" s="38"/>
      <c r="AK348" s="38"/>
      <c r="AL348" s="38"/>
      <c r="AM348" s="38"/>
      <c r="AN348" s="38"/>
      <c r="AO348" s="38"/>
      <c r="AP348" s="38"/>
      <c r="AQ348" s="38"/>
      <c r="AR348" s="38"/>
      <c r="AS348" s="4"/>
      <c r="AT348" s="1099"/>
      <c r="AU348" s="38"/>
      <c r="AV348" s="38"/>
      <c r="AW348" s="38"/>
      <c r="AX348" s="38"/>
      <c r="AY348" s="38"/>
      <c r="AZ348" s="38"/>
      <c r="BA348" s="38"/>
      <c r="BB348" s="38"/>
      <c r="BC348" s="38"/>
      <c r="BD348" s="38"/>
      <c r="BE348" s="38"/>
      <c r="BF348" s="4"/>
      <c r="BG348" s="4"/>
      <c r="BH348" s="38"/>
      <c r="BI348" s="38"/>
      <c r="BJ348" s="38"/>
      <c r="BK348" s="38"/>
      <c r="BL348" s="38"/>
      <c r="BM348" s="38"/>
      <c r="BN348" s="38"/>
      <c r="BO348" s="38"/>
      <c r="BP348" s="38"/>
      <c r="BQ348" s="4"/>
      <c r="BR348" s="4"/>
      <c r="BS348" s="4"/>
    </row>
    <row r="349" spans="1:71" x14ac:dyDescent="0.25">
      <c r="A349" s="854"/>
      <c r="B349" s="4"/>
      <c r="C349" s="4"/>
      <c r="D349" s="4"/>
      <c r="E349" s="4"/>
      <c r="F349" s="4"/>
      <c r="G349" s="4"/>
      <c r="H349" s="4"/>
      <c r="I349" s="38"/>
      <c r="J349" s="38"/>
      <c r="K349" s="4"/>
      <c r="L349" s="4"/>
      <c r="M349" s="4"/>
      <c r="N349" s="4"/>
      <c r="O349" s="4"/>
      <c r="P349" s="4"/>
      <c r="Q349" s="4"/>
      <c r="R349" s="4"/>
      <c r="S349" s="38"/>
      <c r="T349" s="66"/>
      <c r="U349" s="1026"/>
      <c r="V349" s="38"/>
      <c r="W349" s="38"/>
      <c r="X349" s="38"/>
      <c r="Y349" s="38"/>
      <c r="Z349" s="38"/>
      <c r="AA349" s="38"/>
      <c r="AB349" s="38"/>
      <c r="AC349" s="38"/>
      <c r="AD349" s="38"/>
      <c r="AE349" s="38"/>
      <c r="AF349" s="38"/>
      <c r="AG349" s="4"/>
      <c r="AH349" s="4"/>
      <c r="AI349" s="38"/>
      <c r="AJ349" s="38"/>
      <c r="AK349" s="38"/>
      <c r="AL349" s="38"/>
      <c r="AM349" s="38"/>
      <c r="AN349" s="38"/>
      <c r="AO349" s="38"/>
      <c r="AP349" s="38"/>
      <c r="AQ349" s="38"/>
      <c r="AR349" s="38"/>
      <c r="AS349" s="4"/>
      <c r="AT349" s="1099"/>
      <c r="AU349" s="38"/>
      <c r="AV349" s="38"/>
      <c r="AW349" s="38"/>
      <c r="AX349" s="38"/>
      <c r="AY349" s="38"/>
      <c r="AZ349" s="38"/>
      <c r="BA349" s="38"/>
      <c r="BB349" s="38"/>
      <c r="BC349" s="38"/>
      <c r="BD349" s="38"/>
      <c r="BE349" s="38"/>
      <c r="BF349" s="4"/>
      <c r="BG349" s="4"/>
      <c r="BH349" s="38"/>
      <c r="BI349" s="38"/>
      <c r="BJ349" s="38"/>
      <c r="BK349" s="38"/>
      <c r="BL349" s="38"/>
      <c r="BM349" s="38"/>
      <c r="BN349" s="38"/>
      <c r="BO349" s="38"/>
      <c r="BP349" s="38"/>
      <c r="BQ349" s="4"/>
      <c r="BR349" s="4"/>
      <c r="BS349" s="4"/>
    </row>
    <row r="350" spans="1:71" x14ac:dyDescent="0.25">
      <c r="A350" s="854"/>
      <c r="B350" s="4"/>
      <c r="C350" s="4"/>
      <c r="D350" s="4"/>
      <c r="E350" s="4"/>
      <c r="F350" s="4"/>
      <c r="G350" s="4"/>
      <c r="H350" s="4"/>
      <c r="I350" s="38"/>
      <c r="J350" s="38"/>
      <c r="K350" s="4"/>
      <c r="L350" s="4"/>
      <c r="M350" s="4"/>
      <c r="N350" s="4"/>
      <c r="O350" s="4"/>
      <c r="P350" s="4"/>
      <c r="Q350" s="4"/>
      <c r="R350" s="4"/>
      <c r="S350" s="38"/>
      <c r="T350" s="66"/>
      <c r="U350" s="1026"/>
      <c r="V350" s="38"/>
      <c r="W350" s="38"/>
      <c r="X350" s="38"/>
      <c r="Y350" s="38"/>
      <c r="Z350" s="38"/>
      <c r="AA350" s="38"/>
      <c r="AB350" s="38"/>
      <c r="AC350" s="38"/>
      <c r="AD350" s="38"/>
      <c r="AE350" s="38"/>
      <c r="AF350" s="38"/>
      <c r="AG350" s="4"/>
      <c r="AH350" s="4"/>
      <c r="AI350" s="38"/>
      <c r="AJ350" s="38"/>
      <c r="AK350" s="38"/>
      <c r="AL350" s="38"/>
      <c r="AM350" s="38"/>
      <c r="AN350" s="38"/>
      <c r="AO350" s="38"/>
      <c r="AP350" s="38"/>
      <c r="AQ350" s="38"/>
      <c r="AR350" s="38"/>
      <c r="AS350" s="4"/>
      <c r="AT350" s="1099"/>
      <c r="AU350" s="38"/>
      <c r="AV350" s="38"/>
      <c r="AW350" s="38"/>
      <c r="AX350" s="38"/>
      <c r="AY350" s="38"/>
      <c r="AZ350" s="38"/>
      <c r="BA350" s="38"/>
      <c r="BB350" s="38"/>
      <c r="BC350" s="38"/>
      <c r="BD350" s="38"/>
      <c r="BE350" s="38"/>
      <c r="BF350" s="4"/>
      <c r="BG350" s="4"/>
      <c r="BH350" s="38"/>
      <c r="BI350" s="38"/>
      <c r="BJ350" s="38"/>
      <c r="BK350" s="38"/>
      <c r="BL350" s="38"/>
      <c r="BM350" s="38"/>
      <c r="BN350" s="38"/>
      <c r="BO350" s="38"/>
      <c r="BP350" s="38"/>
      <c r="BQ350" s="4"/>
      <c r="BR350" s="4"/>
      <c r="BS350" s="4"/>
    </row>
    <row r="351" spans="1:71" x14ac:dyDescent="0.25">
      <c r="A351" s="854"/>
      <c r="B351" s="4"/>
      <c r="C351" s="4"/>
      <c r="D351" s="4"/>
      <c r="E351" s="4"/>
      <c r="F351" s="4"/>
      <c r="G351" s="4"/>
      <c r="H351" s="4"/>
      <c r="I351" s="38"/>
      <c r="J351" s="38"/>
      <c r="K351" s="4"/>
      <c r="L351" s="4"/>
      <c r="M351" s="4"/>
      <c r="N351" s="4"/>
      <c r="O351" s="4"/>
      <c r="P351" s="4"/>
      <c r="Q351" s="4"/>
      <c r="R351" s="4"/>
      <c r="S351" s="38"/>
      <c r="T351" s="66"/>
      <c r="U351" s="1026"/>
      <c r="V351" s="38"/>
      <c r="W351" s="38"/>
      <c r="X351" s="38"/>
      <c r="Y351" s="38"/>
      <c r="Z351" s="38"/>
      <c r="AA351" s="38"/>
      <c r="AB351" s="38"/>
      <c r="AC351" s="38"/>
      <c r="AD351" s="38"/>
      <c r="AE351" s="38"/>
      <c r="AF351" s="38"/>
      <c r="AG351" s="4"/>
      <c r="AH351" s="4"/>
      <c r="AI351" s="38"/>
      <c r="AJ351" s="38"/>
      <c r="AK351" s="38"/>
      <c r="AL351" s="38"/>
      <c r="AM351" s="38"/>
      <c r="AN351" s="38"/>
      <c r="AO351" s="38"/>
      <c r="AP351" s="38"/>
      <c r="AQ351" s="38"/>
      <c r="AR351" s="38"/>
      <c r="AS351" s="4"/>
      <c r="AT351" s="1099"/>
      <c r="AU351" s="38"/>
      <c r="AV351" s="38"/>
      <c r="AW351" s="38"/>
      <c r="AX351" s="38"/>
      <c r="AY351" s="38"/>
      <c r="AZ351" s="38"/>
      <c r="BA351" s="38"/>
      <c r="BB351" s="38"/>
      <c r="BC351" s="38"/>
      <c r="BD351" s="38"/>
      <c r="BE351" s="38"/>
      <c r="BF351" s="4"/>
      <c r="BG351" s="4"/>
      <c r="BH351" s="38"/>
      <c r="BI351" s="38"/>
      <c r="BJ351" s="38"/>
      <c r="BK351" s="38"/>
      <c r="BL351" s="38"/>
      <c r="BM351" s="38"/>
      <c r="BN351" s="38"/>
      <c r="BO351" s="38"/>
      <c r="BP351" s="38"/>
      <c r="BQ351" s="4"/>
      <c r="BR351" s="4"/>
      <c r="BS351" s="4"/>
    </row>
    <row r="352" spans="1:71" x14ac:dyDescent="0.25">
      <c r="A352" s="854"/>
      <c r="B352" s="4"/>
      <c r="C352" s="4"/>
      <c r="D352" s="4"/>
      <c r="E352" s="4"/>
      <c r="F352" s="4"/>
      <c r="G352" s="4"/>
      <c r="H352" s="4"/>
      <c r="I352" s="38"/>
      <c r="J352" s="38"/>
      <c r="K352" s="4"/>
      <c r="L352" s="4"/>
      <c r="M352" s="4"/>
      <c r="N352" s="4"/>
      <c r="O352" s="4"/>
      <c r="P352" s="4"/>
      <c r="Q352" s="4"/>
      <c r="R352" s="4"/>
      <c r="S352" s="38"/>
      <c r="T352" s="66"/>
      <c r="U352" s="1026"/>
      <c r="V352" s="38"/>
      <c r="W352" s="38"/>
      <c r="X352" s="38"/>
      <c r="Y352" s="38"/>
      <c r="Z352" s="38"/>
      <c r="AA352" s="38"/>
      <c r="AB352" s="38"/>
      <c r="AC352" s="38"/>
      <c r="AD352" s="38"/>
      <c r="AE352" s="38"/>
      <c r="AF352" s="38"/>
      <c r="AG352" s="4"/>
      <c r="AH352" s="4"/>
      <c r="AI352" s="38"/>
      <c r="AJ352" s="38"/>
      <c r="AK352" s="38"/>
      <c r="AL352" s="38"/>
      <c r="AM352" s="38"/>
      <c r="AN352" s="38"/>
      <c r="AO352" s="38"/>
      <c r="AP352" s="38"/>
      <c r="AQ352" s="38"/>
      <c r="AR352" s="38"/>
      <c r="AS352" s="4"/>
      <c r="AT352" s="1099"/>
      <c r="AU352" s="38"/>
      <c r="AV352" s="38"/>
      <c r="AW352" s="38"/>
      <c r="AX352" s="38"/>
      <c r="AY352" s="38"/>
      <c r="AZ352" s="38"/>
      <c r="BA352" s="38"/>
      <c r="BB352" s="38"/>
      <c r="BC352" s="38"/>
      <c r="BD352" s="38"/>
      <c r="BE352" s="38"/>
      <c r="BF352" s="4"/>
      <c r="BG352" s="4"/>
      <c r="BH352" s="38"/>
      <c r="BI352" s="38"/>
      <c r="BJ352" s="38"/>
      <c r="BK352" s="38"/>
      <c r="BL352" s="38"/>
      <c r="BM352" s="38"/>
      <c r="BN352" s="38"/>
      <c r="BO352" s="38"/>
      <c r="BP352" s="38"/>
      <c r="BQ352" s="4"/>
      <c r="BR352" s="4"/>
      <c r="BS352" s="4"/>
    </row>
    <row r="353" spans="1:71" x14ac:dyDescent="0.25">
      <c r="A353" s="854"/>
      <c r="B353" s="4"/>
      <c r="C353" s="4"/>
      <c r="D353" s="4"/>
      <c r="E353" s="4"/>
      <c r="F353" s="4"/>
      <c r="G353" s="4"/>
      <c r="H353" s="4"/>
      <c r="I353" s="38"/>
      <c r="J353" s="38"/>
      <c r="K353" s="4"/>
      <c r="L353" s="4"/>
      <c r="M353" s="4"/>
      <c r="N353" s="4"/>
      <c r="O353" s="4"/>
      <c r="P353" s="4"/>
      <c r="Q353" s="4"/>
      <c r="R353" s="4"/>
      <c r="S353" s="38"/>
      <c r="T353" s="66"/>
      <c r="U353" s="1026"/>
      <c r="V353" s="38"/>
      <c r="W353" s="38"/>
      <c r="X353" s="38"/>
      <c r="Y353" s="38"/>
      <c r="Z353" s="38"/>
      <c r="AA353" s="38"/>
      <c r="AB353" s="38"/>
      <c r="AC353" s="38"/>
      <c r="AD353" s="38"/>
      <c r="AE353" s="38"/>
      <c r="AF353" s="38"/>
      <c r="AG353" s="4"/>
      <c r="AH353" s="4"/>
      <c r="AI353" s="38"/>
      <c r="AJ353" s="38"/>
      <c r="AK353" s="38"/>
      <c r="AL353" s="38"/>
      <c r="AM353" s="38"/>
      <c r="AN353" s="38"/>
      <c r="AO353" s="38"/>
      <c r="AP353" s="38"/>
      <c r="AQ353" s="38"/>
      <c r="AR353" s="38"/>
      <c r="AS353" s="4"/>
      <c r="AT353" s="1099"/>
      <c r="AU353" s="38"/>
      <c r="AV353" s="38"/>
      <c r="AW353" s="38"/>
      <c r="AX353" s="38"/>
      <c r="AY353" s="38"/>
      <c r="AZ353" s="38"/>
      <c r="BA353" s="38"/>
      <c r="BB353" s="38"/>
      <c r="BC353" s="38"/>
      <c r="BD353" s="38"/>
      <c r="BE353" s="38"/>
      <c r="BF353" s="4"/>
      <c r="BG353" s="4"/>
      <c r="BH353" s="38"/>
      <c r="BI353" s="38"/>
      <c r="BJ353" s="38"/>
      <c r="BK353" s="38"/>
      <c r="BL353" s="38"/>
      <c r="BM353" s="38"/>
      <c r="BN353" s="38"/>
      <c r="BO353" s="38"/>
      <c r="BP353" s="38"/>
      <c r="BQ353" s="4"/>
      <c r="BR353" s="4"/>
      <c r="BS353" s="4"/>
    </row>
    <row r="354" spans="1:71" x14ac:dyDescent="0.25">
      <c r="A354" s="854"/>
      <c r="B354" s="4"/>
      <c r="C354" s="4"/>
      <c r="D354" s="4"/>
      <c r="E354" s="4"/>
      <c r="F354" s="4"/>
      <c r="G354" s="4"/>
      <c r="H354" s="4"/>
      <c r="I354" s="38"/>
      <c r="J354" s="38"/>
      <c r="K354" s="4"/>
      <c r="L354" s="4"/>
      <c r="M354" s="4"/>
      <c r="N354" s="4"/>
      <c r="O354" s="4"/>
      <c r="P354" s="4"/>
      <c r="Q354" s="4"/>
      <c r="R354" s="4"/>
      <c r="S354" s="38"/>
      <c r="T354" s="66"/>
      <c r="U354" s="1026"/>
      <c r="V354" s="38"/>
      <c r="W354" s="38"/>
      <c r="X354" s="38"/>
      <c r="Y354" s="38"/>
      <c r="Z354" s="38"/>
      <c r="AA354" s="38"/>
      <c r="AB354" s="38"/>
      <c r="AC354" s="38"/>
      <c r="AD354" s="38"/>
      <c r="AE354" s="38"/>
      <c r="AF354" s="38"/>
      <c r="AG354" s="4"/>
      <c r="AH354" s="4"/>
      <c r="AI354" s="38"/>
      <c r="AJ354" s="38"/>
      <c r="AK354" s="38"/>
      <c r="AL354" s="38"/>
      <c r="AM354" s="38"/>
      <c r="AN354" s="38"/>
      <c r="AO354" s="38"/>
      <c r="AP354" s="38"/>
      <c r="AQ354" s="38"/>
      <c r="AR354" s="38"/>
      <c r="AS354" s="4"/>
      <c r="AT354" s="1099"/>
      <c r="AU354" s="38"/>
      <c r="AV354" s="38"/>
      <c r="AW354" s="38"/>
      <c r="AX354" s="38"/>
      <c r="AY354" s="38"/>
      <c r="AZ354" s="38"/>
      <c r="BA354" s="38"/>
      <c r="BB354" s="38"/>
      <c r="BC354" s="38"/>
      <c r="BD354" s="38"/>
      <c r="BE354" s="38"/>
      <c r="BF354" s="4"/>
      <c r="BG354" s="4"/>
      <c r="BH354" s="38"/>
      <c r="BI354" s="38"/>
      <c r="BJ354" s="38"/>
      <c r="BK354" s="38"/>
      <c r="BL354" s="38"/>
      <c r="BM354" s="38"/>
      <c r="BN354" s="38"/>
      <c r="BO354" s="38"/>
      <c r="BP354" s="38"/>
      <c r="BQ354" s="4"/>
      <c r="BR354" s="4"/>
      <c r="BS354" s="4"/>
    </row>
    <row r="355" spans="1:71" x14ac:dyDescent="0.25">
      <c r="A355" s="854"/>
      <c r="B355" s="4"/>
      <c r="C355" s="4"/>
      <c r="D355" s="4"/>
      <c r="E355" s="4"/>
      <c r="F355" s="4"/>
      <c r="G355" s="4"/>
      <c r="H355" s="4"/>
      <c r="I355" s="38"/>
      <c r="J355" s="38"/>
      <c r="K355" s="4"/>
      <c r="L355" s="4"/>
      <c r="M355" s="4"/>
      <c r="N355" s="4"/>
      <c r="O355" s="4"/>
      <c r="P355" s="4"/>
      <c r="Q355" s="4"/>
      <c r="R355" s="4"/>
      <c r="S355" s="38"/>
      <c r="T355" s="66"/>
      <c r="U355" s="1026"/>
      <c r="V355" s="38"/>
      <c r="W355" s="38"/>
      <c r="X355" s="38"/>
      <c r="Y355" s="38"/>
      <c r="Z355" s="38"/>
      <c r="AA355" s="38"/>
      <c r="AB355" s="38"/>
      <c r="AC355" s="38"/>
      <c r="AD355" s="38"/>
      <c r="AE355" s="38"/>
      <c r="AF355" s="38"/>
      <c r="AG355" s="4"/>
      <c r="AH355" s="4"/>
      <c r="AI355" s="38"/>
      <c r="AJ355" s="38"/>
      <c r="AK355" s="38"/>
      <c r="AL355" s="38"/>
      <c r="AM355" s="38"/>
      <c r="AN355" s="38"/>
      <c r="AO355" s="38"/>
      <c r="AP355" s="38"/>
      <c r="AQ355" s="38"/>
      <c r="AR355" s="38"/>
      <c r="AS355" s="4"/>
      <c r="AT355" s="1099"/>
      <c r="AU355" s="38"/>
      <c r="AV355" s="38"/>
      <c r="AW355" s="38"/>
      <c r="AX355" s="38"/>
      <c r="AY355" s="38"/>
      <c r="AZ355" s="38"/>
      <c r="BA355" s="38"/>
      <c r="BB355" s="38"/>
      <c r="BC355" s="38"/>
      <c r="BD355" s="38"/>
      <c r="BE355" s="38"/>
      <c r="BF355" s="4"/>
      <c r="BG355" s="4"/>
      <c r="BH355" s="38"/>
      <c r="BI355" s="38"/>
      <c r="BJ355" s="38"/>
      <c r="BK355" s="38"/>
      <c r="BL355" s="38"/>
      <c r="BM355" s="38"/>
      <c r="BN355" s="38"/>
      <c r="BO355" s="38"/>
      <c r="BP355" s="38"/>
      <c r="BQ355" s="4"/>
      <c r="BR355" s="4"/>
      <c r="BS355" s="4"/>
    </row>
    <row r="356" spans="1:71" x14ac:dyDescent="0.25">
      <c r="A356" s="854"/>
      <c r="B356" s="4"/>
      <c r="C356" s="4"/>
      <c r="D356" s="4"/>
      <c r="E356" s="4"/>
      <c r="F356" s="4"/>
      <c r="G356" s="4"/>
      <c r="H356" s="4"/>
      <c r="I356" s="38"/>
      <c r="J356" s="38"/>
      <c r="K356" s="4"/>
      <c r="L356" s="4"/>
      <c r="M356" s="4"/>
      <c r="N356" s="4"/>
      <c r="O356" s="4"/>
      <c r="P356" s="4"/>
      <c r="Q356" s="4"/>
      <c r="R356" s="4"/>
      <c r="S356" s="38"/>
      <c r="T356" s="66"/>
      <c r="U356" s="1026"/>
      <c r="V356" s="38"/>
      <c r="W356" s="38"/>
      <c r="X356" s="38"/>
      <c r="Y356" s="38"/>
      <c r="Z356" s="38"/>
      <c r="AA356" s="38"/>
      <c r="AB356" s="38"/>
      <c r="AC356" s="38"/>
      <c r="AD356" s="38"/>
      <c r="AE356" s="38"/>
      <c r="AF356" s="38"/>
      <c r="AG356" s="4"/>
      <c r="AH356" s="4"/>
      <c r="AI356" s="38"/>
      <c r="AJ356" s="38"/>
      <c r="AK356" s="38"/>
      <c r="AL356" s="38"/>
      <c r="AM356" s="38"/>
      <c r="AN356" s="38"/>
      <c r="AO356" s="38"/>
      <c r="AP356" s="38"/>
      <c r="AQ356" s="38"/>
      <c r="AR356" s="38"/>
      <c r="AS356" s="4"/>
      <c r="AT356" s="1099"/>
      <c r="AU356" s="38"/>
      <c r="AV356" s="38"/>
      <c r="AW356" s="38"/>
      <c r="AX356" s="38"/>
      <c r="AY356" s="38"/>
      <c r="AZ356" s="38"/>
      <c r="BA356" s="38"/>
      <c r="BB356" s="38"/>
      <c r="BC356" s="38"/>
      <c r="BD356" s="38"/>
      <c r="BE356" s="38"/>
      <c r="BF356" s="4"/>
      <c r="BG356" s="4"/>
      <c r="BH356" s="38"/>
      <c r="BI356" s="38"/>
      <c r="BJ356" s="38"/>
      <c r="BK356" s="38"/>
      <c r="BL356" s="38"/>
      <c r="BM356" s="38"/>
      <c r="BN356" s="38"/>
      <c r="BO356" s="38"/>
      <c r="BP356" s="38"/>
      <c r="BQ356" s="4"/>
      <c r="BR356" s="4"/>
      <c r="BS356" s="4"/>
    </row>
    <row r="357" spans="1:71" x14ac:dyDescent="0.25">
      <c r="A357" s="854"/>
      <c r="B357" s="4"/>
      <c r="C357" s="4"/>
      <c r="D357" s="4"/>
      <c r="E357" s="4"/>
      <c r="F357" s="4"/>
      <c r="G357" s="4"/>
      <c r="H357" s="4"/>
      <c r="I357" s="38"/>
      <c r="J357" s="38"/>
      <c r="K357" s="4"/>
      <c r="L357" s="4"/>
      <c r="M357" s="4"/>
      <c r="N357" s="4"/>
      <c r="O357" s="4"/>
      <c r="P357" s="4"/>
      <c r="Q357" s="4"/>
      <c r="R357" s="4"/>
      <c r="S357" s="38"/>
      <c r="T357" s="66"/>
      <c r="U357" s="1026"/>
      <c r="V357" s="38"/>
      <c r="W357" s="38"/>
      <c r="X357" s="38"/>
      <c r="Y357" s="38"/>
      <c r="Z357" s="38"/>
      <c r="AA357" s="38"/>
      <c r="AB357" s="38"/>
      <c r="AC357" s="38"/>
      <c r="AD357" s="38"/>
      <c r="AE357" s="38"/>
      <c r="AF357" s="38"/>
      <c r="AG357" s="4"/>
      <c r="AH357" s="4"/>
      <c r="AI357" s="38"/>
      <c r="AJ357" s="38"/>
      <c r="AK357" s="38"/>
      <c r="AL357" s="38"/>
      <c r="AM357" s="38"/>
      <c r="AN357" s="38"/>
      <c r="AO357" s="38"/>
      <c r="AP357" s="38"/>
      <c r="AQ357" s="38"/>
      <c r="AR357" s="38"/>
      <c r="AS357" s="4"/>
      <c r="AT357" s="1099"/>
      <c r="AU357" s="38"/>
      <c r="AV357" s="38"/>
      <c r="AW357" s="38"/>
      <c r="AX357" s="38"/>
      <c r="AY357" s="38"/>
      <c r="AZ357" s="38"/>
      <c r="BA357" s="38"/>
      <c r="BB357" s="38"/>
      <c r="BC357" s="38"/>
      <c r="BD357" s="38"/>
      <c r="BE357" s="38"/>
      <c r="BF357" s="4"/>
      <c r="BG357" s="4"/>
      <c r="BH357" s="38"/>
      <c r="BI357" s="38"/>
      <c r="BJ357" s="38"/>
      <c r="BK357" s="38"/>
      <c r="BL357" s="38"/>
      <c r="BM357" s="38"/>
      <c r="BN357" s="38"/>
      <c r="BO357" s="38"/>
      <c r="BP357" s="38"/>
      <c r="BQ357" s="4"/>
      <c r="BR357" s="4"/>
      <c r="BS357" s="4"/>
    </row>
    <row r="358" spans="1:71" x14ac:dyDescent="0.25">
      <c r="A358" s="854"/>
      <c r="B358" s="4"/>
      <c r="C358" s="4"/>
      <c r="D358" s="4"/>
      <c r="E358" s="4"/>
      <c r="F358" s="4"/>
      <c r="G358" s="4"/>
      <c r="H358" s="4"/>
      <c r="I358" s="38"/>
      <c r="J358" s="38"/>
      <c r="K358" s="4"/>
      <c r="L358" s="4"/>
      <c r="M358" s="4"/>
      <c r="N358" s="4"/>
      <c r="O358" s="4"/>
      <c r="P358" s="4"/>
      <c r="Q358" s="4"/>
      <c r="R358" s="4"/>
      <c r="S358" s="38"/>
      <c r="T358" s="66"/>
      <c r="U358" s="1026"/>
      <c r="V358" s="38"/>
      <c r="W358" s="38"/>
      <c r="X358" s="38"/>
      <c r="Y358" s="38"/>
      <c r="Z358" s="38"/>
      <c r="AA358" s="38"/>
      <c r="AB358" s="38"/>
      <c r="AC358" s="38"/>
      <c r="AD358" s="38"/>
      <c r="AE358" s="38"/>
      <c r="AF358" s="38"/>
      <c r="AG358" s="4"/>
      <c r="AH358" s="4"/>
      <c r="AI358" s="38"/>
      <c r="AJ358" s="38"/>
      <c r="AK358" s="38"/>
      <c r="AL358" s="38"/>
      <c r="AM358" s="38"/>
      <c r="AN358" s="38"/>
      <c r="AO358" s="38"/>
      <c r="AP358" s="38"/>
      <c r="AQ358" s="38"/>
      <c r="AR358" s="38"/>
      <c r="AS358" s="4"/>
      <c r="AT358" s="1099"/>
      <c r="AU358" s="38"/>
      <c r="AV358" s="38"/>
      <c r="AW358" s="38"/>
      <c r="AX358" s="38"/>
      <c r="AY358" s="38"/>
      <c r="AZ358" s="38"/>
      <c r="BA358" s="38"/>
      <c r="BB358" s="38"/>
      <c r="BC358" s="38"/>
      <c r="BD358" s="38"/>
      <c r="BE358" s="38"/>
      <c r="BF358" s="4"/>
      <c r="BG358" s="4"/>
      <c r="BH358" s="38"/>
      <c r="BI358" s="38"/>
      <c r="BJ358" s="38"/>
      <c r="BK358" s="38"/>
      <c r="BL358" s="38"/>
      <c r="BM358" s="38"/>
      <c r="BN358" s="38"/>
      <c r="BO358" s="38"/>
      <c r="BP358" s="38"/>
      <c r="BQ358" s="4"/>
      <c r="BR358" s="4"/>
      <c r="BS358" s="4"/>
    </row>
    <row r="359" spans="1:71" x14ac:dyDescent="0.25">
      <c r="A359" s="854"/>
      <c r="B359" s="4"/>
      <c r="C359" s="4"/>
      <c r="D359" s="4"/>
      <c r="E359" s="4"/>
      <c r="F359" s="4"/>
      <c r="G359" s="4"/>
      <c r="H359" s="4"/>
      <c r="I359" s="38"/>
      <c r="J359" s="38"/>
      <c r="K359" s="4"/>
      <c r="L359" s="4"/>
      <c r="M359" s="4"/>
      <c r="N359" s="4"/>
      <c r="O359" s="4"/>
      <c r="P359" s="4"/>
      <c r="Q359" s="4"/>
      <c r="R359" s="4"/>
      <c r="S359" s="38"/>
      <c r="T359" s="66"/>
      <c r="U359" s="1026"/>
      <c r="V359" s="38"/>
      <c r="W359" s="38"/>
      <c r="X359" s="38"/>
      <c r="Y359" s="38"/>
      <c r="Z359" s="38"/>
      <c r="AA359" s="38"/>
      <c r="AB359" s="38"/>
      <c r="AC359" s="38"/>
      <c r="AD359" s="38"/>
      <c r="AE359" s="38"/>
      <c r="AF359" s="38"/>
      <c r="AG359" s="4"/>
      <c r="AH359" s="4"/>
      <c r="AI359" s="38"/>
      <c r="AJ359" s="38"/>
      <c r="AK359" s="38"/>
      <c r="AL359" s="38"/>
      <c r="AM359" s="38"/>
      <c r="AN359" s="38"/>
      <c r="AO359" s="38"/>
      <c r="AP359" s="38"/>
      <c r="AQ359" s="38"/>
      <c r="AR359" s="38"/>
      <c r="AS359" s="4"/>
      <c r="AT359" s="1099"/>
      <c r="AU359" s="38"/>
      <c r="AV359" s="38"/>
      <c r="AW359" s="38"/>
      <c r="AX359" s="38"/>
      <c r="AY359" s="38"/>
      <c r="AZ359" s="38"/>
      <c r="BA359" s="38"/>
      <c r="BB359" s="38"/>
      <c r="BC359" s="38"/>
      <c r="BD359" s="38"/>
      <c r="BE359" s="38"/>
      <c r="BF359" s="4"/>
      <c r="BG359" s="4"/>
      <c r="BH359" s="38"/>
      <c r="BI359" s="38"/>
      <c r="BJ359" s="38"/>
      <c r="BK359" s="38"/>
      <c r="BL359" s="38"/>
      <c r="BM359" s="38"/>
      <c r="BN359" s="38"/>
      <c r="BO359" s="38"/>
      <c r="BP359" s="38"/>
      <c r="BQ359" s="4"/>
      <c r="BR359" s="4"/>
      <c r="BS359" s="4"/>
    </row>
    <row r="360" spans="1:71" x14ac:dyDescent="0.25">
      <c r="A360" s="854"/>
      <c r="B360" s="4"/>
      <c r="C360" s="4"/>
      <c r="D360" s="4"/>
      <c r="E360" s="4"/>
      <c r="F360" s="4"/>
      <c r="G360" s="4"/>
      <c r="H360" s="4"/>
      <c r="I360" s="38"/>
      <c r="J360" s="38"/>
      <c r="K360" s="4"/>
      <c r="L360" s="4"/>
      <c r="M360" s="4"/>
      <c r="N360" s="4"/>
      <c r="O360" s="4"/>
      <c r="P360" s="4"/>
      <c r="Q360" s="4"/>
      <c r="R360" s="4"/>
      <c r="S360" s="38"/>
      <c r="T360" s="66"/>
      <c r="U360" s="1026"/>
      <c r="V360" s="38"/>
      <c r="W360" s="38"/>
      <c r="X360" s="38"/>
      <c r="Y360" s="38"/>
      <c r="Z360" s="38"/>
      <c r="AA360" s="38"/>
      <c r="AB360" s="38"/>
      <c r="AC360" s="38"/>
      <c r="AD360" s="38"/>
      <c r="AE360" s="38"/>
      <c r="AF360" s="38"/>
      <c r="AG360" s="4"/>
      <c r="AH360" s="4"/>
      <c r="AI360" s="38"/>
      <c r="AJ360" s="38"/>
      <c r="AK360" s="38"/>
      <c r="AL360" s="38"/>
      <c r="AM360" s="38"/>
      <c r="AN360" s="38"/>
      <c r="AO360" s="38"/>
      <c r="AP360" s="38"/>
      <c r="AQ360" s="38"/>
      <c r="AR360" s="38"/>
      <c r="AS360" s="4"/>
      <c r="AT360" s="1099"/>
      <c r="AU360" s="38"/>
      <c r="AV360" s="38"/>
      <c r="AW360" s="38"/>
      <c r="AX360" s="38"/>
      <c r="AY360" s="38"/>
      <c r="AZ360" s="38"/>
      <c r="BA360" s="38"/>
      <c r="BB360" s="38"/>
      <c r="BC360" s="38"/>
      <c r="BD360" s="38"/>
      <c r="BE360" s="38"/>
      <c r="BF360" s="4"/>
      <c r="BG360" s="4"/>
      <c r="BH360" s="38"/>
      <c r="BI360" s="38"/>
      <c r="BJ360" s="38"/>
      <c r="BK360" s="38"/>
      <c r="BL360" s="38"/>
      <c r="BM360" s="38"/>
      <c r="BN360" s="38"/>
      <c r="BO360" s="38"/>
      <c r="BP360" s="38"/>
      <c r="BQ360" s="4"/>
      <c r="BR360" s="4"/>
      <c r="BS360" s="4"/>
    </row>
    <row r="361" spans="1:71" x14ac:dyDescent="0.25">
      <c r="A361" s="854"/>
      <c r="B361" s="4"/>
      <c r="C361" s="4"/>
      <c r="D361" s="4"/>
      <c r="E361" s="4"/>
      <c r="F361" s="4"/>
      <c r="G361" s="4"/>
      <c r="H361" s="4"/>
      <c r="I361" s="38"/>
      <c r="J361" s="38"/>
      <c r="K361" s="4"/>
      <c r="L361" s="4"/>
      <c r="M361" s="4"/>
      <c r="N361" s="4"/>
      <c r="O361" s="4"/>
      <c r="P361" s="4"/>
      <c r="Q361" s="4"/>
      <c r="R361" s="4"/>
      <c r="S361" s="38"/>
      <c r="T361" s="66"/>
      <c r="U361" s="1026"/>
      <c r="V361" s="38"/>
      <c r="W361" s="38"/>
      <c r="X361" s="38"/>
      <c r="Y361" s="38"/>
      <c r="Z361" s="38"/>
      <c r="AA361" s="38"/>
      <c r="AB361" s="38"/>
      <c r="AC361" s="38"/>
      <c r="AD361" s="38"/>
      <c r="AE361" s="38"/>
      <c r="AF361" s="38"/>
      <c r="AG361" s="4"/>
      <c r="AH361" s="4"/>
      <c r="AI361" s="38"/>
      <c r="AJ361" s="38"/>
      <c r="AK361" s="38"/>
      <c r="AL361" s="38"/>
      <c r="AM361" s="38"/>
      <c r="AN361" s="38"/>
      <c r="AO361" s="38"/>
      <c r="AP361" s="38"/>
      <c r="AQ361" s="38"/>
      <c r="AR361" s="38"/>
      <c r="AS361" s="4"/>
      <c r="AT361" s="1099"/>
      <c r="AU361" s="38"/>
      <c r="AV361" s="38"/>
      <c r="AW361" s="38"/>
      <c r="AX361" s="38"/>
      <c r="AY361" s="38"/>
      <c r="AZ361" s="38"/>
      <c r="BA361" s="38"/>
      <c r="BB361" s="38"/>
      <c r="BC361" s="38"/>
      <c r="BD361" s="38"/>
      <c r="BE361" s="38"/>
      <c r="BF361" s="4"/>
      <c r="BG361" s="4"/>
      <c r="BH361" s="38"/>
      <c r="BI361" s="38"/>
      <c r="BJ361" s="38"/>
      <c r="BK361" s="38"/>
      <c r="BL361" s="38"/>
      <c r="BM361" s="38"/>
      <c r="BN361" s="38"/>
      <c r="BO361" s="38"/>
      <c r="BP361" s="38"/>
      <c r="BQ361" s="4"/>
      <c r="BR361" s="4"/>
      <c r="BS361" s="4"/>
    </row>
    <row r="362" spans="1:71" x14ac:dyDescent="0.25">
      <c r="A362" s="854"/>
      <c r="B362" s="4"/>
      <c r="C362" s="4"/>
      <c r="D362" s="4"/>
      <c r="E362" s="4"/>
      <c r="F362" s="4"/>
      <c r="G362" s="4"/>
      <c r="H362" s="4"/>
      <c r="I362" s="38"/>
      <c r="J362" s="38"/>
      <c r="K362" s="4"/>
      <c r="L362" s="4"/>
      <c r="M362" s="4"/>
      <c r="N362" s="4"/>
      <c r="O362" s="4"/>
      <c r="P362" s="4"/>
      <c r="Q362" s="4"/>
      <c r="R362" s="4"/>
      <c r="S362" s="38"/>
      <c r="T362" s="66"/>
      <c r="U362" s="1026"/>
      <c r="V362" s="38"/>
      <c r="W362" s="38"/>
      <c r="X362" s="38"/>
      <c r="Y362" s="38"/>
      <c r="Z362" s="38"/>
      <c r="AA362" s="38"/>
      <c r="AB362" s="38"/>
      <c r="AC362" s="38"/>
      <c r="AD362" s="38"/>
      <c r="AE362" s="38"/>
      <c r="AF362" s="38"/>
      <c r="AG362" s="4"/>
      <c r="AH362" s="4"/>
      <c r="AI362" s="38"/>
      <c r="AJ362" s="38"/>
      <c r="AK362" s="38"/>
      <c r="AL362" s="38"/>
      <c r="AM362" s="38"/>
      <c r="AN362" s="38"/>
      <c r="AO362" s="38"/>
      <c r="AP362" s="38"/>
      <c r="AQ362" s="38"/>
      <c r="AR362" s="38"/>
      <c r="AS362" s="4"/>
      <c r="AT362" s="1099"/>
      <c r="AU362" s="38"/>
      <c r="AV362" s="38"/>
      <c r="AW362" s="38"/>
      <c r="AX362" s="38"/>
      <c r="AY362" s="38"/>
      <c r="AZ362" s="38"/>
      <c r="BA362" s="38"/>
      <c r="BB362" s="38"/>
      <c r="BC362" s="38"/>
      <c r="BD362" s="38"/>
      <c r="BE362" s="38"/>
      <c r="BF362" s="4"/>
      <c r="BG362" s="4"/>
      <c r="BH362" s="38"/>
      <c r="BI362" s="38"/>
      <c r="BJ362" s="38"/>
      <c r="BK362" s="38"/>
      <c r="BL362" s="38"/>
      <c r="BM362" s="38"/>
      <c r="BN362" s="38"/>
      <c r="BO362" s="38"/>
      <c r="BP362" s="38"/>
      <c r="BQ362" s="4"/>
      <c r="BR362" s="4"/>
      <c r="BS362" s="4"/>
    </row>
    <row r="363" spans="1:71" x14ac:dyDescent="0.25">
      <c r="A363" s="854"/>
      <c r="B363" s="4"/>
      <c r="C363" s="4"/>
      <c r="D363" s="4"/>
      <c r="E363" s="4"/>
      <c r="F363" s="4"/>
      <c r="G363" s="4"/>
      <c r="H363" s="4"/>
      <c r="I363" s="38"/>
      <c r="J363" s="38"/>
      <c r="K363" s="4"/>
      <c r="L363" s="4"/>
      <c r="M363" s="4"/>
      <c r="N363" s="4"/>
      <c r="O363" s="4"/>
      <c r="P363" s="4"/>
      <c r="Q363" s="4"/>
      <c r="R363" s="4"/>
      <c r="S363" s="38"/>
      <c r="T363" s="66"/>
      <c r="U363" s="1026"/>
      <c r="V363" s="38"/>
      <c r="W363" s="38"/>
      <c r="X363" s="38"/>
      <c r="Y363" s="38"/>
      <c r="Z363" s="38"/>
      <c r="AA363" s="38"/>
      <c r="AB363" s="38"/>
      <c r="AC363" s="38"/>
      <c r="AD363" s="38"/>
      <c r="AE363" s="38"/>
      <c r="AF363" s="38"/>
      <c r="AG363" s="4"/>
      <c r="AH363" s="4"/>
      <c r="AI363" s="38"/>
      <c r="AJ363" s="38"/>
      <c r="AK363" s="38"/>
      <c r="AL363" s="38"/>
      <c r="AM363" s="38"/>
      <c r="AN363" s="38"/>
      <c r="AO363" s="38"/>
      <c r="AP363" s="38"/>
      <c r="AQ363" s="38"/>
      <c r="AR363" s="38"/>
      <c r="AS363" s="4"/>
      <c r="AT363" s="1099"/>
      <c r="AU363" s="38"/>
      <c r="AV363" s="38"/>
      <c r="AW363" s="38"/>
      <c r="AX363" s="38"/>
      <c r="AY363" s="38"/>
      <c r="AZ363" s="38"/>
      <c r="BA363" s="38"/>
      <c r="BB363" s="38"/>
      <c r="BC363" s="38"/>
      <c r="BD363" s="38"/>
      <c r="BE363" s="38"/>
      <c r="BF363" s="4"/>
      <c r="BG363" s="4"/>
      <c r="BH363" s="38"/>
      <c r="BI363" s="38"/>
      <c r="BJ363" s="38"/>
      <c r="BK363" s="38"/>
      <c r="BL363" s="38"/>
      <c r="BM363" s="38"/>
      <c r="BN363" s="38"/>
      <c r="BO363" s="38"/>
      <c r="BP363" s="38"/>
      <c r="BQ363" s="4"/>
      <c r="BR363" s="4"/>
      <c r="BS363" s="4"/>
    </row>
    <row r="364" spans="1:71" x14ac:dyDescent="0.25">
      <c r="A364" s="854"/>
      <c r="B364" s="4"/>
      <c r="C364" s="4"/>
      <c r="D364" s="4"/>
      <c r="E364" s="4"/>
      <c r="F364" s="4"/>
      <c r="G364" s="4"/>
      <c r="H364" s="4"/>
      <c r="I364" s="38"/>
      <c r="J364" s="38"/>
      <c r="K364" s="4"/>
      <c r="L364" s="4"/>
      <c r="M364" s="4"/>
      <c r="N364" s="4"/>
      <c r="O364" s="4"/>
      <c r="P364" s="4"/>
      <c r="Q364" s="4"/>
      <c r="R364" s="4"/>
      <c r="S364" s="38"/>
      <c r="T364" s="66"/>
      <c r="U364" s="1026"/>
      <c r="V364" s="38"/>
      <c r="W364" s="38"/>
      <c r="X364" s="38"/>
      <c r="Y364" s="38"/>
      <c r="Z364" s="38"/>
      <c r="AA364" s="38"/>
      <c r="AB364" s="38"/>
      <c r="AC364" s="38"/>
      <c r="AD364" s="38"/>
      <c r="AE364" s="38"/>
      <c r="AF364" s="38"/>
      <c r="AG364" s="4"/>
      <c r="AH364" s="4"/>
      <c r="AI364" s="38"/>
      <c r="AJ364" s="38"/>
      <c r="AK364" s="38"/>
      <c r="AL364" s="38"/>
      <c r="AM364" s="38"/>
      <c r="AN364" s="38"/>
      <c r="AO364" s="38"/>
      <c r="AP364" s="38"/>
      <c r="AQ364" s="38"/>
      <c r="AR364" s="38"/>
      <c r="AS364" s="4"/>
      <c r="AT364" s="1099"/>
      <c r="AU364" s="38"/>
      <c r="AV364" s="38"/>
      <c r="AW364" s="38"/>
      <c r="AX364" s="38"/>
      <c r="AY364" s="38"/>
      <c r="AZ364" s="38"/>
      <c r="BA364" s="38"/>
      <c r="BB364" s="38"/>
      <c r="BC364" s="38"/>
      <c r="BD364" s="38"/>
      <c r="BE364" s="38"/>
      <c r="BF364" s="4"/>
      <c r="BG364" s="4"/>
      <c r="BH364" s="38"/>
      <c r="BI364" s="38"/>
      <c r="BJ364" s="38"/>
      <c r="BK364" s="38"/>
      <c r="BL364" s="38"/>
      <c r="BM364" s="38"/>
      <c r="BN364" s="38"/>
      <c r="BO364" s="38"/>
      <c r="BP364" s="38"/>
      <c r="BQ364" s="4"/>
      <c r="BR364" s="4"/>
      <c r="BS364" s="4"/>
    </row>
    <row r="365" spans="1:71" x14ac:dyDescent="0.25">
      <c r="A365" s="854"/>
      <c r="B365" s="4"/>
      <c r="C365" s="4"/>
      <c r="D365" s="4"/>
      <c r="E365" s="4"/>
      <c r="F365" s="4"/>
      <c r="G365" s="4"/>
      <c r="H365" s="4"/>
      <c r="I365" s="38"/>
      <c r="J365" s="38"/>
      <c r="K365" s="4"/>
      <c r="L365" s="4"/>
      <c r="M365" s="4"/>
      <c r="N365" s="4"/>
      <c r="O365" s="4"/>
      <c r="P365" s="4"/>
      <c r="Q365" s="4"/>
      <c r="R365" s="4"/>
      <c r="S365" s="38"/>
      <c r="T365" s="66"/>
      <c r="U365" s="1026"/>
      <c r="V365" s="38"/>
      <c r="W365" s="38"/>
      <c r="X365" s="38"/>
      <c r="Y365" s="38"/>
      <c r="Z365" s="38"/>
      <c r="AA365" s="38"/>
      <c r="AB365" s="38"/>
      <c r="AC365" s="38"/>
      <c r="AD365" s="38"/>
      <c r="AE365" s="38"/>
      <c r="AF365" s="38"/>
      <c r="AG365" s="4"/>
      <c r="AH365" s="4"/>
      <c r="AI365" s="38"/>
      <c r="AJ365" s="38"/>
      <c r="AK365" s="38"/>
      <c r="AL365" s="38"/>
      <c r="AM365" s="38"/>
      <c r="AN365" s="38"/>
      <c r="AO365" s="38"/>
      <c r="AP365" s="38"/>
      <c r="AQ365" s="38"/>
      <c r="AR365" s="38"/>
      <c r="AS365" s="4"/>
      <c r="AT365" s="1099"/>
      <c r="AU365" s="38"/>
      <c r="AV365" s="38"/>
      <c r="AW365" s="38"/>
      <c r="AX365" s="38"/>
      <c r="AY365" s="38"/>
      <c r="AZ365" s="38"/>
      <c r="BA365" s="38"/>
      <c r="BB365" s="38"/>
      <c r="BC365" s="38"/>
      <c r="BD365" s="38"/>
      <c r="BE365" s="38"/>
      <c r="BF365" s="4"/>
      <c r="BG365" s="4"/>
      <c r="BH365" s="38"/>
      <c r="BI365" s="38"/>
      <c r="BJ365" s="38"/>
      <c r="BK365" s="38"/>
      <c r="BL365" s="38"/>
      <c r="BM365" s="38"/>
      <c r="BN365" s="38"/>
      <c r="BO365" s="38"/>
      <c r="BP365" s="38"/>
      <c r="BQ365" s="4"/>
      <c r="BR365" s="4"/>
      <c r="BS365" s="4"/>
    </row>
    <row r="366" spans="1:71" x14ac:dyDescent="0.25">
      <c r="A366" s="854"/>
      <c r="B366" s="4"/>
      <c r="C366" s="4"/>
      <c r="D366" s="4"/>
      <c r="E366" s="4"/>
      <c r="F366" s="4"/>
      <c r="G366" s="4"/>
      <c r="H366" s="4"/>
      <c r="I366" s="38"/>
      <c r="J366" s="38"/>
      <c r="K366" s="4"/>
      <c r="L366" s="4"/>
      <c r="M366" s="4"/>
      <c r="N366" s="4"/>
      <c r="O366" s="4"/>
      <c r="P366" s="4"/>
      <c r="Q366" s="4"/>
      <c r="R366" s="4"/>
      <c r="S366" s="38"/>
      <c r="T366" s="66"/>
      <c r="U366" s="1026"/>
      <c r="V366" s="38"/>
      <c r="W366" s="38"/>
      <c r="X366" s="38"/>
      <c r="Y366" s="38"/>
      <c r="Z366" s="38"/>
      <c r="AA366" s="38"/>
      <c r="AB366" s="38"/>
      <c r="AC366" s="38"/>
      <c r="AD366" s="38"/>
      <c r="AE366" s="38"/>
      <c r="AF366" s="38"/>
      <c r="AG366" s="4"/>
      <c r="AH366" s="4"/>
      <c r="AI366" s="38"/>
      <c r="AJ366" s="38"/>
      <c r="AK366" s="38"/>
      <c r="AL366" s="38"/>
      <c r="AM366" s="38"/>
      <c r="AN366" s="38"/>
      <c r="AO366" s="38"/>
      <c r="AP366" s="38"/>
      <c r="AQ366" s="38"/>
      <c r="AR366" s="38"/>
      <c r="AS366" s="4"/>
      <c r="AT366" s="1099"/>
      <c r="AU366" s="38"/>
      <c r="AV366" s="38"/>
      <c r="AW366" s="38"/>
      <c r="AX366" s="38"/>
      <c r="AY366" s="38"/>
      <c r="AZ366" s="38"/>
      <c r="BA366" s="38"/>
      <c r="BB366" s="38"/>
      <c r="BC366" s="38"/>
      <c r="BD366" s="38"/>
      <c r="BE366" s="38"/>
      <c r="BF366" s="4"/>
      <c r="BG366" s="4"/>
      <c r="BH366" s="38"/>
      <c r="BI366" s="38"/>
      <c r="BJ366" s="38"/>
      <c r="BK366" s="38"/>
      <c r="BL366" s="38"/>
      <c r="BM366" s="38"/>
      <c r="BN366" s="38"/>
      <c r="BO366" s="38"/>
      <c r="BP366" s="38"/>
      <c r="BQ366" s="4"/>
      <c r="BR366" s="4"/>
      <c r="BS366" s="4"/>
    </row>
    <row r="367" spans="1:71" x14ac:dyDescent="0.25">
      <c r="A367" s="854"/>
      <c r="B367" s="4"/>
      <c r="C367" s="4"/>
      <c r="D367" s="4"/>
      <c r="E367" s="4"/>
      <c r="F367" s="4"/>
      <c r="G367" s="4"/>
      <c r="H367" s="4"/>
      <c r="I367" s="38"/>
      <c r="J367" s="38"/>
      <c r="K367" s="4"/>
      <c r="L367" s="4"/>
      <c r="M367" s="4"/>
      <c r="N367" s="4"/>
      <c r="O367" s="4"/>
      <c r="P367" s="4"/>
      <c r="Q367" s="4"/>
      <c r="R367" s="4"/>
      <c r="S367" s="38"/>
      <c r="T367" s="66"/>
      <c r="U367" s="1026"/>
      <c r="V367" s="38"/>
      <c r="W367" s="38"/>
      <c r="X367" s="38"/>
      <c r="Y367" s="38"/>
      <c r="Z367" s="38"/>
      <c r="AA367" s="38"/>
      <c r="AB367" s="38"/>
      <c r="AC367" s="38"/>
      <c r="AD367" s="38"/>
      <c r="AE367" s="38"/>
      <c r="AF367" s="38"/>
      <c r="AG367" s="4"/>
      <c r="AH367" s="4"/>
      <c r="AI367" s="38"/>
      <c r="AJ367" s="38"/>
      <c r="AK367" s="38"/>
      <c r="AL367" s="38"/>
      <c r="AM367" s="38"/>
      <c r="AN367" s="38"/>
      <c r="AO367" s="38"/>
      <c r="AP367" s="38"/>
      <c r="AQ367" s="38"/>
      <c r="AR367" s="38"/>
      <c r="AS367" s="4"/>
      <c r="AT367" s="1099"/>
      <c r="AU367" s="38"/>
      <c r="AV367" s="38"/>
      <c r="AW367" s="38"/>
      <c r="AX367" s="38"/>
      <c r="AY367" s="38"/>
      <c r="AZ367" s="38"/>
      <c r="BA367" s="38"/>
      <c r="BB367" s="38"/>
      <c r="BC367" s="38"/>
      <c r="BD367" s="38"/>
      <c r="BE367" s="38"/>
      <c r="BF367" s="4"/>
      <c r="BG367" s="4"/>
      <c r="BH367" s="38"/>
      <c r="BI367" s="38"/>
      <c r="BJ367" s="38"/>
      <c r="BK367" s="38"/>
      <c r="BL367" s="38"/>
      <c r="BM367" s="38"/>
      <c r="BN367" s="38"/>
      <c r="BO367" s="38"/>
      <c r="BP367" s="38"/>
      <c r="BQ367" s="4"/>
      <c r="BR367" s="4"/>
      <c r="BS367" s="4"/>
    </row>
    <row r="368" spans="1:71" x14ac:dyDescent="0.25">
      <c r="A368" s="854"/>
      <c r="B368" s="4"/>
      <c r="C368" s="4"/>
      <c r="D368" s="4"/>
      <c r="E368" s="4"/>
      <c r="F368" s="4"/>
      <c r="G368" s="4"/>
      <c r="H368" s="4"/>
      <c r="I368" s="38"/>
      <c r="J368" s="38"/>
      <c r="K368" s="4"/>
      <c r="L368" s="4"/>
      <c r="M368" s="4"/>
      <c r="N368" s="4"/>
      <c r="O368" s="4"/>
      <c r="P368" s="4"/>
      <c r="Q368" s="4"/>
      <c r="R368" s="4"/>
      <c r="S368" s="38"/>
      <c r="T368" s="66"/>
      <c r="U368" s="1026"/>
      <c r="V368" s="38"/>
      <c r="W368" s="38"/>
      <c r="X368" s="38"/>
      <c r="Y368" s="38"/>
      <c r="Z368" s="38"/>
      <c r="AA368" s="38"/>
      <c r="AB368" s="38"/>
      <c r="AC368" s="38"/>
      <c r="AD368" s="38"/>
      <c r="AE368" s="38"/>
      <c r="AF368" s="38"/>
      <c r="AG368" s="4"/>
      <c r="AH368" s="4"/>
      <c r="AI368" s="38"/>
      <c r="AJ368" s="38"/>
      <c r="AK368" s="38"/>
      <c r="AL368" s="38"/>
      <c r="AM368" s="38"/>
      <c r="AN368" s="38"/>
      <c r="AO368" s="38"/>
      <c r="AP368" s="38"/>
      <c r="AQ368" s="38"/>
      <c r="AR368" s="38"/>
      <c r="AS368" s="4"/>
      <c r="AT368" s="1099"/>
      <c r="AU368" s="38"/>
      <c r="AV368" s="38"/>
      <c r="AW368" s="38"/>
      <c r="AX368" s="38"/>
      <c r="AY368" s="38"/>
      <c r="AZ368" s="38"/>
      <c r="BA368" s="38"/>
      <c r="BB368" s="38"/>
      <c r="BC368" s="38"/>
      <c r="BD368" s="38"/>
      <c r="BE368" s="38"/>
      <c r="BF368" s="4"/>
      <c r="BG368" s="4"/>
      <c r="BH368" s="38"/>
      <c r="BI368" s="38"/>
      <c r="BJ368" s="38"/>
      <c r="BK368" s="38"/>
      <c r="BL368" s="38"/>
      <c r="BM368" s="38"/>
      <c r="BN368" s="38"/>
      <c r="BO368" s="38"/>
      <c r="BP368" s="38"/>
      <c r="BQ368" s="4"/>
      <c r="BR368" s="4"/>
      <c r="BS368" s="4"/>
    </row>
    <row r="369" spans="1:71" x14ac:dyDescent="0.25">
      <c r="A369" s="854"/>
      <c r="B369" s="4"/>
      <c r="C369" s="4"/>
      <c r="D369" s="4"/>
      <c r="E369" s="4"/>
      <c r="F369" s="4"/>
      <c r="G369" s="4"/>
      <c r="H369" s="4"/>
      <c r="I369" s="38"/>
      <c r="J369" s="38"/>
      <c r="K369" s="4"/>
      <c r="L369" s="4"/>
      <c r="M369" s="4"/>
      <c r="N369" s="4"/>
      <c r="O369" s="4"/>
      <c r="P369" s="4"/>
      <c r="Q369" s="4"/>
      <c r="R369" s="4"/>
      <c r="S369" s="38"/>
      <c r="T369" s="66"/>
      <c r="U369" s="1026"/>
      <c r="V369" s="38"/>
      <c r="W369" s="38"/>
      <c r="X369" s="38"/>
      <c r="Y369" s="38"/>
      <c r="Z369" s="38"/>
      <c r="AA369" s="38"/>
      <c r="AB369" s="38"/>
      <c r="AC369" s="38"/>
      <c r="AD369" s="38"/>
      <c r="AE369" s="38"/>
      <c r="AF369" s="38"/>
      <c r="AG369" s="4"/>
      <c r="AH369" s="4"/>
      <c r="AI369" s="38"/>
      <c r="AJ369" s="38"/>
      <c r="AK369" s="38"/>
      <c r="AL369" s="38"/>
      <c r="AM369" s="38"/>
      <c r="AN369" s="38"/>
      <c r="AO369" s="38"/>
      <c r="AP369" s="38"/>
      <c r="AQ369" s="38"/>
      <c r="AR369" s="38"/>
      <c r="AS369" s="4"/>
      <c r="AT369" s="1099"/>
      <c r="AU369" s="38"/>
      <c r="AV369" s="38"/>
      <c r="AW369" s="38"/>
      <c r="AX369" s="38"/>
      <c r="AY369" s="38"/>
      <c r="AZ369" s="38"/>
      <c r="BA369" s="38"/>
      <c r="BB369" s="38"/>
      <c r="BC369" s="38"/>
      <c r="BD369" s="38"/>
      <c r="BE369" s="38"/>
      <c r="BF369" s="4"/>
      <c r="BG369" s="4"/>
      <c r="BH369" s="38"/>
      <c r="BI369" s="38"/>
      <c r="BJ369" s="38"/>
      <c r="BK369" s="38"/>
      <c r="BL369" s="38"/>
      <c r="BM369" s="38"/>
      <c r="BN369" s="38"/>
      <c r="BO369" s="38"/>
      <c r="BP369" s="38"/>
      <c r="BQ369" s="4"/>
      <c r="BR369" s="4"/>
      <c r="BS369" s="4"/>
    </row>
    <row r="370" spans="1:71" x14ac:dyDescent="0.25">
      <c r="A370" s="854"/>
      <c r="B370" s="4"/>
      <c r="C370" s="4"/>
      <c r="D370" s="4"/>
      <c r="E370" s="4"/>
      <c r="F370" s="4"/>
      <c r="G370" s="4"/>
      <c r="H370" s="4"/>
      <c r="I370" s="38"/>
      <c r="J370" s="38"/>
      <c r="K370" s="4"/>
      <c r="L370" s="4"/>
      <c r="M370" s="4"/>
      <c r="N370" s="4"/>
      <c r="O370" s="4"/>
      <c r="P370" s="4"/>
      <c r="Q370" s="4"/>
      <c r="R370" s="4"/>
      <c r="S370" s="38"/>
      <c r="T370" s="66"/>
      <c r="U370" s="1026"/>
      <c r="V370" s="38"/>
      <c r="W370" s="38"/>
      <c r="X370" s="38"/>
      <c r="Y370" s="38"/>
      <c r="Z370" s="38"/>
      <c r="AA370" s="38"/>
      <c r="AB370" s="38"/>
      <c r="AC370" s="38"/>
      <c r="AD370" s="38"/>
      <c r="AE370" s="38"/>
      <c r="AF370" s="38"/>
      <c r="AG370" s="4"/>
      <c r="AH370" s="4"/>
      <c r="AI370" s="38"/>
      <c r="AJ370" s="38"/>
      <c r="AK370" s="38"/>
      <c r="AL370" s="38"/>
      <c r="AM370" s="38"/>
      <c r="AN370" s="38"/>
      <c r="AO370" s="38"/>
      <c r="AP370" s="38"/>
      <c r="AQ370" s="38"/>
      <c r="AR370" s="38"/>
      <c r="AS370" s="4"/>
      <c r="AT370" s="1099"/>
      <c r="AU370" s="38"/>
      <c r="AV370" s="38"/>
      <c r="AW370" s="38"/>
      <c r="AX370" s="38"/>
      <c r="AY370" s="38"/>
      <c r="AZ370" s="38"/>
      <c r="BA370" s="38"/>
      <c r="BB370" s="38"/>
      <c r="BC370" s="38"/>
      <c r="BD370" s="38"/>
      <c r="BE370" s="38"/>
      <c r="BF370" s="4"/>
      <c r="BG370" s="4"/>
      <c r="BH370" s="38"/>
      <c r="BI370" s="38"/>
      <c r="BJ370" s="38"/>
      <c r="BK370" s="38"/>
      <c r="BL370" s="38"/>
      <c r="BM370" s="38"/>
      <c r="BN370" s="38"/>
      <c r="BO370" s="38"/>
      <c r="BP370" s="38"/>
      <c r="BQ370" s="4"/>
      <c r="BR370" s="4"/>
      <c r="BS370" s="4"/>
    </row>
    <row r="371" spans="1:71" x14ac:dyDescent="0.25">
      <c r="A371" s="854"/>
      <c r="B371" s="4"/>
      <c r="C371" s="4"/>
      <c r="D371" s="4"/>
      <c r="E371" s="4"/>
      <c r="F371" s="4"/>
      <c r="G371" s="4"/>
      <c r="H371" s="4"/>
      <c r="I371" s="38"/>
      <c r="J371" s="38"/>
      <c r="K371" s="4"/>
      <c r="L371" s="4"/>
      <c r="M371" s="4"/>
      <c r="N371" s="4"/>
      <c r="O371" s="4"/>
      <c r="P371" s="4"/>
      <c r="Q371" s="4"/>
      <c r="R371" s="4"/>
      <c r="S371" s="38"/>
      <c r="T371" s="66"/>
      <c r="U371" s="1026"/>
      <c r="V371" s="38"/>
      <c r="W371" s="38"/>
      <c r="X371" s="38"/>
      <c r="Y371" s="38"/>
      <c r="Z371" s="38"/>
      <c r="AA371" s="38"/>
      <c r="AB371" s="38"/>
      <c r="AC371" s="38"/>
      <c r="AD371" s="38"/>
      <c r="AE371" s="38"/>
      <c r="AF371" s="38"/>
      <c r="AG371" s="4"/>
      <c r="AH371" s="4"/>
      <c r="AI371" s="38"/>
      <c r="AJ371" s="38"/>
      <c r="AK371" s="38"/>
      <c r="AL371" s="38"/>
      <c r="AM371" s="38"/>
      <c r="AN371" s="38"/>
      <c r="AO371" s="38"/>
      <c r="AP371" s="38"/>
      <c r="AQ371" s="38"/>
      <c r="AR371" s="38"/>
      <c r="AS371" s="4"/>
      <c r="AT371" s="1099"/>
      <c r="AU371" s="38"/>
      <c r="AV371" s="38"/>
      <c r="AW371" s="38"/>
      <c r="AX371" s="38"/>
      <c r="AY371" s="38"/>
      <c r="AZ371" s="38"/>
      <c r="BA371" s="38"/>
      <c r="BB371" s="38"/>
      <c r="BC371" s="38"/>
      <c r="BD371" s="38"/>
      <c r="BE371" s="38"/>
      <c r="BF371" s="4"/>
      <c r="BG371" s="4"/>
      <c r="BH371" s="38"/>
      <c r="BI371" s="38"/>
      <c r="BJ371" s="38"/>
      <c r="BK371" s="38"/>
      <c r="BL371" s="38"/>
      <c r="BM371" s="38"/>
      <c r="BN371" s="38"/>
      <c r="BO371" s="38"/>
      <c r="BP371" s="38"/>
      <c r="BQ371" s="4"/>
      <c r="BR371" s="4"/>
      <c r="BS371" s="4"/>
    </row>
    <row r="372" spans="1:71" x14ac:dyDescent="0.25">
      <c r="A372" s="854"/>
      <c r="B372" s="4"/>
      <c r="C372" s="4"/>
      <c r="D372" s="4"/>
      <c r="E372" s="4"/>
      <c r="F372" s="4"/>
      <c r="G372" s="4"/>
      <c r="H372" s="4"/>
      <c r="I372" s="38"/>
      <c r="J372" s="38"/>
      <c r="K372" s="4"/>
      <c r="L372" s="4"/>
      <c r="M372" s="4"/>
      <c r="N372" s="4"/>
      <c r="O372" s="4"/>
      <c r="P372" s="4"/>
      <c r="Q372" s="4"/>
      <c r="R372" s="4"/>
      <c r="S372" s="38"/>
      <c r="T372" s="66"/>
      <c r="U372" s="1026"/>
      <c r="V372" s="38"/>
      <c r="W372" s="38"/>
      <c r="X372" s="38"/>
      <c r="Y372" s="38"/>
      <c r="Z372" s="38"/>
      <c r="AA372" s="38"/>
      <c r="AB372" s="38"/>
      <c r="AC372" s="38"/>
      <c r="AD372" s="38"/>
      <c r="AE372" s="38"/>
      <c r="AF372" s="38"/>
      <c r="AG372" s="4"/>
      <c r="AH372" s="4"/>
      <c r="AI372" s="38"/>
      <c r="AJ372" s="38"/>
      <c r="AK372" s="38"/>
      <c r="AL372" s="38"/>
      <c r="AM372" s="38"/>
      <c r="AN372" s="38"/>
      <c r="AO372" s="38"/>
      <c r="AP372" s="38"/>
      <c r="AQ372" s="38"/>
      <c r="AR372" s="38"/>
      <c r="AS372" s="4"/>
      <c r="AT372" s="1099"/>
      <c r="AU372" s="38"/>
      <c r="AV372" s="38"/>
      <c r="AW372" s="38"/>
      <c r="AX372" s="38"/>
      <c r="AY372" s="38"/>
      <c r="AZ372" s="38"/>
      <c r="BA372" s="38"/>
      <c r="BB372" s="38"/>
      <c r="BC372" s="38"/>
      <c r="BD372" s="38"/>
      <c r="BE372" s="38"/>
      <c r="BF372" s="4"/>
      <c r="BG372" s="4"/>
      <c r="BH372" s="38"/>
      <c r="BI372" s="38"/>
      <c r="BJ372" s="38"/>
      <c r="BK372" s="38"/>
      <c r="BL372" s="38"/>
      <c r="BM372" s="38"/>
      <c r="BN372" s="38"/>
      <c r="BO372" s="38"/>
      <c r="BP372" s="38"/>
      <c r="BQ372" s="4"/>
      <c r="BR372" s="4"/>
      <c r="BS372" s="4"/>
    </row>
    <row r="373" spans="1:71" x14ac:dyDescent="0.25">
      <c r="A373" s="854"/>
      <c r="B373" s="4"/>
      <c r="C373" s="4"/>
      <c r="D373" s="4"/>
      <c r="E373" s="4"/>
      <c r="F373" s="4"/>
      <c r="G373" s="4"/>
      <c r="H373" s="4"/>
      <c r="I373" s="38"/>
      <c r="J373" s="38"/>
      <c r="K373" s="4"/>
      <c r="L373" s="4"/>
      <c r="M373" s="4"/>
      <c r="N373" s="4"/>
      <c r="O373" s="4"/>
      <c r="P373" s="4"/>
      <c r="Q373" s="4"/>
      <c r="R373" s="4"/>
      <c r="S373" s="38"/>
      <c r="T373" s="66"/>
      <c r="U373" s="1026"/>
      <c r="V373" s="38"/>
      <c r="W373" s="38"/>
      <c r="X373" s="38"/>
      <c r="Y373" s="38"/>
      <c r="Z373" s="38"/>
      <c r="AA373" s="38"/>
      <c r="AB373" s="38"/>
      <c r="AC373" s="38"/>
      <c r="AD373" s="38"/>
      <c r="AE373" s="38"/>
      <c r="AF373" s="38"/>
      <c r="AG373" s="4"/>
      <c r="AH373" s="4"/>
      <c r="AI373" s="38"/>
      <c r="AJ373" s="38"/>
      <c r="AK373" s="38"/>
      <c r="AL373" s="38"/>
      <c r="AM373" s="38"/>
      <c r="AN373" s="38"/>
      <c r="AO373" s="38"/>
      <c r="AP373" s="38"/>
      <c r="AQ373" s="38"/>
      <c r="AR373" s="38"/>
      <c r="AS373" s="4"/>
      <c r="AT373" s="1099"/>
      <c r="AU373" s="38"/>
      <c r="AV373" s="38"/>
      <c r="AW373" s="38"/>
      <c r="AX373" s="38"/>
      <c r="AY373" s="38"/>
      <c r="AZ373" s="38"/>
      <c r="BA373" s="38"/>
      <c r="BB373" s="38"/>
      <c r="BC373" s="38"/>
      <c r="BD373" s="38"/>
      <c r="BE373" s="38"/>
      <c r="BF373" s="4"/>
      <c r="BG373" s="4"/>
      <c r="BH373" s="38"/>
      <c r="BI373" s="38"/>
      <c r="BJ373" s="38"/>
      <c r="BK373" s="38"/>
      <c r="BL373" s="38"/>
      <c r="BM373" s="38"/>
      <c r="BN373" s="38"/>
      <c r="BO373" s="38"/>
      <c r="BP373" s="38"/>
      <c r="BQ373" s="4"/>
      <c r="BR373" s="4"/>
      <c r="BS373" s="4"/>
    </row>
  </sheetData>
  <mergeCells count="41">
    <mergeCell ref="AL41:AL43"/>
    <mergeCell ref="AM41:AM43"/>
    <mergeCell ref="AB41:AB43"/>
    <mergeCell ref="AC41:AC43"/>
    <mergeCell ref="AD41:AD43"/>
    <mergeCell ref="AE41:AE43"/>
    <mergeCell ref="V41:V43"/>
    <mergeCell ref="W41:W43"/>
    <mergeCell ref="AA41:AA43"/>
    <mergeCell ref="Z41:Z43"/>
    <mergeCell ref="X41:X43"/>
    <mergeCell ref="Y41:Y43"/>
    <mergeCell ref="AN41:AN43"/>
    <mergeCell ref="AO41:AO43"/>
    <mergeCell ref="AP41:AP43"/>
    <mergeCell ref="AQ41:AQ43"/>
    <mergeCell ref="AD34:AD36"/>
    <mergeCell ref="AE34:AE36"/>
    <mergeCell ref="AH34:AH36"/>
    <mergeCell ref="AI34:AI36"/>
    <mergeCell ref="AJ34:AJ36"/>
    <mergeCell ref="AK34:AK36"/>
    <mergeCell ref="AL34:AL36"/>
    <mergeCell ref="AM34:AM36"/>
    <mergeCell ref="AH41:AH43"/>
    <mergeCell ref="AI41:AI43"/>
    <mergeCell ref="AJ41:AJ43"/>
    <mergeCell ref="AK41:AK43"/>
    <mergeCell ref="U34:U36"/>
    <mergeCell ref="AN34:AN36"/>
    <mergeCell ref="AO34:AO36"/>
    <mergeCell ref="AP34:AP36"/>
    <mergeCell ref="AQ34:AQ36"/>
    <mergeCell ref="AA34:AA36"/>
    <mergeCell ref="Z34:Z36"/>
    <mergeCell ref="Y34:Y36"/>
    <mergeCell ref="V34:V36"/>
    <mergeCell ref="W34:W36"/>
    <mergeCell ref="X34:X36"/>
    <mergeCell ref="AB34:AB36"/>
    <mergeCell ref="AC34:AC36"/>
  </mergeCells>
  <conditionalFormatting sqref="F69:P69 AV69:BD69">
    <cfRule type="cellIs" dxfId="11" priority="19" operator="lessThan">
      <formula>-0.25</formula>
    </cfRule>
    <cfRule type="cellIs" dxfId="10" priority="21" operator="lessThan">
      <formula>-0.249999999</formula>
    </cfRule>
  </conditionalFormatting>
  <conditionalFormatting sqref="F70:P70 AV70:BD70">
    <cfRule type="cellIs" dxfId="9" priority="20" operator="greaterThan">
      <formula>0.25</formula>
    </cfRule>
  </conditionalFormatting>
  <conditionalFormatting sqref="W69:AE69">
    <cfRule type="cellIs" dxfId="8" priority="10" operator="lessThan">
      <formula>-0.25</formula>
    </cfRule>
    <cfRule type="cellIs" dxfId="7" priority="12" operator="lessThan">
      <formula>-0.249999999</formula>
    </cfRule>
  </conditionalFormatting>
  <conditionalFormatting sqref="W70:AE70">
    <cfRule type="cellIs" dxfId="6" priority="11" operator="greaterThan">
      <formula>0.25</formula>
    </cfRule>
  </conditionalFormatting>
  <pageMargins left="0.39" right="0.23" top="0.43" bottom="0.33" header="0.31496062992125984" footer="0.23"/>
  <pageSetup paperSize="9" scale="96" orientation="landscape" r:id="rId1"/>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471"/>
  <sheetViews>
    <sheetView zoomScale="70" zoomScaleNormal="70" workbookViewId="0">
      <pane xSplit="4" ySplit="8" topLeftCell="E177" activePane="bottomRight" state="frozen"/>
      <selection pane="topRight" activeCell="E1" sqref="E1"/>
      <selection pane="bottomLeft" activeCell="A9" sqref="A9"/>
      <selection pane="bottomRight" activeCell="I270" sqref="I270"/>
    </sheetView>
  </sheetViews>
  <sheetFormatPr defaultColWidth="9.140625" defaultRowHeight="15" outlineLevelRow="1" x14ac:dyDescent="0.2"/>
  <cols>
    <col min="1" max="1" width="7" style="22" customWidth="1"/>
    <col min="2" max="2" width="15.7109375" style="22" customWidth="1"/>
    <col min="3" max="3" width="4.28515625" style="22" customWidth="1"/>
    <col min="4" max="4" width="71.140625" style="22" customWidth="1"/>
    <col min="5" max="5" width="9.28515625" style="22" bestFit="1" customWidth="1"/>
    <col min="6" max="6" width="19.5703125" style="22" customWidth="1"/>
    <col min="7" max="15" width="19" style="22" customWidth="1"/>
    <col min="16" max="16384" width="9.140625" style="22"/>
  </cols>
  <sheetData>
    <row r="1" spans="1:36" ht="16.5" customHeight="1" x14ac:dyDescent="0.25">
      <c r="A1" s="327"/>
      <c r="B1" s="591"/>
      <c r="C1" s="327"/>
      <c r="D1" s="327"/>
      <c r="E1" s="327"/>
      <c r="F1" s="327"/>
      <c r="G1" s="327"/>
      <c r="H1" s="327"/>
      <c r="I1" s="327"/>
      <c r="J1" s="592"/>
      <c r="K1" s="589"/>
      <c r="L1" s="589"/>
      <c r="M1" s="589"/>
      <c r="N1" s="589"/>
      <c r="O1" s="589"/>
      <c r="P1" s="327"/>
      <c r="Q1" s="327"/>
      <c r="R1" s="327"/>
      <c r="S1" s="327"/>
      <c r="T1" s="327"/>
      <c r="U1" s="327"/>
      <c r="V1" s="589"/>
      <c r="W1" s="589"/>
      <c r="X1" s="589"/>
      <c r="Y1" s="589"/>
      <c r="Z1" s="589"/>
      <c r="AA1" s="589"/>
      <c r="AB1" s="589"/>
      <c r="AC1" s="21"/>
      <c r="AD1" s="21"/>
      <c r="AE1" s="21"/>
      <c r="AF1" s="21"/>
      <c r="AG1" s="21"/>
      <c r="AH1" s="21"/>
      <c r="AI1" s="21"/>
      <c r="AJ1" s="21"/>
    </row>
    <row r="2" spans="1:36" ht="16.5" customHeight="1" x14ac:dyDescent="0.25">
      <c r="A2" s="327"/>
      <c r="B2" s="591"/>
      <c r="C2" s="327"/>
      <c r="D2" s="327" t="str">
        <f>Ввод!F2</f>
        <v>ПАО "АК Барс Банк"</v>
      </c>
      <c r="E2" s="327"/>
      <c r="F2" s="327"/>
      <c r="G2" s="327"/>
      <c r="H2" s="327"/>
      <c r="I2" s="327"/>
      <c r="J2" s="592"/>
      <c r="K2" s="589"/>
      <c r="L2" s="589"/>
      <c r="M2" s="589"/>
      <c r="N2" s="589"/>
      <c r="O2" s="589"/>
      <c r="P2" s="327"/>
      <c r="Q2" s="327"/>
      <c r="R2" s="327"/>
      <c r="S2" s="327"/>
      <c r="T2" s="327"/>
      <c r="U2" s="327"/>
      <c r="V2" s="589"/>
      <c r="W2" s="589"/>
      <c r="X2" s="589"/>
      <c r="Y2" s="589"/>
      <c r="Z2" s="589"/>
      <c r="AA2" s="589"/>
      <c r="AB2" s="589"/>
      <c r="AC2" s="21"/>
      <c r="AD2" s="21"/>
      <c r="AE2" s="21"/>
      <c r="AF2" s="21"/>
      <c r="AG2" s="21"/>
      <c r="AH2" s="21"/>
      <c r="AI2" s="21"/>
      <c r="AJ2" s="21"/>
    </row>
    <row r="3" spans="1:36" ht="16.5" customHeight="1" x14ac:dyDescent="0.25">
      <c r="A3" s="327"/>
      <c r="B3" s="591"/>
      <c r="C3" s="327"/>
      <c r="D3" s="327" t="str">
        <f>Ввод!F3</f>
        <v>РСБУ</v>
      </c>
      <c r="E3" s="327"/>
      <c r="F3" s="327"/>
      <c r="G3" s="327"/>
      <c r="H3" s="327"/>
      <c r="I3" s="327"/>
      <c r="J3" s="592"/>
      <c r="K3" s="589"/>
      <c r="L3" s="589"/>
      <c r="M3" s="589"/>
      <c r="N3" s="589"/>
      <c r="O3" s="589"/>
      <c r="P3" s="327"/>
      <c r="Q3" s="327"/>
      <c r="R3" s="327"/>
      <c r="S3" s="327"/>
      <c r="T3" s="327"/>
      <c r="U3" s="327"/>
      <c r="V3" s="589"/>
      <c r="W3" s="589"/>
      <c r="X3" s="589"/>
      <c r="Y3" s="589"/>
      <c r="Z3" s="589"/>
      <c r="AA3" s="589"/>
      <c r="AB3" s="589"/>
      <c r="AC3" s="21"/>
      <c r="AD3" s="21"/>
      <c r="AE3" s="21"/>
      <c r="AF3" s="21"/>
      <c r="AG3" s="21"/>
      <c r="AH3" s="21"/>
      <c r="AI3" s="21"/>
      <c r="AJ3" s="21"/>
    </row>
    <row r="4" spans="1:36" ht="16.5" customHeight="1" x14ac:dyDescent="0.25">
      <c r="A4" s="327"/>
      <c r="B4" s="591"/>
      <c r="C4" s="327"/>
      <c r="D4" s="327" t="str">
        <f>Ввод!F4</f>
        <v>Индивидуальная (публикуемая)</v>
      </c>
      <c r="E4" s="327"/>
      <c r="F4" s="327"/>
      <c r="G4" s="327"/>
      <c r="H4" s="327"/>
      <c r="I4" s="327"/>
      <c r="J4" s="592"/>
      <c r="K4" s="589"/>
      <c r="L4" s="589"/>
      <c r="M4" s="589"/>
      <c r="N4" s="589"/>
      <c r="O4" s="589"/>
      <c r="P4" s="327"/>
      <c r="Q4" s="327"/>
      <c r="R4" s="327"/>
      <c r="S4" s="327"/>
      <c r="T4" s="327"/>
      <c r="U4" s="327"/>
      <c r="V4" s="589"/>
      <c r="W4" s="589"/>
      <c r="X4" s="589"/>
      <c r="Y4" s="589"/>
      <c r="Z4" s="589"/>
      <c r="AA4" s="589"/>
      <c r="AB4" s="589"/>
      <c r="AC4" s="21"/>
      <c r="AD4" s="21"/>
      <c r="AE4" s="21"/>
      <c r="AF4" s="21"/>
      <c r="AG4" s="21"/>
      <c r="AH4" s="21"/>
      <c r="AI4" s="21"/>
      <c r="AJ4" s="21"/>
    </row>
    <row r="5" spans="1:36" ht="16.5" customHeight="1" x14ac:dyDescent="0.25">
      <c r="A5" s="21"/>
      <c r="B5" s="338"/>
      <c r="C5" s="21"/>
      <c r="D5" s="338" t="s">
        <v>878</v>
      </c>
      <c r="E5" s="21"/>
      <c r="F5" s="21"/>
      <c r="G5" s="21"/>
      <c r="H5" s="21"/>
      <c r="I5" s="21"/>
      <c r="J5" s="339"/>
      <c r="K5" s="340"/>
      <c r="L5" s="340"/>
      <c r="M5" s="340"/>
      <c r="N5" s="340"/>
      <c r="O5" s="340"/>
      <c r="P5" s="21"/>
      <c r="Q5" s="21"/>
      <c r="R5" s="21"/>
      <c r="S5" s="21"/>
      <c r="T5" s="21"/>
      <c r="U5" s="21"/>
      <c r="V5" s="340"/>
      <c r="W5" s="340"/>
      <c r="X5" s="340"/>
      <c r="Y5" s="340"/>
      <c r="Z5" s="340"/>
      <c r="AA5" s="340"/>
      <c r="AB5" s="340"/>
      <c r="AC5" s="21"/>
      <c r="AD5" s="21"/>
      <c r="AE5" s="21"/>
      <c r="AF5" s="21"/>
      <c r="AG5" s="21"/>
      <c r="AH5" s="21"/>
      <c r="AI5" s="21"/>
      <c r="AJ5" s="21"/>
    </row>
    <row r="6" spans="1:36" ht="16.5" customHeight="1" x14ac:dyDescent="0.25">
      <c r="A6" s="21"/>
      <c r="B6" s="338"/>
      <c r="C6" s="21"/>
      <c r="D6" s="338"/>
      <c r="E6" s="21"/>
      <c r="F6" s="21"/>
      <c r="G6" s="21"/>
      <c r="H6" s="21"/>
      <c r="I6" s="21"/>
      <c r="J6" s="339"/>
      <c r="K6" s="340"/>
      <c r="L6" s="340"/>
      <c r="M6" s="340"/>
      <c r="N6" s="340"/>
      <c r="O6" s="340"/>
      <c r="P6" s="21"/>
      <c r="Q6" s="21"/>
      <c r="R6" s="21"/>
      <c r="S6" s="21"/>
      <c r="T6" s="21"/>
      <c r="U6" s="21"/>
      <c r="V6" s="340"/>
      <c r="W6" s="340"/>
      <c r="X6" s="340"/>
      <c r="Y6" s="340"/>
      <c r="Z6" s="340"/>
      <c r="AA6" s="340"/>
      <c r="AB6" s="340"/>
      <c r="AC6" s="21"/>
      <c r="AD6" s="21"/>
      <c r="AE6" s="21"/>
      <c r="AF6" s="21"/>
      <c r="AG6" s="21"/>
      <c r="AH6" s="21"/>
      <c r="AI6" s="21"/>
      <c r="AJ6" s="21"/>
    </row>
    <row r="7" spans="1:36" s="1" customFormat="1" ht="14.25" x14ac:dyDescent="0.2">
      <c r="A7" s="4"/>
      <c r="B7" s="4"/>
      <c r="C7" s="4"/>
      <c r="D7" s="4" t="str">
        <f>Баланс!B7</f>
        <v>млрд руб.</v>
      </c>
      <c r="F7" s="4"/>
      <c r="G7" s="4" t="s">
        <v>348</v>
      </c>
      <c r="H7" s="4"/>
      <c r="I7" s="4"/>
      <c r="J7" s="4"/>
      <c r="K7" s="4"/>
      <c r="L7" s="4"/>
      <c r="M7" s="4"/>
      <c r="N7" s="4"/>
      <c r="O7" s="4"/>
      <c r="P7" s="4"/>
      <c r="Q7" s="4" t="s">
        <v>909</v>
      </c>
      <c r="R7" s="4"/>
      <c r="S7" s="4"/>
      <c r="T7" s="4"/>
      <c r="U7" s="4"/>
      <c r="V7" s="71"/>
      <c r="W7" s="71"/>
      <c r="X7" s="71"/>
      <c r="Y7" s="71"/>
      <c r="Z7" s="71"/>
      <c r="AA7" s="71"/>
      <c r="AB7" s="71"/>
      <c r="AC7" s="4"/>
      <c r="AD7" s="4"/>
      <c r="AE7" s="4"/>
      <c r="AF7" s="4"/>
      <c r="AG7" s="4"/>
      <c r="AH7" s="4"/>
      <c r="AI7" s="4"/>
      <c r="AJ7" s="4"/>
    </row>
    <row r="8" spans="1:36" s="1" customFormat="1" ht="14.25" x14ac:dyDescent="0.2">
      <c r="A8" s="15"/>
      <c r="B8" s="15"/>
      <c r="C8" s="15"/>
      <c r="D8" s="15"/>
      <c r="E8" s="539"/>
      <c r="F8" s="539">
        <f>Ввод!G7</f>
        <v>2016</v>
      </c>
      <c r="G8" s="539">
        <f>Ввод!H7</f>
        <v>2017</v>
      </c>
      <c r="H8" s="539">
        <f>Ввод!I7</f>
        <v>2018</v>
      </c>
      <c r="I8" s="539">
        <f>Ввод!J7</f>
        <v>2019</v>
      </c>
      <c r="J8" s="539">
        <f>Ввод!K7</f>
        <v>2020</v>
      </c>
      <c r="K8" s="539">
        <f>Ввод!L7</f>
        <v>2021</v>
      </c>
      <c r="L8" s="539">
        <f>Ввод!M7</f>
        <v>2022</v>
      </c>
      <c r="M8" s="539">
        <f>Ввод!N7</f>
        <v>2023</v>
      </c>
      <c r="N8" s="539">
        <f>Ввод!O7</f>
        <v>2024</v>
      </c>
      <c r="O8" s="539">
        <f>Ввод!P7</f>
        <v>2025</v>
      </c>
      <c r="P8" s="236"/>
      <c r="Q8" s="539">
        <f>Ввод!F7</f>
        <v>0</v>
      </c>
      <c r="R8" s="539">
        <f>Ввод!G7</f>
        <v>2016</v>
      </c>
      <c r="S8" s="539">
        <f>Ввод!H7</f>
        <v>2017</v>
      </c>
      <c r="T8" s="539">
        <f>Ввод!I7</f>
        <v>2018</v>
      </c>
      <c r="U8" s="539">
        <f>Ввод!J7</f>
        <v>2019</v>
      </c>
      <c r="V8" s="539">
        <f>Ввод!K7</f>
        <v>2020</v>
      </c>
      <c r="W8" s="539">
        <f>Ввод!L7</f>
        <v>2021</v>
      </c>
      <c r="X8" s="539">
        <f>Ввод!M7</f>
        <v>2022</v>
      </c>
      <c r="Y8" s="539">
        <f>Ввод!N7</f>
        <v>2023</v>
      </c>
      <c r="Z8" s="539">
        <f>Ввод!O7</f>
        <v>2024</v>
      </c>
      <c r="AA8" s="539">
        <f>Ввод!P7</f>
        <v>2025</v>
      </c>
      <c r="AB8" s="539">
        <f>Ввод!Q7</f>
        <v>0</v>
      </c>
      <c r="AC8" s="4"/>
      <c r="AD8" s="4"/>
      <c r="AE8" s="4"/>
      <c r="AF8" s="4"/>
      <c r="AG8" s="4"/>
      <c r="AH8" s="4"/>
      <c r="AI8" s="4"/>
      <c r="AJ8" s="4"/>
    </row>
    <row r="9" spans="1:36" s="611" customFormat="1" ht="24" customHeight="1" x14ac:dyDescent="0.25">
      <c r="A9" s="609"/>
      <c r="B9" s="609" t="s">
        <v>994</v>
      </c>
      <c r="C9" s="609"/>
      <c r="D9" s="609"/>
      <c r="E9" s="610"/>
      <c r="F9" s="610"/>
      <c r="G9" s="610"/>
      <c r="H9" s="610"/>
      <c r="I9" s="610"/>
      <c r="J9" s="610"/>
      <c r="K9" s="610"/>
      <c r="L9" s="610"/>
      <c r="M9" s="610"/>
      <c r="N9" s="610"/>
      <c r="O9" s="610"/>
      <c r="P9" s="609"/>
      <c r="Q9" s="610"/>
      <c r="R9" s="610"/>
      <c r="S9" s="610"/>
      <c r="T9" s="610"/>
      <c r="U9" s="610"/>
      <c r="V9" s="610"/>
      <c r="W9" s="610"/>
      <c r="X9" s="610"/>
      <c r="Y9" s="610"/>
      <c r="Z9" s="610"/>
      <c r="AA9" s="610"/>
      <c r="AB9" s="610"/>
      <c r="AC9" s="609"/>
      <c r="AD9" s="609"/>
      <c r="AE9" s="609"/>
      <c r="AF9" s="609"/>
      <c r="AG9" s="609"/>
      <c r="AH9" s="609"/>
      <c r="AI9" s="609"/>
      <c r="AJ9" s="609"/>
    </row>
    <row r="10" spans="1:36" s="1" customFormat="1" x14ac:dyDescent="0.25">
      <c r="A10" s="597">
        <v>1</v>
      </c>
      <c r="B10" s="598" t="s">
        <v>879</v>
      </c>
      <c r="C10" s="509"/>
      <c r="D10" s="509"/>
      <c r="E10" s="599"/>
      <c r="F10" s="599"/>
      <c r="G10" s="599"/>
      <c r="H10" s="599"/>
      <c r="I10" s="599"/>
      <c r="J10" s="599"/>
      <c r="K10" s="599"/>
      <c r="L10" s="599"/>
      <c r="M10" s="599"/>
      <c r="N10" s="599"/>
      <c r="O10" s="599"/>
      <c r="P10" s="599"/>
      <c r="Q10" s="570"/>
      <c r="R10" s="570"/>
      <c r="S10" s="570"/>
      <c r="T10" s="570"/>
      <c r="U10" s="570"/>
      <c r="V10" s="570"/>
      <c r="W10" s="570"/>
      <c r="X10" s="570"/>
      <c r="Y10" s="570"/>
      <c r="Z10" s="570"/>
      <c r="AA10" s="570"/>
      <c r="AB10" s="570"/>
      <c r="AC10" s="547"/>
      <c r="AD10" s="4"/>
      <c r="AE10" s="4"/>
      <c r="AF10" s="4"/>
      <c r="AG10" s="4"/>
      <c r="AH10" s="4"/>
      <c r="AI10" s="4"/>
      <c r="AJ10" s="4"/>
    </row>
    <row r="11" spans="1:36" s="1" customFormat="1" ht="14.25" outlineLevel="1" x14ac:dyDescent="0.2">
      <c r="A11" s="36"/>
      <c r="B11" s="489" t="s">
        <v>4</v>
      </c>
      <c r="C11" s="4" t="str">
        <f>Ввод!E450</f>
        <v>Корпоративные кредиты</v>
      </c>
      <c r="D11" s="4"/>
      <c r="E11" s="499"/>
      <c r="F11" s="499">
        <f>Ввод!G450/VLOOKUP(Баланс!$B$7,Баланс!$A$1:$B$3,2,0)</f>
        <v>113.61554599999999</v>
      </c>
      <c r="G11" s="499">
        <f>Ввод!H450/VLOOKUP(Баланс!$B$7,Баланс!$A$1:$B$3,2,0)</f>
        <v>67.309486000000007</v>
      </c>
      <c r="H11" s="499">
        <f>Ввод!I450/VLOOKUP(Баланс!$B$7,Баланс!$A$1:$B$3,2,0)</f>
        <v>70.701490000000007</v>
      </c>
      <c r="I11" s="499">
        <f>Ввод!J450/VLOOKUP(Баланс!$B$7,Баланс!$A$1:$B$3,2,0)</f>
        <v>87.867189999999994</v>
      </c>
      <c r="J11" s="499">
        <f>Ввод!K450/VLOOKUP(Баланс!$B$7,Баланс!$A$1:$B$3,2,0)</f>
        <v>93.378673000000006</v>
      </c>
      <c r="K11" s="499">
        <f>Ввод!L450/VLOOKUP(Баланс!$B$7,Баланс!$A$1:$B$3,2,0)</f>
        <v>0</v>
      </c>
      <c r="L11" s="499">
        <f>Ввод!M450/VLOOKUP(Баланс!$B$7,Баланс!$A$1:$B$3,2,0)</f>
        <v>0</v>
      </c>
      <c r="M11" s="499">
        <f>Ввод!N450/VLOOKUP(Баланс!$B$7,Баланс!$A$1:$B$3,2,0)</f>
        <v>0</v>
      </c>
      <c r="N11" s="499">
        <f>Ввод!O450/VLOOKUP(Баланс!$B$7,Баланс!$A$1:$B$3,2,0)</f>
        <v>0</v>
      </c>
      <c r="O11" s="499">
        <f>Ввод!P450/VLOOKUP(Баланс!$B$7,Баланс!$A$1:$B$3,2,0)</f>
        <v>0</v>
      </c>
      <c r="P11" s="499"/>
      <c r="Q11" s="647" t="e">
        <f t="shared" ref="Q11:W11" si="0">E11/E$25</f>
        <v>#DIV/0!</v>
      </c>
      <c r="R11" s="647">
        <f t="shared" si="0"/>
        <v>0.44358639314072518</v>
      </c>
      <c r="S11" s="647">
        <f t="shared" si="0"/>
        <v>0.31505309043183338</v>
      </c>
      <c r="T11" s="647">
        <f t="shared" si="0"/>
        <v>0.29077522376357862</v>
      </c>
      <c r="U11" s="647">
        <f t="shared" si="0"/>
        <v>0.31454170477419341</v>
      </c>
      <c r="V11" s="647">
        <f t="shared" si="0"/>
        <v>0.32118462677363685</v>
      </c>
      <c r="W11" s="647">
        <f t="shared" si="0"/>
        <v>0</v>
      </c>
      <c r="X11" s="647">
        <f t="shared" ref="X11:AB16" si="1">L11/L$25</f>
        <v>0</v>
      </c>
      <c r="Y11" s="647">
        <f t="shared" si="1"/>
        <v>0</v>
      </c>
      <c r="Z11" s="647">
        <f t="shared" si="1"/>
        <v>0</v>
      </c>
      <c r="AA11" s="647" t="e">
        <f t="shared" si="1"/>
        <v>#DIV/0!</v>
      </c>
      <c r="AB11" s="647" t="e">
        <f t="shared" si="1"/>
        <v>#DIV/0!</v>
      </c>
      <c r="AC11" s="547"/>
      <c r="AD11" s="4"/>
      <c r="AE11" s="4"/>
      <c r="AF11" s="4"/>
      <c r="AG11" s="4"/>
      <c r="AH11" s="4"/>
      <c r="AI11" s="4"/>
      <c r="AJ11" s="4"/>
    </row>
    <row r="12" spans="1:36" s="1" customFormat="1" ht="14.25" outlineLevel="1" x14ac:dyDescent="0.2">
      <c r="A12" s="36"/>
      <c r="B12" s="489" t="s">
        <v>5</v>
      </c>
      <c r="C12" s="4" t="str">
        <f>Ввод!E451</f>
        <v>Кредиты государственным и муниципальным органам</v>
      </c>
      <c r="D12" s="4"/>
      <c r="E12" s="499"/>
      <c r="F12" s="499">
        <f>Ввод!G451/VLOOKUP(Баланс!$B$7,Баланс!$A$1:$B$3,2,0)</f>
        <v>10.517601000000001</v>
      </c>
      <c r="G12" s="499">
        <f>Ввод!H451/VLOOKUP(Баланс!$B$7,Баланс!$A$1:$B$3,2,0)</f>
        <v>10.490030000000001</v>
      </c>
      <c r="H12" s="499">
        <f>Ввод!I451/VLOOKUP(Баланс!$B$7,Баланс!$A$1:$B$3,2,0)</f>
        <v>8.2709539999999997</v>
      </c>
      <c r="I12" s="499">
        <f>Ввод!J451/VLOOKUP(Баланс!$B$7,Баланс!$A$1:$B$3,2,0)</f>
        <v>2.1982400000000002</v>
      </c>
      <c r="J12" s="499">
        <f>Ввод!K451/VLOOKUP(Баланс!$B$7,Баланс!$A$1:$B$3,2,0)</f>
        <v>3.3537880000000002</v>
      </c>
      <c r="K12" s="499">
        <f>Ввод!L451/VLOOKUP(Баланс!$B$7,Баланс!$A$1:$B$3,2,0)</f>
        <v>0</v>
      </c>
      <c r="L12" s="499">
        <f>Ввод!M451/VLOOKUP(Баланс!$B$7,Баланс!$A$1:$B$3,2,0)</f>
        <v>0</v>
      </c>
      <c r="M12" s="499">
        <f>Ввод!N451/VLOOKUP(Баланс!$B$7,Баланс!$A$1:$B$3,2,0)</f>
        <v>0</v>
      </c>
      <c r="N12" s="499">
        <f>Ввод!O451/VLOOKUP(Баланс!$B$7,Баланс!$A$1:$B$3,2,0)</f>
        <v>0</v>
      </c>
      <c r="O12" s="499">
        <f>Ввод!P451/VLOOKUP(Баланс!$B$7,Баланс!$A$1:$B$3,2,0)</f>
        <v>0</v>
      </c>
      <c r="P12" s="499"/>
      <c r="Q12" s="647" t="e">
        <f>E12/E$25</f>
        <v>#DIV/0!</v>
      </c>
      <c r="R12" s="647">
        <f>F12/F$25</f>
        <v>4.1063611946936251E-2</v>
      </c>
      <c r="S12" s="647">
        <f t="shared" ref="S12:S16" si="2">G12/G$25</f>
        <v>4.9100306162234625E-2</v>
      </c>
      <c r="T12" s="647">
        <f t="shared" ref="T12:T16" si="3">H12/H$25</f>
        <v>3.4016093580040041E-2</v>
      </c>
      <c r="U12" s="647">
        <f t="shared" ref="U12:U16" si="4">I12/I$25</f>
        <v>7.8691279088681787E-3</v>
      </c>
      <c r="V12" s="647">
        <f t="shared" ref="V12:V16" si="5">J12/J$25</f>
        <v>1.1535665612402759E-2</v>
      </c>
      <c r="W12" s="647">
        <f t="shared" ref="W12:W16" si="6">K12/K$25</f>
        <v>0</v>
      </c>
      <c r="X12" s="647">
        <f t="shared" si="1"/>
        <v>0</v>
      </c>
      <c r="Y12" s="647">
        <f t="shared" si="1"/>
        <v>0</v>
      </c>
      <c r="Z12" s="647">
        <f t="shared" si="1"/>
        <v>0</v>
      </c>
      <c r="AA12" s="647" t="e">
        <f t="shared" si="1"/>
        <v>#DIV/0!</v>
      </c>
      <c r="AB12" s="647" t="e">
        <f t="shared" si="1"/>
        <v>#DIV/0!</v>
      </c>
      <c r="AC12" s="547"/>
      <c r="AD12" s="4"/>
      <c r="AE12" s="4"/>
      <c r="AF12" s="4"/>
      <c r="AG12" s="4"/>
      <c r="AH12" s="4"/>
      <c r="AI12" s="4"/>
      <c r="AJ12" s="4"/>
    </row>
    <row r="13" spans="1:36" s="1" customFormat="1" ht="14.25" outlineLevel="1" x14ac:dyDescent="0.2">
      <c r="A13" s="36"/>
      <c r="B13" s="489" t="s">
        <v>14</v>
      </c>
      <c r="C13" s="4" t="str">
        <f>Ввод!E452</f>
        <v>Кредиты малому и среднему бизнесу</v>
      </c>
      <c r="D13" s="4"/>
      <c r="E13" s="499"/>
      <c r="F13" s="499">
        <f>Ввод!G452/VLOOKUP(Баланс!$B$7,Баланс!$A$1:$B$3,2,0)</f>
        <v>62.187404000000001</v>
      </c>
      <c r="G13" s="499">
        <f>Ввод!H452/VLOOKUP(Баланс!$B$7,Баланс!$A$1:$B$3,2,0)</f>
        <v>69.542319000000006</v>
      </c>
      <c r="H13" s="499">
        <f>Ввод!I452/VLOOKUP(Баланс!$B$7,Баланс!$A$1:$B$3,2,0)</f>
        <v>78.128343000000001</v>
      </c>
      <c r="I13" s="499">
        <f>Ввод!J452/VLOOKUP(Баланс!$B$7,Баланс!$A$1:$B$3,2,0)</f>
        <v>70.080765</v>
      </c>
      <c r="J13" s="499">
        <f>Ввод!K452/VLOOKUP(Баланс!$B$7,Баланс!$A$1:$B$3,2,0)</f>
        <v>49.016052000000002</v>
      </c>
      <c r="K13" s="499">
        <f>Ввод!L452/VLOOKUP(Баланс!$B$7,Баланс!$A$1:$B$3,2,0)</f>
        <v>0</v>
      </c>
      <c r="L13" s="499">
        <f>Ввод!M452/VLOOKUP(Баланс!$B$7,Баланс!$A$1:$B$3,2,0)</f>
        <v>0</v>
      </c>
      <c r="M13" s="499">
        <f>Ввод!N452/VLOOKUP(Баланс!$B$7,Баланс!$A$1:$B$3,2,0)</f>
        <v>0</v>
      </c>
      <c r="N13" s="499">
        <f>Ввод!O452/VLOOKUP(Баланс!$B$7,Баланс!$A$1:$B$3,2,0)</f>
        <v>0</v>
      </c>
      <c r="O13" s="499">
        <f>Ввод!P452/VLOOKUP(Баланс!$B$7,Баланс!$A$1:$B$3,2,0)</f>
        <v>0</v>
      </c>
      <c r="P13" s="499"/>
      <c r="Q13" s="647" t="e">
        <f>E13/E$25</f>
        <v>#DIV/0!</v>
      </c>
      <c r="R13" s="647">
        <f>F13/F$25</f>
        <v>0.24279675810513737</v>
      </c>
      <c r="S13" s="647">
        <f t="shared" si="2"/>
        <v>0.32550423155432218</v>
      </c>
      <c r="T13" s="647">
        <f t="shared" si="3"/>
        <v>0.32131976876445767</v>
      </c>
      <c r="U13" s="647">
        <f t="shared" si="4"/>
        <v>0.25087092571162939</v>
      </c>
      <c r="V13" s="647">
        <f t="shared" si="5"/>
        <v>0.16859526765321645</v>
      </c>
      <c r="W13" s="647">
        <f t="shared" si="6"/>
        <v>0</v>
      </c>
      <c r="X13" s="647">
        <f t="shared" si="1"/>
        <v>0</v>
      </c>
      <c r="Y13" s="647">
        <f t="shared" si="1"/>
        <v>0</v>
      </c>
      <c r="Z13" s="647">
        <f t="shared" si="1"/>
        <v>0</v>
      </c>
      <c r="AA13" s="647" t="e">
        <f t="shared" si="1"/>
        <v>#DIV/0!</v>
      </c>
      <c r="AB13" s="647" t="e">
        <f t="shared" si="1"/>
        <v>#DIV/0!</v>
      </c>
      <c r="AC13" s="547"/>
      <c r="AD13" s="4"/>
      <c r="AE13" s="4"/>
      <c r="AF13" s="4"/>
      <c r="AG13" s="4"/>
      <c r="AH13" s="4"/>
      <c r="AI13" s="4"/>
      <c r="AJ13" s="4"/>
    </row>
    <row r="14" spans="1:36" s="1" customFormat="1" ht="14.25" outlineLevel="1" x14ac:dyDescent="0.2">
      <c r="A14" s="36"/>
      <c r="B14" s="489" t="s">
        <v>540</v>
      </c>
      <c r="C14" s="4" t="str">
        <f>Ввод!E453</f>
        <v>Прочие кредиты ЮЛ</v>
      </c>
      <c r="D14" s="4"/>
      <c r="E14" s="499"/>
      <c r="F14" s="499">
        <f>Ввод!G453/VLOOKUP(Баланс!$B$7,Баланс!$A$1:$B$3,2,0)</f>
        <v>2.8934839999999999</v>
      </c>
      <c r="G14" s="499">
        <f>Ввод!H453/VLOOKUP(Баланс!$B$7,Баланс!$A$1:$B$3,2,0)</f>
        <v>0.804558</v>
      </c>
      <c r="H14" s="499">
        <f>Ввод!I453/VLOOKUP(Баланс!$B$7,Баланс!$A$1:$B$3,2,0)</f>
        <v>5.1615000000000002</v>
      </c>
      <c r="I14" s="499">
        <f>Ввод!J453/VLOOKUP(Баланс!$B$7,Баланс!$A$1:$B$3,2,0)</f>
        <v>16.263542999999999</v>
      </c>
      <c r="J14" s="499">
        <f>Ввод!K453/VLOOKUP(Баланс!$B$7,Баланс!$A$1:$B$3,2,0)</f>
        <v>11.371905999999999</v>
      </c>
      <c r="K14" s="499">
        <f>Ввод!L453/VLOOKUP(Баланс!$B$7,Баланс!$A$1:$B$3,2,0)</f>
        <v>0</v>
      </c>
      <c r="L14" s="499">
        <f>Ввод!M453/VLOOKUP(Баланс!$B$7,Баланс!$A$1:$B$3,2,0)</f>
        <v>0</v>
      </c>
      <c r="M14" s="499">
        <f>Ввод!N453/VLOOKUP(Баланс!$B$7,Баланс!$A$1:$B$3,2,0)</f>
        <v>0</v>
      </c>
      <c r="N14" s="499">
        <f>Ввод!O453/VLOOKUP(Баланс!$B$7,Баланс!$A$1:$B$3,2,0)</f>
        <v>0</v>
      </c>
      <c r="O14" s="499">
        <f>Ввод!P453/VLOOKUP(Баланс!$B$7,Баланс!$A$1:$B$3,2,0)</f>
        <v>0</v>
      </c>
      <c r="P14" s="499"/>
      <c r="Q14" s="647"/>
      <c r="R14" s="647"/>
      <c r="S14" s="647">
        <f t="shared" si="2"/>
        <v>3.7658656958345364E-3</v>
      </c>
      <c r="T14" s="647">
        <f t="shared" si="3"/>
        <v>2.1227789081329274E-2</v>
      </c>
      <c r="U14" s="647">
        <f t="shared" si="4"/>
        <v>5.821925727781211E-2</v>
      </c>
      <c r="V14" s="647">
        <f t="shared" si="5"/>
        <v>3.9114727881331975E-2</v>
      </c>
      <c r="W14" s="647">
        <f t="shared" si="6"/>
        <v>0</v>
      </c>
      <c r="X14" s="647">
        <f t="shared" si="1"/>
        <v>0</v>
      </c>
      <c r="Y14" s="647">
        <f t="shared" si="1"/>
        <v>0</v>
      </c>
      <c r="Z14" s="647">
        <f t="shared" si="1"/>
        <v>0</v>
      </c>
      <c r="AA14" s="647" t="e">
        <f t="shared" si="1"/>
        <v>#DIV/0!</v>
      </c>
      <c r="AB14" s="647" t="e">
        <f t="shared" si="1"/>
        <v>#DIV/0!</v>
      </c>
      <c r="AC14" s="547"/>
      <c r="AD14" s="4"/>
      <c r="AE14" s="4"/>
      <c r="AF14" s="4"/>
      <c r="AG14" s="4"/>
      <c r="AH14" s="4"/>
      <c r="AI14" s="4"/>
      <c r="AJ14" s="4"/>
    </row>
    <row r="15" spans="1:36" s="1" customFormat="1" ht="14.25" outlineLevel="1" x14ac:dyDescent="0.2">
      <c r="A15" s="36"/>
      <c r="B15" s="489" t="s">
        <v>812</v>
      </c>
      <c r="C15" s="4" t="str">
        <f>Ввод!E454</f>
        <v>Требования по аккредитивам и гарантиям</v>
      </c>
      <c r="D15" s="4"/>
      <c r="E15" s="499"/>
      <c r="F15" s="499">
        <f>Ввод!G454/VLOOKUP(Баланс!$B$7,Баланс!$A$1:$B$3,2,0)</f>
        <v>0</v>
      </c>
      <c r="G15" s="499">
        <f>Ввод!H454/VLOOKUP(Баланс!$B$7,Баланс!$A$1:$B$3,2,0)</f>
        <v>0</v>
      </c>
      <c r="H15" s="499">
        <f>Ввод!I454/VLOOKUP(Баланс!$B$7,Баланс!$A$1:$B$3,2,0)</f>
        <v>1.4369999999999999E-3</v>
      </c>
      <c r="I15" s="499">
        <f>Ввод!J454/VLOOKUP(Баланс!$B$7,Баланс!$A$1:$B$3,2,0)</f>
        <v>1.9281E-2</v>
      </c>
      <c r="J15" s="499">
        <f>Ввод!K454/VLOOKUP(Баланс!$B$7,Баланс!$A$1:$B$3,2,0)</f>
        <v>2.1604000000000002E-2</v>
      </c>
      <c r="K15" s="499">
        <f>Ввод!L454/VLOOKUP(Баланс!$B$7,Баланс!$A$1:$B$3,2,0)</f>
        <v>0</v>
      </c>
      <c r="L15" s="499">
        <f>Ввод!M454/VLOOKUP(Баланс!$B$7,Баланс!$A$1:$B$3,2,0)</f>
        <v>0</v>
      </c>
      <c r="M15" s="499">
        <f>Ввод!N454/VLOOKUP(Баланс!$B$7,Баланс!$A$1:$B$3,2,0)</f>
        <v>0</v>
      </c>
      <c r="N15" s="499">
        <f>Ввод!O454/VLOOKUP(Баланс!$B$7,Баланс!$A$1:$B$3,2,0)</f>
        <v>0</v>
      </c>
      <c r="O15" s="499">
        <f>Ввод!P454/VLOOKUP(Баланс!$B$7,Баланс!$A$1:$B$3,2,0)</f>
        <v>0</v>
      </c>
      <c r="P15" s="499"/>
      <c r="Q15" s="647"/>
      <c r="R15" s="647"/>
      <c r="S15" s="647">
        <f t="shared" si="2"/>
        <v>0</v>
      </c>
      <c r="T15" s="647">
        <f t="shared" si="3"/>
        <v>5.909974408576996E-6</v>
      </c>
      <c r="U15" s="647">
        <f t="shared" si="4"/>
        <v>6.9020969143900277E-5</v>
      </c>
      <c r="V15" s="647">
        <f t="shared" si="5"/>
        <v>7.4308966425531135E-5</v>
      </c>
      <c r="W15" s="647">
        <f t="shared" si="6"/>
        <v>0</v>
      </c>
      <c r="X15" s="647">
        <f t="shared" si="1"/>
        <v>0</v>
      </c>
      <c r="Y15" s="647">
        <f t="shared" si="1"/>
        <v>0</v>
      </c>
      <c r="Z15" s="647">
        <f t="shared" si="1"/>
        <v>0</v>
      </c>
      <c r="AA15" s="647" t="e">
        <f t="shared" si="1"/>
        <v>#DIV/0!</v>
      </c>
      <c r="AB15" s="647" t="e">
        <f t="shared" si="1"/>
        <v>#DIV/0!</v>
      </c>
      <c r="AC15" s="547"/>
      <c r="AD15" s="4"/>
      <c r="AE15" s="4"/>
      <c r="AF15" s="4"/>
      <c r="AG15" s="4"/>
      <c r="AH15" s="4"/>
      <c r="AI15" s="4"/>
      <c r="AJ15" s="4"/>
    </row>
    <row r="16" spans="1:36" s="1" customFormat="1" ht="14.25" outlineLevel="1" x14ac:dyDescent="0.2">
      <c r="A16" s="36"/>
      <c r="B16" s="489" t="s">
        <v>2581</v>
      </c>
      <c r="C16" s="4" t="str">
        <f>Ввод!E455</f>
        <v>Требования по процентам, корректировка ссуд. зад-ти</v>
      </c>
      <c r="D16" s="4"/>
      <c r="E16" s="499"/>
      <c r="F16" s="499">
        <f>Ввод!G455/VLOOKUP(Баланс!$B$7,Баланс!$A$1:$B$3,2,0)</f>
        <v>0</v>
      </c>
      <c r="G16" s="499">
        <f>Ввод!H455/VLOOKUP(Баланс!$B$7,Баланс!$A$1:$B$3,2,0)</f>
        <v>0</v>
      </c>
      <c r="H16" s="499">
        <f>Ввод!I455/VLOOKUP(Баланс!$B$7,Баланс!$A$1:$B$3,2,0)</f>
        <v>0</v>
      </c>
      <c r="I16" s="499">
        <f>Ввод!J455/VLOOKUP(Баланс!$B$7,Баланс!$A$1:$B$3,2,0)</f>
        <v>10.606750999999999</v>
      </c>
      <c r="J16" s="499">
        <f>Ввод!K455/VLOOKUP(Баланс!$B$7,Баланс!$A$1:$B$3,2,0)</f>
        <v>9.0251350000000006</v>
      </c>
      <c r="K16" s="499">
        <f>Ввод!L455/VLOOKUP(Баланс!$B$7,Баланс!$A$1:$B$3,2,0)</f>
        <v>0</v>
      </c>
      <c r="L16" s="499">
        <f>Ввод!M455/VLOOKUP(Баланс!$B$7,Баланс!$A$1:$B$3,2,0)</f>
        <v>0</v>
      </c>
      <c r="M16" s="499">
        <f>Ввод!N455/VLOOKUP(Баланс!$B$7,Баланс!$A$1:$B$3,2,0)</f>
        <v>0</v>
      </c>
      <c r="N16" s="499">
        <f>Ввод!O455/VLOOKUP(Баланс!$B$7,Баланс!$A$1:$B$3,2,0)</f>
        <v>0</v>
      </c>
      <c r="O16" s="499">
        <f>Ввод!P455/VLOOKUP(Баланс!$B$7,Баланс!$A$1:$B$3,2,0)</f>
        <v>0</v>
      </c>
      <c r="P16" s="499"/>
      <c r="Q16" s="647" t="e">
        <f>E16/E$25</f>
        <v>#DIV/0!</v>
      </c>
      <c r="R16" s="647">
        <f>F16/F$25</f>
        <v>0</v>
      </c>
      <c r="S16" s="647">
        <f t="shared" si="2"/>
        <v>0</v>
      </c>
      <c r="T16" s="647">
        <f t="shared" si="3"/>
        <v>0</v>
      </c>
      <c r="U16" s="647">
        <f t="shared" si="4"/>
        <v>3.7969412037136732E-2</v>
      </c>
      <c r="V16" s="647">
        <f t="shared" si="5"/>
        <v>3.1042790858215423E-2</v>
      </c>
      <c r="W16" s="647">
        <f t="shared" si="6"/>
        <v>0</v>
      </c>
      <c r="X16" s="647">
        <f t="shared" si="1"/>
        <v>0</v>
      </c>
      <c r="Y16" s="647">
        <f t="shared" si="1"/>
        <v>0</v>
      </c>
      <c r="Z16" s="647">
        <f t="shared" si="1"/>
        <v>0</v>
      </c>
      <c r="AA16" s="647" t="e">
        <f t="shared" si="1"/>
        <v>#DIV/0!</v>
      </c>
      <c r="AB16" s="647" t="e">
        <f t="shared" si="1"/>
        <v>#DIV/0!</v>
      </c>
      <c r="AC16" s="547"/>
      <c r="AD16" s="4"/>
      <c r="AE16" s="4"/>
      <c r="AF16" s="4"/>
      <c r="AG16" s="4"/>
      <c r="AH16" s="4"/>
      <c r="AI16" s="4"/>
      <c r="AJ16" s="4"/>
    </row>
    <row r="17" spans="1:36" s="3" customFormat="1" ht="21.75" customHeight="1" x14ac:dyDescent="0.25">
      <c r="A17" s="601"/>
      <c r="B17" s="605" t="s">
        <v>424</v>
      </c>
      <c r="C17" s="606"/>
      <c r="D17" s="606"/>
      <c r="E17" s="607"/>
      <c r="F17" s="607">
        <f>Ввод!G456/VLOOKUP(Баланс!$B$7,Баланс!$A$1:$B$3,2,0)</f>
        <v>189.214035</v>
      </c>
      <c r="G17" s="607">
        <f>Ввод!H456/VLOOKUP(Баланс!$B$7,Баланс!$A$1:$B$3,2,0)</f>
        <v>148.14639299999999</v>
      </c>
      <c r="H17" s="607">
        <f>Ввод!I456/VLOOKUP(Баланс!$B$7,Баланс!$A$1:$B$3,2,0)</f>
        <v>162.263724</v>
      </c>
      <c r="I17" s="607">
        <f>Ввод!J456/VLOOKUP(Баланс!$B$7,Баланс!$A$1:$B$3,2,0)</f>
        <v>187.03577000000001</v>
      </c>
      <c r="J17" s="607">
        <f>Ввод!K456/VLOOKUP(Баланс!$B$7,Баланс!$A$1:$B$3,2,0)</f>
        <v>166.167158</v>
      </c>
      <c r="K17" s="607">
        <f>Ввод!L456/VLOOKUP(Баланс!$B$7,Баланс!$A$1:$B$3,2,0)</f>
        <v>176.105817</v>
      </c>
      <c r="L17" s="607">
        <f>Ввод!M456/VLOOKUP(Баланс!$B$7,Баланс!$A$1:$B$3,2,0)</f>
        <v>219.78235256605029</v>
      </c>
      <c r="M17" s="607">
        <f>Ввод!N456/VLOOKUP(Баланс!$B$7,Баланс!$A$1:$B$3,2,0)</f>
        <v>235.991805</v>
      </c>
      <c r="N17" s="607">
        <f>Ввод!O456/VLOOKUP(Баланс!$B$7,Баланс!$A$1:$B$3,2,0)</f>
        <v>298.75077429303963</v>
      </c>
      <c r="O17" s="607">
        <f>Ввод!P456/VLOOKUP(Баланс!$B$7,Баланс!$A$1:$B$3,2,0)</f>
        <v>0</v>
      </c>
      <c r="P17" s="607"/>
      <c r="Q17" s="653" t="e">
        <f>SUM(Q11:Q16)</f>
        <v>#DIV/0!</v>
      </c>
      <c r="R17" s="653">
        <f t="shared" ref="R17:W17" si="7">SUM(R11:R16)</f>
        <v>0.72744676319279877</v>
      </c>
      <c r="S17" s="653">
        <f t="shared" si="7"/>
        <v>0.69342349384422475</v>
      </c>
      <c r="T17" s="653">
        <f t="shared" si="7"/>
        <v>0.66734478516381412</v>
      </c>
      <c r="U17" s="653">
        <f t="shared" si="7"/>
        <v>0.66953944867878368</v>
      </c>
      <c r="V17" s="653">
        <f t="shared" si="7"/>
        <v>0.57154738774522895</v>
      </c>
      <c r="W17" s="653">
        <f t="shared" si="7"/>
        <v>0</v>
      </c>
      <c r="X17" s="653">
        <f t="shared" ref="X17:AB17" si="8">SUM(X11:X16)</f>
        <v>0</v>
      </c>
      <c r="Y17" s="653">
        <f t="shared" si="8"/>
        <v>0</v>
      </c>
      <c r="Z17" s="653">
        <f t="shared" si="8"/>
        <v>0</v>
      </c>
      <c r="AA17" s="653" t="e">
        <f t="shared" si="8"/>
        <v>#DIV/0!</v>
      </c>
      <c r="AB17" s="653" t="e">
        <f t="shared" si="8"/>
        <v>#DIV/0!</v>
      </c>
      <c r="AC17" s="596"/>
      <c r="AD17" s="6"/>
      <c r="AE17" s="6"/>
      <c r="AF17" s="6"/>
      <c r="AG17" s="6"/>
      <c r="AH17" s="6"/>
      <c r="AI17" s="6"/>
      <c r="AJ17" s="6"/>
    </row>
    <row r="18" spans="1:36" s="2" customFormat="1" x14ac:dyDescent="0.25">
      <c r="A18" s="597">
        <v>2</v>
      </c>
      <c r="B18" s="598" t="s">
        <v>880</v>
      </c>
      <c r="C18" s="598"/>
      <c r="D18" s="598"/>
      <c r="E18" s="600"/>
      <c r="F18" s="600"/>
      <c r="G18" s="600"/>
      <c r="H18" s="600"/>
      <c r="I18" s="600"/>
      <c r="J18" s="600"/>
      <c r="K18" s="600"/>
      <c r="L18" s="600"/>
      <c r="M18" s="600"/>
      <c r="N18" s="600"/>
      <c r="O18" s="600"/>
      <c r="P18" s="600"/>
      <c r="Q18" s="654"/>
      <c r="R18" s="654"/>
      <c r="S18" s="654"/>
      <c r="T18" s="654"/>
      <c r="U18" s="654"/>
      <c r="V18" s="654"/>
      <c r="W18" s="654"/>
      <c r="X18" s="654"/>
      <c r="Y18" s="654"/>
      <c r="Z18" s="654"/>
      <c r="AA18" s="654"/>
      <c r="AB18" s="654"/>
      <c r="AC18" s="594"/>
      <c r="AD18" s="12"/>
      <c r="AE18" s="12"/>
      <c r="AF18" s="12"/>
      <c r="AG18" s="12"/>
      <c r="AH18" s="12"/>
      <c r="AI18" s="12"/>
      <c r="AJ18" s="12"/>
    </row>
    <row r="19" spans="1:36" s="1" customFormat="1" ht="14.25" outlineLevel="1" x14ac:dyDescent="0.2">
      <c r="A19" s="36"/>
      <c r="B19" s="489" t="s">
        <v>6</v>
      </c>
      <c r="C19" s="4" t="str">
        <f>Ввод!E461</f>
        <v>Жилищные (кроме ипотечных)</v>
      </c>
      <c r="D19" s="4"/>
      <c r="E19" s="499"/>
      <c r="F19" s="499">
        <f>Ввод!G461/VLOOKUP(Баланс!$B$7,Баланс!$A$1:$B$3,2,0)</f>
        <v>11.756722</v>
      </c>
      <c r="G19" s="499">
        <f>Ввод!H461/VLOOKUP(Баланс!$B$7,Баланс!$A$1:$B$3,2,0)</f>
        <v>9.5101619999999993</v>
      </c>
      <c r="H19" s="499">
        <f>Ввод!I461/VLOOKUP(Баланс!$B$7,Баланс!$A$1:$B$3,2,0)</f>
        <v>8.0169650000000008</v>
      </c>
      <c r="I19" s="499">
        <f>Ввод!J461/VLOOKUP(Баланс!$B$7,Баланс!$A$1:$B$3,2,0)</f>
        <v>6.5008910000000002</v>
      </c>
      <c r="J19" s="499">
        <f>Ввод!K461/VLOOKUP(Баланс!$B$7,Баланс!$A$1:$B$3,2,0)</f>
        <v>5.5731270000000004</v>
      </c>
      <c r="K19" s="499">
        <f>Ввод!L461/VLOOKUP(Баланс!$B$7,Баланс!$A$1:$B$3,2,0)</f>
        <v>0</v>
      </c>
      <c r="L19" s="499">
        <f>Ввод!M461/VLOOKUP(Баланс!$B$7,Баланс!$A$1:$B$3,2,0)</f>
        <v>0</v>
      </c>
      <c r="M19" s="499">
        <f>Ввод!N461/VLOOKUP(Баланс!$B$7,Баланс!$A$1:$B$3,2,0)</f>
        <v>0</v>
      </c>
      <c r="N19" s="499">
        <f>Ввод!O461/VLOOKUP(Баланс!$B$7,Баланс!$A$1:$B$3,2,0)</f>
        <v>0</v>
      </c>
      <c r="O19" s="499">
        <f>Ввод!P461/VLOOKUP(Баланс!$B$7,Баланс!$A$1:$B$3,2,0)</f>
        <v>0</v>
      </c>
      <c r="P19" s="499"/>
      <c r="Q19" s="647" t="e">
        <f t="shared" ref="Q19:W21" si="9">E19/E$25</f>
        <v>#DIV/0!</v>
      </c>
      <c r="R19" s="647">
        <f t="shared" si="9"/>
        <v>4.5901481713939159E-2</v>
      </c>
      <c r="S19" s="647">
        <f t="shared" si="9"/>
        <v>4.4513873254170819E-2</v>
      </c>
      <c r="T19" s="647">
        <f t="shared" si="9"/>
        <v>3.2971508687861854E-2</v>
      </c>
      <c r="U19" s="647">
        <f t="shared" si="9"/>
        <v>2.3271500291419483E-2</v>
      </c>
      <c r="V19" s="647">
        <f t="shared" si="9"/>
        <v>1.9169288424746394E-2</v>
      </c>
      <c r="W19" s="647">
        <f t="shared" si="9"/>
        <v>0</v>
      </c>
      <c r="X19" s="647">
        <f t="shared" ref="X19:AB23" si="10">L19/L$25</f>
        <v>0</v>
      </c>
      <c r="Y19" s="647">
        <f t="shared" si="10"/>
        <v>0</v>
      </c>
      <c r="Z19" s="647">
        <f t="shared" si="10"/>
        <v>0</v>
      </c>
      <c r="AA19" s="647" t="e">
        <f t="shared" si="10"/>
        <v>#DIV/0!</v>
      </c>
      <c r="AB19" s="647" t="e">
        <f t="shared" si="10"/>
        <v>#DIV/0!</v>
      </c>
      <c r="AC19" s="547"/>
      <c r="AD19" s="4"/>
      <c r="AE19" s="4"/>
      <c r="AF19" s="4"/>
      <c r="AG19" s="4"/>
      <c r="AH19" s="4"/>
      <c r="AI19" s="4"/>
      <c r="AJ19" s="4"/>
    </row>
    <row r="20" spans="1:36" s="1" customFormat="1" ht="14.25" outlineLevel="1" x14ac:dyDescent="0.2">
      <c r="A20" s="36"/>
      <c r="B20" s="489" t="s">
        <v>7</v>
      </c>
      <c r="C20" s="4" t="str">
        <f>Ввод!E462</f>
        <v>Ипотечные</v>
      </c>
      <c r="D20" s="4"/>
      <c r="E20" s="499"/>
      <c r="F20" s="499">
        <f>Ввод!G462/VLOOKUP(Баланс!$B$7,Баланс!$A$1:$B$3,2,0)</f>
        <v>29.264592</v>
      </c>
      <c r="G20" s="499">
        <f>Ввод!H462/VLOOKUP(Баланс!$B$7,Баланс!$A$1:$B$3,2,0)</f>
        <v>35.710957999999998</v>
      </c>
      <c r="H20" s="499">
        <f>Ввод!I462/VLOOKUP(Баланс!$B$7,Баланс!$A$1:$B$3,2,0)</f>
        <v>53.984250000000003</v>
      </c>
      <c r="I20" s="499">
        <f>Ввод!J462/VLOOKUP(Баланс!$B$7,Баланс!$A$1:$B$3,2,0)</f>
        <v>61.000281999999999</v>
      </c>
      <c r="J20" s="499">
        <f>Ввод!K462/VLOOKUP(Баланс!$B$7,Баланс!$A$1:$B$3,2,0)</f>
        <v>90.183639999999997</v>
      </c>
      <c r="K20" s="499">
        <f>Ввод!L462/VLOOKUP(Баланс!$B$7,Баланс!$A$1:$B$3,2,0)</f>
        <v>0</v>
      </c>
      <c r="L20" s="499">
        <f>Ввод!M462/VLOOKUP(Баланс!$B$7,Баланс!$A$1:$B$3,2,0)</f>
        <v>0</v>
      </c>
      <c r="M20" s="499">
        <f>Ввод!N462/VLOOKUP(Баланс!$B$7,Баланс!$A$1:$B$3,2,0)</f>
        <v>0</v>
      </c>
      <c r="N20" s="499">
        <f>Ввод!O462/VLOOKUP(Баланс!$B$7,Баланс!$A$1:$B$3,2,0)</f>
        <v>0</v>
      </c>
      <c r="O20" s="499">
        <f>Ввод!P462/VLOOKUP(Баланс!$B$7,Баланс!$A$1:$B$3,2,0)</f>
        <v>0</v>
      </c>
      <c r="P20" s="499"/>
      <c r="Q20" s="647" t="e">
        <f t="shared" si="9"/>
        <v>#DIV/0!</v>
      </c>
      <c r="R20" s="647">
        <f t="shared" si="9"/>
        <v>0.11425702968513589</v>
      </c>
      <c r="S20" s="647">
        <f t="shared" si="9"/>
        <v>0.1671509968176165</v>
      </c>
      <c r="T20" s="647">
        <f t="shared" si="9"/>
        <v>0.2220219456967451</v>
      </c>
      <c r="U20" s="647">
        <f t="shared" si="9"/>
        <v>0.2183651564592716</v>
      </c>
      <c r="V20" s="647">
        <f t="shared" si="9"/>
        <v>0.31019501374246372</v>
      </c>
      <c r="W20" s="647">
        <f t="shared" si="9"/>
        <v>0</v>
      </c>
      <c r="X20" s="647">
        <f t="shared" si="10"/>
        <v>0</v>
      </c>
      <c r="Y20" s="647">
        <f t="shared" si="10"/>
        <v>0</v>
      </c>
      <c r="Z20" s="647">
        <f t="shared" si="10"/>
        <v>0</v>
      </c>
      <c r="AA20" s="647" t="e">
        <f t="shared" si="10"/>
        <v>#DIV/0!</v>
      </c>
      <c r="AB20" s="647" t="e">
        <f t="shared" si="10"/>
        <v>#DIV/0!</v>
      </c>
      <c r="AC20" s="547"/>
      <c r="AD20" s="4"/>
      <c r="AE20" s="4"/>
      <c r="AF20" s="4"/>
      <c r="AG20" s="4"/>
      <c r="AH20" s="4"/>
      <c r="AI20" s="4"/>
      <c r="AJ20" s="4"/>
    </row>
    <row r="21" spans="1:36" s="1" customFormat="1" ht="14.25" outlineLevel="1" x14ac:dyDescent="0.2">
      <c r="A21" s="36"/>
      <c r="B21" s="489" t="s">
        <v>9</v>
      </c>
      <c r="C21" s="4" t="str">
        <f>Ввод!E463</f>
        <v>Автокредиты</v>
      </c>
      <c r="D21" s="4"/>
      <c r="E21" s="499"/>
      <c r="F21" s="499">
        <f>Ввод!G463/VLOOKUP(Баланс!$B$7,Баланс!$A$1:$B$3,2,0)</f>
        <v>2.779598</v>
      </c>
      <c r="G21" s="499">
        <f>Ввод!H463/VLOOKUP(Баланс!$B$7,Баланс!$A$1:$B$3,2,0)</f>
        <v>1.562222</v>
      </c>
      <c r="H21" s="499">
        <f>Ввод!I463/VLOOKUP(Баланс!$B$7,Баланс!$A$1:$B$3,2,0)</f>
        <v>0.96057099999999995</v>
      </c>
      <c r="I21" s="499">
        <f>Ввод!J463/VLOOKUP(Баланс!$B$7,Баланс!$A$1:$B$3,2,0)</f>
        <v>0.75034900000000004</v>
      </c>
      <c r="J21" s="499">
        <f>Ввод!K463/VLOOKUP(Баланс!$B$7,Баланс!$A$1:$B$3,2,0)</f>
        <v>0.529026</v>
      </c>
      <c r="K21" s="499">
        <f>Ввод!L463/VLOOKUP(Баланс!$B$7,Баланс!$A$1:$B$3,2,0)</f>
        <v>0</v>
      </c>
      <c r="L21" s="499">
        <f>Ввод!M463/VLOOKUP(Баланс!$B$7,Баланс!$A$1:$B$3,2,0)</f>
        <v>0</v>
      </c>
      <c r="M21" s="499">
        <f>Ввод!N463/VLOOKUP(Баланс!$B$7,Баланс!$A$1:$B$3,2,0)</f>
        <v>0</v>
      </c>
      <c r="N21" s="499">
        <f>Ввод!O463/VLOOKUP(Баланс!$B$7,Баланс!$A$1:$B$3,2,0)</f>
        <v>0</v>
      </c>
      <c r="O21" s="499">
        <f>Ввод!P463/VLOOKUP(Баланс!$B$7,Баланс!$A$1:$B$3,2,0)</f>
        <v>0</v>
      </c>
      <c r="P21" s="499"/>
      <c r="Q21" s="647" t="e">
        <f t="shared" si="9"/>
        <v>#DIV/0!</v>
      </c>
      <c r="R21" s="647">
        <f t="shared" si="9"/>
        <v>1.0852316382840545E-2</v>
      </c>
      <c r="S21" s="647">
        <f t="shared" si="9"/>
        <v>7.3122363323439967E-3</v>
      </c>
      <c r="T21" s="647">
        <f t="shared" si="9"/>
        <v>3.950556734600705E-3</v>
      </c>
      <c r="U21" s="647">
        <f t="shared" si="9"/>
        <v>2.6860544150280811E-3</v>
      </c>
      <c r="V21" s="647">
        <f t="shared" si="9"/>
        <v>1.8196341081389109E-3</v>
      </c>
      <c r="W21" s="647">
        <f t="shared" si="9"/>
        <v>0</v>
      </c>
      <c r="X21" s="647">
        <f t="shared" si="10"/>
        <v>0</v>
      </c>
      <c r="Y21" s="647">
        <f t="shared" si="10"/>
        <v>0</v>
      </c>
      <c r="Z21" s="647">
        <f t="shared" si="10"/>
        <v>0</v>
      </c>
      <c r="AA21" s="647" t="e">
        <f t="shared" si="10"/>
        <v>#DIV/0!</v>
      </c>
      <c r="AB21" s="647" t="e">
        <f t="shared" si="10"/>
        <v>#DIV/0!</v>
      </c>
      <c r="AC21" s="547"/>
      <c r="AD21" s="4"/>
      <c r="AE21" s="4"/>
      <c r="AF21" s="4"/>
      <c r="AG21" s="4"/>
      <c r="AH21" s="4"/>
      <c r="AI21" s="4"/>
      <c r="AJ21" s="4"/>
    </row>
    <row r="22" spans="1:36" s="1" customFormat="1" ht="14.25" outlineLevel="1" x14ac:dyDescent="0.2">
      <c r="A22" s="36"/>
      <c r="B22" s="489" t="s">
        <v>478</v>
      </c>
      <c r="C22" s="4" t="str">
        <f>Ввод!E464</f>
        <v>Потребительские ссуды</v>
      </c>
      <c r="D22" s="4"/>
      <c r="E22" s="499"/>
      <c r="F22" s="499">
        <f>Ввод!G464/VLOOKUP(Баланс!$B$7,Баланс!$A$1:$B$3,2,0)</f>
        <v>23.114519000000001</v>
      </c>
      <c r="G22" s="499">
        <f>Ввод!H464/VLOOKUP(Баланс!$B$7,Баланс!$A$1:$B$3,2,0)</f>
        <v>18.715164999999999</v>
      </c>
      <c r="H22" s="499">
        <f>Ввод!I464/VLOOKUP(Баланс!$B$7,Баланс!$A$1:$B$3,2,0)</f>
        <v>17.922751000000002</v>
      </c>
      <c r="I22" s="499">
        <f>Ввод!J464/VLOOKUP(Баланс!$B$7,Баланс!$A$1:$B$3,2,0)</f>
        <v>22.878678000000001</v>
      </c>
      <c r="J22" s="499">
        <f>Ввод!K464/VLOOKUP(Баланс!$B$7,Баланс!$A$1:$B$3,2,0)</f>
        <v>24.984133</v>
      </c>
      <c r="K22" s="499">
        <f>Ввод!L464/VLOOKUP(Баланс!$B$7,Баланс!$A$1:$B$3,2,0)</f>
        <v>0</v>
      </c>
      <c r="L22" s="499">
        <f>Ввод!M464/VLOOKUP(Баланс!$B$7,Баланс!$A$1:$B$3,2,0)</f>
        <v>0</v>
      </c>
      <c r="M22" s="499">
        <f>Ввод!N464/VLOOKUP(Баланс!$B$7,Баланс!$A$1:$B$3,2,0)</f>
        <v>0</v>
      </c>
      <c r="N22" s="499">
        <f>Ввод!O464/VLOOKUP(Баланс!$B$7,Баланс!$A$1:$B$3,2,0)</f>
        <v>0</v>
      </c>
      <c r="O22" s="499">
        <f>Ввод!P464/VLOOKUP(Баланс!$B$7,Баланс!$A$1:$B$3,2,0)</f>
        <v>0</v>
      </c>
      <c r="P22" s="499"/>
      <c r="Q22" s="647" t="e">
        <f>E22/E$25</f>
        <v>#DIV/0!</v>
      </c>
      <c r="R22" s="647">
        <f>F22/F$25</f>
        <v>9.0245450322377213E-2</v>
      </c>
      <c r="S22" s="647">
        <f t="shared" ref="S22:S23" si="11">G22/G$25</f>
        <v>8.7599399751643964E-2</v>
      </c>
      <c r="T22" s="647">
        <f t="shared" ref="T22:T23" si="12">H22/H$25</f>
        <v>7.3711203716978271E-2</v>
      </c>
      <c r="U22" s="647">
        <f t="shared" ref="U22:U23" si="13">I22/I$25</f>
        <v>8.189972139885017E-2</v>
      </c>
      <c r="V22" s="647">
        <f t="shared" ref="V22:V23" si="14">J22/J$25</f>
        <v>8.5935248114608606E-2</v>
      </c>
      <c r="W22" s="647">
        <f t="shared" ref="W22:W23" si="15">K22/K$25</f>
        <v>0</v>
      </c>
      <c r="X22" s="647">
        <f t="shared" si="10"/>
        <v>0</v>
      </c>
      <c r="Y22" s="647">
        <f t="shared" si="10"/>
        <v>0</v>
      </c>
      <c r="Z22" s="647">
        <f t="shared" si="10"/>
        <v>0</v>
      </c>
      <c r="AA22" s="647" t="e">
        <f t="shared" si="10"/>
        <v>#DIV/0!</v>
      </c>
      <c r="AB22" s="647" t="e">
        <f t="shared" si="10"/>
        <v>#DIV/0!</v>
      </c>
      <c r="AC22" s="547"/>
      <c r="AD22" s="4"/>
      <c r="AE22" s="4"/>
      <c r="AF22" s="4"/>
      <c r="AG22" s="4"/>
      <c r="AH22" s="4"/>
      <c r="AI22" s="4"/>
      <c r="AJ22" s="4"/>
    </row>
    <row r="23" spans="1:36" s="1" customFormat="1" ht="14.25" outlineLevel="1" x14ac:dyDescent="0.2">
      <c r="A23" s="36"/>
      <c r="B23" s="489" t="s">
        <v>479</v>
      </c>
      <c r="C23" s="4" t="str">
        <f>Ввод!E465</f>
        <v>Требования по процентам, корректировка ссуд. зад-ти</v>
      </c>
      <c r="D23" s="4"/>
      <c r="E23" s="499"/>
      <c r="F23" s="499">
        <f>Ввод!G465/VLOOKUP(Баланс!$B$7,Баланс!$A$1:$B$3,2,0)</f>
        <v>0</v>
      </c>
      <c r="G23" s="499">
        <f>Ввод!H465/VLOOKUP(Баланс!$B$7,Баланс!$A$1:$B$3,2,0)</f>
        <v>0</v>
      </c>
      <c r="H23" s="499">
        <f>Ввод!I465/VLOOKUP(Баланс!$B$7,Баланс!$A$1:$B$3,2,0)</f>
        <v>0</v>
      </c>
      <c r="I23" s="499">
        <f>Ввод!J465/VLOOKUP(Баланс!$B$7,Баланс!$A$1:$B$3,2,0)</f>
        <v>1.183918</v>
      </c>
      <c r="J23" s="499">
        <f>Ввод!K465/VLOOKUP(Баланс!$B$7,Баланс!$A$1:$B$3,2,0)</f>
        <v>3.294991</v>
      </c>
      <c r="K23" s="499">
        <f>Ввод!L465/VLOOKUP(Баланс!$B$7,Баланс!$A$1:$B$3,2,0)</f>
        <v>0</v>
      </c>
      <c r="L23" s="499">
        <f>Ввод!M465/VLOOKUP(Баланс!$B$7,Баланс!$A$1:$B$3,2,0)</f>
        <v>0</v>
      </c>
      <c r="M23" s="499">
        <f>Ввод!N465/VLOOKUP(Баланс!$B$7,Баланс!$A$1:$B$3,2,0)</f>
        <v>0</v>
      </c>
      <c r="N23" s="499">
        <f>Ввод!O465/VLOOKUP(Баланс!$B$7,Баланс!$A$1:$B$3,2,0)</f>
        <v>0</v>
      </c>
      <c r="O23" s="499">
        <f>Ввод!P465/VLOOKUP(Баланс!$B$7,Баланс!$A$1:$B$3,2,0)</f>
        <v>0</v>
      </c>
      <c r="P23" s="499"/>
      <c r="Q23" s="647"/>
      <c r="R23" s="647"/>
      <c r="S23" s="647">
        <f t="shared" si="11"/>
        <v>0</v>
      </c>
      <c r="T23" s="647">
        <f t="shared" si="12"/>
        <v>0</v>
      </c>
      <c r="U23" s="647">
        <f t="shared" si="13"/>
        <v>4.2381187566468614E-3</v>
      </c>
      <c r="V23" s="647">
        <f t="shared" si="14"/>
        <v>1.1333427864813334E-2</v>
      </c>
      <c r="W23" s="647">
        <f t="shared" si="15"/>
        <v>0</v>
      </c>
      <c r="X23" s="647">
        <f t="shared" si="10"/>
        <v>0</v>
      </c>
      <c r="Y23" s="647">
        <f t="shared" si="10"/>
        <v>0</v>
      </c>
      <c r="Z23" s="647">
        <f t="shared" si="10"/>
        <v>0</v>
      </c>
      <c r="AA23" s="647" t="e">
        <f t="shared" si="10"/>
        <v>#DIV/0!</v>
      </c>
      <c r="AB23" s="647" t="e">
        <f t="shared" si="10"/>
        <v>#DIV/0!</v>
      </c>
      <c r="AC23" s="547"/>
      <c r="AD23" s="4"/>
      <c r="AE23" s="4"/>
      <c r="AF23" s="4"/>
      <c r="AG23" s="4"/>
      <c r="AH23" s="4"/>
      <c r="AI23" s="4"/>
      <c r="AJ23" s="4"/>
    </row>
    <row r="24" spans="1:36" s="3" customFormat="1" ht="21.75" customHeight="1" x14ac:dyDescent="0.25">
      <c r="A24" s="601"/>
      <c r="B24" s="605" t="s">
        <v>429</v>
      </c>
      <c r="C24" s="606"/>
      <c r="D24" s="606"/>
      <c r="E24" s="607"/>
      <c r="F24" s="607">
        <f>Ввод!G466/VLOOKUP(Баланс!$B$7,Баланс!$A$1:$B$3,2,0)</f>
        <v>66.915430999999998</v>
      </c>
      <c r="G24" s="607">
        <f>Ввод!H466/VLOOKUP(Баланс!$B$7,Баланс!$A$1:$B$3,2,0)</f>
        <v>65.498507000000004</v>
      </c>
      <c r="H24" s="607">
        <f>Ввод!I466/VLOOKUP(Баланс!$B$7,Баланс!$A$1:$B$3,2,0)</f>
        <v>80.884536999999995</v>
      </c>
      <c r="I24" s="607">
        <f>Ввод!J466/VLOOKUP(Баланс!$B$7,Баланс!$A$1:$B$3,2,0)</f>
        <v>92.314117999999993</v>
      </c>
      <c r="J24" s="607">
        <f>Ввод!K466/VLOOKUP(Баланс!$B$7,Баланс!$A$1:$B$3,2,0)</f>
        <v>124.56491699999999</v>
      </c>
      <c r="K24" s="607">
        <f>Ввод!L466/VLOOKUP(Баланс!$B$7,Баланс!$A$1:$B$3,2,0)</f>
        <v>154.972283</v>
      </c>
      <c r="L24" s="607">
        <f>Ввод!M466/VLOOKUP(Баланс!$B$7,Баланс!$A$1:$B$3,2,0)</f>
        <v>193.40742696915981</v>
      </c>
      <c r="M24" s="607">
        <f>Ввод!N466/VLOOKUP(Баланс!$B$7,Баланс!$A$1:$B$3,2,0)</f>
        <v>179.23726199999999</v>
      </c>
      <c r="N24" s="607">
        <f>Ввод!O466/VLOOKUP(Баланс!$B$7,Баланс!$A$1:$B$3,2,0)</f>
        <v>205.18873892696041</v>
      </c>
      <c r="O24" s="607">
        <f>Ввод!P466/VLOOKUP(Баланс!$B$7,Баланс!$A$1:$B$3,2,0)</f>
        <v>0</v>
      </c>
      <c r="P24" s="602"/>
      <c r="Q24" s="653" t="e">
        <f>SUM(Q19:Q23)</f>
        <v>#DIV/0!</v>
      </c>
      <c r="R24" s="653">
        <f t="shared" ref="R24:W24" si="16">SUM(R19:R23)</f>
        <v>0.26125627810429281</v>
      </c>
      <c r="S24" s="653">
        <f t="shared" si="16"/>
        <v>0.30657650615577525</v>
      </c>
      <c r="T24" s="653">
        <f t="shared" si="16"/>
        <v>0.33265521483618593</v>
      </c>
      <c r="U24" s="653">
        <f t="shared" si="16"/>
        <v>0.33046055132121621</v>
      </c>
      <c r="V24" s="653">
        <f t="shared" si="16"/>
        <v>0.42845261225477099</v>
      </c>
      <c r="W24" s="653">
        <f t="shared" si="16"/>
        <v>0</v>
      </c>
      <c r="X24" s="653">
        <f t="shared" ref="X24:AB24" si="17">SUM(X19:X23)</f>
        <v>0</v>
      </c>
      <c r="Y24" s="653">
        <f t="shared" si="17"/>
        <v>0</v>
      </c>
      <c r="Z24" s="653">
        <f t="shared" si="17"/>
        <v>0</v>
      </c>
      <c r="AA24" s="653" t="e">
        <f t="shared" si="17"/>
        <v>#DIV/0!</v>
      </c>
      <c r="AB24" s="653" t="e">
        <f t="shared" si="17"/>
        <v>#DIV/0!</v>
      </c>
      <c r="AC24" s="596"/>
      <c r="AD24" s="6"/>
      <c r="AE24" s="6"/>
      <c r="AF24" s="6"/>
      <c r="AG24" s="6"/>
      <c r="AH24" s="6"/>
      <c r="AI24" s="6"/>
      <c r="AJ24" s="6"/>
    </row>
    <row r="25" spans="1:36" s="1" customFormat="1" ht="26.25" customHeight="1" x14ac:dyDescent="0.2">
      <c r="A25" s="515"/>
      <c r="B25" s="516" t="s">
        <v>987</v>
      </c>
      <c r="C25" s="517"/>
      <c r="D25" s="517"/>
      <c r="E25" s="518"/>
      <c r="F25" s="518">
        <f t="shared" ref="F25:N25" si="18">F17+F24</f>
        <v>256.12946599999998</v>
      </c>
      <c r="G25" s="518">
        <f t="shared" si="18"/>
        <v>213.64490000000001</v>
      </c>
      <c r="H25" s="518">
        <f t="shared" si="18"/>
        <v>243.14826099999999</v>
      </c>
      <c r="I25" s="518">
        <f t="shared" si="18"/>
        <v>279.34988800000002</v>
      </c>
      <c r="J25" s="518">
        <f t="shared" si="18"/>
        <v>290.73207500000001</v>
      </c>
      <c r="K25" s="518">
        <f t="shared" si="18"/>
        <v>331.07810000000001</v>
      </c>
      <c r="L25" s="518">
        <f t="shared" si="18"/>
        <v>413.18977953521011</v>
      </c>
      <c r="M25" s="518">
        <f t="shared" si="18"/>
        <v>415.22906699999999</v>
      </c>
      <c r="N25" s="518">
        <f t="shared" si="18"/>
        <v>503.93951322000004</v>
      </c>
      <c r="O25" s="518">
        <f t="shared" ref="O25" si="19">O17+O24</f>
        <v>0</v>
      </c>
      <c r="P25" s="604"/>
      <c r="Q25" s="655" t="e">
        <f>Q17+Q24</f>
        <v>#DIV/0!</v>
      </c>
      <c r="R25" s="655">
        <f t="shared" ref="R25:W25" si="20">R17+R24</f>
        <v>0.98870304129709163</v>
      </c>
      <c r="S25" s="655">
        <f t="shared" si="20"/>
        <v>1</v>
      </c>
      <c r="T25" s="655">
        <f t="shared" si="20"/>
        <v>1</v>
      </c>
      <c r="U25" s="655">
        <f t="shared" si="20"/>
        <v>0.99999999999999989</v>
      </c>
      <c r="V25" s="655">
        <f t="shared" si="20"/>
        <v>1</v>
      </c>
      <c r="W25" s="655">
        <f t="shared" si="20"/>
        <v>0</v>
      </c>
      <c r="X25" s="655">
        <f t="shared" ref="X25:AB25" si="21">X17+X24</f>
        <v>0</v>
      </c>
      <c r="Y25" s="655">
        <f t="shared" si="21"/>
        <v>0</v>
      </c>
      <c r="Z25" s="655">
        <f t="shared" si="21"/>
        <v>0</v>
      </c>
      <c r="AA25" s="655" t="e">
        <f t="shared" si="21"/>
        <v>#DIV/0!</v>
      </c>
      <c r="AB25" s="655" t="e">
        <f t="shared" si="21"/>
        <v>#DIV/0!</v>
      </c>
      <c r="AC25" s="547"/>
      <c r="AD25" s="4"/>
      <c r="AE25" s="4"/>
      <c r="AF25" s="4"/>
      <c r="AG25" s="4"/>
      <c r="AH25" s="4"/>
      <c r="AI25" s="4"/>
      <c r="AJ25" s="4"/>
    </row>
    <row r="26" spans="1:36" s="3" customFormat="1" ht="21.75" customHeight="1" x14ac:dyDescent="0.25">
      <c r="A26" s="601"/>
      <c r="B26" s="605" t="s">
        <v>988</v>
      </c>
      <c r="C26" s="606"/>
      <c r="D26" s="606"/>
      <c r="E26" s="607"/>
      <c r="F26" s="607">
        <f>(Ввод!G457+Ввод!G467)/VLOOKUP(Баланс!$B$7,Баланс!$A$1:$B$3,2,0)</f>
        <v>-27.384778000000001</v>
      </c>
      <c r="G26" s="607">
        <f>(Ввод!H457+Ввод!H467)/VLOOKUP(Баланс!$B$7,Баланс!$A$1:$B$3,2,0)</f>
        <v>-33.441768000000003</v>
      </c>
      <c r="H26" s="607">
        <f>(Ввод!I457+Ввод!I467)/VLOOKUP(Баланс!$B$7,Баланс!$A$1:$B$3,2,0)</f>
        <v>-45.421514000000002</v>
      </c>
      <c r="I26" s="607">
        <f>(Ввод!J457+Ввод!J467)/VLOOKUP(Баланс!$B$7,Баланс!$A$1:$B$3,2,0)</f>
        <v>-51.619213000000002</v>
      </c>
      <c r="J26" s="607">
        <f>(Ввод!K457+Ввод!K467)/VLOOKUP(Баланс!$B$7,Баланс!$A$1:$B$3,2,0)</f>
        <v>-56.323641000000002</v>
      </c>
      <c r="K26" s="607">
        <f>(Ввод!L457+Ввод!L467)/VLOOKUP(Баланс!$B$7,Баланс!$A$1:$B$3,2,0)</f>
        <v>-37.830194132000003</v>
      </c>
      <c r="L26" s="607">
        <f>(Ввод!M457+Ввод!M467)/VLOOKUP(Баланс!$B$7,Баланс!$A$1:$B$3,2,0)</f>
        <v>-46.536041913402435</v>
      </c>
      <c r="M26" s="607">
        <f>(Ввод!N457+Ввод!N467)/VLOOKUP(Баланс!$B$7,Баланс!$A$1:$B$3,2,0)</f>
        <v>-45.259172619499999</v>
      </c>
      <c r="N26" s="607">
        <f>(Ввод!O457+Ввод!O467)/VLOOKUP(Баланс!$B$7,Баланс!$A$1:$B$3,2,0)</f>
        <v>-44.819182220000009</v>
      </c>
      <c r="O26" s="607">
        <f>(Ввод!P457+Ввод!P467)/VLOOKUP(Баланс!$B$7,Баланс!$A$1:$B$3,2,0)</f>
        <v>0</v>
      </c>
      <c r="P26" s="602"/>
      <c r="Q26" s="653" t="e">
        <f t="shared" ref="Q26:W27" si="22">E26/E$25</f>
        <v>#DIV/0!</v>
      </c>
      <c r="R26" s="653">
        <f t="shared" si="22"/>
        <v>-0.10691771793253964</v>
      </c>
      <c r="S26" s="653">
        <f t="shared" si="22"/>
        <v>-0.15652968079275473</v>
      </c>
      <c r="T26" s="653">
        <f t="shared" si="22"/>
        <v>-0.186805835308853</v>
      </c>
      <c r="U26" s="653">
        <f t="shared" si="22"/>
        <v>-0.18478336744491553</v>
      </c>
      <c r="V26" s="653">
        <f t="shared" si="22"/>
        <v>-0.19373039937199912</v>
      </c>
      <c r="W26" s="653">
        <f t="shared" si="22"/>
        <v>-0.11426365601349048</v>
      </c>
      <c r="X26" s="653">
        <f t="shared" ref="X26:AB27" si="23">L26/L$25</f>
        <v>-0.11262631414975949</v>
      </c>
      <c r="Y26" s="653">
        <f t="shared" si="23"/>
        <v>-0.10899808374807249</v>
      </c>
      <c r="Z26" s="653">
        <f t="shared" si="23"/>
        <v>-8.8937622560336382E-2</v>
      </c>
      <c r="AA26" s="653" t="e">
        <f t="shared" si="23"/>
        <v>#DIV/0!</v>
      </c>
      <c r="AB26" s="653" t="e">
        <f t="shared" si="23"/>
        <v>#DIV/0!</v>
      </c>
      <c r="AC26" s="596"/>
      <c r="AD26" s="6"/>
      <c r="AE26" s="6"/>
      <c r="AF26" s="6"/>
      <c r="AG26" s="6"/>
      <c r="AH26" s="6"/>
      <c r="AI26" s="6"/>
      <c r="AJ26" s="6"/>
    </row>
    <row r="27" spans="1:36" s="1" customFormat="1" ht="26.25" customHeight="1" x14ac:dyDescent="0.2">
      <c r="A27" s="515"/>
      <c r="B27" s="516" t="s">
        <v>443</v>
      </c>
      <c r="C27" s="517"/>
      <c r="D27" s="517"/>
      <c r="E27" s="518"/>
      <c r="F27" s="518">
        <f t="shared" ref="F27:K27" si="24">SUM(F25:F26)</f>
        <v>228.74468799999997</v>
      </c>
      <c r="G27" s="518">
        <f t="shared" si="24"/>
        <v>180.20313200000001</v>
      </c>
      <c r="H27" s="518">
        <f t="shared" si="24"/>
        <v>197.72674699999999</v>
      </c>
      <c r="I27" s="518">
        <f t="shared" si="24"/>
        <v>227.73067500000002</v>
      </c>
      <c r="J27" s="518">
        <f t="shared" si="24"/>
        <v>234.408434</v>
      </c>
      <c r="K27" s="518">
        <f t="shared" si="24"/>
        <v>293.24790586799998</v>
      </c>
      <c r="L27" s="518">
        <f t="shared" ref="L27:O27" si="25">SUM(L25:L26)</f>
        <v>366.65373762180769</v>
      </c>
      <c r="M27" s="518">
        <f t="shared" si="25"/>
        <v>369.96989438049997</v>
      </c>
      <c r="N27" s="518">
        <f t="shared" si="25"/>
        <v>459.12033100000002</v>
      </c>
      <c r="O27" s="518">
        <f t="shared" si="25"/>
        <v>0</v>
      </c>
      <c r="P27" s="604"/>
      <c r="Q27" s="655" t="e">
        <f t="shared" si="22"/>
        <v>#DIV/0!</v>
      </c>
      <c r="R27" s="655">
        <f t="shared" si="22"/>
        <v>0.89308228206746032</v>
      </c>
      <c r="S27" s="655">
        <f t="shared" si="22"/>
        <v>0.84347031920724536</v>
      </c>
      <c r="T27" s="655">
        <f t="shared" si="22"/>
        <v>0.81319416469114703</v>
      </c>
      <c r="U27" s="655">
        <f t="shared" si="22"/>
        <v>0.81521663255508447</v>
      </c>
      <c r="V27" s="655">
        <f t="shared" si="22"/>
        <v>0.8062696006280009</v>
      </c>
      <c r="W27" s="655">
        <f t="shared" si="22"/>
        <v>0.88573634398650947</v>
      </c>
      <c r="X27" s="655">
        <f t="shared" si="23"/>
        <v>0.88737368585024057</v>
      </c>
      <c r="Y27" s="655">
        <f t="shared" si="23"/>
        <v>0.89100191625192748</v>
      </c>
      <c r="Z27" s="655">
        <f t="shared" si="23"/>
        <v>0.91106237743966356</v>
      </c>
      <c r="AA27" s="655" t="e">
        <f t="shared" si="23"/>
        <v>#DIV/0!</v>
      </c>
      <c r="AB27" s="655" t="e">
        <f t="shared" si="23"/>
        <v>#DIV/0!</v>
      </c>
      <c r="AC27" s="547"/>
      <c r="AD27" s="4"/>
      <c r="AE27" s="4"/>
      <c r="AF27" s="4"/>
      <c r="AG27" s="4"/>
      <c r="AH27" s="4"/>
      <c r="AI27" s="4"/>
      <c r="AJ27" s="4"/>
    </row>
    <row r="28" spans="1:36" s="1" customFormat="1" ht="14.25" x14ac:dyDescent="0.2">
      <c r="A28" s="36"/>
      <c r="B28" s="4"/>
      <c r="C28" s="4"/>
      <c r="D28" s="4"/>
      <c r="E28" s="499"/>
      <c r="F28" s="499"/>
      <c r="G28" s="499"/>
      <c r="H28" s="499"/>
      <c r="I28" s="499"/>
      <c r="J28" s="499"/>
      <c r="K28" s="499"/>
      <c r="L28" s="499"/>
      <c r="M28" s="499"/>
      <c r="N28" s="499"/>
      <c r="O28" s="499"/>
      <c r="P28" s="499"/>
      <c r="Q28" s="547"/>
      <c r="R28" s="547"/>
      <c r="S28" s="547"/>
      <c r="T28" s="547"/>
      <c r="U28" s="547"/>
      <c r="V28" s="547"/>
      <c r="W28" s="547"/>
      <c r="X28" s="547"/>
      <c r="Y28" s="547"/>
      <c r="Z28" s="547"/>
      <c r="AA28" s="547"/>
      <c r="AB28" s="547"/>
      <c r="AC28" s="547"/>
      <c r="AD28" s="4"/>
      <c r="AE28" s="4"/>
      <c r="AF28" s="4"/>
      <c r="AG28" s="4"/>
      <c r="AH28" s="4"/>
      <c r="AI28" s="4"/>
      <c r="AJ28" s="4"/>
    </row>
    <row r="29" spans="1:36" s="1" customFormat="1" ht="14.25" x14ac:dyDescent="0.2">
      <c r="A29" s="36"/>
      <c r="B29" s="4"/>
      <c r="C29" s="4"/>
      <c r="D29" s="4"/>
      <c r="E29" s="499"/>
      <c r="F29" s="499"/>
      <c r="G29" s="499"/>
      <c r="H29" s="499"/>
      <c r="I29" s="499"/>
      <c r="J29" s="499"/>
      <c r="K29" s="499"/>
      <c r="L29" s="499"/>
      <c r="M29" s="499"/>
      <c r="N29" s="499"/>
      <c r="O29" s="499"/>
      <c r="P29" s="499"/>
      <c r="Q29" s="547"/>
      <c r="R29" s="547"/>
      <c r="S29" s="547"/>
      <c r="T29" s="547"/>
      <c r="U29" s="547"/>
      <c r="V29" s="547"/>
      <c r="W29" s="547"/>
      <c r="X29" s="547"/>
      <c r="Y29" s="547"/>
      <c r="Z29" s="547"/>
      <c r="AA29" s="547"/>
      <c r="AB29" s="547"/>
      <c r="AC29" s="547"/>
      <c r="AD29" s="4"/>
      <c r="AE29" s="4"/>
      <c r="AF29" s="4"/>
      <c r="AG29" s="4"/>
      <c r="AH29" s="4"/>
      <c r="AI29" s="4"/>
      <c r="AJ29" s="4"/>
    </row>
    <row r="30" spans="1:36" s="1" customFormat="1" x14ac:dyDescent="0.2">
      <c r="A30" s="616"/>
      <c r="B30" s="617" t="s">
        <v>989</v>
      </c>
      <c r="C30" s="507"/>
      <c r="D30" s="507"/>
      <c r="E30" s="618"/>
      <c r="F30" s="618"/>
      <c r="G30" s="618"/>
      <c r="H30" s="618"/>
      <c r="I30" s="618"/>
      <c r="J30" s="618"/>
      <c r="K30" s="618"/>
      <c r="L30" s="618"/>
      <c r="M30" s="618"/>
      <c r="N30" s="618"/>
      <c r="O30" s="618"/>
      <c r="P30" s="618"/>
      <c r="Q30" s="619"/>
      <c r="R30" s="619"/>
      <c r="S30" s="619"/>
      <c r="T30" s="619"/>
      <c r="U30" s="619"/>
      <c r="V30" s="619"/>
      <c r="W30" s="619"/>
      <c r="X30" s="619"/>
      <c r="Y30" s="619"/>
      <c r="Z30" s="619"/>
      <c r="AA30" s="619"/>
      <c r="AB30" s="619"/>
      <c r="AC30" s="547"/>
      <c r="AD30" s="4"/>
      <c r="AE30" s="4"/>
      <c r="AF30" s="4"/>
      <c r="AG30" s="4"/>
      <c r="AH30" s="4"/>
      <c r="AI30" s="4"/>
      <c r="AJ30" s="4"/>
    </row>
    <row r="31" spans="1:36" s="1" customFormat="1" ht="14.25" x14ac:dyDescent="0.2">
      <c r="A31" s="4"/>
      <c r="B31" s="4"/>
      <c r="C31" s="4"/>
      <c r="D31" s="4"/>
      <c r="F31" s="4"/>
      <c r="G31" s="4" t="s">
        <v>348</v>
      </c>
      <c r="H31" s="4"/>
      <c r="I31" s="4"/>
      <c r="J31" s="4"/>
      <c r="K31" s="4"/>
      <c r="L31" s="4"/>
      <c r="M31" s="4"/>
      <c r="N31" s="4"/>
      <c r="O31" s="4"/>
      <c r="P31" s="4"/>
      <c r="Q31" s="4"/>
      <c r="R31" s="4"/>
      <c r="S31" s="4"/>
      <c r="T31" s="4"/>
      <c r="U31" s="4"/>
      <c r="V31" s="71"/>
      <c r="W31" s="71"/>
      <c r="X31" s="71"/>
      <c r="Y31" s="71"/>
      <c r="Z31" s="71"/>
      <c r="AA31" s="71"/>
      <c r="AB31" s="71"/>
      <c r="AC31" s="547"/>
      <c r="AD31" s="4"/>
      <c r="AE31" s="4"/>
      <c r="AF31" s="4"/>
      <c r="AG31" s="4"/>
      <c r="AH31" s="4"/>
      <c r="AI31" s="4"/>
      <c r="AJ31" s="4"/>
    </row>
    <row r="32" spans="1:36" s="1" customFormat="1" ht="14.25" x14ac:dyDescent="0.2">
      <c r="A32" s="15"/>
      <c r="B32" s="15"/>
      <c r="C32" s="15"/>
      <c r="D32" s="15"/>
      <c r="E32" s="539"/>
      <c r="F32" s="539">
        <f t="shared" ref="F32:O32" si="26">F8</f>
        <v>2016</v>
      </c>
      <c r="G32" s="539">
        <f t="shared" si="26"/>
        <v>2017</v>
      </c>
      <c r="H32" s="539">
        <f t="shared" si="26"/>
        <v>2018</v>
      </c>
      <c r="I32" s="539">
        <f t="shared" si="26"/>
        <v>2019</v>
      </c>
      <c r="J32" s="539">
        <f t="shared" si="26"/>
        <v>2020</v>
      </c>
      <c r="K32" s="539">
        <f t="shared" si="26"/>
        <v>2021</v>
      </c>
      <c r="L32" s="539">
        <f t="shared" si="26"/>
        <v>2022</v>
      </c>
      <c r="M32" s="539">
        <f t="shared" si="26"/>
        <v>2023</v>
      </c>
      <c r="N32" s="539">
        <f t="shared" si="26"/>
        <v>2024</v>
      </c>
      <c r="O32" s="539">
        <f t="shared" si="26"/>
        <v>2025</v>
      </c>
      <c r="P32" s="38"/>
      <c r="Q32" s="540"/>
      <c r="R32" s="540"/>
      <c r="S32" s="540"/>
      <c r="T32" s="540"/>
      <c r="U32" s="540"/>
      <c r="V32" s="540"/>
      <c r="W32" s="540"/>
      <c r="X32" s="540"/>
      <c r="Y32" s="540"/>
      <c r="Z32" s="540"/>
      <c r="AA32" s="540"/>
      <c r="AB32" s="540"/>
      <c r="AC32" s="547"/>
      <c r="AD32" s="4"/>
      <c r="AE32" s="4"/>
      <c r="AF32" s="4"/>
      <c r="AG32" s="4"/>
      <c r="AH32" s="4"/>
      <c r="AI32" s="4"/>
      <c r="AJ32" s="4"/>
    </row>
    <row r="33" spans="1:36" s="1" customFormat="1" x14ac:dyDescent="0.25">
      <c r="A33" s="597">
        <v>1</v>
      </c>
      <c r="B33" s="598" t="s">
        <v>879</v>
      </c>
      <c r="C33" s="509"/>
      <c r="D33" s="509"/>
      <c r="E33" s="599"/>
      <c r="F33" s="599"/>
      <c r="G33" s="599"/>
      <c r="H33" s="599"/>
      <c r="I33" s="599"/>
      <c r="J33" s="599"/>
      <c r="K33" s="599"/>
      <c r="L33" s="599"/>
      <c r="M33" s="599"/>
      <c r="N33" s="599"/>
      <c r="O33" s="599"/>
      <c r="P33" s="499"/>
      <c r="Q33" s="547"/>
      <c r="R33" s="547"/>
      <c r="S33" s="547"/>
      <c r="T33" s="547"/>
      <c r="U33" s="547"/>
      <c r="V33" s="547"/>
      <c r="W33" s="547"/>
      <c r="X33" s="547"/>
      <c r="Y33" s="547"/>
      <c r="Z33" s="547"/>
      <c r="AA33" s="547"/>
      <c r="AB33" s="547"/>
      <c r="AC33" s="547"/>
      <c r="AD33" s="4"/>
      <c r="AE33" s="4"/>
      <c r="AF33" s="4"/>
      <c r="AG33" s="4"/>
      <c r="AH33" s="4"/>
      <c r="AI33" s="4"/>
      <c r="AJ33" s="4"/>
    </row>
    <row r="34" spans="1:36" s="1" customFormat="1" ht="14.25" outlineLevel="1" x14ac:dyDescent="0.2">
      <c r="A34" s="36"/>
      <c r="B34" s="489" t="s">
        <v>4</v>
      </c>
      <c r="C34" s="4" t="str">
        <f>C11</f>
        <v>Корпоративные кредиты</v>
      </c>
      <c r="D34" s="4"/>
      <c r="E34" s="603"/>
      <c r="F34" s="603"/>
      <c r="G34" s="603"/>
      <c r="H34" s="603"/>
      <c r="I34" s="603"/>
      <c r="J34" s="603"/>
      <c r="K34" s="603"/>
      <c r="L34" s="603"/>
      <c r="M34" s="603"/>
      <c r="N34" s="603"/>
      <c r="O34" s="603"/>
      <c r="P34" s="499"/>
      <c r="Q34" s="603"/>
      <c r="R34" s="603"/>
      <c r="S34" s="603"/>
      <c r="T34" s="603"/>
      <c r="U34" s="603"/>
      <c r="V34" s="603"/>
      <c r="W34" s="603"/>
      <c r="X34" s="603"/>
      <c r="Y34" s="603"/>
      <c r="Z34" s="603"/>
      <c r="AA34" s="603"/>
      <c r="AB34" s="603"/>
      <c r="AC34" s="547"/>
      <c r="AD34" s="4"/>
      <c r="AE34" s="4"/>
      <c r="AF34" s="4"/>
      <c r="AG34" s="4"/>
      <c r="AH34" s="4"/>
      <c r="AI34" s="4"/>
      <c r="AJ34" s="4"/>
    </row>
    <row r="35" spans="1:36" s="1" customFormat="1" ht="14.25" outlineLevel="1" x14ac:dyDescent="0.2">
      <c r="A35" s="36"/>
      <c r="B35" s="489" t="s">
        <v>5</v>
      </c>
      <c r="C35" s="4" t="str">
        <f>C12</f>
        <v>Кредиты государственным и муниципальным органам</v>
      </c>
      <c r="D35" s="4"/>
      <c r="E35" s="603"/>
      <c r="F35" s="603"/>
      <c r="G35" s="603"/>
      <c r="H35" s="603"/>
      <c r="I35" s="603"/>
      <c r="J35" s="603"/>
      <c r="K35" s="603"/>
      <c r="L35" s="603"/>
      <c r="M35" s="603"/>
      <c r="N35" s="603"/>
      <c r="O35" s="603"/>
      <c r="P35" s="499"/>
      <c r="Q35" s="603"/>
      <c r="R35" s="603"/>
      <c r="S35" s="603"/>
      <c r="T35" s="603"/>
      <c r="U35" s="603"/>
      <c r="V35" s="603"/>
      <c r="W35" s="603"/>
      <c r="X35" s="603"/>
      <c r="Y35" s="603"/>
      <c r="Z35" s="603"/>
      <c r="AA35" s="603"/>
      <c r="AB35" s="603"/>
      <c r="AC35" s="547"/>
      <c r="AD35" s="4"/>
      <c r="AE35" s="4"/>
      <c r="AF35" s="4"/>
      <c r="AG35" s="4"/>
      <c r="AH35" s="4"/>
      <c r="AI35" s="4"/>
      <c r="AJ35" s="4"/>
    </row>
    <row r="36" spans="1:36" s="1" customFormat="1" ht="14.25" outlineLevel="1" x14ac:dyDescent="0.2">
      <c r="A36" s="36"/>
      <c r="B36" s="489" t="s">
        <v>14</v>
      </c>
      <c r="C36" s="4" t="str">
        <f>C13</f>
        <v>Кредиты малому и среднему бизнесу</v>
      </c>
      <c r="D36" s="4"/>
      <c r="E36" s="603"/>
      <c r="F36" s="603"/>
      <c r="G36" s="603"/>
      <c r="H36" s="603"/>
      <c r="I36" s="603"/>
      <c r="J36" s="603"/>
      <c r="K36" s="603"/>
      <c r="L36" s="603"/>
      <c r="M36" s="603"/>
      <c r="N36" s="603"/>
      <c r="O36" s="603"/>
      <c r="P36" s="499"/>
      <c r="Q36" s="603"/>
      <c r="R36" s="603"/>
      <c r="S36" s="603"/>
      <c r="T36" s="603"/>
      <c r="U36" s="603"/>
      <c r="V36" s="603"/>
      <c r="W36" s="603"/>
      <c r="X36" s="603"/>
      <c r="Y36" s="603"/>
      <c r="Z36" s="603"/>
      <c r="AA36" s="603"/>
      <c r="AB36" s="603"/>
      <c r="AC36" s="547"/>
      <c r="AD36" s="4"/>
      <c r="AE36" s="4"/>
      <c r="AF36" s="4"/>
      <c r="AG36" s="4"/>
      <c r="AH36" s="4"/>
      <c r="AI36" s="4"/>
      <c r="AJ36" s="4"/>
    </row>
    <row r="37" spans="1:36" s="1" customFormat="1" ht="14.25" outlineLevel="1" x14ac:dyDescent="0.2">
      <c r="A37" s="36"/>
      <c r="B37" s="489" t="s">
        <v>540</v>
      </c>
      <c r="C37" s="4" t="str">
        <f>C16</f>
        <v>Требования по процентам, корректировка ссуд. зад-ти</v>
      </c>
      <c r="D37" s="4"/>
      <c r="E37" s="603"/>
      <c r="F37" s="603"/>
      <c r="G37" s="603"/>
      <c r="H37" s="603"/>
      <c r="I37" s="603"/>
      <c r="J37" s="603"/>
      <c r="K37" s="603"/>
      <c r="L37" s="603"/>
      <c r="M37" s="603"/>
      <c r="N37" s="603"/>
      <c r="O37" s="603"/>
      <c r="P37" s="499"/>
      <c r="Q37" s="603"/>
      <c r="R37" s="603"/>
      <c r="S37" s="603"/>
      <c r="T37" s="603"/>
      <c r="U37" s="603"/>
      <c r="V37" s="603"/>
      <c r="W37" s="603"/>
      <c r="X37" s="603"/>
      <c r="Y37" s="603"/>
      <c r="Z37" s="603"/>
      <c r="AA37" s="603"/>
      <c r="AB37" s="603"/>
      <c r="AC37" s="547"/>
      <c r="AD37" s="4"/>
      <c r="AE37" s="4"/>
      <c r="AF37" s="4"/>
      <c r="AG37" s="4"/>
      <c r="AH37" s="4"/>
      <c r="AI37" s="4"/>
      <c r="AJ37" s="4"/>
    </row>
    <row r="38" spans="1:36" s="3" customFormat="1" ht="21.75" customHeight="1" x14ac:dyDescent="0.25">
      <c r="A38" s="601"/>
      <c r="B38" s="605" t="s">
        <v>424</v>
      </c>
      <c r="C38" s="606"/>
      <c r="D38" s="606"/>
      <c r="E38" s="615"/>
      <c r="F38" s="615">
        <f>IF(F17=0,"-",-Ввод!G457/VLOOKUP(Баланс!$B$7,Баланс!$A$1:$B$3,2,0)/F17)</f>
        <v>0.12303860902380892</v>
      </c>
      <c r="G38" s="888">
        <f>IF(G17=0,"-",-Ввод!H457/VLOOKUP(Баланс!$B$7,Баланс!$A$1:$B$3,2,0)/G17)</f>
        <v>0.18321546324309093</v>
      </c>
      <c r="H38" s="888">
        <f>IF(H17=0,"-",-Ввод!I457/VLOOKUP(Баланс!$B$7,Баланс!$A$1:$B$3,2,0)/H17)</f>
        <v>0.24140040690795439</v>
      </c>
      <c r="I38" s="888">
        <f>IF(I17=0,"-",-Ввод!J457/VLOOKUP(Баланс!$B$7,Баланс!$A$1:$B$3,2,0)/I17)</f>
        <v>0.23795070857301787</v>
      </c>
      <c r="J38" s="888">
        <f>IF(J17=0,"-",-Ввод!K457/VLOOKUP(Баланс!$B$7,Баланс!$A$1:$B$3,2,0)/J17)</f>
        <v>0.28881181201883471</v>
      </c>
      <c r="K38" s="888">
        <f>IF(K17=0,"-",-Ввод!L457/VLOOKUP(Баланс!$B$7,Баланс!$A$1:$B$3,2,0)/K17)</f>
        <v>0.18412268700404916</v>
      </c>
      <c r="L38" s="888">
        <f>IF(L17=0,"-",-Ввод!M457/VLOOKUP(Баланс!$B$7,Баланс!$A$1:$B$3,2,0)/L17)</f>
        <v>0.18148429966364429</v>
      </c>
      <c r="M38" s="888">
        <f>IF(M17=0,"-",-Ввод!N457/VLOOKUP(Баланс!$B$7,Баланс!$A$1:$B$3,2,0)/M17)</f>
        <v>0.16438119150709982</v>
      </c>
      <c r="N38" s="888">
        <f>IF(N17=0,"-",-Ввод!O457/VLOOKUP(Баланс!$B$7,Баланс!$A$1:$B$3,2,0)/N17)</f>
        <v>0.12858707700757643</v>
      </c>
      <c r="O38" s="653" t="str">
        <f>IF(O17=0,"-",-Ввод!P457/VLOOKUP(Баланс!$B$7,Баланс!$A$1:$B$3,2,0)/O17)</f>
        <v>-</v>
      </c>
      <c r="P38" s="595"/>
      <c r="Q38" s="612"/>
      <c r="R38" s="612"/>
      <c r="S38" s="612"/>
      <c r="T38" s="612"/>
      <c r="U38" s="612"/>
      <c r="V38" s="612"/>
      <c r="W38" s="612"/>
      <c r="X38" s="612"/>
      <c r="Y38" s="612"/>
      <c r="Z38" s="612"/>
      <c r="AA38" s="612"/>
      <c r="AB38" s="612"/>
      <c r="AC38" s="596"/>
      <c r="AD38" s="6"/>
      <c r="AE38" s="6"/>
      <c r="AF38" s="6"/>
      <c r="AG38" s="6"/>
      <c r="AH38" s="6"/>
      <c r="AI38" s="6"/>
      <c r="AJ38" s="6"/>
    </row>
    <row r="39" spans="1:36" s="2" customFormat="1" x14ac:dyDescent="0.25">
      <c r="A39" s="597">
        <v>2</v>
      </c>
      <c r="B39" s="598" t="s">
        <v>880</v>
      </c>
      <c r="C39" s="598"/>
      <c r="D39" s="598"/>
      <c r="E39" s="600"/>
      <c r="F39" s="600"/>
      <c r="G39" s="1944"/>
      <c r="H39" s="1944"/>
      <c r="I39" s="1944"/>
      <c r="J39" s="1944"/>
      <c r="K39" s="1944"/>
      <c r="L39" s="654"/>
      <c r="M39" s="654"/>
      <c r="N39" s="654"/>
      <c r="O39" s="654"/>
      <c r="P39" s="593"/>
      <c r="Q39" s="594"/>
      <c r="R39" s="594"/>
      <c r="S39" s="594"/>
      <c r="T39" s="594"/>
      <c r="U39" s="594"/>
      <c r="V39" s="594"/>
      <c r="W39" s="594"/>
      <c r="X39" s="594"/>
      <c r="Y39" s="594"/>
      <c r="Z39" s="594"/>
      <c r="AA39" s="594"/>
      <c r="AB39" s="594"/>
      <c r="AC39" s="594"/>
      <c r="AD39" s="12"/>
      <c r="AE39" s="12"/>
      <c r="AF39" s="12"/>
      <c r="AG39" s="12"/>
      <c r="AH39" s="12"/>
      <c r="AI39" s="12"/>
      <c r="AJ39" s="12"/>
    </row>
    <row r="40" spans="1:36" s="1" customFormat="1" ht="14.25" outlineLevel="1" x14ac:dyDescent="0.2">
      <c r="A40" s="36"/>
      <c r="B40" s="489" t="s">
        <v>6</v>
      </c>
      <c r="C40" s="4" t="str">
        <f>C19</f>
        <v>Жилищные (кроме ипотечных)</v>
      </c>
      <c r="D40" s="4"/>
      <c r="E40" s="603"/>
      <c r="F40" s="603"/>
      <c r="G40" s="647"/>
      <c r="H40" s="647"/>
      <c r="I40" s="647"/>
      <c r="J40" s="647"/>
      <c r="K40" s="647"/>
      <c r="L40" s="647"/>
      <c r="M40" s="647"/>
      <c r="N40" s="647"/>
      <c r="O40" s="647"/>
      <c r="P40" s="499"/>
      <c r="Q40" s="603"/>
      <c r="R40" s="603"/>
      <c r="S40" s="603"/>
      <c r="T40" s="603"/>
      <c r="U40" s="603"/>
      <c r="V40" s="603"/>
      <c r="W40" s="603"/>
      <c r="X40" s="603"/>
      <c r="Y40" s="603"/>
      <c r="Z40" s="603"/>
      <c r="AA40" s="603"/>
      <c r="AB40" s="603"/>
      <c r="AC40" s="547"/>
      <c r="AD40" s="4"/>
      <c r="AE40" s="4"/>
      <c r="AF40" s="4"/>
      <c r="AG40" s="4"/>
      <c r="AH40" s="4"/>
      <c r="AI40" s="4"/>
      <c r="AJ40" s="4"/>
    </row>
    <row r="41" spans="1:36" s="1" customFormat="1" ht="14.25" outlineLevel="1" x14ac:dyDescent="0.2">
      <c r="A41" s="36"/>
      <c r="B41" s="489" t="s">
        <v>7</v>
      </c>
      <c r="C41" s="4" t="str">
        <f>C20</f>
        <v>Ипотечные</v>
      </c>
      <c r="D41" s="4"/>
      <c r="E41" s="603"/>
      <c r="F41" s="603"/>
      <c r="G41" s="647"/>
      <c r="H41" s="647"/>
      <c r="I41" s="647"/>
      <c r="J41" s="647"/>
      <c r="K41" s="647"/>
      <c r="L41" s="647"/>
      <c r="M41" s="647"/>
      <c r="N41" s="647"/>
      <c r="O41" s="647"/>
      <c r="P41" s="499"/>
      <c r="Q41" s="603"/>
      <c r="R41" s="603"/>
      <c r="S41" s="603"/>
      <c r="T41" s="603"/>
      <c r="U41" s="603"/>
      <c r="V41" s="603"/>
      <c r="W41" s="603"/>
      <c r="X41" s="603"/>
      <c r="Y41" s="603"/>
      <c r="Z41" s="603"/>
      <c r="AA41" s="603"/>
      <c r="AB41" s="603"/>
      <c r="AC41" s="547"/>
      <c r="AD41" s="4"/>
      <c r="AE41" s="4"/>
      <c r="AF41" s="4"/>
      <c r="AG41" s="4"/>
      <c r="AH41" s="4"/>
      <c r="AI41" s="4"/>
      <c r="AJ41" s="4"/>
    </row>
    <row r="42" spans="1:36" s="1" customFormat="1" ht="14.25" outlineLevel="1" x14ac:dyDescent="0.2">
      <c r="A42" s="36"/>
      <c r="B42" s="489" t="s">
        <v>9</v>
      </c>
      <c r="C42" s="4" t="str">
        <f>C21</f>
        <v>Автокредиты</v>
      </c>
      <c r="D42" s="4"/>
      <c r="E42" s="603"/>
      <c r="F42" s="603"/>
      <c r="G42" s="647"/>
      <c r="H42" s="647"/>
      <c r="I42" s="647"/>
      <c r="J42" s="647"/>
      <c r="K42" s="647"/>
      <c r="L42" s="647"/>
      <c r="M42" s="647"/>
      <c r="N42" s="647"/>
      <c r="O42" s="647"/>
      <c r="P42" s="499"/>
      <c r="Q42" s="603"/>
      <c r="R42" s="603"/>
      <c r="S42" s="603"/>
      <c r="T42" s="603"/>
      <c r="U42" s="603"/>
      <c r="V42" s="603"/>
      <c r="W42" s="603"/>
      <c r="X42" s="603"/>
      <c r="Y42" s="603"/>
      <c r="Z42" s="603"/>
      <c r="AA42" s="603"/>
      <c r="AB42" s="603"/>
      <c r="AC42" s="547"/>
      <c r="AD42" s="4"/>
      <c r="AE42" s="4"/>
      <c r="AF42" s="4"/>
      <c r="AG42" s="4"/>
      <c r="AH42" s="4"/>
      <c r="AI42" s="4"/>
      <c r="AJ42" s="4"/>
    </row>
    <row r="43" spans="1:36" s="1" customFormat="1" ht="14.25" outlineLevel="1" x14ac:dyDescent="0.2">
      <c r="A43" s="36"/>
      <c r="B43" s="489" t="s">
        <v>478</v>
      </c>
      <c r="C43" s="4" t="str">
        <f>C22</f>
        <v>Потребительские ссуды</v>
      </c>
      <c r="D43" s="4"/>
      <c r="E43" s="603"/>
      <c r="F43" s="603"/>
      <c r="G43" s="647"/>
      <c r="H43" s="647"/>
      <c r="I43" s="647"/>
      <c r="J43" s="647"/>
      <c r="K43" s="647"/>
      <c r="L43" s="647"/>
      <c r="M43" s="647"/>
      <c r="N43" s="647"/>
      <c r="O43" s="647"/>
      <c r="P43" s="499"/>
      <c r="Q43" s="603"/>
      <c r="R43" s="603"/>
      <c r="S43" s="603"/>
      <c r="T43" s="603"/>
      <c r="U43" s="603"/>
      <c r="V43" s="603"/>
      <c r="W43" s="603"/>
      <c r="X43" s="603"/>
      <c r="Y43" s="603"/>
      <c r="Z43" s="603"/>
      <c r="AA43" s="603"/>
      <c r="AB43" s="603"/>
      <c r="AC43" s="547"/>
      <c r="AD43" s="4"/>
      <c r="AE43" s="4"/>
      <c r="AF43" s="4"/>
      <c r="AG43" s="4"/>
      <c r="AH43" s="4"/>
      <c r="AI43" s="4"/>
      <c r="AJ43" s="4"/>
    </row>
    <row r="44" spans="1:36" s="1" customFormat="1" ht="14.25" outlineLevel="1" x14ac:dyDescent="0.2">
      <c r="A44" s="36"/>
      <c r="B44" s="489" t="s">
        <v>479</v>
      </c>
      <c r="C44" s="4" t="str">
        <f>C23</f>
        <v>Требования по процентам, корректировка ссуд. зад-ти</v>
      </c>
      <c r="D44" s="4"/>
      <c r="E44" s="603"/>
      <c r="F44" s="603"/>
      <c r="G44" s="647"/>
      <c r="H44" s="647"/>
      <c r="I44" s="647"/>
      <c r="J44" s="647"/>
      <c r="K44" s="647"/>
      <c r="L44" s="647"/>
      <c r="M44" s="647"/>
      <c r="N44" s="647"/>
      <c r="O44" s="647"/>
      <c r="P44" s="499"/>
      <c r="Q44" s="603"/>
      <c r="R44" s="603"/>
      <c r="S44" s="603"/>
      <c r="T44" s="603"/>
      <c r="U44" s="603"/>
      <c r="V44" s="603"/>
      <c r="W44" s="603"/>
      <c r="X44" s="603"/>
      <c r="Y44" s="603"/>
      <c r="Z44" s="603"/>
      <c r="AA44" s="603"/>
      <c r="AB44" s="603"/>
      <c r="AC44" s="547"/>
      <c r="AD44" s="4"/>
      <c r="AE44" s="4"/>
      <c r="AF44" s="4"/>
      <c r="AG44" s="4"/>
      <c r="AH44" s="4"/>
      <c r="AI44" s="4"/>
      <c r="AJ44" s="4"/>
    </row>
    <row r="45" spans="1:36" s="3" customFormat="1" ht="21.75" customHeight="1" x14ac:dyDescent="0.25">
      <c r="A45" s="601"/>
      <c r="B45" s="605" t="s">
        <v>429</v>
      </c>
      <c r="C45" s="606"/>
      <c r="D45" s="606"/>
      <c r="E45" s="615"/>
      <c r="F45" s="615">
        <f>IF(F24=0,"-",-Ввод!G467/VLOOKUP(Баланс!$B$7,Баланс!$A$1:$B$3,2,0)/F24)</f>
        <v>6.1333331706668742E-2</v>
      </c>
      <c r="G45" s="888">
        <f>IF(G24=0,"-",-Ввод!H467/VLOOKUP(Баланс!$B$7,Баланс!$A$1:$B$3,2,0)/G24)</f>
        <v>9.6171016214339045E-2</v>
      </c>
      <c r="H45" s="888">
        <f>IF(H24=0,"-",-Ввод!I467/VLOOKUP(Баланс!$B$7,Баланс!$A$1:$B$3,2,0)/H24)</f>
        <v>7.7282818593620684E-2</v>
      </c>
      <c r="I45" s="888">
        <f>IF(I24=0,"-",-Ввод!J467/VLOOKUP(Баланс!$B$7,Баланс!$A$1:$B$3,2,0)/I24)</f>
        <v>7.7062091412713279E-2</v>
      </c>
      <c r="J45" s="888">
        <f>IF(J24=0,"-",-Ввод!K467/VLOOKUP(Баланс!$B$7,Баланс!$A$1:$B$3,2,0)/J24)</f>
        <v>6.6893658348441729E-2</v>
      </c>
      <c r="K45" s="888">
        <f>IF(K24=0,"-",-Ввод!L467/VLOOKUP(Баланс!$B$7,Баланс!$A$1:$B$3,2,0)/K24)</f>
        <v>3.4877965299876509E-2</v>
      </c>
      <c r="L45" s="888">
        <f>IF(L24=0,"-",-Ввод!M467/VLOOKUP(Баланс!$B$7,Баланс!$A$1:$B$3,2,0)/L24)</f>
        <v>3.4378181250427735E-2</v>
      </c>
      <c r="M45" s="888">
        <f>IF(M24=0,"-",-Ввод!N467/VLOOKUP(Баланс!$B$7,Баланс!$A$1:$B$3,2,0)/M24)</f>
        <v>3.6078204138650857E-2</v>
      </c>
      <c r="N45" s="888">
        <f>IF(N24=0,"-",-Ввод!O467/VLOOKUP(Баланс!$B$7,Баланс!$A$1:$B$3,2,0)/N24)</f>
        <v>3.120879553817673E-2</v>
      </c>
      <c r="O45" s="653" t="str">
        <f>IF(O24=0,"-",-Ввод!P467/O24)</f>
        <v>-</v>
      </c>
      <c r="P45" s="595"/>
      <c r="Q45" s="612"/>
      <c r="R45" s="612"/>
      <c r="S45" s="612"/>
      <c r="T45" s="612"/>
      <c r="U45" s="612"/>
      <c r="V45" s="612"/>
      <c r="W45" s="612"/>
      <c r="X45" s="612"/>
      <c r="Y45" s="612"/>
      <c r="Z45" s="612"/>
      <c r="AA45" s="612"/>
      <c r="AB45" s="612"/>
      <c r="AC45" s="596"/>
      <c r="AD45" s="6"/>
      <c r="AE45" s="6"/>
      <c r="AF45" s="6"/>
      <c r="AG45" s="6"/>
      <c r="AH45" s="6"/>
      <c r="AI45" s="6"/>
      <c r="AJ45" s="6"/>
    </row>
    <row r="46" spans="1:36" s="1" customFormat="1" ht="26.25" customHeight="1" x14ac:dyDescent="0.2">
      <c r="A46" s="515"/>
      <c r="B46" s="516" t="s">
        <v>442</v>
      </c>
      <c r="C46" s="517"/>
      <c r="D46" s="517"/>
      <c r="E46" s="608"/>
      <c r="F46" s="608">
        <f t="shared" ref="F46:J46" si="27">IF(F25=0,"-",-F26/F25)</f>
        <v>0.10691771793253964</v>
      </c>
      <c r="G46" s="655">
        <f t="shared" si="27"/>
        <v>0.15652968079275473</v>
      </c>
      <c r="H46" s="655">
        <f t="shared" si="27"/>
        <v>0.186805835308853</v>
      </c>
      <c r="I46" s="655">
        <f t="shared" si="27"/>
        <v>0.18478336744491553</v>
      </c>
      <c r="J46" s="655">
        <f t="shared" si="27"/>
        <v>0.19373039937199912</v>
      </c>
      <c r="K46" s="655">
        <f>IF(K25=0,"-",-K26/K25)</f>
        <v>0.11426365601349048</v>
      </c>
      <c r="L46" s="650">
        <f t="shared" ref="L46:O46" si="28">IF(L25=0,"-",-L26/L25)</f>
        <v>0.11262631414975949</v>
      </c>
      <c r="M46" s="650">
        <f t="shared" si="28"/>
        <v>0.10899808374807249</v>
      </c>
      <c r="N46" s="650">
        <f t="shared" si="28"/>
        <v>8.8937622560336382E-2</v>
      </c>
      <c r="O46" s="650" t="str">
        <f t="shared" si="28"/>
        <v>-</v>
      </c>
      <c r="P46" s="499"/>
      <c r="Q46" s="613"/>
      <c r="R46" s="613"/>
      <c r="S46" s="613"/>
      <c r="T46" s="613"/>
      <c r="U46" s="613"/>
      <c r="V46" s="613"/>
      <c r="W46" s="613"/>
      <c r="X46" s="613"/>
      <c r="Y46" s="613"/>
      <c r="Z46" s="613"/>
      <c r="AA46" s="613"/>
      <c r="AB46" s="613"/>
      <c r="AC46" s="547"/>
      <c r="AD46" s="4"/>
      <c r="AE46" s="4"/>
      <c r="AF46" s="4"/>
      <c r="AG46" s="4"/>
      <c r="AH46" s="4"/>
      <c r="AI46" s="4"/>
      <c r="AJ46" s="4"/>
    </row>
    <row r="47" spans="1:36" s="1" customFormat="1" ht="14.25" x14ac:dyDescent="0.2">
      <c r="A47" s="4"/>
      <c r="B47" s="4"/>
      <c r="C47" s="4"/>
      <c r="D47" s="4"/>
      <c r="E47" s="499"/>
      <c r="F47" s="499"/>
      <c r="G47" s="499"/>
      <c r="H47" s="499"/>
      <c r="I47" s="499"/>
      <c r="J47" s="499"/>
      <c r="K47" s="499"/>
      <c r="L47" s="499"/>
      <c r="M47" s="499"/>
      <c r="N47" s="499"/>
      <c r="O47" s="499"/>
      <c r="P47" s="499"/>
      <c r="Q47" s="547"/>
      <c r="R47" s="547"/>
      <c r="S47" s="547"/>
      <c r="T47" s="547"/>
      <c r="U47" s="547"/>
      <c r="V47" s="547"/>
      <c r="W47" s="547"/>
      <c r="X47" s="547"/>
      <c r="Y47" s="547"/>
      <c r="Z47" s="547"/>
      <c r="AA47" s="547"/>
      <c r="AB47" s="547"/>
      <c r="AC47" s="547"/>
      <c r="AD47" s="4"/>
      <c r="AE47" s="4"/>
      <c r="AF47" s="4"/>
      <c r="AG47" s="4"/>
      <c r="AH47" s="4"/>
      <c r="AI47" s="4"/>
      <c r="AJ47" s="4"/>
    </row>
    <row r="48" spans="1:36" s="1" customFormat="1" ht="14.25" x14ac:dyDescent="0.2">
      <c r="A48" s="4"/>
      <c r="B48" s="4"/>
      <c r="C48" s="4"/>
      <c r="D48" s="4"/>
      <c r="E48" s="499"/>
      <c r="F48" s="499"/>
      <c r="G48" s="499"/>
      <c r="H48" s="499"/>
      <c r="I48" s="499"/>
      <c r="J48" s="499"/>
      <c r="K48" s="499"/>
      <c r="L48" s="499"/>
      <c r="M48" s="499"/>
      <c r="N48" s="499"/>
      <c r="O48" s="499"/>
      <c r="P48" s="499"/>
      <c r="Q48" s="547"/>
      <c r="R48" s="547"/>
      <c r="S48" s="547"/>
      <c r="T48" s="547"/>
      <c r="U48" s="547"/>
      <c r="V48" s="547"/>
      <c r="W48" s="547"/>
      <c r="X48" s="547"/>
      <c r="Y48" s="547"/>
      <c r="Z48" s="547"/>
      <c r="AA48" s="547"/>
      <c r="AB48" s="547"/>
      <c r="AC48" s="547"/>
      <c r="AD48" s="4"/>
      <c r="AE48" s="4"/>
      <c r="AF48" s="4"/>
      <c r="AG48" s="4"/>
      <c r="AH48" s="4"/>
      <c r="AI48" s="4"/>
      <c r="AJ48" s="4"/>
    </row>
    <row r="49" spans="1:36" s="1" customFormat="1" x14ac:dyDescent="0.2">
      <c r="A49" s="616"/>
      <c r="B49" s="617" t="s">
        <v>1219</v>
      </c>
      <c r="C49" s="507"/>
      <c r="D49" s="507"/>
      <c r="E49" s="618"/>
      <c r="F49" s="618"/>
      <c r="G49" s="618"/>
      <c r="H49" s="618"/>
      <c r="I49" s="618"/>
      <c r="J49" s="618"/>
      <c r="K49" s="618"/>
      <c r="L49" s="618"/>
      <c r="M49" s="618"/>
      <c r="N49" s="618"/>
      <c r="O49" s="618"/>
      <c r="P49" s="618"/>
      <c r="Q49" s="619"/>
      <c r="R49" s="619"/>
      <c r="S49" s="619"/>
      <c r="T49" s="619"/>
      <c r="U49" s="619"/>
      <c r="V49" s="619"/>
      <c r="W49" s="619"/>
      <c r="X49" s="619"/>
      <c r="Y49" s="619"/>
      <c r="Z49" s="619"/>
      <c r="AA49" s="619"/>
      <c r="AB49" s="619"/>
      <c r="AC49" s="547"/>
      <c r="AD49" s="4"/>
      <c r="AE49" s="4"/>
      <c r="AF49" s="4"/>
      <c r="AG49" s="4"/>
      <c r="AH49" s="4"/>
      <c r="AI49" s="4"/>
      <c r="AJ49" s="4"/>
    </row>
    <row r="50" spans="1:36" s="1" customFormat="1" ht="14.25" x14ac:dyDescent="0.2">
      <c r="A50" s="4"/>
      <c r="B50" s="4"/>
      <c r="C50" s="4"/>
      <c r="D50" s="4"/>
      <c r="F50" s="4"/>
      <c r="G50" s="4" t="s">
        <v>348</v>
      </c>
      <c r="H50" s="4"/>
      <c r="I50" s="4"/>
      <c r="J50" s="4"/>
      <c r="K50" s="4"/>
      <c r="L50" s="4"/>
      <c r="M50" s="4"/>
      <c r="N50" s="4"/>
      <c r="O50" s="4"/>
      <c r="P50" s="4"/>
      <c r="Q50" s="4"/>
      <c r="R50" s="4"/>
      <c r="S50" s="4"/>
      <c r="T50" s="4"/>
      <c r="U50" s="4"/>
      <c r="V50" s="71"/>
      <c r="W50" s="71"/>
      <c r="X50" s="71"/>
      <c r="Y50" s="71"/>
      <c r="Z50" s="71"/>
      <c r="AA50" s="71"/>
      <c r="AB50" s="71"/>
      <c r="AC50" s="547"/>
      <c r="AD50" s="4"/>
      <c r="AE50" s="4"/>
      <c r="AF50" s="4"/>
      <c r="AG50" s="4"/>
      <c r="AH50" s="4"/>
      <c r="AI50" s="4"/>
      <c r="AJ50" s="4"/>
    </row>
    <row r="51" spans="1:36" s="1" customFormat="1" ht="14.25" x14ac:dyDescent="0.2">
      <c r="A51" s="15"/>
      <c r="B51" s="15"/>
      <c r="C51" s="15"/>
      <c r="D51" s="15"/>
      <c r="E51" s="539"/>
      <c r="F51" s="539">
        <f t="shared" ref="F51:J51" si="29">F8</f>
        <v>2016</v>
      </c>
      <c r="G51" s="539">
        <f t="shared" si="29"/>
        <v>2017</v>
      </c>
      <c r="H51" s="539">
        <f t="shared" si="29"/>
        <v>2018</v>
      </c>
      <c r="I51" s="539">
        <f t="shared" si="29"/>
        <v>2019</v>
      </c>
      <c r="J51" s="539">
        <f t="shared" si="29"/>
        <v>2020</v>
      </c>
      <c r="K51" s="539">
        <f>K8</f>
        <v>2021</v>
      </c>
      <c r="L51" s="539">
        <f t="shared" ref="L51:O51" si="30">L8</f>
        <v>2022</v>
      </c>
      <c r="M51" s="539">
        <f t="shared" si="30"/>
        <v>2023</v>
      </c>
      <c r="N51" s="539">
        <f t="shared" si="30"/>
        <v>2024</v>
      </c>
      <c r="O51" s="539">
        <f t="shared" si="30"/>
        <v>2025</v>
      </c>
      <c r="P51" s="38"/>
      <c r="Q51" s="540"/>
      <c r="R51" s="540"/>
      <c r="S51" s="540"/>
      <c r="T51" s="540"/>
      <c r="U51" s="540"/>
      <c r="V51" s="540"/>
      <c r="W51" s="540"/>
      <c r="X51" s="540"/>
      <c r="Y51" s="540"/>
      <c r="Z51" s="540"/>
      <c r="AA51" s="540"/>
      <c r="AB51" s="540"/>
      <c r="AC51" s="547"/>
      <c r="AD51" s="4"/>
      <c r="AE51" s="4"/>
      <c r="AF51" s="4"/>
      <c r="AG51" s="4"/>
      <c r="AH51" s="4"/>
      <c r="AI51" s="4"/>
      <c r="AJ51" s="4"/>
    </row>
    <row r="52" spans="1:36" s="1" customFormat="1" x14ac:dyDescent="0.25">
      <c r="A52" s="597">
        <v>1</v>
      </c>
      <c r="B52" s="598" t="s">
        <v>879</v>
      </c>
      <c r="C52" s="509"/>
      <c r="D52" s="509"/>
      <c r="E52" s="599"/>
      <c r="F52" s="599"/>
      <c r="G52" s="599"/>
      <c r="H52" s="599"/>
      <c r="I52" s="599"/>
      <c r="J52" s="599"/>
      <c r="K52" s="599"/>
      <c r="L52" s="599"/>
      <c r="M52" s="599"/>
      <c r="N52" s="599"/>
      <c r="O52" s="599"/>
      <c r="P52" s="499"/>
      <c r="Q52" s="547"/>
      <c r="R52" s="547"/>
      <c r="S52" s="547"/>
      <c r="T52" s="547"/>
      <c r="U52" s="547"/>
      <c r="V52" s="547"/>
      <c r="W52" s="547"/>
      <c r="X52" s="547"/>
      <c r="Y52" s="547"/>
      <c r="Z52" s="547"/>
      <c r="AA52" s="547"/>
      <c r="AB52" s="547"/>
      <c r="AC52" s="547"/>
      <c r="AD52" s="4"/>
      <c r="AE52" s="4"/>
      <c r="AF52" s="4"/>
      <c r="AG52" s="4"/>
      <c r="AH52" s="4"/>
      <c r="AI52" s="4"/>
      <c r="AJ52" s="4"/>
    </row>
    <row r="53" spans="1:36" s="1" customFormat="1" outlineLevel="1" x14ac:dyDescent="0.2">
      <c r="A53" s="36"/>
      <c r="B53" s="21" t="s">
        <v>1161</v>
      </c>
      <c r="C53" s="4"/>
      <c r="D53" s="4"/>
      <c r="E53" s="647"/>
      <c r="F53" s="647" t="e">
        <f>Ввод!G496/Ввод!G498</f>
        <v>#DIV/0!</v>
      </c>
      <c r="G53" s="647" t="e">
        <f>Ввод!H496/Ввод!H498</f>
        <v>#DIV/0!</v>
      </c>
      <c r="H53" s="647" t="e">
        <f>Ввод!I496/Ввод!I498</f>
        <v>#DIV/0!</v>
      </c>
      <c r="I53" s="647" t="e">
        <f>Ввод!J496/Ввод!J498</f>
        <v>#DIV/0!</v>
      </c>
      <c r="J53" s="647" t="e">
        <f>Ввод!K496/Ввод!K498</f>
        <v>#DIV/0!</v>
      </c>
      <c r="K53" s="647" t="e">
        <f>Ввод!L496/Ввод!L498</f>
        <v>#DIV/0!</v>
      </c>
      <c r="L53" s="647" t="e">
        <f>Ввод!M496/Ввод!M498</f>
        <v>#DIV/0!</v>
      </c>
      <c r="M53" s="647" t="e">
        <f>Ввод!N496/Ввод!N498</f>
        <v>#DIV/0!</v>
      </c>
      <c r="N53" s="647" t="e">
        <f>Ввод!O496/Ввод!O498</f>
        <v>#DIV/0!</v>
      </c>
      <c r="O53" s="647" t="e">
        <f>Ввод!P496/Ввод!P498</f>
        <v>#DIV/0!</v>
      </c>
      <c r="P53" s="499"/>
      <c r="Q53" s="603"/>
      <c r="R53" s="603"/>
      <c r="S53" s="603"/>
      <c r="T53" s="603"/>
      <c r="U53" s="603"/>
      <c r="V53" s="603"/>
      <c r="W53" s="603"/>
      <c r="X53" s="603"/>
      <c r="Y53" s="603"/>
      <c r="Z53" s="603"/>
      <c r="AA53" s="603"/>
      <c r="AB53" s="603"/>
      <c r="AC53" s="547"/>
      <c r="AD53" s="4"/>
      <c r="AE53" s="4"/>
      <c r="AF53" s="4"/>
      <c r="AG53" s="4"/>
      <c r="AH53" s="4"/>
      <c r="AI53" s="4"/>
      <c r="AJ53" s="4"/>
    </row>
    <row r="54" spans="1:36" s="1" customFormat="1" outlineLevel="1" x14ac:dyDescent="0.2">
      <c r="A54" s="36"/>
      <c r="B54" s="21" t="s">
        <v>1162</v>
      </c>
      <c r="C54" s="4"/>
      <c r="D54" s="4"/>
      <c r="E54" s="647"/>
      <c r="F54" s="647" t="e">
        <f>Ввод!G497/Ввод!G498</f>
        <v>#DIV/0!</v>
      </c>
      <c r="G54" s="647" t="e">
        <f>Ввод!H497/Ввод!H498</f>
        <v>#DIV/0!</v>
      </c>
      <c r="H54" s="647" t="e">
        <f>Ввод!I497/Ввод!I498</f>
        <v>#DIV/0!</v>
      </c>
      <c r="I54" s="647" t="e">
        <f>Ввод!J497/Ввод!J498</f>
        <v>#DIV/0!</v>
      </c>
      <c r="J54" s="647" t="e">
        <f>Ввод!K497/Ввод!K498</f>
        <v>#DIV/0!</v>
      </c>
      <c r="K54" s="647" t="e">
        <f>Ввод!L497/Ввод!L498</f>
        <v>#DIV/0!</v>
      </c>
      <c r="L54" s="647" t="e">
        <f>Ввод!M497/Ввод!M498</f>
        <v>#DIV/0!</v>
      </c>
      <c r="M54" s="647" t="e">
        <f>Ввод!N497/Ввод!N498</f>
        <v>#DIV/0!</v>
      </c>
      <c r="N54" s="647" t="e">
        <f>Ввод!O497/Ввод!O498</f>
        <v>#DIV/0!</v>
      </c>
      <c r="O54" s="647" t="e">
        <f>Ввод!P497/Ввод!P498</f>
        <v>#DIV/0!</v>
      </c>
      <c r="P54" s="499"/>
      <c r="Q54" s="603"/>
      <c r="R54" s="603"/>
      <c r="S54" s="603"/>
      <c r="T54" s="603"/>
      <c r="U54" s="603"/>
      <c r="V54" s="603"/>
      <c r="W54" s="603"/>
      <c r="X54" s="603"/>
      <c r="Y54" s="603"/>
      <c r="Z54" s="603"/>
      <c r="AA54" s="603"/>
      <c r="AB54" s="603"/>
      <c r="AC54" s="547"/>
      <c r="AD54" s="4"/>
      <c r="AE54" s="4"/>
      <c r="AF54" s="4"/>
      <c r="AG54" s="4"/>
      <c r="AH54" s="4"/>
      <c r="AI54" s="4"/>
      <c r="AJ54" s="4"/>
    </row>
    <row r="55" spans="1:36" s="3" customFormat="1" ht="21.75" customHeight="1" x14ac:dyDescent="0.25">
      <c r="A55" s="601"/>
      <c r="B55" s="605" t="s">
        <v>3469</v>
      </c>
      <c r="C55" s="606"/>
      <c r="D55" s="606"/>
      <c r="E55" s="888"/>
      <c r="F55" s="888" t="e">
        <f t="shared" ref="F55:J55" si="31">SUM(F53:F54)</f>
        <v>#DIV/0!</v>
      </c>
      <c r="G55" s="888" t="e">
        <f t="shared" si="31"/>
        <v>#DIV/0!</v>
      </c>
      <c r="H55" s="888" t="e">
        <f t="shared" si="31"/>
        <v>#DIV/0!</v>
      </c>
      <c r="I55" s="888" t="e">
        <f t="shared" si="31"/>
        <v>#DIV/0!</v>
      </c>
      <c r="J55" s="888" t="e">
        <f t="shared" si="31"/>
        <v>#DIV/0!</v>
      </c>
      <c r="K55" s="888" t="e">
        <f>SUM(K53:K54)</f>
        <v>#DIV/0!</v>
      </c>
      <c r="L55" s="888" t="e">
        <f t="shared" ref="L55:O55" si="32">SUM(L53:L54)</f>
        <v>#DIV/0!</v>
      </c>
      <c r="M55" s="888" t="e">
        <f t="shared" si="32"/>
        <v>#DIV/0!</v>
      </c>
      <c r="N55" s="888" t="e">
        <f t="shared" si="32"/>
        <v>#DIV/0!</v>
      </c>
      <c r="O55" s="888" t="e">
        <f t="shared" si="32"/>
        <v>#DIV/0!</v>
      </c>
      <c r="P55" s="595"/>
      <c r="Q55" s="612"/>
      <c r="R55" s="612"/>
      <c r="S55" s="612"/>
      <c r="T55" s="612"/>
      <c r="U55" s="612"/>
      <c r="V55" s="612"/>
      <c r="W55" s="612"/>
      <c r="X55" s="612"/>
      <c r="Y55" s="612"/>
      <c r="Z55" s="612"/>
      <c r="AA55" s="612"/>
      <c r="AB55" s="612"/>
      <c r="AC55" s="596"/>
      <c r="AD55" s="6"/>
      <c r="AE55" s="6"/>
      <c r="AF55" s="6"/>
      <c r="AG55" s="6"/>
      <c r="AH55" s="6"/>
      <c r="AI55" s="6"/>
      <c r="AJ55" s="6"/>
    </row>
    <row r="56" spans="1:36" s="2" customFormat="1" x14ac:dyDescent="0.25">
      <c r="A56" s="597">
        <v>2</v>
      </c>
      <c r="B56" s="598" t="s">
        <v>880</v>
      </c>
      <c r="C56" s="598"/>
      <c r="D56" s="598"/>
      <c r="E56" s="600"/>
      <c r="F56" s="600"/>
      <c r="G56" s="600"/>
      <c r="H56" s="600"/>
      <c r="I56" s="600"/>
      <c r="J56" s="600"/>
      <c r="K56" s="600"/>
      <c r="L56" s="600"/>
      <c r="M56" s="600"/>
      <c r="N56" s="600"/>
      <c r="O56" s="600"/>
      <c r="P56" s="593"/>
      <c r="Q56" s="594"/>
      <c r="R56" s="594"/>
      <c r="S56" s="594"/>
      <c r="T56" s="594"/>
      <c r="U56" s="594"/>
      <c r="V56" s="594"/>
      <c r="W56" s="594"/>
      <c r="X56" s="594"/>
      <c r="Y56" s="594"/>
      <c r="Z56" s="594"/>
      <c r="AA56" s="594"/>
      <c r="AB56" s="594"/>
      <c r="AC56" s="594"/>
      <c r="AD56" s="12"/>
      <c r="AE56" s="12"/>
      <c r="AF56" s="12"/>
      <c r="AG56" s="12"/>
      <c r="AH56" s="12"/>
      <c r="AI56" s="12"/>
      <c r="AJ56" s="12"/>
    </row>
    <row r="57" spans="1:36" s="1" customFormat="1" ht="14.25" outlineLevel="1" x14ac:dyDescent="0.2">
      <c r="A57" s="36"/>
      <c r="B57" s="489" t="s">
        <v>1161</v>
      </c>
      <c r="C57" s="4"/>
      <c r="D57" s="4"/>
      <c r="E57" s="647"/>
      <c r="F57" s="647" t="e">
        <f>Ввод!G503/Ввод!G505</f>
        <v>#DIV/0!</v>
      </c>
      <c r="G57" s="647" t="e">
        <f>Ввод!H503/Ввод!H505</f>
        <v>#DIV/0!</v>
      </c>
      <c r="H57" s="647" t="e">
        <f>Ввод!I503/Ввод!I505</f>
        <v>#DIV/0!</v>
      </c>
      <c r="I57" s="647" t="e">
        <f>Ввод!J503/Ввод!J505</f>
        <v>#DIV/0!</v>
      </c>
      <c r="J57" s="647" t="e">
        <f>Ввод!K503/Ввод!K505</f>
        <v>#DIV/0!</v>
      </c>
      <c r="K57" s="647" t="e">
        <f>Ввод!L504/Ввод!L505</f>
        <v>#DIV/0!</v>
      </c>
      <c r="L57" s="647" t="e">
        <f>Ввод!M504/Ввод!M505</f>
        <v>#DIV/0!</v>
      </c>
      <c r="M57" s="647" t="e">
        <f>Ввод!N504/Ввод!N505</f>
        <v>#DIV/0!</v>
      </c>
      <c r="N57" s="647" t="e">
        <f>Ввод!O504/Ввод!O505</f>
        <v>#DIV/0!</v>
      </c>
      <c r="O57" s="647" t="e">
        <f>Ввод!P504/Ввод!P505</f>
        <v>#DIV/0!</v>
      </c>
      <c r="P57" s="499"/>
      <c r="Q57" s="603"/>
      <c r="R57" s="603"/>
      <c r="S57" s="603"/>
      <c r="T57" s="603"/>
      <c r="U57" s="603"/>
      <c r="V57" s="603"/>
      <c r="W57" s="603"/>
      <c r="X57" s="603"/>
      <c r="Y57" s="603"/>
      <c r="Z57" s="603"/>
      <c r="AA57" s="603"/>
      <c r="AB57" s="603"/>
      <c r="AC57" s="547"/>
      <c r="AD57" s="4"/>
      <c r="AE57" s="4"/>
      <c r="AF57" s="4"/>
      <c r="AG57" s="4"/>
      <c r="AH57" s="4"/>
      <c r="AI57" s="4"/>
      <c r="AJ57" s="4"/>
    </row>
    <row r="58" spans="1:36" s="1" customFormat="1" ht="14.25" outlineLevel="1" x14ac:dyDescent="0.2">
      <c r="A58" s="36"/>
      <c r="B58" s="489" t="s">
        <v>1162</v>
      </c>
      <c r="C58" s="4"/>
      <c r="D58" s="4"/>
      <c r="E58" s="647"/>
      <c r="F58" s="647" t="e">
        <f>Ввод!G504/Ввод!G505</f>
        <v>#DIV/0!</v>
      </c>
      <c r="G58" s="647" t="e">
        <f>Ввод!H504/Ввод!H505</f>
        <v>#DIV/0!</v>
      </c>
      <c r="H58" s="647" t="e">
        <f>Ввод!I504/Ввод!I505</f>
        <v>#DIV/0!</v>
      </c>
      <c r="I58" s="647" t="e">
        <f>Ввод!J504/Ввод!J505</f>
        <v>#DIV/0!</v>
      </c>
      <c r="J58" s="647" t="e">
        <f>Ввод!K504/Ввод!K505</f>
        <v>#DIV/0!</v>
      </c>
      <c r="K58" s="647" t="e">
        <f>Ввод!L504/Ввод!L505</f>
        <v>#DIV/0!</v>
      </c>
      <c r="L58" s="647" t="e">
        <f>Ввод!M504/Ввод!M505</f>
        <v>#DIV/0!</v>
      </c>
      <c r="M58" s="647" t="e">
        <f>Ввод!N504/Ввод!N505</f>
        <v>#DIV/0!</v>
      </c>
      <c r="N58" s="647" t="e">
        <f>Ввод!O504/Ввод!O505</f>
        <v>#DIV/0!</v>
      </c>
      <c r="O58" s="647" t="e">
        <f>Ввод!P504/Ввод!P505</f>
        <v>#DIV/0!</v>
      </c>
      <c r="P58" s="499"/>
      <c r="Q58" s="603"/>
      <c r="R58" s="603"/>
      <c r="S58" s="603"/>
      <c r="T58" s="603"/>
      <c r="U58" s="603"/>
      <c r="V58" s="603"/>
      <c r="W58" s="603"/>
      <c r="X58" s="603"/>
      <c r="Y58" s="603"/>
      <c r="Z58" s="603"/>
      <c r="AA58" s="603"/>
      <c r="AB58" s="603"/>
      <c r="AC58" s="547"/>
      <c r="AD58" s="4"/>
      <c r="AE58" s="4"/>
      <c r="AF58" s="4"/>
      <c r="AG58" s="4"/>
      <c r="AH58" s="4"/>
      <c r="AI58" s="4"/>
      <c r="AJ58" s="4"/>
    </row>
    <row r="59" spans="1:36" s="3" customFormat="1" ht="21.75" customHeight="1" x14ac:dyDescent="0.25">
      <c r="A59" s="601"/>
      <c r="B59" s="605" t="s">
        <v>3470</v>
      </c>
      <c r="C59" s="606"/>
      <c r="D59" s="606"/>
      <c r="E59" s="888"/>
      <c r="F59" s="888" t="e">
        <f t="shared" ref="F59:J59" si="33">SUM(F57:F58)</f>
        <v>#DIV/0!</v>
      </c>
      <c r="G59" s="888" t="e">
        <f t="shared" si="33"/>
        <v>#DIV/0!</v>
      </c>
      <c r="H59" s="888" t="e">
        <f t="shared" si="33"/>
        <v>#DIV/0!</v>
      </c>
      <c r="I59" s="888" t="e">
        <f t="shared" si="33"/>
        <v>#DIV/0!</v>
      </c>
      <c r="J59" s="888" t="e">
        <f t="shared" si="33"/>
        <v>#DIV/0!</v>
      </c>
      <c r="K59" s="888" t="e">
        <f>SUM(K57:K58)</f>
        <v>#DIV/0!</v>
      </c>
      <c r="L59" s="888" t="e">
        <f t="shared" ref="L59:O59" si="34">SUM(L57:L58)</f>
        <v>#DIV/0!</v>
      </c>
      <c r="M59" s="888" t="e">
        <f t="shared" si="34"/>
        <v>#DIV/0!</v>
      </c>
      <c r="N59" s="888" t="e">
        <f t="shared" si="34"/>
        <v>#DIV/0!</v>
      </c>
      <c r="O59" s="888" t="e">
        <f t="shared" si="34"/>
        <v>#DIV/0!</v>
      </c>
      <c r="P59" s="595"/>
      <c r="Q59" s="612"/>
      <c r="R59" s="612"/>
      <c r="S59" s="612"/>
      <c r="T59" s="612"/>
      <c r="U59" s="612"/>
      <c r="V59" s="612"/>
      <c r="W59" s="612"/>
      <c r="X59" s="612"/>
      <c r="Y59" s="612"/>
      <c r="Z59" s="612"/>
      <c r="AA59" s="612"/>
      <c r="AB59" s="612"/>
      <c r="AC59" s="596"/>
      <c r="AD59" s="6"/>
      <c r="AE59" s="6"/>
      <c r="AF59" s="6"/>
      <c r="AG59" s="6"/>
      <c r="AH59" s="6"/>
      <c r="AI59" s="6"/>
      <c r="AJ59" s="6"/>
    </row>
    <row r="60" spans="1:36" s="1" customFormat="1" ht="26.25" customHeight="1" x14ac:dyDescent="0.2">
      <c r="A60" s="515"/>
      <c r="B60" s="516" t="s">
        <v>3471</v>
      </c>
      <c r="C60" s="517"/>
      <c r="D60" s="517"/>
      <c r="E60" s="655"/>
      <c r="F60" s="655" t="e">
        <f>SUM(Ввод!G496:G497,Ввод!G503:G504)/SUM(Ввод!G498,Ввод!G505)</f>
        <v>#DIV/0!</v>
      </c>
      <c r="G60" s="655" t="e">
        <f>SUM(Ввод!H496:H497,Ввод!H503:H504)/SUM(Ввод!H498,Ввод!H505)</f>
        <v>#DIV/0!</v>
      </c>
      <c r="H60" s="655" t="e">
        <f>SUM(Ввод!I496:I497,Ввод!I503:I504)/SUM(Ввод!I498,Ввод!I505)</f>
        <v>#DIV/0!</v>
      </c>
      <c r="I60" s="655" t="e">
        <f>SUM(Ввод!J496:J497,Ввод!J503:J504)/SUM(Ввод!J498,Ввод!J505)</f>
        <v>#DIV/0!</v>
      </c>
      <c r="J60" s="655" t="e">
        <f>SUM(Ввод!K496:K497,Ввод!K503:K504)/SUM(Ввод!K498,Ввод!K505)</f>
        <v>#DIV/0!</v>
      </c>
      <c r="K60" s="655" t="e">
        <f>SUM(Ввод!L496:L497,Ввод!L504:L504)/SUM(Ввод!L498,Ввод!L505)</f>
        <v>#DIV/0!</v>
      </c>
      <c r="L60" s="655" t="e">
        <f>SUM(Ввод!M496:M497,Ввод!M504:M504)/SUM(Ввод!M498,Ввод!M505)</f>
        <v>#DIV/0!</v>
      </c>
      <c r="M60" s="655" t="e">
        <f>SUM(Ввод!N496:N497,Ввод!N504:N504)/SUM(Ввод!N498,Ввод!N505)</f>
        <v>#DIV/0!</v>
      </c>
      <c r="N60" s="655" t="e">
        <f>SUM(Ввод!O496:O497,Ввод!O504:O504)/SUM(Ввод!O498,Ввод!O505)</f>
        <v>#DIV/0!</v>
      </c>
      <c r="O60" s="655" t="e">
        <f>SUM(Ввод!P496:P497,Ввод!P504:P504)/SUM(Ввод!P498,Ввод!P505)</f>
        <v>#DIV/0!</v>
      </c>
      <c r="P60" s="499"/>
      <c r="Q60" s="613"/>
      <c r="R60" s="613"/>
      <c r="S60" s="613"/>
      <c r="T60" s="613"/>
      <c r="U60" s="613"/>
      <c r="V60" s="613"/>
      <c r="W60" s="613"/>
      <c r="X60" s="613"/>
      <c r="Y60" s="613"/>
      <c r="Z60" s="613"/>
      <c r="AA60" s="613"/>
      <c r="AB60" s="613"/>
      <c r="AC60" s="547"/>
      <c r="AD60" s="4"/>
      <c r="AE60" s="4"/>
      <c r="AF60" s="4"/>
      <c r="AG60" s="4"/>
      <c r="AH60" s="4"/>
      <c r="AI60" s="4"/>
      <c r="AJ60" s="4"/>
    </row>
    <row r="61" spans="1:36" s="1" customFormat="1" ht="14.25" x14ac:dyDescent="0.2">
      <c r="A61" s="4"/>
      <c r="B61" s="4"/>
      <c r="C61" s="4"/>
      <c r="D61" s="4"/>
      <c r="E61" s="499"/>
      <c r="F61" s="499"/>
      <c r="G61" s="499"/>
      <c r="H61" s="499"/>
      <c r="I61" s="499"/>
      <c r="J61" s="499"/>
      <c r="K61" s="499"/>
      <c r="L61" s="499"/>
      <c r="M61" s="499"/>
      <c r="N61" s="499"/>
      <c r="O61" s="499"/>
      <c r="P61" s="499"/>
      <c r="Q61" s="547"/>
      <c r="R61" s="547"/>
      <c r="S61" s="547"/>
      <c r="T61" s="547"/>
      <c r="U61" s="547"/>
      <c r="V61" s="547"/>
      <c r="W61" s="547"/>
      <c r="X61" s="547"/>
      <c r="Y61" s="547"/>
      <c r="Z61" s="547"/>
      <c r="AA61" s="547"/>
      <c r="AB61" s="547"/>
      <c r="AC61" s="547"/>
      <c r="AD61" s="4"/>
      <c r="AE61" s="4"/>
      <c r="AF61" s="4"/>
      <c r="AG61" s="4"/>
      <c r="AH61" s="4"/>
      <c r="AI61" s="4"/>
      <c r="AJ61" s="4"/>
    </row>
    <row r="62" spans="1:36" s="1" customFormat="1" ht="14.25" x14ac:dyDescent="0.2">
      <c r="A62" s="4"/>
      <c r="B62" s="4"/>
      <c r="C62" s="4"/>
      <c r="D62" s="4"/>
      <c r="E62" s="499"/>
      <c r="F62" s="499"/>
      <c r="G62" s="499"/>
      <c r="H62" s="499"/>
      <c r="I62" s="499"/>
      <c r="J62" s="499"/>
      <c r="K62" s="499"/>
      <c r="L62" s="499"/>
      <c r="M62" s="499"/>
      <c r="N62" s="499"/>
      <c r="O62" s="499"/>
      <c r="P62" s="499"/>
      <c r="Q62" s="547"/>
      <c r="R62" s="547"/>
      <c r="S62" s="547"/>
      <c r="T62" s="547"/>
      <c r="U62" s="547"/>
      <c r="V62" s="547"/>
      <c r="W62" s="547"/>
      <c r="X62" s="547"/>
      <c r="Y62" s="547"/>
      <c r="Z62" s="547"/>
      <c r="AA62" s="547"/>
      <c r="AB62" s="547"/>
      <c r="AC62" s="547"/>
      <c r="AD62" s="4"/>
      <c r="AE62" s="4"/>
      <c r="AF62" s="4"/>
      <c r="AG62" s="4"/>
      <c r="AH62" s="4"/>
      <c r="AI62" s="4"/>
      <c r="AJ62" s="4"/>
    </row>
    <row r="63" spans="1:36" s="1" customFormat="1" x14ac:dyDescent="0.2">
      <c r="A63" s="616"/>
      <c r="B63" s="617" t="s">
        <v>990</v>
      </c>
      <c r="C63" s="507"/>
      <c r="D63" s="507"/>
      <c r="E63" s="618"/>
      <c r="F63" s="618"/>
      <c r="G63" s="618"/>
      <c r="H63" s="618"/>
      <c r="I63" s="618"/>
      <c r="J63" s="618"/>
      <c r="K63" s="618"/>
      <c r="L63" s="618"/>
      <c r="M63" s="618"/>
      <c r="N63" s="618"/>
      <c r="O63" s="618"/>
      <c r="P63" s="618"/>
      <c r="Q63" s="619"/>
      <c r="R63" s="619"/>
      <c r="S63" s="619"/>
      <c r="T63" s="619"/>
      <c r="U63" s="619"/>
      <c r="V63" s="619"/>
      <c r="W63" s="619"/>
      <c r="X63" s="619"/>
      <c r="Y63" s="619"/>
      <c r="Z63" s="619"/>
      <c r="AA63" s="619"/>
      <c r="AB63" s="619"/>
      <c r="AC63" s="547"/>
      <c r="AD63" s="4"/>
      <c r="AE63" s="4"/>
      <c r="AF63" s="4"/>
      <c r="AG63" s="4"/>
      <c r="AH63" s="4"/>
      <c r="AI63" s="4"/>
      <c r="AJ63" s="4"/>
    </row>
    <row r="64" spans="1:36" s="1" customFormat="1" ht="14.25" x14ac:dyDescent="0.2">
      <c r="A64" s="4"/>
      <c r="B64" s="4"/>
      <c r="C64" s="4"/>
      <c r="D64" s="4"/>
      <c r="F64" s="4"/>
      <c r="G64" s="4" t="s">
        <v>348</v>
      </c>
      <c r="H64" s="4"/>
      <c r="I64" s="4"/>
      <c r="J64" s="4"/>
      <c r="K64" s="4"/>
      <c r="L64" s="4"/>
      <c r="M64" s="4"/>
      <c r="N64" s="4"/>
      <c r="O64" s="4"/>
      <c r="P64" s="4"/>
      <c r="Q64" s="4"/>
      <c r="R64" s="4"/>
      <c r="S64" s="4"/>
      <c r="T64" s="4"/>
      <c r="U64" s="4"/>
      <c r="V64" s="71"/>
      <c r="W64" s="71"/>
      <c r="X64" s="71"/>
      <c r="Y64" s="71"/>
      <c r="Z64" s="71"/>
      <c r="AA64" s="71"/>
      <c r="AB64" s="71"/>
      <c r="AC64" s="547"/>
      <c r="AD64" s="4"/>
      <c r="AE64" s="4"/>
      <c r="AF64" s="4"/>
      <c r="AG64" s="4"/>
      <c r="AH64" s="4"/>
      <c r="AI64" s="4"/>
      <c r="AJ64" s="4"/>
    </row>
    <row r="65" spans="1:36" s="1" customFormat="1" ht="14.25" x14ac:dyDescent="0.2">
      <c r="A65" s="15"/>
      <c r="B65" s="15"/>
      <c r="C65" s="15"/>
      <c r="D65" s="15"/>
      <c r="E65" s="539"/>
      <c r="F65" s="539">
        <f t="shared" ref="F65:O65" si="35">F8</f>
        <v>2016</v>
      </c>
      <c r="G65" s="539">
        <f t="shared" si="35"/>
        <v>2017</v>
      </c>
      <c r="H65" s="539">
        <f t="shared" si="35"/>
        <v>2018</v>
      </c>
      <c r="I65" s="539">
        <f t="shared" si="35"/>
        <v>2019</v>
      </c>
      <c r="J65" s="539">
        <f t="shared" si="35"/>
        <v>2020</v>
      </c>
      <c r="K65" s="539">
        <f t="shared" si="35"/>
        <v>2021</v>
      </c>
      <c r="L65" s="539">
        <f t="shared" si="35"/>
        <v>2022</v>
      </c>
      <c r="M65" s="539">
        <f t="shared" si="35"/>
        <v>2023</v>
      </c>
      <c r="N65" s="539">
        <f t="shared" si="35"/>
        <v>2024</v>
      </c>
      <c r="O65" s="539">
        <f t="shared" si="35"/>
        <v>2025</v>
      </c>
      <c r="P65" s="38"/>
      <c r="Q65" s="540"/>
      <c r="R65" s="540"/>
      <c r="S65" s="540"/>
      <c r="T65" s="540"/>
      <c r="U65" s="540"/>
      <c r="V65" s="540"/>
      <c r="W65" s="540"/>
      <c r="X65" s="540"/>
      <c r="Y65" s="540"/>
      <c r="Z65" s="540"/>
      <c r="AA65" s="540"/>
      <c r="AB65" s="540"/>
      <c r="AC65" s="547"/>
      <c r="AD65" s="4"/>
      <c r="AE65" s="4"/>
      <c r="AF65" s="4"/>
      <c r="AG65" s="4"/>
      <c r="AH65" s="4"/>
      <c r="AI65" s="4"/>
      <c r="AJ65" s="4"/>
    </row>
    <row r="66" spans="1:36" s="1" customFormat="1" x14ac:dyDescent="0.25">
      <c r="A66" s="597">
        <v>1</v>
      </c>
      <c r="B66" s="598" t="s">
        <v>879</v>
      </c>
      <c r="C66" s="509"/>
      <c r="D66" s="509"/>
      <c r="E66" s="599"/>
      <c r="F66" s="599"/>
      <c r="G66" s="599"/>
      <c r="H66" s="599"/>
      <c r="I66" s="599"/>
      <c r="J66" s="599"/>
      <c r="K66" s="599"/>
      <c r="L66" s="599"/>
      <c r="M66" s="599"/>
      <c r="N66" s="599"/>
      <c r="O66" s="599"/>
      <c r="P66" s="499"/>
      <c r="Q66" s="547"/>
      <c r="R66" s="547"/>
      <c r="S66" s="547"/>
      <c r="T66" s="547"/>
      <c r="U66" s="547"/>
      <c r="V66" s="547"/>
      <c r="W66" s="547"/>
      <c r="X66" s="547"/>
      <c r="Y66" s="547"/>
      <c r="Z66" s="547"/>
      <c r="AA66" s="547"/>
      <c r="AB66" s="547"/>
      <c r="AC66" s="547"/>
      <c r="AD66" s="4"/>
      <c r="AE66" s="4"/>
      <c r="AF66" s="4"/>
      <c r="AG66" s="4"/>
      <c r="AH66" s="4"/>
      <c r="AI66" s="4"/>
      <c r="AJ66" s="4"/>
    </row>
    <row r="67" spans="1:36" s="1" customFormat="1" ht="14.25" outlineLevel="1" x14ac:dyDescent="0.2">
      <c r="A67" s="36"/>
      <c r="B67" s="489" t="s">
        <v>4</v>
      </c>
      <c r="C67" s="4" t="str">
        <f>C11</f>
        <v>Корпоративные кредиты</v>
      </c>
      <c r="D67" s="4"/>
      <c r="E67" s="603"/>
      <c r="F67" s="603"/>
      <c r="G67" s="603"/>
      <c r="H67" s="603"/>
      <c r="I67" s="603"/>
      <c r="J67" s="603"/>
      <c r="K67" s="603"/>
      <c r="L67" s="603"/>
      <c r="M67" s="603"/>
      <c r="N67" s="603"/>
      <c r="O67" s="603"/>
      <c r="P67" s="499"/>
      <c r="Q67" s="603"/>
      <c r="R67" s="603"/>
      <c r="S67" s="603"/>
      <c r="T67" s="603"/>
      <c r="U67" s="603"/>
      <c r="V67" s="603"/>
      <c r="W67" s="603"/>
      <c r="X67" s="603"/>
      <c r="Y67" s="603"/>
      <c r="Z67" s="603"/>
      <c r="AA67" s="603"/>
      <c r="AB67" s="603"/>
      <c r="AC67" s="547"/>
      <c r="AD67" s="4"/>
      <c r="AE67" s="4"/>
      <c r="AF67" s="4"/>
      <c r="AG67" s="4"/>
      <c r="AH67" s="4"/>
      <c r="AI67" s="4"/>
      <c r="AJ67" s="4"/>
    </row>
    <row r="68" spans="1:36" s="1" customFormat="1" ht="14.25" outlineLevel="1" x14ac:dyDescent="0.2">
      <c r="A68" s="36"/>
      <c r="B68" s="489" t="s">
        <v>5</v>
      </c>
      <c r="C68" s="4" t="str">
        <f>C12</f>
        <v>Кредиты государственным и муниципальным органам</v>
      </c>
      <c r="D68" s="4"/>
      <c r="E68" s="603"/>
      <c r="F68" s="603"/>
      <c r="G68" s="603"/>
      <c r="H68" s="603"/>
      <c r="I68" s="603"/>
      <c r="J68" s="603"/>
      <c r="K68" s="603"/>
      <c r="L68" s="603"/>
      <c r="M68" s="603"/>
      <c r="N68" s="603"/>
      <c r="O68" s="603"/>
      <c r="P68" s="499"/>
      <c r="Q68" s="603"/>
      <c r="R68" s="603"/>
      <c r="S68" s="603"/>
      <c r="T68" s="603"/>
      <c r="U68" s="603"/>
      <c r="V68" s="603"/>
      <c r="W68" s="603"/>
      <c r="X68" s="603"/>
      <c r="Y68" s="603"/>
      <c r="Z68" s="603"/>
      <c r="AA68" s="603"/>
      <c r="AB68" s="603"/>
      <c r="AC68" s="547"/>
      <c r="AD68" s="4"/>
      <c r="AE68" s="4"/>
      <c r="AF68" s="4"/>
      <c r="AG68" s="4"/>
      <c r="AH68" s="4"/>
      <c r="AI68" s="4"/>
      <c r="AJ68" s="4"/>
    </row>
    <row r="69" spans="1:36" s="1" customFormat="1" ht="14.25" outlineLevel="1" x14ac:dyDescent="0.2">
      <c r="A69" s="36"/>
      <c r="B69" s="489" t="s">
        <v>14</v>
      </c>
      <c r="C69" s="4" t="str">
        <f>C13</f>
        <v>Кредиты малому и среднему бизнесу</v>
      </c>
      <c r="D69" s="4"/>
      <c r="E69" s="603"/>
      <c r="F69" s="603"/>
      <c r="G69" s="603"/>
      <c r="H69" s="603"/>
      <c r="I69" s="603"/>
      <c r="J69" s="603"/>
      <c r="K69" s="603"/>
      <c r="L69" s="603"/>
      <c r="M69" s="603"/>
      <c r="N69" s="603"/>
      <c r="O69" s="603"/>
      <c r="P69" s="499"/>
      <c r="Q69" s="603"/>
      <c r="R69" s="603"/>
      <c r="S69" s="603"/>
      <c r="T69" s="603"/>
      <c r="U69" s="603"/>
      <c r="V69" s="603"/>
      <c r="W69" s="603"/>
      <c r="X69" s="603"/>
      <c r="Y69" s="603"/>
      <c r="Z69" s="603"/>
      <c r="AA69" s="603"/>
      <c r="AB69" s="603"/>
      <c r="AC69" s="547"/>
      <c r="AD69" s="4"/>
      <c r="AE69" s="4"/>
      <c r="AF69" s="4"/>
      <c r="AG69" s="4"/>
      <c r="AH69" s="4"/>
      <c r="AI69" s="4"/>
      <c r="AJ69" s="4"/>
    </row>
    <row r="70" spans="1:36" s="1" customFormat="1" ht="14.25" outlineLevel="1" x14ac:dyDescent="0.2">
      <c r="A70" s="36"/>
      <c r="B70" s="489" t="s">
        <v>540</v>
      </c>
      <c r="C70" s="4" t="str">
        <f>C16</f>
        <v>Требования по процентам, корректировка ссуд. зад-ти</v>
      </c>
      <c r="D70" s="4"/>
      <c r="E70" s="603"/>
      <c r="F70" s="603"/>
      <c r="G70" s="603"/>
      <c r="H70" s="603"/>
      <c r="I70" s="603"/>
      <c r="J70" s="603"/>
      <c r="K70" s="603"/>
      <c r="L70" s="603"/>
      <c r="M70" s="603"/>
      <c r="N70" s="603"/>
      <c r="O70" s="603"/>
      <c r="P70" s="499"/>
      <c r="Q70" s="603"/>
      <c r="R70" s="603"/>
      <c r="S70" s="603"/>
      <c r="T70" s="603"/>
      <c r="U70" s="603"/>
      <c r="V70" s="603"/>
      <c r="W70" s="603"/>
      <c r="X70" s="603"/>
      <c r="Y70" s="603"/>
      <c r="Z70" s="603"/>
      <c r="AA70" s="603"/>
      <c r="AB70" s="603"/>
      <c r="AC70" s="547"/>
      <c r="AD70" s="4"/>
      <c r="AE70" s="4"/>
      <c r="AF70" s="4"/>
      <c r="AG70" s="4"/>
      <c r="AH70" s="4"/>
      <c r="AI70" s="4"/>
      <c r="AJ70" s="4"/>
    </row>
    <row r="71" spans="1:36" s="3" customFormat="1" ht="21.75" customHeight="1" x14ac:dyDescent="0.25">
      <c r="A71" s="601"/>
      <c r="B71" s="605" t="s">
        <v>3472</v>
      </c>
      <c r="C71" s="606"/>
      <c r="D71" s="606"/>
      <c r="E71" s="615"/>
      <c r="F71" s="653">
        <f>IF(F17=0,"-",Ввод!G525/VLOOKUP(Баланс!$B$7,Баланс!$A$1:$B$3,2,0)/F17)</f>
        <v>3.3875922576250751E-2</v>
      </c>
      <c r="G71" s="888">
        <f>IF(G17=0,"-",Ввод!H525/VLOOKUP(Баланс!$B$7,Баланс!$A$1:$B$3,2,0)/G17)</f>
        <v>3.937444497889328E-2</v>
      </c>
      <c r="H71" s="888">
        <f>IF(H17=0,"-",Ввод!I525/VLOOKUP(Баланс!$B$7,Баланс!$A$1:$B$3,2,0)/H17)</f>
        <v>9.9078633250152703E-2</v>
      </c>
      <c r="I71" s="888">
        <f>IF(I17=0,"-",Ввод!J525/VLOOKUP(Баланс!$B$7,Баланс!$A$1:$B$3,2,0)/I17)</f>
        <v>0.11693236539727132</v>
      </c>
      <c r="J71" s="888">
        <f>IF(J17=0,"-",Ввод!K525/VLOOKUP(Баланс!$B$7,Баланс!$A$1:$B$3,2,0)/J17)</f>
        <v>7.2400191137649464E-2</v>
      </c>
      <c r="K71" s="888">
        <f>IF(K17=0,"-",Ввод!L525/VLOOKUP(Баланс!$B$7,Баланс!$A$1:$B$3,2,0)/K17)</f>
        <v>9.803993627535143E-2</v>
      </c>
      <c r="L71" s="888">
        <f>IF(L17=0,"-",Ввод!M525/VLOOKUP(Баланс!$B$7,Баланс!$A$1:$B$3,2,0)/L17)</f>
        <v>9.0915506817397115E-2</v>
      </c>
      <c r="M71" s="888">
        <f>IF(M17=0,"-",Ввод!N525/VLOOKUP(Баланс!$B$7,Баланс!$A$1:$B$3,2,0)/M17)</f>
        <v>9.9843968219215026E-2</v>
      </c>
      <c r="N71" s="888">
        <f>IF(N17=0,"-",Ввод!O525/VLOOKUP(Баланс!$B$7,Баланс!$A$1:$B$3,2,0)/N17)</f>
        <v>5.9345562354512188E-2</v>
      </c>
      <c r="O71" s="888" t="str">
        <f>IF(O17=0,"-",Ввод!P525/VLOOKUP(Баланс!$B$7,Баланс!$A$1:$B$3,2,0)/O17)</f>
        <v>-</v>
      </c>
      <c r="P71" s="595"/>
      <c r="Q71" s="612"/>
      <c r="R71" s="612"/>
      <c r="S71" s="612"/>
      <c r="T71" s="612"/>
      <c r="U71" s="612"/>
      <c r="V71" s="612"/>
      <c r="W71" s="612"/>
      <c r="X71" s="612"/>
      <c r="Y71" s="612"/>
      <c r="Z71" s="612"/>
      <c r="AA71" s="612"/>
      <c r="AB71" s="612"/>
      <c r="AC71" s="596"/>
      <c r="AD71" s="6"/>
      <c r="AE71" s="6"/>
      <c r="AF71" s="6"/>
      <c r="AG71" s="6"/>
      <c r="AH71" s="6"/>
      <c r="AI71" s="6"/>
      <c r="AJ71" s="6"/>
    </row>
    <row r="72" spans="1:36" s="2" customFormat="1" x14ac:dyDescent="0.25">
      <c r="A72" s="597">
        <v>2</v>
      </c>
      <c r="B72" s="598" t="s">
        <v>880</v>
      </c>
      <c r="C72" s="598"/>
      <c r="D72" s="598"/>
      <c r="E72" s="600"/>
      <c r="F72" s="600"/>
      <c r="G72" s="600"/>
      <c r="H72" s="600"/>
      <c r="I72" s="600"/>
      <c r="J72" s="600"/>
      <c r="K72" s="600"/>
      <c r="L72" s="1896"/>
      <c r="M72" s="1896"/>
      <c r="N72" s="1896"/>
      <c r="O72" s="1896"/>
      <c r="P72" s="593"/>
      <c r="Q72" s="594"/>
      <c r="R72" s="594"/>
      <c r="S72" s="594"/>
      <c r="T72" s="594"/>
      <c r="U72" s="594"/>
      <c r="V72" s="594"/>
      <c r="W72" s="594"/>
      <c r="X72" s="594"/>
      <c r="Y72" s="594"/>
      <c r="Z72" s="594"/>
      <c r="AA72" s="594"/>
      <c r="AB72" s="594"/>
      <c r="AC72" s="594"/>
      <c r="AD72" s="12"/>
      <c r="AE72" s="12"/>
      <c r="AF72" s="12"/>
      <c r="AG72" s="12"/>
      <c r="AH72" s="12"/>
      <c r="AI72" s="12"/>
      <c r="AJ72" s="12"/>
    </row>
    <row r="73" spans="1:36" s="1" customFormat="1" ht="14.25" outlineLevel="1" x14ac:dyDescent="0.2">
      <c r="A73" s="36"/>
      <c r="B73" s="489" t="s">
        <v>6</v>
      </c>
      <c r="C73" s="4" t="str">
        <f>C19</f>
        <v>Жилищные (кроме ипотечных)</v>
      </c>
      <c r="D73" s="4"/>
      <c r="E73" s="603"/>
      <c r="F73" s="603"/>
      <c r="G73" s="547"/>
      <c r="H73" s="547"/>
      <c r="I73" s="547"/>
      <c r="J73" s="547"/>
      <c r="K73" s="547"/>
      <c r="L73" s="547"/>
      <c r="M73" s="547"/>
      <c r="N73" s="547"/>
      <c r="O73" s="547"/>
      <c r="P73" s="499"/>
      <c r="Q73" s="603"/>
      <c r="R73" s="603"/>
      <c r="S73" s="603"/>
      <c r="T73" s="603"/>
      <c r="U73" s="603"/>
      <c r="V73" s="603"/>
      <c r="W73" s="603"/>
      <c r="X73" s="603"/>
      <c r="Y73" s="603"/>
      <c r="Z73" s="603"/>
      <c r="AA73" s="603"/>
      <c r="AB73" s="603"/>
      <c r="AC73" s="547"/>
      <c r="AD73" s="4"/>
      <c r="AE73" s="4"/>
      <c r="AF73" s="4"/>
      <c r="AG73" s="4"/>
      <c r="AH73" s="4"/>
      <c r="AI73" s="4"/>
      <c r="AJ73" s="4"/>
    </row>
    <row r="74" spans="1:36" s="1" customFormat="1" ht="14.25" outlineLevel="1" x14ac:dyDescent="0.2">
      <c r="A74" s="36"/>
      <c r="B74" s="489" t="s">
        <v>7</v>
      </c>
      <c r="C74" s="4" t="str">
        <f>C20</f>
        <v>Ипотечные</v>
      </c>
      <c r="D74" s="4"/>
      <c r="E74" s="603"/>
      <c r="F74" s="603"/>
      <c r="G74" s="547"/>
      <c r="H74" s="547"/>
      <c r="I74" s="547"/>
      <c r="J74" s="547"/>
      <c r="K74" s="547"/>
      <c r="L74" s="547"/>
      <c r="M74" s="547"/>
      <c r="N74" s="547"/>
      <c r="O74" s="547"/>
      <c r="P74" s="499"/>
      <c r="Q74" s="603"/>
      <c r="R74" s="603"/>
      <c r="S74" s="603"/>
      <c r="T74" s="603"/>
      <c r="U74" s="603"/>
      <c r="V74" s="603"/>
      <c r="W74" s="603"/>
      <c r="X74" s="603"/>
      <c r="Y74" s="603"/>
      <c r="Z74" s="603"/>
      <c r="AA74" s="603"/>
      <c r="AB74" s="603"/>
      <c r="AC74" s="547"/>
      <c r="AD74" s="4"/>
      <c r="AE74" s="4"/>
      <c r="AF74" s="4"/>
      <c r="AG74" s="4"/>
      <c r="AH74" s="4"/>
      <c r="AI74" s="4"/>
      <c r="AJ74" s="4"/>
    </row>
    <row r="75" spans="1:36" s="1" customFormat="1" ht="14.25" outlineLevel="1" x14ac:dyDescent="0.2">
      <c r="A75" s="36"/>
      <c r="B75" s="489" t="s">
        <v>9</v>
      </c>
      <c r="C75" s="4" t="str">
        <f>C21</f>
        <v>Автокредиты</v>
      </c>
      <c r="D75" s="4"/>
      <c r="E75" s="603"/>
      <c r="F75" s="603"/>
      <c r="G75" s="547"/>
      <c r="H75" s="547"/>
      <c r="I75" s="547"/>
      <c r="J75" s="547"/>
      <c r="K75" s="547"/>
      <c r="L75" s="547"/>
      <c r="M75" s="547"/>
      <c r="N75" s="547"/>
      <c r="O75" s="547"/>
      <c r="P75" s="499"/>
      <c r="Q75" s="603"/>
      <c r="R75" s="603"/>
      <c r="S75" s="603"/>
      <c r="T75" s="603"/>
      <c r="U75" s="603"/>
      <c r="V75" s="603"/>
      <c r="W75" s="603"/>
      <c r="X75" s="603"/>
      <c r="Y75" s="603"/>
      <c r="Z75" s="603"/>
      <c r="AA75" s="603"/>
      <c r="AB75" s="603"/>
      <c r="AC75" s="547"/>
      <c r="AD75" s="4"/>
      <c r="AE75" s="4"/>
      <c r="AF75" s="4"/>
      <c r="AG75" s="4"/>
      <c r="AH75" s="4"/>
      <c r="AI75" s="4"/>
      <c r="AJ75" s="4"/>
    </row>
    <row r="76" spans="1:36" s="1" customFormat="1" ht="14.25" outlineLevel="1" x14ac:dyDescent="0.2">
      <c r="A76" s="36"/>
      <c r="B76" s="489" t="s">
        <v>478</v>
      </c>
      <c r="C76" s="4" t="str">
        <f>C22</f>
        <v>Потребительские ссуды</v>
      </c>
      <c r="D76" s="4"/>
      <c r="E76" s="603"/>
      <c r="F76" s="603"/>
      <c r="G76" s="547"/>
      <c r="H76" s="547"/>
      <c r="I76" s="547"/>
      <c r="J76" s="547"/>
      <c r="K76" s="547"/>
      <c r="L76" s="547"/>
      <c r="M76" s="547"/>
      <c r="N76" s="547"/>
      <c r="O76" s="547"/>
      <c r="P76" s="499"/>
      <c r="Q76" s="603"/>
      <c r="R76" s="603"/>
      <c r="S76" s="603"/>
      <c r="T76" s="603"/>
      <c r="U76" s="603"/>
      <c r="V76" s="603"/>
      <c r="W76" s="603"/>
      <c r="X76" s="603"/>
      <c r="Y76" s="603"/>
      <c r="Z76" s="603"/>
      <c r="AA76" s="603"/>
      <c r="AB76" s="603"/>
      <c r="AC76" s="547"/>
      <c r="AD76" s="4"/>
      <c r="AE76" s="4"/>
      <c r="AF76" s="4"/>
      <c r="AG76" s="4"/>
      <c r="AH76" s="4"/>
      <c r="AI76" s="4"/>
      <c r="AJ76" s="4"/>
    </row>
    <row r="77" spans="1:36" s="1" customFormat="1" ht="14.25" outlineLevel="1" x14ac:dyDescent="0.2">
      <c r="A77" s="36"/>
      <c r="B77" s="489" t="s">
        <v>479</v>
      </c>
      <c r="C77" s="4" t="str">
        <f>C23</f>
        <v>Требования по процентам, корректировка ссуд. зад-ти</v>
      </c>
      <c r="D77" s="4"/>
      <c r="E77" s="603"/>
      <c r="F77" s="603"/>
      <c r="G77" s="547"/>
      <c r="H77" s="547"/>
      <c r="I77" s="547"/>
      <c r="J77" s="547"/>
      <c r="K77" s="547"/>
      <c r="L77" s="547"/>
      <c r="M77" s="547"/>
      <c r="N77" s="547"/>
      <c r="O77" s="547"/>
      <c r="P77" s="499"/>
      <c r="Q77" s="603"/>
      <c r="R77" s="603"/>
      <c r="S77" s="603"/>
      <c r="T77" s="603"/>
      <c r="U77" s="603"/>
      <c r="V77" s="603"/>
      <c r="W77" s="603"/>
      <c r="X77" s="603"/>
      <c r="Y77" s="603"/>
      <c r="Z77" s="603"/>
      <c r="AA77" s="603"/>
      <c r="AB77" s="603"/>
      <c r="AC77" s="547"/>
      <c r="AD77" s="4"/>
      <c r="AE77" s="4"/>
      <c r="AF77" s="4"/>
      <c r="AG77" s="4"/>
      <c r="AH77" s="4"/>
      <c r="AI77" s="4"/>
      <c r="AJ77" s="4"/>
    </row>
    <row r="78" spans="1:36" s="3" customFormat="1" ht="21.75" customHeight="1" x14ac:dyDescent="0.25">
      <c r="A78" s="601"/>
      <c r="B78" s="605" t="s">
        <v>3473</v>
      </c>
      <c r="C78" s="606"/>
      <c r="D78" s="606"/>
      <c r="E78" s="615"/>
      <c r="F78" s="653">
        <f>IF(F24=0,"-",Ввод!G532/VLOOKUP(Баланс!$B$7,Баланс!$A$1:$B$3,2,0)/F24)</f>
        <v>0.13746965180572476</v>
      </c>
      <c r="G78" s="888">
        <f>IF(G24=0,"-",Ввод!H532/VLOOKUP(Баланс!$B$7,Баланс!$A$1:$B$3,2,0)/G24)</f>
        <v>0.11164393411287984</v>
      </c>
      <c r="H78" s="888">
        <f>IF(H24=0,"-",Ввод!I532/VLOOKUP(Баланс!$B$7,Баланс!$A$1:$B$3,2,0)/H24)</f>
        <v>8.5220404982969733E-2</v>
      </c>
      <c r="I78" s="888">
        <f>IF(I24=0,"-",Ввод!J532/VLOOKUP(Баланс!$B$7,Баланс!$A$1:$B$3,2,0)/I24)</f>
        <v>0.12116144574982562</v>
      </c>
      <c r="J78" s="888">
        <f>IF(J24=0,"-",Ввод!K532/VLOOKUP(Баланс!$B$7,Баланс!$A$1:$B$3,2,0)/J24)</f>
        <v>8.6937094816191302E-2</v>
      </c>
      <c r="K78" s="888">
        <f>IF(K24=0,"-",Ввод!L532/VLOOKUP(Баланс!$B$7,Баланс!$A$1:$B$3,2,0)/K24)</f>
        <v>1.8571494643344056E-2</v>
      </c>
      <c r="L78" s="888">
        <f>IF(L24=0,"-",Ввод!M532/VLOOKUP(Баланс!$B$7,Баланс!$A$1:$B$3,2,0)/L24)</f>
        <v>1.722192926680528E-2</v>
      </c>
      <c r="M78" s="888">
        <f>IF(M24=0,"-",Ввод!N532/VLOOKUP(Баланс!$B$7,Баланс!$A$1:$B$3,2,0)/M24)</f>
        <v>2.1913644951711057E-2</v>
      </c>
      <c r="N78" s="888">
        <f>IF(N24=0,"-",Ввод!O532/VLOOKUP(Баланс!$B$7,Баланс!$A$1:$B$3,2,0)/N24)</f>
        <v>1.440349656218534E-2</v>
      </c>
      <c r="O78" s="653" t="str">
        <f>IF(O24=0,"-",Ввод!P532/O24)</f>
        <v>-</v>
      </c>
      <c r="P78" s="595"/>
      <c r="Q78" s="612"/>
      <c r="R78" s="612"/>
      <c r="S78" s="612"/>
      <c r="T78" s="612"/>
      <c r="U78" s="612"/>
      <c r="V78" s="612"/>
      <c r="W78" s="612"/>
      <c r="X78" s="612"/>
      <c r="Y78" s="612"/>
      <c r="Z78" s="612"/>
      <c r="AA78" s="612"/>
      <c r="AB78" s="612"/>
      <c r="AC78" s="596"/>
      <c r="AD78" s="6"/>
      <c r="AE78" s="6"/>
      <c r="AF78" s="6"/>
      <c r="AG78" s="6"/>
      <c r="AH78" s="6"/>
      <c r="AI78" s="6"/>
      <c r="AJ78" s="6"/>
    </row>
    <row r="79" spans="1:36" s="1" customFormat="1" ht="26.25" customHeight="1" x14ac:dyDescent="0.2">
      <c r="A79" s="515"/>
      <c r="B79" s="516" t="s">
        <v>991</v>
      </c>
      <c r="C79" s="517"/>
      <c r="D79" s="517"/>
      <c r="E79" s="608"/>
      <c r="F79" s="650">
        <f>IF(F25=0,"-",(Ввод!G539-Ввод!G537)/VLOOKUP(Баланс!$B$7,Баланс!$A$1:$B$3,2,0)/F25)</f>
        <v>6.0940434709687019E-2</v>
      </c>
      <c r="G79" s="655">
        <f>IF(G25=0,"-",(Ввод!H539-Ввод!H537)/VLOOKUP(Баланс!$B$7,Баланс!$A$1:$B$3,2,0)/G25)</f>
        <v>6.1530572459253648E-2</v>
      </c>
      <c r="H79" s="655">
        <f>IF(H25=0,"-",(Ввод!I539-Ввод!I537)/VLOOKUP(Баланс!$B$7,Баланс!$A$1:$B$3,2,0)/H25)</f>
        <v>9.4468621348684056E-2</v>
      </c>
      <c r="I79" s="655">
        <f>IF(I25=0,"-",(Ввод!J539-Ввод!J537)/VLOOKUP(Баланс!$B$7,Баланс!$A$1:$B$3,2,0)/I25)</f>
        <v>0.11832990962215814</v>
      </c>
      <c r="J79" s="655">
        <f>IF(J25=0,"-",(Ввод!K539-Ввод!K537)/VLOOKUP(Баланс!$B$7,Баланс!$A$1:$B$3,2,0)/J25)</f>
        <v>7.8628565492816715E-2</v>
      </c>
      <c r="K79" s="655">
        <f>IF(K25=0,"-",(Ввод!L539-Ввод!L537)/VLOOKUP(Баланс!$B$7,Баланс!$A$1:$B$3,2,0)/K25)</f>
        <v>6.0842049051266153E-2</v>
      </c>
      <c r="L79" s="655">
        <f>IF(L25=0,"-",(Ввод!M539-Ввод!M537)/VLOOKUP(Баланс!$B$7,Баланс!$A$1:$B$3,2,0)/L25)</f>
        <v>5.6420739705187746E-2</v>
      </c>
      <c r="M79" s="655">
        <f>IF(M25=0,"-",(Ввод!N539-Ввод!N537)/VLOOKUP(Баланс!$B$7,Баланс!$A$1:$B$3,2,0)/M25)</f>
        <v>6.6204661919778376E-2</v>
      </c>
      <c r="N79" s="655">
        <f>IF(N25=0,"-",(Ввод!O539-Ввод!O537)/VLOOKUP(Баланс!$B$7,Баланс!$A$1:$B$3,2,0)/N25)</f>
        <v>4.1046529310293955E-2</v>
      </c>
      <c r="O79" s="655" t="str">
        <f>IF(O25=0,"-",(Ввод!P539-Ввод!P537)/VLOOKUP(Баланс!$B$7,Баланс!$A$1:$B$3,2,0)/O25)</f>
        <v>-</v>
      </c>
      <c r="P79" s="499"/>
      <c r="Q79" s="613"/>
      <c r="R79" s="613"/>
      <c r="S79" s="613"/>
      <c r="T79" s="613"/>
      <c r="U79" s="613"/>
      <c r="V79" s="613"/>
      <c r="W79" s="613"/>
      <c r="X79" s="613"/>
      <c r="Y79" s="613"/>
      <c r="Z79" s="613"/>
      <c r="AA79" s="613"/>
      <c r="AB79" s="613"/>
      <c r="AC79" s="547"/>
      <c r="AD79" s="4"/>
      <c r="AE79" s="4"/>
      <c r="AF79" s="4"/>
      <c r="AG79" s="4"/>
      <c r="AH79" s="4"/>
      <c r="AI79" s="4"/>
      <c r="AJ79" s="4"/>
    </row>
    <row r="80" spans="1:36" s="1" customFormat="1" ht="14.25" x14ac:dyDescent="0.2">
      <c r="A80" s="4"/>
      <c r="B80" s="4"/>
      <c r="C80" s="4"/>
      <c r="D80" s="4"/>
      <c r="E80" s="4"/>
      <c r="F80" s="4"/>
      <c r="G80" s="4"/>
      <c r="H80" s="4"/>
      <c r="I80" s="4"/>
      <c r="J80" s="4"/>
      <c r="K80" s="4"/>
      <c r="L80" s="4"/>
      <c r="M80" s="4"/>
      <c r="N80" s="4"/>
      <c r="O80" s="4"/>
      <c r="P80" s="4"/>
      <c r="Q80" s="547"/>
      <c r="R80" s="547"/>
      <c r="S80" s="547"/>
      <c r="T80" s="547"/>
      <c r="U80" s="547"/>
      <c r="V80" s="547"/>
      <c r="W80" s="547"/>
      <c r="X80" s="547"/>
      <c r="Y80" s="547"/>
      <c r="Z80" s="547"/>
      <c r="AA80" s="547"/>
      <c r="AB80" s="547"/>
      <c r="AC80" s="547"/>
      <c r="AD80" s="4"/>
      <c r="AE80" s="4"/>
      <c r="AF80" s="4"/>
      <c r="AG80" s="4"/>
      <c r="AH80" s="4"/>
      <c r="AI80" s="4"/>
      <c r="AJ80" s="4"/>
    </row>
    <row r="81" spans="1:36" s="1" customFormat="1" ht="14.25" x14ac:dyDescent="0.2">
      <c r="A81" s="4"/>
      <c r="B81" s="4"/>
      <c r="C81" s="4"/>
      <c r="D81" s="4"/>
      <c r="E81" s="4"/>
      <c r="F81" s="4"/>
      <c r="G81" s="4"/>
      <c r="H81" s="4"/>
      <c r="I81" s="4"/>
      <c r="J81" s="4"/>
      <c r="K81" s="4"/>
      <c r="L81" s="4"/>
      <c r="M81" s="4"/>
      <c r="N81" s="4"/>
      <c r="O81" s="4"/>
      <c r="P81" s="4"/>
      <c r="Q81" s="547"/>
      <c r="R81" s="547"/>
      <c r="S81" s="547"/>
      <c r="T81" s="547"/>
      <c r="U81" s="547"/>
      <c r="V81" s="547"/>
      <c r="W81" s="547"/>
      <c r="X81" s="547"/>
      <c r="Y81" s="547"/>
      <c r="Z81" s="547"/>
      <c r="AA81" s="547"/>
      <c r="AB81" s="547"/>
      <c r="AC81" s="547"/>
      <c r="AD81" s="4"/>
      <c r="AE81" s="4"/>
      <c r="AF81" s="4"/>
      <c r="AG81" s="4"/>
      <c r="AH81" s="4"/>
      <c r="AI81" s="4"/>
      <c r="AJ81" s="4"/>
    </row>
    <row r="82" spans="1:36" s="1" customFormat="1" ht="14.25" x14ac:dyDescent="0.2">
      <c r="A82" s="4"/>
      <c r="B82" s="4"/>
      <c r="C82" s="4"/>
      <c r="D82" s="4"/>
      <c r="E82" s="4"/>
      <c r="F82" s="4"/>
      <c r="G82" s="4"/>
      <c r="H82" s="4"/>
      <c r="I82" s="4"/>
      <c r="J82" s="4"/>
      <c r="K82" s="4"/>
      <c r="L82" s="4"/>
      <c r="M82" s="4"/>
      <c r="N82" s="4"/>
      <c r="O82" s="4"/>
      <c r="P82" s="4"/>
      <c r="Q82" s="547"/>
      <c r="R82" s="547"/>
      <c r="S82" s="547"/>
      <c r="T82" s="547"/>
      <c r="U82" s="547"/>
      <c r="V82" s="547"/>
      <c r="W82" s="547"/>
      <c r="X82" s="547"/>
      <c r="Y82" s="547"/>
      <c r="Z82" s="547"/>
      <c r="AA82" s="547"/>
      <c r="AB82" s="547"/>
      <c r="AC82" s="547"/>
      <c r="AD82" s="4"/>
      <c r="AE82" s="4"/>
      <c r="AF82" s="4"/>
      <c r="AG82" s="4"/>
      <c r="AH82" s="4"/>
      <c r="AI82" s="4"/>
      <c r="AJ82" s="4"/>
    </row>
    <row r="83" spans="1:36" s="1" customFormat="1" x14ac:dyDescent="0.2">
      <c r="A83" s="616"/>
      <c r="B83" s="617" t="s">
        <v>889</v>
      </c>
      <c r="C83" s="507"/>
      <c r="D83" s="507"/>
      <c r="E83" s="618"/>
      <c r="F83" s="618"/>
      <c r="G83" s="618"/>
      <c r="H83" s="618"/>
      <c r="I83" s="618"/>
      <c r="J83" s="618"/>
      <c r="K83" s="618"/>
      <c r="L83" s="618"/>
      <c r="M83" s="618"/>
      <c r="N83" s="618"/>
      <c r="O83" s="618"/>
      <c r="P83" s="618"/>
      <c r="Q83" s="619"/>
      <c r="R83" s="619"/>
      <c r="S83" s="619"/>
      <c r="T83" s="619"/>
      <c r="U83" s="619"/>
      <c r="V83" s="619"/>
      <c r="W83" s="619"/>
      <c r="X83" s="619"/>
      <c r="Y83" s="619"/>
      <c r="Z83" s="619"/>
      <c r="AA83" s="619"/>
      <c r="AB83" s="619"/>
      <c r="AC83" s="547"/>
      <c r="AD83" s="4"/>
      <c r="AE83" s="4"/>
      <c r="AF83" s="4"/>
      <c r="AG83" s="4"/>
      <c r="AH83" s="4"/>
      <c r="AI83" s="4"/>
      <c r="AJ83" s="4"/>
    </row>
    <row r="84" spans="1:36" s="1" customFormat="1" ht="14.25" x14ac:dyDescent="0.2">
      <c r="A84" s="4"/>
      <c r="B84" s="4"/>
      <c r="C84" s="4"/>
      <c r="D84" s="4"/>
      <c r="F84" s="4"/>
      <c r="G84" s="4" t="s">
        <v>348</v>
      </c>
      <c r="H84" s="4"/>
      <c r="I84" s="4"/>
      <c r="J84" s="4"/>
      <c r="K84" s="4"/>
      <c r="L84" s="4"/>
      <c r="M84" s="4"/>
      <c r="N84" s="4"/>
      <c r="O84" s="4"/>
      <c r="P84" s="4"/>
      <c r="Q84" s="4"/>
      <c r="R84" s="4"/>
      <c r="S84" s="4"/>
      <c r="T84" s="4"/>
      <c r="U84" s="4"/>
      <c r="V84" s="71"/>
      <c r="W84" s="71"/>
      <c r="X84" s="71"/>
      <c r="Y84" s="71"/>
      <c r="Z84" s="71"/>
      <c r="AA84" s="71"/>
      <c r="AB84" s="71"/>
      <c r="AC84" s="547"/>
      <c r="AD84" s="4"/>
      <c r="AE84" s="4"/>
      <c r="AF84" s="4"/>
      <c r="AG84" s="4"/>
      <c r="AH84" s="4"/>
      <c r="AI84" s="4"/>
      <c r="AJ84" s="4"/>
    </row>
    <row r="85" spans="1:36" s="1" customFormat="1" ht="14.25" x14ac:dyDescent="0.2">
      <c r="A85" s="15"/>
      <c r="B85" s="15"/>
      <c r="C85" s="15"/>
      <c r="D85" s="15"/>
      <c r="E85" s="539">
        <f t="shared" ref="E85:O85" si="36">E8</f>
        <v>0</v>
      </c>
      <c r="F85" s="539">
        <f t="shared" si="36"/>
        <v>2016</v>
      </c>
      <c r="G85" s="539">
        <f t="shared" si="36"/>
        <v>2017</v>
      </c>
      <c r="H85" s="539">
        <f t="shared" si="36"/>
        <v>2018</v>
      </c>
      <c r="I85" s="539">
        <f t="shared" si="36"/>
        <v>2019</v>
      </c>
      <c r="J85" s="539">
        <f t="shared" si="36"/>
        <v>2020</v>
      </c>
      <c r="K85" s="539">
        <f t="shared" si="36"/>
        <v>2021</v>
      </c>
      <c r="L85" s="539">
        <f t="shared" si="36"/>
        <v>2022</v>
      </c>
      <c r="M85" s="539">
        <f t="shared" si="36"/>
        <v>2023</v>
      </c>
      <c r="N85" s="539">
        <f t="shared" si="36"/>
        <v>2024</v>
      </c>
      <c r="O85" s="539">
        <f t="shared" si="36"/>
        <v>2025</v>
      </c>
      <c r="P85" s="38"/>
      <c r="Q85" s="540"/>
      <c r="R85" s="540"/>
      <c r="S85" s="540"/>
      <c r="T85" s="540"/>
      <c r="U85" s="540"/>
      <c r="V85" s="540"/>
      <c r="W85" s="540"/>
      <c r="X85" s="540"/>
      <c r="Y85" s="540"/>
      <c r="Z85" s="540"/>
      <c r="AA85" s="540"/>
      <c r="AB85" s="540"/>
      <c r="AC85" s="547"/>
      <c r="AD85" s="4"/>
      <c r="AE85" s="4"/>
      <c r="AF85" s="4"/>
      <c r="AG85" s="4"/>
      <c r="AH85" s="4"/>
      <c r="AI85" s="4"/>
      <c r="AJ85" s="4"/>
    </row>
    <row r="86" spans="1:36" s="1" customFormat="1" x14ac:dyDescent="0.25">
      <c r="A86" s="597">
        <v>1</v>
      </c>
      <c r="B86" s="598" t="s">
        <v>879</v>
      </c>
      <c r="C86" s="509"/>
      <c r="D86" s="509"/>
      <c r="E86" s="599"/>
      <c r="F86" s="599"/>
      <c r="G86" s="599"/>
      <c r="H86" s="599"/>
      <c r="I86" s="599"/>
      <c r="J86" s="599"/>
      <c r="K86" s="599"/>
      <c r="L86" s="599"/>
      <c r="M86" s="599"/>
      <c r="N86" s="599"/>
      <c r="O86" s="599"/>
      <c r="P86" s="499"/>
      <c r="Q86" s="547"/>
      <c r="R86" s="547"/>
      <c r="S86" s="547"/>
      <c r="T86" s="547"/>
      <c r="U86" s="547"/>
      <c r="V86" s="547"/>
      <c r="W86" s="547"/>
      <c r="X86" s="547"/>
      <c r="Y86" s="547"/>
      <c r="Z86" s="547"/>
      <c r="AA86" s="547"/>
      <c r="AB86" s="547"/>
      <c r="AC86" s="547"/>
      <c r="AD86" s="4"/>
      <c r="AE86" s="4"/>
      <c r="AF86" s="4"/>
      <c r="AG86" s="4"/>
      <c r="AH86" s="4"/>
      <c r="AI86" s="4"/>
      <c r="AJ86" s="4"/>
    </row>
    <row r="87" spans="1:36" s="1" customFormat="1" ht="14.25" outlineLevel="1" x14ac:dyDescent="0.2">
      <c r="A87" s="36"/>
      <c r="B87" s="489" t="s">
        <v>4</v>
      </c>
      <c r="C87" s="4" t="str">
        <f>C11</f>
        <v>Корпоративные кредиты</v>
      </c>
      <c r="D87" s="4"/>
      <c r="E87" s="603"/>
      <c r="F87" s="603"/>
      <c r="G87" s="603"/>
      <c r="H87" s="603"/>
      <c r="I87" s="603"/>
      <c r="J87" s="603"/>
      <c r="K87" s="603"/>
      <c r="L87" s="603"/>
      <c r="M87" s="603"/>
      <c r="N87" s="603"/>
      <c r="O87" s="603"/>
      <c r="P87" s="499"/>
      <c r="Q87" s="603"/>
      <c r="R87" s="603"/>
      <c r="S87" s="603"/>
      <c r="T87" s="603"/>
      <c r="U87" s="603"/>
      <c r="V87" s="603"/>
      <c r="W87" s="603"/>
      <c r="X87" s="603"/>
      <c r="Y87" s="603"/>
      <c r="Z87" s="603"/>
      <c r="AA87" s="603"/>
      <c r="AB87" s="603"/>
      <c r="AC87" s="547"/>
      <c r="AD87" s="4"/>
      <c r="AE87" s="4"/>
      <c r="AF87" s="4"/>
      <c r="AG87" s="4"/>
      <c r="AH87" s="4"/>
      <c r="AI87" s="4"/>
      <c r="AJ87" s="4"/>
    </row>
    <row r="88" spans="1:36" s="1" customFormat="1" ht="14.25" outlineLevel="1" x14ac:dyDescent="0.2">
      <c r="A88" s="36"/>
      <c r="B88" s="489" t="s">
        <v>5</v>
      </c>
      <c r="C88" s="4" t="str">
        <f>C12</f>
        <v>Кредиты государственным и муниципальным органам</v>
      </c>
      <c r="D88" s="4"/>
      <c r="E88" s="603"/>
      <c r="F88" s="603"/>
      <c r="G88" s="603"/>
      <c r="H88" s="603"/>
      <c r="I88" s="603"/>
      <c r="J88" s="603"/>
      <c r="K88" s="603"/>
      <c r="L88" s="603"/>
      <c r="M88" s="603"/>
      <c r="N88" s="603"/>
      <c r="O88" s="603"/>
      <c r="P88" s="499"/>
      <c r="Q88" s="603"/>
      <c r="R88" s="603"/>
      <c r="S88" s="603"/>
      <c r="T88" s="603"/>
      <c r="U88" s="603"/>
      <c r="V88" s="603"/>
      <c r="W88" s="603"/>
      <c r="X88" s="603"/>
      <c r="Y88" s="603"/>
      <c r="Z88" s="603"/>
      <c r="AA88" s="603"/>
      <c r="AB88" s="603"/>
      <c r="AC88" s="547"/>
      <c r="AD88" s="4"/>
      <c r="AE88" s="4"/>
      <c r="AF88" s="4"/>
      <c r="AG88" s="4"/>
      <c r="AH88" s="4"/>
      <c r="AI88" s="4"/>
      <c r="AJ88" s="4"/>
    </row>
    <row r="89" spans="1:36" s="1" customFormat="1" ht="14.25" outlineLevel="1" x14ac:dyDescent="0.2">
      <c r="A89" s="36"/>
      <c r="B89" s="489" t="s">
        <v>14</v>
      </c>
      <c r="C89" s="4" t="str">
        <f>C13</f>
        <v>Кредиты малому и среднему бизнесу</v>
      </c>
      <c r="D89" s="4"/>
      <c r="E89" s="603"/>
      <c r="F89" s="603"/>
      <c r="G89" s="603"/>
      <c r="H89" s="603"/>
      <c r="I89" s="603"/>
      <c r="J89" s="603"/>
      <c r="K89" s="603"/>
      <c r="L89" s="603"/>
      <c r="M89" s="603"/>
      <c r="N89" s="603"/>
      <c r="O89" s="603"/>
      <c r="P89" s="499"/>
      <c r="Q89" s="603"/>
      <c r="R89" s="603"/>
      <c r="S89" s="603"/>
      <c r="T89" s="603"/>
      <c r="U89" s="603"/>
      <c r="V89" s="603"/>
      <c r="W89" s="603"/>
      <c r="X89" s="603"/>
      <c r="Y89" s="603"/>
      <c r="Z89" s="603"/>
      <c r="AA89" s="603"/>
      <c r="AB89" s="603"/>
      <c r="AC89" s="547"/>
      <c r="AD89" s="4"/>
      <c r="AE89" s="4"/>
      <c r="AF89" s="4"/>
      <c r="AG89" s="4"/>
      <c r="AH89" s="4"/>
      <c r="AI89" s="4"/>
      <c r="AJ89" s="4"/>
    </row>
    <row r="90" spans="1:36" s="1" customFormat="1" ht="14.25" outlineLevel="1" x14ac:dyDescent="0.2">
      <c r="A90" s="36"/>
      <c r="B90" s="489" t="s">
        <v>540</v>
      </c>
      <c r="C90" s="4" t="str">
        <f>C16</f>
        <v>Требования по процентам, корректировка ссуд. зад-ти</v>
      </c>
      <c r="D90" s="4"/>
      <c r="E90" s="603"/>
      <c r="F90" s="603"/>
      <c r="G90" s="603"/>
      <c r="H90" s="603"/>
      <c r="I90" s="603"/>
      <c r="J90" s="603"/>
      <c r="K90" s="603"/>
      <c r="L90" s="603"/>
      <c r="M90" s="603"/>
      <c r="N90" s="603"/>
      <c r="O90" s="603"/>
      <c r="P90" s="499"/>
      <c r="Q90" s="603"/>
      <c r="R90" s="603"/>
      <c r="S90" s="603"/>
      <c r="T90" s="603"/>
      <c r="U90" s="603"/>
      <c r="V90" s="603"/>
      <c r="W90" s="603"/>
      <c r="X90" s="603"/>
      <c r="Y90" s="603"/>
      <c r="Z90" s="603"/>
      <c r="AA90" s="603"/>
      <c r="AB90" s="603"/>
      <c r="AC90" s="547"/>
      <c r="AD90" s="4"/>
      <c r="AE90" s="4"/>
      <c r="AF90" s="4"/>
      <c r="AG90" s="4"/>
      <c r="AH90" s="4"/>
      <c r="AI90" s="4"/>
      <c r="AJ90" s="4"/>
    </row>
    <row r="91" spans="1:36" s="3" customFormat="1" ht="21.75" customHeight="1" x14ac:dyDescent="0.25">
      <c r="A91" s="601"/>
      <c r="B91" s="605" t="s">
        <v>3466</v>
      </c>
      <c r="C91" s="606"/>
      <c r="D91" s="606"/>
      <c r="E91" s="615"/>
      <c r="F91" s="653">
        <f>IF(Ввод!G544=0,"-",Ввод!G544/VLOOKUP(Баланс!$B$7,Баланс!$A$1:$B$3,2,0)/F17)</f>
        <v>2.2982037246867024E-2</v>
      </c>
      <c r="G91" s="888">
        <f>IF(Ввод!H544=0,"-",Ввод!H544/VLOOKUP(Баланс!$B$7,Баланс!$A$1:$B$3,2,0)/G17)</f>
        <v>2.9792200205643889E-2</v>
      </c>
      <c r="H91" s="888">
        <f>IF(Ввод!I544=0,"-",Ввод!I544/VLOOKUP(Баланс!$B$7,Баланс!$A$1:$B$3,2,0)/H17)</f>
        <v>6.4769720187119587E-2</v>
      </c>
      <c r="I91" s="888">
        <f>IF(Ввод!J544=0,"-",Ввод!J544/VLOOKUP(Баланс!$B$7,Баланс!$A$1:$B$3,2,0)/I17)</f>
        <v>8.1305046622899987E-2</v>
      </c>
      <c r="J91" s="888">
        <f>IF(Ввод!K544=0,"-",Ввод!K544/VLOOKUP(Баланс!$B$7,Баланс!$A$1:$B$3,2,0)/J17)</f>
        <v>6.6586816150517536E-2</v>
      </c>
      <c r="K91" s="888">
        <f>IF(Ввод!L544=0,"-",Ввод!L544/VLOOKUP(Баланс!$B$7,Баланс!$A$1:$B$3,2,0)/K17)</f>
        <v>7.4142447360990793E-2</v>
      </c>
      <c r="L91" s="653">
        <f>IF(Ввод!M544=0,"-",Ввод!M544/VLOOKUP(Баланс!$B$7,Баланс!$A$1:$B$3,2,0)/L17)</f>
        <v>6.8754616073749608E-2</v>
      </c>
      <c r="M91" s="653">
        <f>IF(Ввод!N544=0,"-",Ввод!N544/VLOOKUP(Баланс!$B$7,Баланс!$A$1:$B$3,2,0)/M17)</f>
        <v>7.5506741836456281E-2</v>
      </c>
      <c r="N91" s="653">
        <f>IF(Ввод!O544=0,"-",Ввод!O544/VLOOKUP(Баланс!$B$7,Баланс!$A$1:$B$3,2,0)/N17)</f>
        <v>4.4879927508521274E-2</v>
      </c>
      <c r="O91" s="653" t="str">
        <f>IF(Ввод!P544=0,"-",Ввод!P544/VLOOKUP(Баланс!$B$7,Баланс!$A$1:$B$3,2,0)/O17)</f>
        <v>-</v>
      </c>
      <c r="P91" s="595"/>
      <c r="Q91" s="612"/>
      <c r="R91" s="612"/>
      <c r="S91" s="612"/>
      <c r="T91" s="612"/>
      <c r="U91" s="612"/>
      <c r="V91" s="612"/>
      <c r="W91" s="612"/>
      <c r="X91" s="612"/>
      <c r="Y91" s="612"/>
      <c r="Z91" s="612"/>
      <c r="AA91" s="612"/>
      <c r="AB91" s="612"/>
      <c r="AC91" s="596"/>
      <c r="AD91" s="6"/>
      <c r="AE91" s="6"/>
      <c r="AF91" s="6"/>
      <c r="AG91" s="6"/>
      <c r="AH91" s="6"/>
      <c r="AI91" s="6"/>
      <c r="AJ91" s="6"/>
    </row>
    <row r="92" spans="1:36" s="2" customFormat="1" x14ac:dyDescent="0.25">
      <c r="A92" s="597">
        <v>2</v>
      </c>
      <c r="B92" s="598" t="s">
        <v>880</v>
      </c>
      <c r="C92" s="598"/>
      <c r="D92" s="598"/>
      <c r="E92" s="600"/>
      <c r="F92" s="1896"/>
      <c r="G92" s="600"/>
      <c r="H92" s="600"/>
      <c r="I92" s="600"/>
      <c r="J92" s="600"/>
      <c r="K92" s="600"/>
      <c r="L92" s="600"/>
      <c r="M92" s="600"/>
      <c r="N92" s="600"/>
      <c r="O92" s="600"/>
      <c r="P92" s="593"/>
      <c r="Q92" s="594"/>
      <c r="R92" s="594"/>
      <c r="S92" s="594"/>
      <c r="T92" s="594"/>
      <c r="U92" s="594"/>
      <c r="V92" s="594"/>
      <c r="W92" s="594"/>
      <c r="X92" s="594"/>
      <c r="Y92" s="594"/>
      <c r="Z92" s="594"/>
      <c r="AA92" s="594"/>
      <c r="AB92" s="594"/>
      <c r="AC92" s="594"/>
      <c r="AD92" s="12"/>
      <c r="AE92" s="12"/>
      <c r="AF92" s="12"/>
      <c r="AG92" s="12"/>
      <c r="AH92" s="12"/>
      <c r="AI92" s="12"/>
      <c r="AJ92" s="12"/>
    </row>
    <row r="93" spans="1:36" s="1" customFormat="1" ht="14.25" outlineLevel="1" x14ac:dyDescent="0.2">
      <c r="A93" s="36"/>
      <c r="B93" s="489" t="s">
        <v>6</v>
      </c>
      <c r="C93" s="4" t="str">
        <f>C19</f>
        <v>Жилищные (кроме ипотечных)</v>
      </c>
      <c r="D93" s="4"/>
      <c r="E93" s="603"/>
      <c r="F93" s="603"/>
      <c r="G93" s="547"/>
      <c r="H93" s="547"/>
      <c r="I93" s="547"/>
      <c r="J93" s="547"/>
      <c r="K93" s="547"/>
      <c r="L93" s="547"/>
      <c r="M93" s="547"/>
      <c r="N93" s="547"/>
      <c r="O93" s="547"/>
      <c r="P93" s="499"/>
      <c r="Q93" s="603"/>
      <c r="R93" s="603"/>
      <c r="S93" s="603"/>
      <c r="T93" s="603"/>
      <c r="U93" s="603"/>
      <c r="V93" s="603"/>
      <c r="W93" s="603"/>
      <c r="X93" s="603"/>
      <c r="Y93" s="603"/>
      <c r="Z93" s="603"/>
      <c r="AA93" s="603"/>
      <c r="AB93" s="603"/>
      <c r="AC93" s="547"/>
      <c r="AD93" s="4"/>
      <c r="AE93" s="4"/>
      <c r="AF93" s="4"/>
      <c r="AG93" s="4"/>
      <c r="AH93" s="4"/>
      <c r="AI93" s="4"/>
      <c r="AJ93" s="4"/>
    </row>
    <row r="94" spans="1:36" s="1" customFormat="1" ht="14.25" outlineLevel="1" x14ac:dyDescent="0.2">
      <c r="A94" s="36"/>
      <c r="B94" s="489" t="s">
        <v>7</v>
      </c>
      <c r="C94" s="4" t="str">
        <f>C20</f>
        <v>Ипотечные</v>
      </c>
      <c r="D94" s="4"/>
      <c r="E94" s="603"/>
      <c r="F94" s="603"/>
      <c r="G94" s="547"/>
      <c r="H94" s="547"/>
      <c r="I94" s="547"/>
      <c r="J94" s="547"/>
      <c r="K94" s="547"/>
      <c r="L94" s="547"/>
      <c r="M94" s="547"/>
      <c r="N94" s="547"/>
      <c r="O94" s="547"/>
      <c r="P94" s="499"/>
      <c r="Q94" s="603"/>
      <c r="R94" s="603"/>
      <c r="S94" s="603"/>
      <c r="T94" s="603"/>
      <c r="U94" s="603"/>
      <c r="V94" s="603"/>
      <c r="W94" s="603"/>
      <c r="X94" s="603"/>
      <c r="Y94" s="603"/>
      <c r="Z94" s="603"/>
      <c r="AA94" s="603"/>
      <c r="AB94" s="603"/>
      <c r="AC94" s="547"/>
      <c r="AD94" s="4"/>
      <c r="AE94" s="4"/>
      <c r="AF94" s="4"/>
      <c r="AG94" s="4"/>
      <c r="AH94" s="4"/>
      <c r="AI94" s="4"/>
      <c r="AJ94" s="4"/>
    </row>
    <row r="95" spans="1:36" s="1" customFormat="1" ht="14.25" outlineLevel="1" x14ac:dyDescent="0.2">
      <c r="A95" s="36"/>
      <c r="B95" s="489" t="s">
        <v>9</v>
      </c>
      <c r="C95" s="4" t="str">
        <f>C21</f>
        <v>Автокредиты</v>
      </c>
      <c r="D95" s="4"/>
      <c r="E95" s="603"/>
      <c r="F95" s="603"/>
      <c r="G95" s="547"/>
      <c r="H95" s="547"/>
      <c r="I95" s="547"/>
      <c r="J95" s="547"/>
      <c r="K95" s="547"/>
      <c r="L95" s="547"/>
      <c r="M95" s="547"/>
      <c r="N95" s="547"/>
      <c r="O95" s="547"/>
      <c r="P95" s="499"/>
      <c r="Q95" s="603"/>
      <c r="R95" s="603"/>
      <c r="S95" s="603"/>
      <c r="T95" s="603"/>
      <c r="U95" s="603"/>
      <c r="V95" s="603"/>
      <c r="W95" s="603"/>
      <c r="X95" s="603"/>
      <c r="Y95" s="603"/>
      <c r="Z95" s="603"/>
      <c r="AA95" s="603"/>
      <c r="AB95" s="603"/>
      <c r="AC95" s="547"/>
      <c r="AD95" s="4"/>
      <c r="AE95" s="4"/>
      <c r="AF95" s="4"/>
      <c r="AG95" s="4"/>
      <c r="AH95" s="4"/>
      <c r="AI95" s="4"/>
      <c r="AJ95" s="4"/>
    </row>
    <row r="96" spans="1:36" s="1" customFormat="1" ht="14.25" outlineLevel="1" x14ac:dyDescent="0.2">
      <c r="A96" s="36"/>
      <c r="B96" s="489" t="s">
        <v>478</v>
      </c>
      <c r="C96" s="4" t="str">
        <f>C22</f>
        <v>Потребительские ссуды</v>
      </c>
      <c r="D96" s="4"/>
      <c r="E96" s="603"/>
      <c r="F96" s="603"/>
      <c r="G96" s="547"/>
      <c r="H96" s="547"/>
      <c r="I96" s="547"/>
      <c r="J96" s="547"/>
      <c r="K96" s="547"/>
      <c r="L96" s="547"/>
      <c r="M96" s="547"/>
      <c r="N96" s="547"/>
      <c r="O96" s="547"/>
      <c r="P96" s="499"/>
      <c r="Q96" s="603"/>
      <c r="R96" s="603"/>
      <c r="S96" s="603"/>
      <c r="T96" s="603"/>
      <c r="U96" s="603"/>
      <c r="V96" s="603"/>
      <c r="W96" s="603"/>
      <c r="X96" s="603"/>
      <c r="Y96" s="603"/>
      <c r="Z96" s="603"/>
      <c r="AA96" s="603"/>
      <c r="AB96" s="603"/>
      <c r="AC96" s="547"/>
      <c r="AD96" s="4"/>
      <c r="AE96" s="4"/>
      <c r="AF96" s="4"/>
      <c r="AG96" s="4"/>
      <c r="AH96" s="4"/>
      <c r="AI96" s="4"/>
      <c r="AJ96" s="4"/>
    </row>
    <row r="97" spans="1:36" s="1" customFormat="1" ht="14.25" outlineLevel="1" x14ac:dyDescent="0.2">
      <c r="A97" s="36"/>
      <c r="B97" s="489" t="s">
        <v>479</v>
      </c>
      <c r="C97" s="4"/>
      <c r="D97" s="4"/>
      <c r="E97" s="603"/>
      <c r="F97" s="603"/>
      <c r="G97" s="547"/>
      <c r="H97" s="547"/>
      <c r="I97" s="547"/>
      <c r="J97" s="547"/>
      <c r="K97" s="547"/>
      <c r="L97" s="547"/>
      <c r="M97" s="547"/>
      <c r="N97" s="547"/>
      <c r="O97" s="547"/>
      <c r="P97" s="499"/>
      <c r="Q97" s="603"/>
      <c r="R97" s="603"/>
      <c r="S97" s="603"/>
      <c r="T97" s="603"/>
      <c r="U97" s="603"/>
      <c r="V97" s="603"/>
      <c r="W97" s="603"/>
      <c r="X97" s="603"/>
      <c r="Y97" s="603"/>
      <c r="Z97" s="603"/>
      <c r="AA97" s="603"/>
      <c r="AB97" s="603"/>
      <c r="AC97" s="547"/>
      <c r="AD97" s="4"/>
      <c r="AE97" s="4"/>
      <c r="AF97" s="4"/>
      <c r="AG97" s="4"/>
      <c r="AH97" s="4"/>
      <c r="AI97" s="4"/>
      <c r="AJ97" s="4"/>
    </row>
    <row r="98" spans="1:36" s="3" customFormat="1" ht="21.75" customHeight="1" x14ac:dyDescent="0.25">
      <c r="A98" s="601"/>
      <c r="B98" s="605" t="s">
        <v>3467</v>
      </c>
      <c r="C98" s="606"/>
      <c r="D98" s="606"/>
      <c r="E98" s="615"/>
      <c r="F98" s="653">
        <f>IF(Ввод!G545=0,"-",Ввод!G545/VLOOKUP(Баланс!$B$7,Баланс!$A$1:$B$3,2,0)/F24)</f>
        <v>0.12646060667232345</v>
      </c>
      <c r="G98" s="888">
        <f>IF(Ввод!H545=0,"-",Ввод!H545/VLOOKUP(Баланс!$B$7,Баланс!$A$1:$B$3,2,0)/G24)</f>
        <v>0.10290048290719053</v>
      </c>
      <c r="H98" s="888">
        <f>IF(Ввод!I545=0,"-",Ввод!I545/VLOOKUP(Баланс!$B$7,Баланс!$A$1:$B$3,2,0)/H24)</f>
        <v>7.3530234833389732E-2</v>
      </c>
      <c r="I98" s="888">
        <f>IF(Ввод!J545=0,"-",Ввод!J545/VLOOKUP(Баланс!$B$7,Баланс!$A$1:$B$3,2,0)/I24)</f>
        <v>6.8829981130296883E-2</v>
      </c>
      <c r="J98" s="888">
        <f>IF(Ввод!K545=0,"-",Ввод!K545/VLOOKUP(Баланс!$B$7,Баланс!$A$1:$B$3,2,0)/J24)</f>
        <v>5.1720662247139781E-2</v>
      </c>
      <c r="K98" s="888">
        <f>IF(Ввод!L545=0,"-",Ввод!L545/VLOOKUP(Баланс!$B$7,Баланс!$A$1:$B$3,2,0)/K24)</f>
        <v>1.2540894861446028E-2</v>
      </c>
      <c r="L98" s="888">
        <f>IF(Ввод!M545=0,"-",Ввод!M545/VLOOKUP(Баланс!$B$7,Баланс!$A$1:$B$3,2,0)/L24)</f>
        <v>1.1629565007772331E-2</v>
      </c>
      <c r="M98" s="888">
        <f>IF(Ввод!N545=0,"-",Ввод!N545/VLOOKUP(Баланс!$B$7,Баланс!$A$1:$B$3,2,0)/M24)</f>
        <v>1.4797770596722489E-2</v>
      </c>
      <c r="N98" s="888">
        <f>IF(Ввод!O545=0,"-",Ввод!O545/VLOOKUP(Баланс!$B$7,Баланс!$A$1:$B$3,2,0)/N24)</f>
        <v>9.726343489984187E-3</v>
      </c>
      <c r="O98" s="888" t="str">
        <f>IF(Ввод!P545=0,"-",Ввод!P545/VLOOKUP(Баланс!$B$7,Баланс!$A$1:$B$3,2,0)/O24)</f>
        <v>-</v>
      </c>
      <c r="P98" s="595"/>
      <c r="Q98" s="612"/>
      <c r="R98" s="612"/>
      <c r="S98" s="612"/>
      <c r="T98" s="612"/>
      <c r="U98" s="612"/>
      <c r="V98" s="612"/>
      <c r="W98" s="612"/>
      <c r="X98" s="612"/>
      <c r="Y98" s="612"/>
      <c r="Z98" s="612"/>
      <c r="AA98" s="612"/>
      <c r="AB98" s="612"/>
      <c r="AC98" s="596"/>
      <c r="AD98" s="6"/>
      <c r="AE98" s="6"/>
      <c r="AF98" s="6"/>
      <c r="AG98" s="6"/>
      <c r="AH98" s="6"/>
      <c r="AI98" s="6"/>
      <c r="AJ98" s="6"/>
    </row>
    <row r="99" spans="1:36" s="1" customFormat="1" ht="26.25" customHeight="1" x14ac:dyDescent="0.2">
      <c r="A99" s="515"/>
      <c r="B99" s="516" t="s">
        <v>3468</v>
      </c>
      <c r="C99" s="517"/>
      <c r="D99" s="517"/>
      <c r="E99" s="608"/>
      <c r="F99" s="650">
        <f>IF(Ввод!G547=0,"-",(Ввод!G547)/F25)</f>
        <v>50016.46315851844</v>
      </c>
      <c r="G99" s="655">
        <f>IF(Ввод!H547=0,"-",(Ввод!H547)/VLOOKUP(Баланс!$B$7,Баланс!$A$1:$B$3,2,0)/G25)</f>
        <v>5.2205482087332764E-2</v>
      </c>
      <c r="H99" s="655">
        <f>IF(Ввод!I547=0,"-",(Ввод!I547)/VLOOKUP(Баланс!$B$7,Баланс!$A$1:$B$3,2,0)/H25)</f>
        <v>6.768395106885014E-2</v>
      </c>
      <c r="I99" s="655">
        <f>IF(Ввод!J547=0,"-",(Ввод!J547)/VLOOKUP(Баланс!$B$7,Баланс!$A$1:$B$3,2,0)/I25)</f>
        <v>7.7182529602446079E-2</v>
      </c>
      <c r="J99" s="655">
        <f>IF(Ввод!K547=0,"-",(Ввод!K547)/VLOOKUP(Баланс!$B$7,Баланс!$A$1:$B$3,2,0)/J25)</f>
        <v>6.0217373676433872E-2</v>
      </c>
      <c r="K99" s="655">
        <f>IF(Ввод!L547=0,"-",(Ввод!L547)/VLOOKUP(Баланс!$B$7,Баланс!$A$1:$B$3,2,0)/K25)</f>
        <v>4.5307760840804741E-2</v>
      </c>
      <c r="L99" s="655">
        <f>IF(Ввод!M547=0,"-",(Ввод!M547)/VLOOKUP(Баланс!$B$7,Баланс!$A$1:$B$3,2,0)/L25)</f>
        <v>4.2015307191083907E-2</v>
      </c>
      <c r="M99" s="655">
        <f>IF(Ввод!N547=0,"-",(Ввод!N547)/VLOOKUP(Баланс!$B$7,Баланс!$A$1:$B$3,2,0)/M25)</f>
        <v>4.9301182908553412E-2</v>
      </c>
      <c r="N99" s="655">
        <f>IF(Ввод!O547=0,"-",(Ввод!O547)/VLOOKUP(Баланс!$B$7,Баланс!$A$1:$B$3,2,0)/N25)</f>
        <v>3.0566464514843277E-2</v>
      </c>
      <c r="O99" s="655" t="str">
        <f>IF(Ввод!P547=0,"-",(Ввод!P547)/VLOOKUP(Баланс!$B$7,Баланс!$A$1:$B$3,2,0)/O25)</f>
        <v>-</v>
      </c>
      <c r="P99" s="499"/>
      <c r="Q99" s="613"/>
      <c r="R99" s="613"/>
      <c r="S99" s="613"/>
      <c r="T99" s="613"/>
      <c r="U99" s="613"/>
      <c r="V99" s="613"/>
      <c r="W99" s="613"/>
      <c r="X99" s="613"/>
      <c r="Y99" s="613"/>
      <c r="Z99" s="613"/>
      <c r="AA99" s="613"/>
      <c r="AB99" s="613"/>
      <c r="AC99" s="547"/>
      <c r="AD99" s="4"/>
      <c r="AE99" s="4"/>
      <c r="AF99" s="4"/>
      <c r="AG99" s="4"/>
      <c r="AH99" s="4"/>
      <c r="AI99" s="4"/>
      <c r="AJ99" s="4"/>
    </row>
    <row r="100" spans="1:36" s="1" customFormat="1" ht="14.25" x14ac:dyDescent="0.2">
      <c r="A100" s="4"/>
      <c r="B100" s="4"/>
      <c r="C100" s="4"/>
      <c r="D100" s="4"/>
      <c r="E100" s="4"/>
      <c r="F100" s="4"/>
      <c r="G100" s="4"/>
      <c r="H100" s="4"/>
      <c r="I100" s="4"/>
      <c r="J100" s="4"/>
      <c r="K100" s="4"/>
      <c r="L100" s="4"/>
      <c r="M100" s="4"/>
      <c r="N100" s="4"/>
      <c r="O100" s="4"/>
      <c r="P100" s="4"/>
      <c r="Q100" s="547"/>
      <c r="R100" s="547"/>
      <c r="S100" s="547"/>
      <c r="T100" s="547"/>
      <c r="U100" s="547"/>
      <c r="V100" s="547"/>
      <c r="W100" s="547"/>
      <c r="X100" s="547"/>
      <c r="Y100" s="547"/>
      <c r="Z100" s="547"/>
      <c r="AA100" s="547"/>
      <c r="AB100" s="547"/>
      <c r="AC100" s="547"/>
      <c r="AD100" s="4"/>
      <c r="AE100" s="4"/>
      <c r="AF100" s="4"/>
      <c r="AG100" s="4"/>
      <c r="AH100" s="4"/>
      <c r="AI100" s="4"/>
      <c r="AJ100" s="4"/>
    </row>
    <row r="101" spans="1:36" s="1" customFormat="1" ht="14.25" x14ac:dyDescent="0.2">
      <c r="A101" s="4"/>
      <c r="B101" s="4"/>
      <c r="C101" s="4"/>
      <c r="D101" s="4"/>
      <c r="E101" s="4"/>
      <c r="F101" s="4"/>
      <c r="G101" s="4"/>
      <c r="H101" s="4"/>
      <c r="I101" s="4"/>
      <c r="J101" s="4"/>
      <c r="K101" s="4"/>
      <c r="L101" s="4"/>
      <c r="M101" s="4"/>
      <c r="N101" s="4"/>
      <c r="O101" s="4"/>
      <c r="P101" s="4"/>
      <c r="Q101" s="547"/>
      <c r="R101" s="547"/>
      <c r="S101" s="547"/>
      <c r="T101" s="547"/>
      <c r="U101" s="547"/>
      <c r="V101" s="547"/>
      <c r="W101" s="547"/>
      <c r="X101" s="547"/>
      <c r="Y101" s="547"/>
      <c r="Z101" s="547"/>
      <c r="AA101" s="547"/>
      <c r="AB101" s="547"/>
      <c r="AC101" s="547"/>
      <c r="AD101" s="4"/>
      <c r="AE101" s="4"/>
      <c r="AF101" s="4"/>
      <c r="AG101" s="4"/>
      <c r="AH101" s="4"/>
      <c r="AI101" s="4"/>
      <c r="AJ101" s="4"/>
    </row>
    <row r="102" spans="1:36" s="1" customFormat="1" x14ac:dyDescent="0.25">
      <c r="A102" s="860"/>
      <c r="B102" s="534" t="s">
        <v>1017</v>
      </c>
      <c r="C102" s="535"/>
      <c r="D102" s="535"/>
      <c r="E102" s="536"/>
      <c r="F102" s="536"/>
      <c r="G102" s="536"/>
      <c r="H102" s="536"/>
      <c r="I102" s="536"/>
      <c r="J102" s="536"/>
      <c r="K102" s="536"/>
      <c r="L102" s="536"/>
      <c r="M102" s="536"/>
      <c r="N102" s="536"/>
      <c r="O102" s="536"/>
      <c r="P102" s="4"/>
      <c r="Q102" s="547"/>
      <c r="R102" s="547"/>
      <c r="S102" s="547"/>
      <c r="T102" s="547"/>
      <c r="U102" s="547"/>
      <c r="V102" s="547"/>
      <c r="W102" s="547"/>
      <c r="X102" s="547"/>
      <c r="Y102" s="547"/>
      <c r="Z102" s="547"/>
      <c r="AA102" s="547"/>
      <c r="AB102" s="547"/>
      <c r="AC102" s="547"/>
      <c r="AD102" s="4"/>
      <c r="AE102" s="4"/>
      <c r="AF102" s="4"/>
      <c r="AG102" s="4"/>
      <c r="AH102" s="4"/>
      <c r="AI102" s="4"/>
      <c r="AJ102" s="4"/>
    </row>
    <row r="103" spans="1:36" s="1" customFormat="1" ht="14.25" x14ac:dyDescent="0.2">
      <c r="A103" s="854"/>
      <c r="C103" s="43"/>
      <c r="D103" s="43" t="str">
        <f>D7</f>
        <v>млрд руб.</v>
      </c>
      <c r="F103" s="4"/>
      <c r="G103" s="4" t="s">
        <v>348</v>
      </c>
      <c r="H103" s="4"/>
      <c r="I103" s="4"/>
      <c r="J103" s="4"/>
      <c r="K103" s="4"/>
      <c r="L103" s="4"/>
      <c r="M103" s="4"/>
      <c r="N103" s="4"/>
      <c r="O103" s="4"/>
      <c r="P103" s="4"/>
      <c r="Q103" s="547"/>
      <c r="R103" s="547"/>
      <c r="S103" s="547"/>
      <c r="T103" s="547"/>
      <c r="U103" s="547"/>
      <c r="V103" s="547"/>
      <c r="W103" s="547"/>
      <c r="X103" s="547"/>
      <c r="Y103" s="547"/>
      <c r="Z103" s="547"/>
      <c r="AA103" s="547"/>
      <c r="AB103" s="547"/>
      <c r="AC103" s="547"/>
      <c r="AD103" s="4"/>
      <c r="AE103" s="4"/>
      <c r="AF103" s="4"/>
      <c r="AG103" s="4"/>
      <c r="AH103" s="4"/>
      <c r="AI103" s="4"/>
      <c r="AJ103" s="4"/>
    </row>
    <row r="104" spans="1:36" s="1" customFormat="1" ht="14.25" x14ac:dyDescent="0.2">
      <c r="A104" s="854"/>
      <c r="B104" s="15"/>
      <c r="C104" s="537"/>
      <c r="D104" s="537"/>
      <c r="E104" s="539"/>
      <c r="F104" s="539">
        <f t="shared" ref="F104:J104" si="37">F8</f>
        <v>2016</v>
      </c>
      <c r="G104" s="539">
        <f t="shared" si="37"/>
        <v>2017</v>
      </c>
      <c r="H104" s="539">
        <f t="shared" si="37"/>
        <v>2018</v>
      </c>
      <c r="I104" s="539">
        <f t="shared" si="37"/>
        <v>2019</v>
      </c>
      <c r="J104" s="539">
        <f t="shared" si="37"/>
        <v>2020</v>
      </c>
      <c r="K104" s="539">
        <f>K8</f>
        <v>2021</v>
      </c>
      <c r="L104" s="539">
        <f t="shared" ref="L104:O104" si="38">L8</f>
        <v>2022</v>
      </c>
      <c r="M104" s="539">
        <f t="shared" si="38"/>
        <v>2023</v>
      </c>
      <c r="N104" s="539">
        <f t="shared" si="38"/>
        <v>2024</v>
      </c>
      <c r="O104" s="539">
        <f t="shared" si="38"/>
        <v>2025</v>
      </c>
      <c r="P104" s="4"/>
      <c r="Q104" s="547"/>
      <c r="R104" s="547"/>
      <c r="S104" s="547"/>
      <c r="T104" s="547"/>
      <c r="U104" s="547"/>
      <c r="V104" s="547"/>
      <c r="W104" s="547"/>
      <c r="X104" s="547"/>
      <c r="Y104" s="547"/>
      <c r="Z104" s="547"/>
      <c r="AA104" s="547"/>
      <c r="AB104" s="547"/>
      <c r="AC104" s="547"/>
      <c r="AD104" s="4"/>
      <c r="AE104" s="4"/>
      <c r="AF104" s="4"/>
      <c r="AG104" s="4"/>
      <c r="AH104" s="4"/>
      <c r="AI104" s="4"/>
      <c r="AJ104" s="4"/>
    </row>
    <row r="105" spans="1:36" s="1" customFormat="1" ht="14.25" x14ac:dyDescent="0.2">
      <c r="A105" s="854"/>
      <c r="B105" s="4" t="s">
        <v>1018</v>
      </c>
      <c r="C105" s="43"/>
      <c r="D105" s="43"/>
      <c r="E105" s="519"/>
      <c r="F105" s="519">
        <f>Ввод!G74/VLOOKUP(Баланс!$B$7,Баланс!$A$1:$B$3,2,0)</f>
        <v>39.406965999999997</v>
      </c>
      <c r="G105" s="519">
        <f>Ввод!H74/VLOOKUP(Баланс!$B$7,Баланс!$A$1:$B$3,2,0)</f>
        <v>32.277374000000002</v>
      </c>
      <c r="H105" s="519">
        <f>Ввод!I74/VLOOKUP(Баланс!$B$7,Баланс!$A$1:$B$3,2,0)</f>
        <v>32.696102000000003</v>
      </c>
      <c r="I105" s="519">
        <f>Ввод!J74/VLOOKUP(Баланс!$B$7,Баланс!$A$1:$B$3,2,0)</f>
        <v>34.890129000000002</v>
      </c>
      <c r="J105" s="519">
        <f>Ввод!K74/VLOOKUP(Баланс!$B$7,Баланс!$A$1:$B$3,2,0)</f>
        <v>35.064278999999999</v>
      </c>
      <c r="K105" s="519">
        <f>Ввод!L74/VLOOKUP(Баланс!$B$7,Баланс!$A$1:$B$3,2,0)</f>
        <v>34.478938999999997</v>
      </c>
      <c r="L105" s="519">
        <f>Ввод!M74/VLOOKUP(Баланс!$B$7,Баланс!$A$1:$B$3,2,0)</f>
        <v>52.116860000000003</v>
      </c>
      <c r="M105" s="519">
        <f>Ввод!N74/VLOOKUP(Баланс!$B$7,Баланс!$A$1:$B$3,2,0)</f>
        <v>70.353319999999997</v>
      </c>
      <c r="N105" s="519">
        <f>Ввод!O74/VLOOKUP(Баланс!$B$7,Баланс!$A$1:$B$3,2,0)</f>
        <v>119.578613</v>
      </c>
      <c r="O105" s="519">
        <f>Ввод!P74/VLOOKUP(Баланс!$B$7,Баланс!$A$1:$B$3,2,0)</f>
        <v>0</v>
      </c>
      <c r="P105" s="4"/>
      <c r="Q105" s="547"/>
      <c r="R105" s="547"/>
      <c r="S105" s="547"/>
      <c r="T105" s="547"/>
      <c r="U105" s="547"/>
      <c r="V105" s="547"/>
      <c r="W105" s="547"/>
      <c r="X105" s="547"/>
      <c r="Y105" s="547"/>
      <c r="Z105" s="547"/>
      <c r="AA105" s="547"/>
      <c r="AB105" s="547"/>
      <c r="AC105" s="547"/>
      <c r="AD105" s="4"/>
      <c r="AE105" s="4"/>
      <c r="AF105" s="4"/>
      <c r="AG105" s="4"/>
      <c r="AH105" s="4"/>
      <c r="AI105" s="4"/>
      <c r="AJ105" s="4"/>
    </row>
    <row r="106" spans="1:36" s="1" customFormat="1" ht="14.25" x14ac:dyDescent="0.2">
      <c r="A106" s="854"/>
      <c r="B106" s="4" t="s">
        <v>1024</v>
      </c>
      <c r="C106" s="43"/>
      <c r="D106" s="43"/>
      <c r="E106" s="519"/>
      <c r="F106" s="519">
        <f>Ввод!G113/VLOOKUP(Баланс!$B$7,Баланс!$A$1:$B$3,2,0)</f>
        <v>36.871822999999999</v>
      </c>
      <c r="G106" s="519">
        <f>Ввод!H113/VLOOKUP(Баланс!$B$7,Баланс!$A$1:$B$3,2,0)</f>
        <v>32.865045000000002</v>
      </c>
      <c r="H106" s="519">
        <f>Ввод!I113/VLOOKUP(Баланс!$B$7,Баланс!$A$1:$B$3,2,0)</f>
        <v>34.367798999999998</v>
      </c>
      <c r="I106" s="519">
        <f>Ввод!J113/VLOOKUP(Баланс!$B$7,Баланс!$A$1:$B$3,2,0)</f>
        <v>30.116928999999999</v>
      </c>
      <c r="J106" s="519">
        <f>Ввод!K113/VLOOKUP(Баланс!$B$7,Баланс!$A$1:$B$3,2,0)</f>
        <v>31.838073999999999</v>
      </c>
      <c r="K106" s="519">
        <f>Ввод!L113/VLOOKUP(Баланс!$B$7,Баланс!$A$1:$B$3,2,0)</f>
        <v>0</v>
      </c>
      <c r="L106" s="519">
        <f>Ввод!M113/VLOOKUP(Баланс!$B$7,Баланс!$A$1:$B$3,2,0)</f>
        <v>0</v>
      </c>
      <c r="M106" s="519">
        <f>Ввод!N113/VLOOKUP(Баланс!$B$7,Баланс!$A$1:$B$3,2,0)</f>
        <v>0</v>
      </c>
      <c r="N106" s="519">
        <f>Ввод!O113/VLOOKUP(Баланс!$B$7,Баланс!$A$1:$B$3,2,0)</f>
        <v>0</v>
      </c>
      <c r="O106" s="519">
        <f>Ввод!P113/VLOOKUP(Баланс!$B$7,Баланс!$A$1:$B$3,2,0)</f>
        <v>0</v>
      </c>
      <c r="P106" s="4"/>
      <c r="Q106" s="547"/>
      <c r="R106" s="547"/>
      <c r="S106" s="547"/>
      <c r="T106" s="547"/>
      <c r="U106" s="547"/>
      <c r="V106" s="547"/>
      <c r="W106" s="547"/>
      <c r="X106" s="547"/>
      <c r="Y106" s="547"/>
      <c r="Z106" s="547"/>
      <c r="AA106" s="547"/>
      <c r="AB106" s="547"/>
      <c r="AC106" s="547"/>
      <c r="AD106" s="4"/>
      <c r="AE106" s="4"/>
      <c r="AF106" s="4"/>
      <c r="AG106" s="4"/>
      <c r="AH106" s="4"/>
      <c r="AI106" s="4"/>
      <c r="AJ106" s="4"/>
    </row>
    <row r="107" spans="1:36" s="1" customFormat="1" x14ac:dyDescent="0.25">
      <c r="A107" s="859"/>
      <c r="B107" s="12" t="s">
        <v>1025</v>
      </c>
      <c r="C107" s="46"/>
      <c r="D107" s="46"/>
      <c r="E107" s="710"/>
      <c r="F107" s="710">
        <f t="shared" ref="F107:K107" si="39">F105-F106</f>
        <v>2.5351429999999979</v>
      </c>
      <c r="G107" s="710">
        <f t="shared" si="39"/>
        <v>-0.58767100000000028</v>
      </c>
      <c r="H107" s="710">
        <f t="shared" si="39"/>
        <v>-1.6716969999999947</v>
      </c>
      <c r="I107" s="710">
        <f t="shared" si="39"/>
        <v>4.7732000000000028</v>
      </c>
      <c r="J107" s="710">
        <f t="shared" si="39"/>
        <v>3.2262050000000002</v>
      </c>
      <c r="K107" s="710">
        <f t="shared" si="39"/>
        <v>34.478938999999997</v>
      </c>
      <c r="L107" s="710">
        <f t="shared" ref="L107:O107" si="40">L105-L106</f>
        <v>52.116860000000003</v>
      </c>
      <c r="M107" s="710">
        <f t="shared" si="40"/>
        <v>70.353319999999997</v>
      </c>
      <c r="N107" s="710">
        <f t="shared" si="40"/>
        <v>119.578613</v>
      </c>
      <c r="O107" s="710">
        <f t="shared" si="40"/>
        <v>0</v>
      </c>
      <c r="P107" s="4"/>
      <c r="Q107" s="547"/>
      <c r="R107" s="547"/>
      <c r="S107" s="547"/>
      <c r="T107" s="547"/>
      <c r="U107" s="547"/>
      <c r="V107" s="547"/>
      <c r="W107" s="547"/>
      <c r="X107" s="547"/>
      <c r="Y107" s="547"/>
      <c r="Z107" s="547"/>
      <c r="AA107" s="547"/>
      <c r="AB107" s="547"/>
      <c r="AC107" s="547"/>
      <c r="AD107" s="4"/>
      <c r="AE107" s="4"/>
      <c r="AF107" s="4"/>
      <c r="AG107" s="4"/>
      <c r="AH107" s="4"/>
      <c r="AI107" s="4"/>
      <c r="AJ107" s="4"/>
    </row>
    <row r="108" spans="1:36" s="1" customFormat="1" ht="14.25" x14ac:dyDescent="0.2">
      <c r="A108" s="852"/>
      <c r="B108" s="93" t="s">
        <v>1019</v>
      </c>
      <c r="C108" s="548"/>
      <c r="D108" s="548"/>
      <c r="E108" s="711"/>
      <c r="F108" s="711">
        <f t="shared" ref="F108:K108" si="41">F107/F105</f>
        <v>6.4332356873147714E-2</v>
      </c>
      <c r="G108" s="711">
        <f t="shared" si="41"/>
        <v>-1.8206902457430403E-2</v>
      </c>
      <c r="H108" s="711">
        <f t="shared" si="41"/>
        <v>-5.1128327162668949E-2</v>
      </c>
      <c r="I108" s="711">
        <f t="shared" si="41"/>
        <v>0.1368066022341162</v>
      </c>
      <c r="J108" s="711">
        <f t="shared" si="41"/>
        <v>9.2008308512489312E-2</v>
      </c>
      <c r="K108" s="711">
        <f t="shared" si="41"/>
        <v>1</v>
      </c>
      <c r="L108" s="711">
        <f t="shared" ref="L108:O108" si="42">L107/L105</f>
        <v>1</v>
      </c>
      <c r="M108" s="711">
        <f t="shared" si="42"/>
        <v>1</v>
      </c>
      <c r="N108" s="711">
        <f t="shared" si="42"/>
        <v>1</v>
      </c>
      <c r="O108" s="711" t="e">
        <f t="shared" si="42"/>
        <v>#DIV/0!</v>
      </c>
      <c r="P108" s="4"/>
      <c r="Q108" s="547"/>
      <c r="R108" s="547"/>
      <c r="S108" s="547"/>
      <c r="T108" s="547"/>
      <c r="U108" s="547"/>
      <c r="V108" s="547"/>
      <c r="W108" s="547"/>
      <c r="X108" s="547"/>
      <c r="Y108" s="547"/>
      <c r="Z108" s="547"/>
      <c r="AA108" s="547"/>
      <c r="AB108" s="547"/>
      <c r="AC108" s="547"/>
      <c r="AD108" s="4"/>
      <c r="AE108" s="4"/>
      <c r="AF108" s="4"/>
      <c r="AG108" s="4"/>
      <c r="AH108" s="4"/>
      <c r="AI108" s="4"/>
      <c r="AJ108" s="4"/>
    </row>
    <row r="109" spans="1:36" s="1" customFormat="1" ht="14.25" x14ac:dyDescent="0.2">
      <c r="A109" s="854"/>
      <c r="B109" s="4"/>
      <c r="C109" s="43"/>
      <c r="D109" s="43"/>
      <c r="E109" s="544"/>
      <c r="F109" s="544"/>
      <c r="G109" s="544"/>
      <c r="H109" s="544"/>
      <c r="I109" s="544"/>
      <c r="J109" s="544"/>
      <c r="K109" s="544"/>
      <c r="L109" s="544"/>
      <c r="M109" s="544"/>
      <c r="N109" s="544"/>
      <c r="O109" s="544"/>
      <c r="P109" s="4"/>
      <c r="Q109" s="547"/>
      <c r="R109" s="547"/>
      <c r="S109" s="547"/>
      <c r="T109" s="547"/>
      <c r="U109" s="547"/>
      <c r="V109" s="547"/>
      <c r="W109" s="547"/>
      <c r="X109" s="547"/>
      <c r="Y109" s="547"/>
      <c r="Z109" s="547"/>
      <c r="AA109" s="547"/>
      <c r="AB109" s="547"/>
      <c r="AC109" s="547"/>
      <c r="AD109" s="4"/>
      <c r="AE109" s="4"/>
      <c r="AF109" s="4"/>
      <c r="AG109" s="4"/>
      <c r="AH109" s="4"/>
      <c r="AI109" s="4"/>
      <c r="AJ109" s="4"/>
    </row>
    <row r="110" spans="1:36" s="1" customFormat="1" ht="14.25" x14ac:dyDescent="0.2">
      <c r="A110" s="854"/>
      <c r="B110" s="4" t="s">
        <v>1020</v>
      </c>
      <c r="C110" s="43"/>
      <c r="D110" s="43"/>
      <c r="E110" s="519"/>
      <c r="F110" s="519">
        <f>Ввод!G95/VLOOKUP(Баланс!$B$7,Баланс!$A$1:$B$3,2,0)</f>
        <v>3.6659039999999998</v>
      </c>
      <c r="G110" s="519">
        <f>Ввод!H95/VLOOKUP(Баланс!$B$7,Баланс!$A$1:$B$3,2,0)</f>
        <v>4.4695010000000002</v>
      </c>
      <c r="H110" s="519">
        <f>Ввод!I95/VLOOKUP(Баланс!$B$7,Баланс!$A$1:$B$3,2,0)</f>
        <v>5.5808819999999999</v>
      </c>
      <c r="I110" s="519">
        <f>Ввод!J95/VLOOKUP(Баланс!$B$7,Баланс!$A$1:$B$3,2,0)</f>
        <v>6.994739</v>
      </c>
      <c r="J110" s="519">
        <f>Ввод!K95/VLOOKUP(Баланс!$B$7,Баланс!$A$1:$B$3,2,0)</f>
        <v>7.9181549999999996</v>
      </c>
      <c r="K110" s="519">
        <f>Ввод!L95/VLOOKUP(Баланс!$B$7,Баланс!$A$1:$B$3,2,0)</f>
        <v>8.8337039999999991</v>
      </c>
      <c r="L110" s="519">
        <f>Ввод!M95/VLOOKUP(Баланс!$B$7,Баланс!$A$1:$B$3,2,0)</f>
        <v>9.3264189999999996</v>
      </c>
      <c r="M110" s="519">
        <f>Ввод!N95/VLOOKUP(Баланс!$B$7,Баланс!$A$1:$B$3,2,0)</f>
        <v>11.177948000000001</v>
      </c>
      <c r="N110" s="519">
        <f>Ввод!O95/VLOOKUP(Баланс!$B$7,Баланс!$A$1:$B$3,2,0)</f>
        <v>11.764283000000001</v>
      </c>
      <c r="O110" s="519">
        <f>Ввод!P95/VLOOKUP(Баланс!$B$7,Баланс!$A$1:$B$3,2,0)</f>
        <v>0</v>
      </c>
      <c r="P110" s="4"/>
      <c r="Q110" s="547"/>
      <c r="R110" s="547"/>
      <c r="S110" s="547"/>
      <c r="T110" s="547"/>
      <c r="U110" s="547"/>
      <c r="V110" s="547"/>
      <c r="W110" s="547"/>
      <c r="X110" s="547"/>
      <c r="Y110" s="547"/>
      <c r="Z110" s="547"/>
      <c r="AA110" s="547"/>
      <c r="AB110" s="547"/>
      <c r="AC110" s="547"/>
      <c r="AD110" s="4"/>
      <c r="AE110" s="4"/>
      <c r="AF110" s="4"/>
      <c r="AG110" s="4"/>
      <c r="AH110" s="4"/>
      <c r="AI110" s="4"/>
      <c r="AJ110" s="4"/>
    </row>
    <row r="111" spans="1:36" s="1" customFormat="1" ht="14.25" x14ac:dyDescent="0.2">
      <c r="A111" s="854"/>
      <c r="B111" s="4" t="s">
        <v>1021</v>
      </c>
      <c r="C111" s="43"/>
      <c r="D111" s="43"/>
      <c r="E111" s="519"/>
      <c r="F111" s="519">
        <f>Ввод!G115/VLOOKUP(Баланс!$B$7,Баланс!$A$1:$B$3,2,0)</f>
        <v>3.6659039999999998</v>
      </c>
      <c r="G111" s="519">
        <f>Ввод!H115/VLOOKUP(Баланс!$B$7,Баланс!$A$1:$B$3,2,0)</f>
        <v>4.4695010000000002</v>
      </c>
      <c r="H111" s="519">
        <f>Ввод!I115/VLOOKUP(Баланс!$B$7,Баланс!$A$1:$B$3,2,0)</f>
        <v>5.5808819999999999</v>
      </c>
      <c r="I111" s="519">
        <f>Ввод!J115/VLOOKUP(Баланс!$B$7,Баланс!$A$1:$B$3,2,0)</f>
        <v>6.994739</v>
      </c>
      <c r="J111" s="519">
        <f>Ввод!K115/VLOOKUP(Баланс!$B$7,Баланс!$A$1:$B$3,2,0)</f>
        <v>7.9181549999999996</v>
      </c>
      <c r="K111" s="519">
        <f>Ввод!L115/VLOOKUP(Баланс!$B$7,Баланс!$A$1:$B$3,2,0)</f>
        <v>0</v>
      </c>
      <c r="L111" s="519">
        <f>Ввод!M115/VLOOKUP(Баланс!$B$7,Баланс!$A$1:$B$3,2,0)</f>
        <v>0</v>
      </c>
      <c r="M111" s="519">
        <f>Ввод!N115/VLOOKUP(Баланс!$B$7,Баланс!$A$1:$B$3,2,0)</f>
        <v>0</v>
      </c>
      <c r="N111" s="519">
        <f>Ввод!O115/VLOOKUP(Баланс!$B$7,Баланс!$A$1:$B$3,2,0)</f>
        <v>0</v>
      </c>
      <c r="O111" s="519">
        <f>Ввод!P115/VLOOKUP(Баланс!$B$7,Баланс!$A$1:$B$3,2,0)</f>
        <v>0</v>
      </c>
      <c r="P111" s="4"/>
      <c r="Q111" s="547"/>
      <c r="R111" s="547"/>
      <c r="S111" s="547"/>
      <c r="T111" s="547"/>
      <c r="U111" s="547"/>
      <c r="V111" s="547"/>
      <c r="W111" s="547"/>
      <c r="X111" s="547"/>
      <c r="Y111" s="547"/>
      <c r="Z111" s="547"/>
      <c r="AA111" s="547"/>
      <c r="AB111" s="547"/>
      <c r="AC111" s="547"/>
      <c r="AD111" s="4"/>
      <c r="AE111" s="4"/>
      <c r="AF111" s="4"/>
      <c r="AG111" s="4"/>
      <c r="AH111" s="4"/>
      <c r="AI111" s="4"/>
      <c r="AJ111" s="4"/>
    </row>
    <row r="112" spans="1:36" s="1" customFormat="1" x14ac:dyDescent="0.25">
      <c r="A112" s="859"/>
      <c r="B112" s="12" t="s">
        <v>1022</v>
      </c>
      <c r="C112" s="46"/>
      <c r="D112" s="46"/>
      <c r="E112" s="710"/>
      <c r="F112" s="710">
        <f t="shared" ref="F112:K112" si="43">F110-F111</f>
        <v>0</v>
      </c>
      <c r="G112" s="710">
        <f t="shared" si="43"/>
        <v>0</v>
      </c>
      <c r="H112" s="710">
        <f t="shared" si="43"/>
        <v>0</v>
      </c>
      <c r="I112" s="710">
        <f t="shared" si="43"/>
        <v>0</v>
      </c>
      <c r="J112" s="710">
        <f t="shared" si="43"/>
        <v>0</v>
      </c>
      <c r="K112" s="710">
        <f t="shared" si="43"/>
        <v>8.8337039999999991</v>
      </c>
      <c r="L112" s="710">
        <f t="shared" ref="L112:O112" si="44">L110-L111</f>
        <v>9.3264189999999996</v>
      </c>
      <c r="M112" s="710">
        <f t="shared" si="44"/>
        <v>11.177948000000001</v>
      </c>
      <c r="N112" s="710">
        <f t="shared" si="44"/>
        <v>11.764283000000001</v>
      </c>
      <c r="O112" s="710">
        <f t="shared" si="44"/>
        <v>0</v>
      </c>
      <c r="P112" s="4"/>
      <c r="Q112" s="547"/>
      <c r="R112" s="547"/>
      <c r="S112" s="547"/>
      <c r="T112" s="547"/>
      <c r="U112" s="547"/>
      <c r="V112" s="547"/>
      <c r="W112" s="547"/>
      <c r="X112" s="547"/>
      <c r="Y112" s="547"/>
      <c r="Z112" s="547"/>
      <c r="AA112" s="547"/>
      <c r="AB112" s="547"/>
      <c r="AC112" s="547"/>
      <c r="AD112" s="4"/>
      <c r="AE112" s="4"/>
      <c r="AF112" s="4"/>
      <c r="AG112" s="4"/>
      <c r="AH112" s="4"/>
      <c r="AI112" s="4"/>
      <c r="AJ112" s="4"/>
    </row>
    <row r="113" spans="1:36" s="1" customFormat="1" ht="14.25" x14ac:dyDescent="0.2">
      <c r="A113" s="852"/>
      <c r="B113" s="93" t="s">
        <v>1023</v>
      </c>
      <c r="C113" s="548"/>
      <c r="D113" s="548"/>
      <c r="E113" s="711"/>
      <c r="F113" s="711">
        <f t="shared" ref="F113:K113" si="45">F112/F110</f>
        <v>0</v>
      </c>
      <c r="G113" s="711">
        <f t="shared" si="45"/>
        <v>0</v>
      </c>
      <c r="H113" s="711">
        <f t="shared" si="45"/>
        <v>0</v>
      </c>
      <c r="I113" s="711">
        <f t="shared" si="45"/>
        <v>0</v>
      </c>
      <c r="J113" s="711">
        <f t="shared" si="45"/>
        <v>0</v>
      </c>
      <c r="K113" s="711">
        <f t="shared" si="45"/>
        <v>1</v>
      </c>
      <c r="L113" s="711">
        <f t="shared" ref="L113:O113" si="46">L112/L110</f>
        <v>1</v>
      </c>
      <c r="M113" s="711">
        <f t="shared" si="46"/>
        <v>1</v>
      </c>
      <c r="N113" s="711">
        <f t="shared" si="46"/>
        <v>1</v>
      </c>
      <c r="O113" s="711" t="e">
        <f t="shared" si="46"/>
        <v>#DIV/0!</v>
      </c>
      <c r="P113" s="4"/>
      <c r="Q113" s="547"/>
      <c r="R113" s="547"/>
      <c r="S113" s="547"/>
      <c r="T113" s="547"/>
      <c r="U113" s="547"/>
      <c r="V113" s="547"/>
      <c r="W113" s="547"/>
      <c r="X113" s="547"/>
      <c r="Y113" s="547"/>
      <c r="Z113" s="547"/>
      <c r="AA113" s="547"/>
      <c r="AB113" s="547"/>
      <c r="AC113" s="547"/>
      <c r="AD113" s="4"/>
      <c r="AE113" s="4"/>
      <c r="AF113" s="4"/>
      <c r="AG113" s="4"/>
      <c r="AH113" s="4"/>
      <c r="AI113" s="4"/>
      <c r="AJ113" s="4"/>
    </row>
    <row r="114" spans="1:36" s="1" customFormat="1" ht="14.25" x14ac:dyDescent="0.2">
      <c r="A114" s="4"/>
      <c r="B114" s="4"/>
      <c r="C114" s="4"/>
      <c r="D114" s="4"/>
      <c r="E114" s="4"/>
      <c r="F114" s="4"/>
      <c r="G114" s="4"/>
      <c r="H114" s="4"/>
      <c r="I114" s="4"/>
      <c r="J114" s="4"/>
      <c r="K114" s="4"/>
      <c r="L114" s="4"/>
      <c r="M114" s="4"/>
      <c r="N114" s="4"/>
      <c r="O114" s="4"/>
      <c r="P114" s="4"/>
      <c r="Q114" s="547"/>
      <c r="R114" s="547"/>
      <c r="S114" s="547"/>
      <c r="T114" s="547"/>
      <c r="U114" s="547"/>
      <c r="V114" s="547"/>
      <c r="W114" s="547"/>
      <c r="X114" s="547"/>
      <c r="Y114" s="547"/>
      <c r="Z114" s="547"/>
      <c r="AA114" s="547"/>
      <c r="AB114" s="547"/>
      <c r="AC114" s="547"/>
      <c r="AD114" s="4"/>
      <c r="AE114" s="4"/>
      <c r="AF114" s="4"/>
      <c r="AG114" s="4"/>
      <c r="AH114" s="4"/>
      <c r="AI114" s="4"/>
      <c r="AJ114" s="4"/>
    </row>
    <row r="115" spans="1:36" s="1" customFormat="1" ht="14.25" x14ac:dyDescent="0.2">
      <c r="A115" s="4"/>
      <c r="B115" s="4"/>
      <c r="C115" s="4"/>
      <c r="D115" s="4"/>
      <c r="E115" s="4"/>
      <c r="F115" s="4"/>
      <c r="G115" s="4"/>
      <c r="H115" s="4"/>
      <c r="I115" s="4"/>
      <c r="J115" s="4"/>
      <c r="K115" s="4"/>
      <c r="L115" s="4"/>
      <c r="M115" s="4"/>
      <c r="N115" s="4"/>
      <c r="O115" s="4"/>
      <c r="P115" s="4"/>
      <c r="Q115" s="547"/>
      <c r="R115" s="547"/>
      <c r="S115" s="547"/>
      <c r="T115" s="547"/>
      <c r="U115" s="547"/>
      <c r="V115" s="547"/>
      <c r="W115" s="547"/>
      <c r="X115" s="547"/>
      <c r="Y115" s="547"/>
      <c r="Z115" s="547"/>
      <c r="AA115" s="547"/>
      <c r="AB115" s="547"/>
      <c r="AC115" s="547"/>
      <c r="AD115" s="4"/>
      <c r="AE115" s="4"/>
      <c r="AF115" s="4"/>
      <c r="AG115" s="4"/>
      <c r="AH115" s="4"/>
      <c r="AI115" s="4"/>
      <c r="AJ115" s="4"/>
    </row>
    <row r="116" spans="1:36" s="1" customFormat="1" ht="14.25" x14ac:dyDescent="0.2">
      <c r="A116" s="4"/>
      <c r="B116" s="4"/>
      <c r="C116" s="4"/>
      <c r="D116" s="4"/>
      <c r="E116" s="4"/>
      <c r="F116" s="4"/>
      <c r="G116" s="4"/>
      <c r="H116" s="4"/>
      <c r="I116" s="4"/>
      <c r="J116" s="4"/>
      <c r="K116" s="4"/>
      <c r="L116" s="4"/>
      <c r="M116" s="4"/>
      <c r="N116" s="4"/>
      <c r="O116" s="4"/>
      <c r="P116" s="4"/>
      <c r="Q116" s="547"/>
      <c r="R116" s="547"/>
      <c r="S116" s="547"/>
      <c r="T116" s="547"/>
      <c r="U116" s="547"/>
      <c r="V116" s="547"/>
      <c r="W116" s="547"/>
      <c r="X116" s="547"/>
      <c r="Y116" s="547"/>
      <c r="Z116" s="547"/>
      <c r="AA116" s="547"/>
      <c r="AB116" s="547"/>
      <c r="AC116" s="547"/>
      <c r="AD116" s="4"/>
      <c r="AE116" s="4"/>
      <c r="AF116" s="4"/>
      <c r="AG116" s="4"/>
      <c r="AH116" s="4"/>
      <c r="AI116" s="4"/>
      <c r="AJ116" s="4"/>
    </row>
    <row r="117" spans="1:36" s="1" customFormat="1" x14ac:dyDescent="0.2">
      <c r="A117" s="616"/>
      <c r="B117" s="617" t="s">
        <v>1267</v>
      </c>
      <c r="C117" s="507"/>
      <c r="D117" s="507"/>
      <c r="E117" s="618"/>
      <c r="F117" s="618"/>
      <c r="G117" s="618"/>
      <c r="H117" s="618"/>
      <c r="I117" s="618"/>
      <c r="J117" s="618"/>
      <c r="K117" s="618"/>
      <c r="L117" s="618"/>
      <c r="M117" s="618"/>
      <c r="N117" s="618"/>
      <c r="O117" s="618"/>
      <c r="P117" s="618"/>
      <c r="Q117" s="619"/>
      <c r="R117" s="619"/>
      <c r="S117" s="619"/>
      <c r="T117" s="619"/>
      <c r="U117" s="619"/>
      <c r="V117" s="619"/>
      <c r="W117" s="619"/>
      <c r="X117" s="619"/>
      <c r="Y117" s="619"/>
      <c r="Z117" s="619"/>
      <c r="AA117" s="619"/>
      <c r="AB117" s="619"/>
      <c r="AC117" s="547"/>
      <c r="AD117" s="4"/>
      <c r="AE117" s="4"/>
      <c r="AF117" s="4"/>
      <c r="AG117" s="4"/>
      <c r="AH117" s="4"/>
      <c r="AI117" s="4"/>
      <c r="AJ117" s="4"/>
    </row>
    <row r="118" spans="1:36" s="1" customFormat="1" ht="14.25" x14ac:dyDescent="0.2">
      <c r="A118" s="4"/>
      <c r="B118" s="4"/>
      <c r="C118" s="4"/>
      <c r="D118" s="4"/>
      <c r="F118" s="4"/>
      <c r="G118" s="4" t="s">
        <v>348</v>
      </c>
      <c r="H118" s="4"/>
      <c r="I118" s="4"/>
      <c r="J118" s="4"/>
      <c r="K118" s="4"/>
      <c r="L118" s="4"/>
      <c r="M118" s="4"/>
      <c r="N118" s="4"/>
      <c r="O118" s="4"/>
      <c r="P118" s="4"/>
      <c r="Q118" s="547"/>
      <c r="R118" s="547"/>
      <c r="S118" s="547"/>
      <c r="T118" s="547"/>
      <c r="U118" s="547"/>
      <c r="V118" s="547"/>
      <c r="W118" s="547"/>
      <c r="X118" s="547"/>
      <c r="Y118" s="547"/>
      <c r="Z118" s="547"/>
      <c r="AA118" s="547"/>
      <c r="AB118" s="547"/>
      <c r="AC118" s="547"/>
      <c r="AD118" s="4"/>
      <c r="AE118" s="4"/>
      <c r="AF118" s="4"/>
      <c r="AG118" s="4"/>
      <c r="AH118" s="4"/>
      <c r="AI118" s="4"/>
      <c r="AJ118" s="4"/>
    </row>
    <row r="119" spans="1:36" s="1" customFormat="1" ht="14.25" x14ac:dyDescent="0.2">
      <c r="A119" s="15"/>
      <c r="B119" s="15"/>
      <c r="C119" s="15"/>
      <c r="D119" s="15"/>
      <c r="E119" s="539"/>
      <c r="F119" s="539">
        <f t="shared" ref="F119:K119" si="47">F8</f>
        <v>2016</v>
      </c>
      <c r="G119" s="539">
        <f t="shared" si="47"/>
        <v>2017</v>
      </c>
      <c r="H119" s="539">
        <f t="shared" si="47"/>
        <v>2018</v>
      </c>
      <c r="I119" s="539">
        <f t="shared" si="47"/>
        <v>2019</v>
      </c>
      <c r="J119" s="539">
        <f t="shared" si="47"/>
        <v>2020</v>
      </c>
      <c r="K119" s="539">
        <f t="shared" si="47"/>
        <v>2021</v>
      </c>
      <c r="L119" s="539">
        <f t="shared" ref="L119:O119" si="48">L8</f>
        <v>2022</v>
      </c>
      <c r="M119" s="539">
        <f t="shared" si="48"/>
        <v>2023</v>
      </c>
      <c r="N119" s="539">
        <f t="shared" si="48"/>
        <v>2024</v>
      </c>
      <c r="O119" s="539">
        <f t="shared" si="48"/>
        <v>2025</v>
      </c>
      <c r="P119" s="4"/>
      <c r="Q119" s="547"/>
      <c r="R119" s="547"/>
      <c r="S119" s="547"/>
      <c r="T119" s="547"/>
      <c r="U119" s="547"/>
      <c r="V119" s="547"/>
      <c r="W119" s="547"/>
      <c r="X119" s="547"/>
      <c r="Y119" s="547"/>
      <c r="Z119" s="547"/>
      <c r="AA119" s="547"/>
      <c r="AB119" s="547"/>
      <c r="AC119" s="547"/>
      <c r="AD119" s="4"/>
      <c r="AE119" s="4"/>
      <c r="AF119" s="4"/>
      <c r="AG119" s="4"/>
      <c r="AH119" s="4"/>
      <c r="AI119" s="4"/>
      <c r="AJ119" s="4"/>
    </row>
    <row r="120" spans="1:36" s="1" customFormat="1" ht="14.25" x14ac:dyDescent="0.2">
      <c r="A120" s="4"/>
      <c r="B120" s="4" t="s">
        <v>1003</v>
      </c>
      <c r="C120" s="4"/>
      <c r="D120" s="4"/>
      <c r="E120" s="603"/>
      <c r="F120" s="603" t="str">
        <f>IF(Ввод!G525=0,"н/д",IF((Ввод!G525+Ввод!G532+Ввод!G457+Ввод!G467)/Ввод!G172&lt;0,"-",(Ввод!G525+Ввод!G532+Ввод!G457+Ввод!G467)/Ввод!G172))</f>
        <v>-</v>
      </c>
      <c r="G120" s="603" t="str">
        <f>IF(Ввод!H525=0,"н/д",IF((Ввод!H525+Ввод!H532+Ввод!H457+Ввод!H467)/Ввод!H172&lt;0,"-",(Ввод!H525+Ввод!H532+Ввод!H457+Ввод!H467)/Ввод!H172))</f>
        <v>-</v>
      </c>
      <c r="H120" s="603" t="str">
        <f>IF(Ввод!I525=0,"н/д",IF((Ввод!I525+Ввод!I532+Ввод!I457+Ввод!I467)/Ввод!I172&lt;0,"-",(Ввод!I525+Ввод!I532+Ввод!I457+Ввод!I467)/Ввод!I172))</f>
        <v>-</v>
      </c>
      <c r="I120" s="603" t="str">
        <f>IF(Ввод!J525=0,"н/д",IF((Ввод!J525+Ввод!J532+Ввод!J457+Ввод!J467)/Ввод!J172&lt;0,"-",(Ввод!J525+Ввод!J532+Ввод!J457+Ввод!J467)/Ввод!J172))</f>
        <v>-</v>
      </c>
      <c r="J120" s="603" t="str">
        <f>IF(Ввод!K525=0,"н/д",IF((Ввод!K525+Ввод!K532+Ввод!K457+Ввод!K467)/Ввод!K172&lt;0,"-",(Ввод!K525+Ввод!K532+Ввод!K457+Ввод!K467)/Ввод!K172))</f>
        <v>-</v>
      </c>
      <c r="K120" s="603" t="str">
        <f>IF(Ввод!L525=0,"н/д",IF((Ввод!L525+Ввод!L532+Ввод!L457+Ввод!L467)/Ввод!L172&lt;0,"-",(Ввод!L525+Ввод!L532+Ввод!L457+Ввод!L467)/Ввод!L172))</f>
        <v>-</v>
      </c>
      <c r="L120" s="603" t="str">
        <f>IF(Ввод!M525=0,"н/д",IF((Ввод!M525+Ввод!M532+Ввод!M457+Ввод!M467)/Ввод!M172&lt;0,"-",(Ввод!M525+Ввод!M532+Ввод!M457+Ввод!M467)/Ввод!M172))</f>
        <v>-</v>
      </c>
      <c r="M120" s="603" t="str">
        <f>IF(Ввод!N525=0,"н/д",IF((Ввод!N525+Ввод!N532+Ввод!N457+Ввод!N467)/Ввод!N172&lt;0,"-",(Ввод!N525+Ввод!N532+Ввод!N457+Ввод!N467)/Ввод!N172))</f>
        <v>-</v>
      </c>
      <c r="N120" s="603" t="str">
        <f>IF(Ввод!O525=0,"н/д",IF((Ввод!O525+Ввод!O532+Ввод!O457+Ввод!O467)/Ввод!O172&lt;0,"-",(Ввод!O525+Ввод!O532+Ввод!O457+Ввод!O467)/Ввод!O172))</f>
        <v>-</v>
      </c>
      <c r="O120" s="603" t="str">
        <f>IF(Ввод!P525=0,"н/д",IF((Ввод!P525+Ввод!P532+Ввод!P457+Ввод!P467)/Ввод!P172&lt;0,"-",(Ввод!P525+Ввод!P532+Ввод!P457+Ввод!P467)/Ввод!P172))</f>
        <v>н/д</v>
      </c>
      <c r="P120" s="4"/>
      <c r="Q120" s="547"/>
      <c r="R120" s="547"/>
      <c r="S120" s="547"/>
      <c r="T120" s="547"/>
      <c r="U120" s="547"/>
      <c r="V120" s="547"/>
      <c r="W120" s="547"/>
      <c r="X120" s="547"/>
      <c r="Y120" s="547"/>
      <c r="Z120" s="547"/>
      <c r="AA120" s="547"/>
      <c r="AB120" s="547"/>
      <c r="AC120" s="547"/>
      <c r="AD120" s="4"/>
      <c r="AE120" s="4"/>
      <c r="AF120" s="4"/>
      <c r="AG120" s="4"/>
      <c r="AH120" s="4"/>
      <c r="AI120" s="4"/>
      <c r="AJ120" s="4"/>
    </row>
    <row r="121" spans="1:36" s="1" customFormat="1" ht="14.2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row>
    <row r="122" spans="1:36" s="1" customFormat="1" ht="14.2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row>
    <row r="123" spans="1:36" s="1" customFormat="1" x14ac:dyDescent="0.2">
      <c r="A123" s="616"/>
      <c r="B123" s="617" t="s">
        <v>1097</v>
      </c>
      <c r="C123" s="507"/>
      <c r="D123" s="507"/>
      <c r="E123" s="618"/>
      <c r="F123" s="618"/>
      <c r="G123" s="618"/>
      <c r="H123" s="618"/>
      <c r="I123" s="618"/>
      <c r="J123" s="618"/>
      <c r="K123" s="618"/>
      <c r="L123" s="618"/>
      <c r="M123" s="618"/>
      <c r="N123" s="618"/>
      <c r="O123" s="618"/>
      <c r="P123" s="618"/>
      <c r="Q123" s="619"/>
      <c r="R123" s="619"/>
      <c r="S123" s="619"/>
      <c r="T123" s="619"/>
      <c r="U123" s="619"/>
      <c r="V123" s="619"/>
      <c r="W123" s="619"/>
      <c r="X123" s="619"/>
      <c r="Y123" s="619"/>
      <c r="Z123" s="619"/>
      <c r="AA123" s="619"/>
      <c r="AB123" s="619"/>
      <c r="AC123" s="547"/>
      <c r="AD123" s="4"/>
      <c r="AE123" s="4"/>
      <c r="AF123" s="4"/>
      <c r="AG123" s="4"/>
      <c r="AH123" s="4"/>
      <c r="AI123" s="4"/>
      <c r="AJ123" s="4"/>
    </row>
    <row r="124" spans="1:36" s="1" customFormat="1" ht="14.25" x14ac:dyDescent="0.2">
      <c r="A124" s="4"/>
      <c r="B124" s="4"/>
      <c r="C124" s="4"/>
      <c r="D124" s="4" t="str">
        <f>D7</f>
        <v>млрд руб.</v>
      </c>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row>
    <row r="125" spans="1:36" s="1" customFormat="1" ht="14.25" x14ac:dyDescent="0.2">
      <c r="A125" s="15"/>
      <c r="B125" s="15"/>
      <c r="C125" s="15"/>
      <c r="D125" s="15"/>
      <c r="E125" s="539"/>
      <c r="F125" s="539">
        <f t="shared" ref="F125:K125" si="49">F8</f>
        <v>2016</v>
      </c>
      <c r="G125" s="539">
        <f t="shared" si="49"/>
        <v>2017</v>
      </c>
      <c r="H125" s="539">
        <f t="shared" si="49"/>
        <v>2018</v>
      </c>
      <c r="I125" s="539">
        <f t="shared" si="49"/>
        <v>2019</v>
      </c>
      <c r="J125" s="539">
        <f t="shared" si="49"/>
        <v>2020</v>
      </c>
      <c r="K125" s="539">
        <f t="shared" si="49"/>
        <v>2021</v>
      </c>
      <c r="L125" s="539">
        <f t="shared" ref="L125:O125" si="50">L8</f>
        <v>2022</v>
      </c>
      <c r="M125" s="539">
        <f t="shared" si="50"/>
        <v>2023</v>
      </c>
      <c r="N125" s="539">
        <f t="shared" si="50"/>
        <v>2024</v>
      </c>
      <c r="O125" s="539">
        <f t="shared" si="50"/>
        <v>2025</v>
      </c>
      <c r="P125" s="4"/>
      <c r="Q125" s="4"/>
      <c r="R125" s="4"/>
      <c r="S125" s="4"/>
      <c r="T125" s="4"/>
      <c r="U125" s="4"/>
      <c r="V125" s="4"/>
      <c r="W125" s="4"/>
      <c r="X125" s="4"/>
      <c r="Y125" s="4"/>
      <c r="Z125" s="4"/>
      <c r="AA125" s="4"/>
      <c r="AB125" s="4"/>
      <c r="AC125" s="4"/>
      <c r="AD125" s="4"/>
      <c r="AE125" s="4"/>
      <c r="AF125" s="4"/>
      <c r="AG125" s="4"/>
      <c r="AH125" s="4"/>
      <c r="AI125" s="4"/>
      <c r="AJ125" s="4"/>
    </row>
    <row r="126" spans="1:36" s="1" customFormat="1" ht="14.25" x14ac:dyDescent="0.2">
      <c r="A126" s="4"/>
      <c r="B126" s="4" t="s">
        <v>1098</v>
      </c>
      <c r="C126" s="4"/>
      <c r="D126" s="4"/>
      <c r="E126" s="4"/>
      <c r="F126" s="1710">
        <f>-Ввод!G84/VLOOKUP(Баланс!$B$7,Баланс!$A$1:$B$3,2,0)</f>
        <v>4.4421359999999996</v>
      </c>
      <c r="G126" s="1710">
        <f>-Ввод!H84/VLOOKUP(Баланс!$B$7,Баланс!$A$1:$B$3,2,0)</f>
        <v>7.3702589999999999</v>
      </c>
      <c r="H126" s="1710">
        <f>-Ввод!I84/VLOOKUP(Баланс!$B$7,Баланс!$A$1:$B$3,2,0)</f>
        <v>13.131603</v>
      </c>
      <c r="I126" s="1710">
        <f>-Ввод!J84/VLOOKUP(Баланс!$B$7,Баланс!$A$1:$B$3,2,0)</f>
        <v>0.18968399999999999</v>
      </c>
      <c r="J126" s="1710">
        <f>-Ввод!K84/VLOOKUP(Баланс!$B$7,Баланс!$A$1:$B$3,2,0)</f>
        <v>15.941611</v>
      </c>
      <c r="K126" s="1710">
        <f>-Ввод!L84/VLOOKUP(Баланс!$B$7,Баланс!$A$1:$B$3,2,0)</f>
        <v>0.41733100000000001</v>
      </c>
      <c r="L126" s="1710">
        <f>-Ввод!M84/VLOOKUP(Баланс!$B$7,Баланс!$A$1:$B$3,2,0)</f>
        <v>2.1569229999999999</v>
      </c>
      <c r="M126" s="1710">
        <f>-Ввод!N84/VLOOKUP(Баланс!$B$7,Баланс!$A$1:$B$3,2,0)</f>
        <v>9.1252300000000002</v>
      </c>
      <c r="N126" s="1710">
        <f>-Ввод!O84/VLOOKUP(Баланс!$B$7,Баланс!$A$1:$B$3,2,0)</f>
        <v>2.7804090000000001</v>
      </c>
      <c r="O126" s="1710">
        <f>-Ввод!P84/VLOOKUP(Баланс!$B$7,Баланс!$A$1:$B$3,2,0)</f>
        <v>0</v>
      </c>
      <c r="P126" s="4"/>
      <c r="Q126" s="4"/>
      <c r="R126" s="4"/>
      <c r="S126" s="4"/>
      <c r="T126" s="4"/>
      <c r="U126" s="4"/>
      <c r="V126" s="4"/>
      <c r="W126" s="4"/>
      <c r="X126" s="4"/>
      <c r="Y126" s="4"/>
      <c r="Z126" s="4"/>
      <c r="AA126" s="4"/>
      <c r="AB126" s="4"/>
      <c r="AC126" s="4"/>
      <c r="AD126" s="4"/>
      <c r="AE126" s="4"/>
      <c r="AF126" s="4"/>
      <c r="AG126" s="4"/>
      <c r="AH126" s="4"/>
      <c r="AI126" s="4"/>
      <c r="AJ126" s="4"/>
    </row>
    <row r="127" spans="1:36" s="1" customFormat="1" ht="14.25" x14ac:dyDescent="0.2">
      <c r="A127" s="4"/>
      <c r="B127" s="15" t="s">
        <v>1099</v>
      </c>
      <c r="C127" s="15"/>
      <c r="D127" s="15"/>
      <c r="E127" s="15"/>
      <c r="F127" s="1945">
        <f>Баланс!F100</f>
        <v>0</v>
      </c>
      <c r="G127" s="1945">
        <f>Баланс!G100</f>
        <v>234.88718299999999</v>
      </c>
      <c r="H127" s="1945">
        <f>Баланс!H100</f>
        <v>228.3965805</v>
      </c>
      <c r="I127" s="1945">
        <f>Баланс!I100</f>
        <v>261.24907450000001</v>
      </c>
      <c r="J127" s="1945">
        <f>Баланс!J100</f>
        <v>285.04098149999999</v>
      </c>
      <c r="K127" s="1945">
        <f>Баланс!K100</f>
        <v>310.90508749999998</v>
      </c>
      <c r="L127" s="1945">
        <f>Баланс!L100</f>
        <v>372.13393976760506</v>
      </c>
      <c r="M127" s="1945">
        <f>Баланс!M100</f>
        <v>414.20942326760508</v>
      </c>
      <c r="N127" s="1945">
        <f>Баланс!N100</f>
        <v>459.58429011000004</v>
      </c>
      <c r="O127" s="1945">
        <f>Баланс!O100</f>
        <v>0</v>
      </c>
      <c r="P127" s="4"/>
      <c r="Q127" s="4"/>
      <c r="R127" s="4"/>
      <c r="S127" s="4"/>
      <c r="T127" s="4"/>
      <c r="U127" s="4"/>
      <c r="V127" s="4"/>
      <c r="W127" s="4"/>
      <c r="X127" s="4"/>
      <c r="Y127" s="4"/>
      <c r="Z127" s="4"/>
      <c r="AA127" s="4"/>
      <c r="AB127" s="4"/>
      <c r="AC127" s="4"/>
      <c r="AD127" s="4"/>
      <c r="AE127" s="4"/>
      <c r="AF127" s="4"/>
      <c r="AG127" s="4"/>
      <c r="AH127" s="4"/>
      <c r="AI127" s="4"/>
      <c r="AJ127" s="4"/>
    </row>
    <row r="128" spans="1:36" s="1" customFormat="1" x14ac:dyDescent="0.25">
      <c r="A128" s="4"/>
      <c r="B128" s="12" t="s">
        <v>1100</v>
      </c>
      <c r="C128" s="12"/>
      <c r="D128" s="12"/>
      <c r="E128" s="12"/>
      <c r="F128" s="12" t="e">
        <f t="shared" ref="F128:J128" si="51">IF(F126/F127&lt;0%,"н/п",F126/F127)</f>
        <v>#DIV/0!</v>
      </c>
      <c r="G128" s="958">
        <f t="shared" si="51"/>
        <v>3.1377867901800333E-2</v>
      </c>
      <c r="H128" s="1903">
        <f t="shared" si="51"/>
        <v>5.7494744322584113E-2</v>
      </c>
      <c r="I128" s="1903">
        <f t="shared" si="51"/>
        <v>7.2606573004338048E-4</v>
      </c>
      <c r="J128" s="1903">
        <f t="shared" si="51"/>
        <v>5.5927435122166816E-2</v>
      </c>
      <c r="K128" s="1903">
        <f>IF(K126/K127&lt;0%,"н/п",K126/K127)</f>
        <v>1.3423099742618397E-3</v>
      </c>
      <c r="L128" s="1903">
        <f t="shared" ref="L128:O128" si="52">IF(L126/L127&lt;0%,"н/п",L126/L127)</f>
        <v>5.7960932059757378E-3</v>
      </c>
      <c r="M128" s="1903">
        <f t="shared" si="52"/>
        <v>2.2030474169354022E-2</v>
      </c>
      <c r="N128" s="1903">
        <f t="shared" si="52"/>
        <v>6.0498347307183153E-3</v>
      </c>
      <c r="O128" s="1903" t="e">
        <f t="shared" si="52"/>
        <v>#DIV/0!</v>
      </c>
      <c r="P128" s="4"/>
      <c r="Q128" s="4"/>
      <c r="R128" s="4"/>
      <c r="S128" s="4"/>
      <c r="T128" s="4"/>
      <c r="U128" s="4"/>
      <c r="V128" s="4"/>
      <c r="W128" s="4"/>
      <c r="X128" s="4"/>
      <c r="Y128" s="4"/>
      <c r="Z128" s="4"/>
      <c r="AA128" s="4"/>
      <c r="AB128" s="4"/>
      <c r="AC128" s="4"/>
      <c r="AD128" s="4"/>
      <c r="AE128" s="4"/>
      <c r="AF128" s="4"/>
      <c r="AG128" s="4"/>
      <c r="AH128" s="4"/>
      <c r="AI128" s="4"/>
      <c r="AJ128" s="4"/>
    </row>
    <row r="129" spans="1:36" s="1" customFormat="1" ht="14.2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row>
    <row r="130" spans="1:36" s="1" customFormat="1" x14ac:dyDescent="0.25">
      <c r="A130" s="4"/>
      <c r="B130" s="1902" t="s">
        <v>3406</v>
      </c>
      <c r="C130" s="1902"/>
      <c r="D130" s="1902"/>
      <c r="E130" s="15"/>
      <c r="F130" s="538">
        <f>F8</f>
        <v>2016</v>
      </c>
      <c r="G130" s="538">
        <f t="shared" ref="G130:O130" si="53">G8</f>
        <v>2017</v>
      </c>
      <c r="H130" s="538">
        <f t="shared" si="53"/>
        <v>2018</v>
      </c>
      <c r="I130" s="538">
        <f t="shared" si="53"/>
        <v>2019</v>
      </c>
      <c r="J130" s="538">
        <f t="shared" si="53"/>
        <v>2020</v>
      </c>
      <c r="K130" s="538">
        <f t="shared" si="53"/>
        <v>2021</v>
      </c>
      <c r="L130" s="538">
        <f t="shared" si="53"/>
        <v>2022</v>
      </c>
      <c r="M130" s="538">
        <f t="shared" si="53"/>
        <v>2023</v>
      </c>
      <c r="N130" s="538">
        <f t="shared" si="53"/>
        <v>2024</v>
      </c>
      <c r="O130" s="538">
        <f t="shared" si="53"/>
        <v>2025</v>
      </c>
      <c r="P130" s="4"/>
      <c r="Q130" s="4"/>
      <c r="R130" s="4"/>
      <c r="S130" s="4"/>
      <c r="T130" s="4"/>
      <c r="U130" s="4"/>
      <c r="V130" s="4"/>
      <c r="W130" s="4"/>
      <c r="X130" s="4"/>
      <c r="Y130" s="4"/>
      <c r="Z130" s="4"/>
      <c r="AA130" s="4"/>
      <c r="AB130" s="4"/>
      <c r="AC130" s="4"/>
      <c r="AD130" s="4"/>
      <c r="AE130" s="4"/>
      <c r="AF130" s="4"/>
      <c r="AG130" s="4"/>
      <c r="AH130" s="4"/>
      <c r="AI130" s="4"/>
      <c r="AJ130" s="4"/>
    </row>
    <row r="131" spans="1:36" s="1" customFormat="1" ht="14.25" x14ac:dyDescent="0.2">
      <c r="A131" s="4"/>
      <c r="B131" s="1946" t="s">
        <v>3404</v>
      </c>
      <c r="C131" s="1946"/>
      <c r="D131" s="1946"/>
      <c r="E131" s="1947"/>
      <c r="F131" s="1947"/>
      <c r="G131" s="1947"/>
      <c r="H131" s="1947"/>
      <c r="I131" s="1947"/>
      <c r="J131" s="1947">
        <f>HLOOKUP(J$125,'Банк. система_ввод'!$G$69:$W$77,8,0)</f>
        <v>1.0999999999999999E-2</v>
      </c>
      <c r="K131" s="1947">
        <f>HLOOKUP(K$125,'Банк. система_ввод'!$G$69:$W$77,8,0)</f>
        <v>-1E-3</v>
      </c>
      <c r="L131" s="1947">
        <f>HLOOKUP(L$125,'Банк. система_ввод'!$G$69:$W$77,8,0)</f>
        <v>1.4999999999999999E-2</v>
      </c>
      <c r="M131" s="1947">
        <f>HLOOKUP(M$125,'Банк. система_ввод'!$G$69:$W$77,8,0)</f>
        <v>7.0000000000000001E-3</v>
      </c>
      <c r="N131" s="1947">
        <f>HLOOKUP(N$125,'Банк. система_ввод'!$G$69:$W$77,8,0)</f>
        <v>3.0000000000000001E-3</v>
      </c>
      <c r="O131" s="1947">
        <f>HLOOKUP(O$125,'Банк. система_ввод'!$G$69:$W$77,8,0)</f>
        <v>0.01</v>
      </c>
      <c r="P131" s="4"/>
      <c r="Q131" s="4"/>
      <c r="R131" s="4"/>
      <c r="S131" s="4"/>
      <c r="T131" s="4"/>
      <c r="U131" s="4"/>
      <c r="V131" s="4"/>
      <c r="W131" s="4"/>
      <c r="X131" s="4"/>
      <c r="Y131" s="4"/>
      <c r="Z131" s="4"/>
      <c r="AA131" s="4"/>
      <c r="AB131" s="4"/>
      <c r="AC131" s="4"/>
      <c r="AD131" s="4"/>
      <c r="AE131" s="4"/>
      <c r="AF131" s="4"/>
      <c r="AG131" s="4"/>
      <c r="AH131" s="4"/>
      <c r="AI131" s="4"/>
      <c r="AJ131" s="4"/>
    </row>
    <row r="132" spans="1:36" s="1" customFormat="1" ht="14.25" x14ac:dyDescent="0.2">
      <c r="A132" s="4"/>
      <c r="B132" s="1946" t="s">
        <v>3405</v>
      </c>
      <c r="C132" s="1946"/>
      <c r="D132" s="1946"/>
      <c r="E132" s="1947"/>
      <c r="F132" s="1947"/>
      <c r="G132" s="1947"/>
      <c r="H132" s="1947"/>
      <c r="I132" s="1947"/>
      <c r="J132" s="1947">
        <f>HLOOKUP(J$125,'Банк. система_ввод'!$G$69:$W$77,9,0)</f>
        <v>2.6499999999999999E-2</v>
      </c>
      <c r="K132" s="1947">
        <f>HLOOKUP(K$125,'Банк. система_ввод'!$G$69:$W$77,9,0)</f>
        <v>1.4999999999999999E-2</v>
      </c>
      <c r="L132" s="1947">
        <f>HLOOKUP(L$125,'Банк. система_ввод'!$G$69:$W$77,9,0)</f>
        <v>2.4E-2</v>
      </c>
      <c r="M132" s="1947">
        <f>HLOOKUP(M$125,'Банк. система_ввод'!$G$69:$W$77,9,0)</f>
        <v>1.7000000000000001E-2</v>
      </c>
      <c r="N132" s="1947">
        <f>HLOOKUP(N$125,'Банк. система_ввод'!$G$69:$W$77,9,0)</f>
        <v>2.3E-2</v>
      </c>
      <c r="O132" s="1947">
        <f>HLOOKUP(O$125,'Банк. система_ввод'!$G$69:$W$77,9,0)</f>
        <v>2.9000000000000001E-2</v>
      </c>
      <c r="P132" s="4"/>
      <c r="Q132" s="4"/>
      <c r="R132" s="4"/>
      <c r="S132" s="4"/>
      <c r="T132" s="4"/>
      <c r="U132" s="4"/>
      <c r="V132" s="4"/>
      <c r="W132" s="4"/>
      <c r="X132" s="4"/>
      <c r="Y132" s="4"/>
      <c r="Z132" s="4"/>
      <c r="AA132" s="4"/>
      <c r="AB132" s="4"/>
      <c r="AC132" s="4"/>
      <c r="AD132" s="4"/>
      <c r="AE132" s="4"/>
      <c r="AF132" s="4"/>
      <c r="AG132" s="4"/>
      <c r="AH132" s="4"/>
      <c r="AI132" s="4"/>
      <c r="AJ132" s="4"/>
    </row>
    <row r="133" spans="1:36" s="1" customFormat="1" ht="14.2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row>
    <row r="134" spans="1:36" s="1" customFormat="1" ht="14.2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row>
    <row r="135" spans="1:36" s="1" customFormat="1" x14ac:dyDescent="0.2">
      <c r="A135" s="616"/>
      <c r="B135" s="617" t="s">
        <v>3418</v>
      </c>
      <c r="C135" s="507"/>
      <c r="D135" s="507"/>
      <c r="E135" s="618"/>
      <c r="F135" s="618"/>
      <c r="G135" s="618"/>
      <c r="H135" s="618"/>
      <c r="I135" s="618"/>
      <c r="J135" s="618"/>
      <c r="K135" s="618"/>
      <c r="L135" s="618"/>
      <c r="M135" s="618"/>
      <c r="N135" s="618"/>
      <c r="O135" s="618"/>
      <c r="P135" s="618"/>
      <c r="Q135" s="619"/>
      <c r="R135" s="619"/>
      <c r="S135" s="619"/>
      <c r="T135" s="619"/>
      <c r="U135" s="619"/>
      <c r="V135" s="619"/>
      <c r="W135" s="619"/>
      <c r="X135" s="619"/>
      <c r="Y135" s="619"/>
      <c r="Z135" s="619"/>
      <c r="AA135" s="619"/>
      <c r="AB135" s="619"/>
      <c r="AC135" s="4"/>
      <c r="AD135" s="4"/>
      <c r="AE135" s="4"/>
      <c r="AF135" s="4"/>
      <c r="AG135" s="4"/>
      <c r="AH135" s="4"/>
      <c r="AI135" s="4"/>
      <c r="AJ135" s="4"/>
    </row>
    <row r="136" spans="1:36" s="1" customFormat="1" ht="14.25" x14ac:dyDescent="0.2">
      <c r="A136" s="4"/>
      <c r="B136" s="4"/>
      <c r="C136" s="4"/>
      <c r="D136" s="4"/>
      <c r="F136" s="4"/>
      <c r="G136" s="4" t="s">
        <v>348</v>
      </c>
      <c r="H136" s="4"/>
      <c r="I136" s="4"/>
      <c r="J136" s="4"/>
      <c r="K136" s="4"/>
      <c r="L136" s="4"/>
      <c r="M136" s="4"/>
      <c r="N136" s="4"/>
      <c r="O136" s="4"/>
      <c r="P136" s="4"/>
      <c r="Q136" s="547"/>
      <c r="R136" s="547"/>
      <c r="S136" s="547"/>
      <c r="T136" s="547"/>
      <c r="U136" s="547"/>
      <c r="V136" s="547"/>
      <c r="W136" s="547"/>
      <c r="X136" s="547"/>
      <c r="Y136" s="547"/>
      <c r="Z136" s="547"/>
      <c r="AA136" s="547"/>
      <c r="AB136" s="547"/>
      <c r="AC136" s="4"/>
      <c r="AD136" s="4"/>
      <c r="AE136" s="4"/>
      <c r="AF136" s="4"/>
      <c r="AG136" s="4"/>
      <c r="AH136" s="4"/>
      <c r="AI136" s="4"/>
      <c r="AJ136" s="4"/>
    </row>
    <row r="137" spans="1:36" s="1" customFormat="1" x14ac:dyDescent="0.25">
      <c r="A137" s="15"/>
      <c r="B137" s="15"/>
      <c r="C137" s="15"/>
      <c r="D137" s="15" t="str">
        <f>D7</f>
        <v>млрд руб.</v>
      </c>
      <c r="E137" s="539"/>
      <c r="F137" s="539">
        <f>F8</f>
        <v>2016</v>
      </c>
      <c r="G137" s="539">
        <f t="shared" ref="G137:O137" si="54">G8</f>
        <v>2017</v>
      </c>
      <c r="H137" s="539">
        <f t="shared" si="54"/>
        <v>2018</v>
      </c>
      <c r="I137" s="539">
        <f t="shared" si="54"/>
        <v>2019</v>
      </c>
      <c r="J137" s="539">
        <f t="shared" si="54"/>
        <v>2020</v>
      </c>
      <c r="K137" s="539">
        <f t="shared" si="54"/>
        <v>2021</v>
      </c>
      <c r="L137" s="539">
        <f t="shared" si="54"/>
        <v>2022</v>
      </c>
      <c r="M137" s="539">
        <f t="shared" si="54"/>
        <v>2023</v>
      </c>
      <c r="N137" s="539">
        <f t="shared" si="54"/>
        <v>2024</v>
      </c>
      <c r="O137" s="539">
        <f t="shared" si="54"/>
        <v>2025</v>
      </c>
      <c r="P137" s="4"/>
      <c r="Q137" s="95"/>
      <c r="R137" s="547"/>
      <c r="S137" s="547"/>
      <c r="T137" s="547"/>
      <c r="U137" s="547"/>
      <c r="V137" s="547"/>
      <c r="W137" s="547"/>
      <c r="X137" s="547"/>
      <c r="Y137" s="547"/>
      <c r="Z137" s="547"/>
      <c r="AA137" s="547"/>
      <c r="AB137" s="547"/>
      <c r="AC137" s="4"/>
      <c r="AD137" s="4"/>
      <c r="AE137" s="4"/>
      <c r="AF137" s="4"/>
      <c r="AG137" s="4"/>
      <c r="AH137" s="4"/>
      <c r="AI137" s="4"/>
      <c r="AJ137" s="4"/>
    </row>
    <row r="138" spans="1:36" s="1" customFormat="1" x14ac:dyDescent="0.25">
      <c r="A138" s="95"/>
      <c r="B138" s="4" t="s">
        <v>3411</v>
      </c>
      <c r="C138" s="4"/>
      <c r="D138" s="4"/>
      <c r="E138" s="647"/>
      <c r="F138" s="1937">
        <f>Ввод!G67/VLOOKUP(Баланс!$B$7,Баланс!$A$1:$B$3,2,0)</f>
        <v>28.053711</v>
      </c>
      <c r="G138" s="1937">
        <f>Ввод!H67/VLOOKUP(Баланс!$B$7,Баланс!$A$1:$B$3,2,0)</f>
        <v>36.693584999999999</v>
      </c>
      <c r="H138" s="1937">
        <f>Ввод!I67/VLOOKUP(Баланс!$B$7,Баланс!$A$1:$B$3,2,0)</f>
        <v>38.193257000000003</v>
      </c>
      <c r="I138" s="1937" t="e">
        <f>Ввод!J67/VLOOKUP(Баланс!$B$7,Баланс!$A$1:$B$3,2,0)</f>
        <v>#N/A</v>
      </c>
      <c r="J138" s="1937">
        <f>Ввод!K67/VLOOKUP(Баланс!$B$7,Баланс!$A$1:$B$3,2,0)</f>
        <v>79.537401000000003</v>
      </c>
      <c r="K138" s="1937">
        <f>Ввод!L67/VLOOKUP(Баланс!$B$7,Баланс!$A$1:$B$3,2,0)</f>
        <v>120.409768</v>
      </c>
      <c r="L138" s="1937">
        <f>Ввод!M67/VLOOKUP(Баланс!$B$7,Баланс!$A$1:$B$3,2,0)</f>
        <v>165.42273399999999</v>
      </c>
      <c r="M138" s="1937">
        <f>Ввод!N67/VLOOKUP(Баланс!$B$7,Баланс!$A$1:$B$3,2,0)</f>
        <v>180.142323</v>
      </c>
      <c r="N138" s="1937">
        <f>Ввод!O67/VLOOKUP(Баланс!$B$7,Баланс!$A$1:$B$3,2,0)</f>
        <v>167.66360299999999</v>
      </c>
      <c r="O138" s="1937">
        <f>Ввод!P67/VLOOKUP(Баланс!$B$7,Баланс!$A$1:$B$3,2,0)</f>
        <v>0</v>
      </c>
      <c r="P138" s="4"/>
      <c r="Q138" s="850"/>
      <c r="R138" s="547"/>
      <c r="S138" s="547"/>
      <c r="T138" s="547"/>
      <c r="U138" s="547"/>
      <c r="V138" s="547"/>
      <c r="W138" s="547"/>
      <c r="X138" s="547"/>
      <c r="Y138" s="547"/>
      <c r="Z138" s="547"/>
      <c r="AA138" s="547"/>
      <c r="AB138" s="547"/>
      <c r="AC138" s="4"/>
      <c r="AD138" s="4"/>
      <c r="AE138" s="4"/>
      <c r="AF138" s="4"/>
      <c r="AG138" s="4"/>
      <c r="AH138" s="4"/>
      <c r="AI138" s="4"/>
      <c r="AJ138" s="4"/>
    </row>
    <row r="139" spans="1:36" s="1986" customFormat="1" ht="14.25" x14ac:dyDescent="0.2">
      <c r="A139" s="1977"/>
      <c r="B139" s="1983" t="s">
        <v>3412</v>
      </c>
      <c r="C139" s="1983"/>
      <c r="D139" s="1983"/>
      <c r="E139" s="1984"/>
      <c r="F139" s="1985">
        <f>F138/(Ввод!G172/VLOOKUP(Баланс!$B$7,Баланс!$A$1:$B$3,2,0))</f>
        <v>0.39156392009071467</v>
      </c>
      <c r="G139" s="1985">
        <f>G138/(Ввод!H172/VLOOKUP(Баланс!$B$7,Баланс!$A$1:$B$3,2,0))</f>
        <v>0.46488306178634864</v>
      </c>
      <c r="H139" s="1985">
        <f>H138/(Ввод!I172/VLOOKUP(Баланс!$B$7,Баланс!$A$1:$B$3,2,0))</f>
        <v>0.48340860144338388</v>
      </c>
      <c r="I139" s="1985" t="e">
        <f>I138/(Ввод!J172/VLOOKUP(Баланс!$B$7,Баланс!$A$1:$B$3,2,0))</f>
        <v>#N/A</v>
      </c>
      <c r="J139" s="1985">
        <f>J138/(Ввод!K172/VLOOKUP(Баланс!$B$7,Баланс!$A$1:$B$3,2,0))</f>
        <v>1.0581261495474847</v>
      </c>
      <c r="K139" s="1985">
        <f>K138/(Ввод!L172/VLOOKUP(Баланс!$B$7,Баланс!$A$1:$B$3,2,0))</f>
        <v>1.5766070810783503</v>
      </c>
      <c r="L139" s="1985">
        <f>L138/(Ввод!M172/VLOOKUP(Баланс!$B$7,Баланс!$A$1:$B$3,2,0))</f>
        <v>1.9991638504264879</v>
      </c>
      <c r="M139" s="1985">
        <f>M138/(Ввод!N172/VLOOKUP(Баланс!$B$7,Баланс!$A$1:$B$3,2,0))</f>
        <v>1.8674881829299579</v>
      </c>
      <c r="N139" s="1985">
        <f>N138/(Ввод!O172/VLOOKUP(Баланс!$B$7,Баланс!$A$1:$B$3,2,0))</f>
        <v>1.6636858329290469</v>
      </c>
      <c r="O139" s="1985">
        <f>O138/(Ввод!P172/VLOOKUP(Баланс!$B$7,Баланс!$A$1:$B$3,2,0))</f>
        <v>0</v>
      </c>
      <c r="P139" s="1983"/>
      <c r="Q139" s="1978"/>
      <c r="R139" s="1983"/>
      <c r="S139" s="1983"/>
      <c r="T139" s="1983"/>
      <c r="U139" s="1983"/>
      <c r="V139" s="1983"/>
      <c r="W139" s="1983"/>
      <c r="X139" s="1983"/>
      <c r="Y139" s="1983"/>
      <c r="Z139" s="1983"/>
      <c r="AA139" s="1983"/>
      <c r="AB139" s="1983"/>
      <c r="AC139" s="1983"/>
      <c r="AD139" s="1983"/>
      <c r="AE139" s="1983"/>
      <c r="AF139" s="1983"/>
      <c r="AG139" s="1983"/>
      <c r="AH139" s="1983"/>
      <c r="AI139" s="1983"/>
      <c r="AJ139" s="1983"/>
    </row>
    <row r="140" spans="1:36" s="1" customFormat="1" x14ac:dyDescent="0.25">
      <c r="A140" s="95"/>
      <c r="B140" s="4"/>
      <c r="C140" s="4"/>
      <c r="D140" s="4"/>
      <c r="E140" s="632"/>
      <c r="F140" s="632"/>
      <c r="G140" s="632"/>
      <c r="H140" s="632"/>
      <c r="I140" s="632"/>
      <c r="J140" s="632"/>
      <c r="K140" s="632"/>
      <c r="L140" s="632"/>
      <c r="M140" s="632"/>
      <c r="N140" s="632"/>
      <c r="O140" s="632"/>
      <c r="P140" s="4"/>
      <c r="Q140" s="850"/>
      <c r="R140" s="4"/>
      <c r="S140" s="4"/>
      <c r="T140" s="4"/>
      <c r="U140" s="4"/>
      <c r="V140" s="4"/>
      <c r="W140" s="4"/>
      <c r="X140" s="4"/>
      <c r="Y140" s="4"/>
      <c r="Z140" s="4"/>
      <c r="AA140" s="4"/>
      <c r="AB140" s="4"/>
      <c r="AC140" s="4"/>
      <c r="AD140" s="4"/>
      <c r="AE140" s="4"/>
      <c r="AF140" s="4"/>
      <c r="AG140" s="4"/>
      <c r="AH140" s="4"/>
      <c r="AI140" s="4"/>
      <c r="AJ140" s="4"/>
    </row>
    <row r="141" spans="1:36" s="1" customFormat="1" x14ac:dyDescent="0.25">
      <c r="A141" s="95"/>
      <c r="B141" s="4" t="s">
        <v>3415</v>
      </c>
      <c r="C141" s="4"/>
      <c r="D141" s="4"/>
      <c r="E141" s="632"/>
      <c r="F141" s="1937">
        <f>Ввод!G719/VLOOKUP(Баланс!$B$7,Баланс!$A$1:$B$3,2,0)</f>
        <v>0.34632499999999999</v>
      </c>
      <c r="G141" s="1937">
        <f>Ввод!H719/VLOOKUP(Баланс!$B$7,Баланс!$A$1:$B$3,2,0)</f>
        <v>0.48849700000000001</v>
      </c>
      <c r="H141" s="1937">
        <f>Ввод!I719/VLOOKUP(Баланс!$B$7,Баланс!$A$1:$B$3,2,0)</f>
        <v>0.93459899999999996</v>
      </c>
      <c r="I141" s="1937">
        <f>Ввод!J719/VLOOKUP(Баланс!$B$7,Баланс!$A$1:$B$3,2,0)</f>
        <v>1.3469260000000001</v>
      </c>
      <c r="J141" s="1937">
        <f>Ввод!K719/VLOOKUP(Баланс!$B$7,Баланс!$A$1:$B$3,2,0)</f>
        <v>1.603639</v>
      </c>
      <c r="K141" s="1937">
        <f>Ввод!L719/VLOOKUP(Баланс!$B$7,Баланс!$A$1:$B$3,2,0)</f>
        <v>1.8589420000000001</v>
      </c>
      <c r="L141" s="1937">
        <f>Ввод!M719/VLOOKUP(Баланс!$B$7,Баланс!$A$1:$B$3,2,0)</f>
        <v>0</v>
      </c>
      <c r="M141" s="1937">
        <f>Ввод!N719/VLOOKUP(Баланс!$B$7,Баланс!$A$1:$B$3,2,0)</f>
        <v>0</v>
      </c>
      <c r="N141" s="1937">
        <f>Ввод!O719/VLOOKUP(Баланс!$B$7,Баланс!$A$1:$B$3,2,0)</f>
        <v>0</v>
      </c>
      <c r="O141" s="1937">
        <f>Ввод!P719/VLOOKUP(Баланс!$B$7,Баланс!$A$1:$B$3,2,0)</f>
        <v>0</v>
      </c>
      <c r="P141" s="4"/>
      <c r="Q141" s="850"/>
      <c r="R141" s="4"/>
      <c r="S141" s="4"/>
      <c r="T141" s="4"/>
      <c r="U141" s="4"/>
      <c r="V141" s="4"/>
      <c r="W141" s="4"/>
      <c r="X141" s="4"/>
      <c r="Y141" s="4"/>
      <c r="Z141" s="4"/>
      <c r="AA141" s="4"/>
      <c r="AB141" s="4"/>
      <c r="AC141" s="4"/>
      <c r="AD141" s="4"/>
      <c r="AE141" s="4"/>
      <c r="AF141" s="4"/>
      <c r="AG141" s="4"/>
      <c r="AH141" s="4"/>
      <c r="AI141" s="4"/>
      <c r="AJ141" s="4"/>
    </row>
    <row r="142" spans="1:36" s="783" customFormat="1" ht="14.25" x14ac:dyDescent="0.2">
      <c r="A142" s="1992"/>
      <c r="B142" s="1993" t="s">
        <v>3416</v>
      </c>
      <c r="C142" s="1993"/>
      <c r="D142" s="1993"/>
      <c r="E142" s="1994"/>
      <c r="F142" s="1994"/>
      <c r="G142" s="1994">
        <f>ОФР!G94</f>
        <v>0.10696388430399913</v>
      </c>
      <c r="H142" s="1994">
        <f>ОФР!H94</f>
        <v>0.16067167226107024</v>
      </c>
      <c r="I142" s="1994">
        <f>ОФР!I94</f>
        <v>0.18645178267802384</v>
      </c>
      <c r="J142" s="1994">
        <f>ОФР!J94</f>
        <v>0.19538835720353379</v>
      </c>
      <c r="K142" s="1994">
        <f>ОФР!K94</f>
        <v>0.20181739027533352</v>
      </c>
      <c r="L142" s="1994">
        <f>ОФР!L94</f>
        <v>0</v>
      </c>
      <c r="M142" s="1994">
        <f>ОФР!M94</f>
        <v>0</v>
      </c>
      <c r="N142" s="1994">
        <f>ОФР!N94</f>
        <v>0</v>
      </c>
      <c r="O142" s="1994">
        <f>ОФР!O94</f>
        <v>0</v>
      </c>
      <c r="P142" s="776"/>
      <c r="Q142" s="1978"/>
      <c r="R142" s="776"/>
      <c r="S142" s="776"/>
      <c r="T142" s="776"/>
      <c r="U142" s="776"/>
      <c r="V142" s="776"/>
      <c r="W142" s="776"/>
      <c r="X142" s="776"/>
      <c r="Y142" s="776"/>
      <c r="Z142" s="776"/>
      <c r="AA142" s="776"/>
      <c r="AB142" s="776"/>
      <c r="AC142" s="776"/>
      <c r="AD142" s="776"/>
      <c r="AE142" s="776"/>
      <c r="AF142" s="776"/>
      <c r="AG142" s="776"/>
      <c r="AH142" s="776"/>
      <c r="AI142" s="776"/>
      <c r="AJ142" s="776"/>
    </row>
    <row r="143" spans="1:36" s="783" customFormat="1" ht="14.25" x14ac:dyDescent="0.2">
      <c r="A143" s="1995"/>
      <c r="B143" s="1996" t="s">
        <v>3417</v>
      </c>
      <c r="C143" s="1996"/>
      <c r="D143" s="1996"/>
      <c r="E143" s="1997"/>
      <c r="F143" s="1997"/>
      <c r="G143" s="1997">
        <f>ОФР!G147</f>
        <v>1.3258404380886766E-2</v>
      </c>
      <c r="H143" s="1997">
        <f>ОФР!H147</f>
        <v>2.4267139299783396E-2</v>
      </c>
      <c r="I143" s="1997">
        <f>ОФР!I147</f>
        <v>3.1982760983048232E-2</v>
      </c>
      <c r="J143" s="1997">
        <f>ОФР!J147</f>
        <v>3.705974010539647E-2</v>
      </c>
      <c r="K143" s="1997">
        <f>ОФР!K147</f>
        <v>4.2548499005356816E-2</v>
      </c>
      <c r="L143" s="1997">
        <f>ОФР!L147</f>
        <v>0</v>
      </c>
      <c r="M143" s="1997">
        <f>ОФР!M147</f>
        <v>0</v>
      </c>
      <c r="N143" s="1997">
        <f>ОФР!N147</f>
        <v>0</v>
      </c>
      <c r="O143" s="1997">
        <f>ОФР!O147</f>
        <v>0</v>
      </c>
      <c r="P143" s="776"/>
      <c r="Q143" s="1978"/>
      <c r="R143" s="776"/>
      <c r="S143" s="776"/>
      <c r="T143" s="776"/>
      <c r="U143" s="776"/>
      <c r="V143" s="776"/>
      <c r="W143" s="776"/>
      <c r="X143" s="776"/>
      <c r="Y143" s="776"/>
      <c r="Z143" s="776"/>
      <c r="AA143" s="776"/>
      <c r="AB143" s="776"/>
      <c r="AC143" s="776"/>
      <c r="AD143" s="776"/>
      <c r="AE143" s="776"/>
      <c r="AF143" s="776"/>
      <c r="AG143" s="776"/>
      <c r="AH143" s="776"/>
      <c r="AI143" s="776"/>
      <c r="AJ143" s="776"/>
    </row>
    <row r="144" spans="1:36" s="1" customFormat="1" x14ac:dyDescent="0.25">
      <c r="A144" s="95"/>
      <c r="B144" s="4"/>
      <c r="C144" s="4"/>
      <c r="D144" s="4"/>
      <c r="E144" s="632"/>
      <c r="F144" s="632"/>
      <c r="G144" s="632"/>
      <c r="H144" s="632"/>
      <c r="I144" s="632"/>
      <c r="J144" s="632"/>
      <c r="K144" s="632"/>
      <c r="L144" s="632"/>
      <c r="M144" s="632"/>
      <c r="N144" s="632"/>
      <c r="O144" s="632"/>
      <c r="P144" s="4"/>
      <c r="Q144" s="850"/>
      <c r="R144" s="4"/>
      <c r="S144" s="4"/>
      <c r="T144" s="4"/>
      <c r="U144" s="4"/>
      <c r="V144" s="4"/>
      <c r="W144" s="4"/>
      <c r="X144" s="4"/>
      <c r="Y144" s="4"/>
      <c r="Z144" s="4"/>
      <c r="AA144" s="4"/>
      <c r="AB144" s="4"/>
      <c r="AC144" s="4"/>
      <c r="AD144" s="4"/>
      <c r="AE144" s="4"/>
      <c r="AF144" s="4"/>
      <c r="AG144" s="4"/>
      <c r="AH144" s="4"/>
      <c r="AI144" s="4"/>
      <c r="AJ144" s="4"/>
    </row>
    <row r="145" spans="1:36" s="1" customFormat="1" x14ac:dyDescent="0.25">
      <c r="A145" s="95"/>
      <c r="B145" s="4" t="s">
        <v>3414</v>
      </c>
      <c r="C145" s="4"/>
      <c r="D145" s="4"/>
      <c r="E145" s="632"/>
      <c r="F145" s="632"/>
      <c r="G145" s="4" t="s">
        <v>348</v>
      </c>
      <c r="H145" s="632"/>
      <c r="I145" s="632"/>
      <c r="J145" s="632"/>
      <c r="K145" s="632"/>
      <c r="L145" s="632"/>
      <c r="M145" s="632"/>
      <c r="N145" s="632"/>
      <c r="O145" s="632"/>
      <c r="P145" s="4"/>
      <c r="Q145" s="850"/>
      <c r="R145" s="4"/>
      <c r="S145" s="4"/>
      <c r="T145" s="4"/>
      <c r="U145" s="4"/>
      <c r="V145" s="4"/>
      <c r="W145" s="4"/>
      <c r="X145" s="4"/>
      <c r="Y145" s="4"/>
      <c r="Z145" s="4"/>
      <c r="AA145" s="4"/>
      <c r="AB145" s="4"/>
      <c r="AC145" s="4"/>
      <c r="AD145" s="4"/>
      <c r="AE145" s="4"/>
      <c r="AF145" s="4"/>
      <c r="AG145" s="4"/>
      <c r="AH145" s="4"/>
      <c r="AI145" s="4"/>
      <c r="AJ145" s="4"/>
    </row>
    <row r="146" spans="1:36" s="1" customFormat="1" x14ac:dyDescent="0.25">
      <c r="A146" s="1902"/>
      <c r="B146" s="1982"/>
      <c r="C146" s="15"/>
      <c r="D146" s="15" t="s">
        <v>286</v>
      </c>
      <c r="E146" s="1976"/>
      <c r="F146" s="539">
        <f>F8</f>
        <v>2016</v>
      </c>
      <c r="G146" s="539">
        <f t="shared" ref="G146:O146" si="55">G8</f>
        <v>2017</v>
      </c>
      <c r="H146" s="539">
        <f t="shared" si="55"/>
        <v>2018</v>
      </c>
      <c r="I146" s="539">
        <f t="shared" si="55"/>
        <v>2019</v>
      </c>
      <c r="J146" s="539">
        <f t="shared" si="55"/>
        <v>2020</v>
      </c>
      <c r="K146" s="539">
        <f t="shared" si="55"/>
        <v>2021</v>
      </c>
      <c r="L146" s="539">
        <f t="shared" si="55"/>
        <v>2022</v>
      </c>
      <c r="M146" s="539">
        <f t="shared" si="55"/>
        <v>2023</v>
      </c>
      <c r="N146" s="539">
        <f t="shared" si="55"/>
        <v>2024</v>
      </c>
      <c r="O146" s="539">
        <f t="shared" si="55"/>
        <v>2025</v>
      </c>
      <c r="P146" s="4"/>
      <c r="Q146" s="850"/>
      <c r="R146" s="4"/>
      <c r="S146" s="4"/>
      <c r="T146" s="4"/>
      <c r="U146" s="4"/>
      <c r="V146" s="4"/>
      <c r="W146" s="4"/>
      <c r="X146" s="4"/>
      <c r="Y146" s="4"/>
      <c r="Z146" s="4"/>
      <c r="AA146" s="4"/>
      <c r="AB146" s="4"/>
      <c r="AC146" s="4"/>
      <c r="AD146" s="4"/>
      <c r="AE146" s="4"/>
      <c r="AF146" s="4"/>
      <c r="AG146" s="4"/>
      <c r="AH146" s="4"/>
      <c r="AI146" s="4"/>
      <c r="AJ146" s="4"/>
    </row>
    <row r="147" spans="1:36" s="1" customFormat="1" x14ac:dyDescent="0.25">
      <c r="A147" s="95"/>
      <c r="B147" s="4" t="s">
        <v>3413</v>
      </c>
      <c r="C147" s="4"/>
      <c r="D147" s="4"/>
      <c r="E147" s="632"/>
      <c r="F147" s="1937"/>
      <c r="G147" s="573">
        <f>'Банк. система_ввод'!M78</f>
        <v>0</v>
      </c>
      <c r="H147" s="573">
        <f>'Банк. система_ввод'!N78</f>
        <v>0</v>
      </c>
      <c r="I147" s="573">
        <f>'Банк. система_ввод'!O78</f>
        <v>0</v>
      </c>
      <c r="J147" s="573">
        <f>'Банк. система_ввод'!P78</f>
        <v>0</v>
      </c>
      <c r="K147" s="573">
        <f>'Банк. система_ввод'!Q78</f>
        <v>0</v>
      </c>
      <c r="L147" s="573">
        <f>'Банк. система_ввод'!R78</f>
        <v>7688.3417200000004</v>
      </c>
      <c r="M147" s="573">
        <f>'Банк. система_ввод'!S78</f>
        <v>8235.5816360000008</v>
      </c>
      <c r="N147" s="573">
        <f>'Банк. система_ввод'!T78</f>
        <v>10045.779200000001</v>
      </c>
      <c r="O147" s="573">
        <f>'Банк. система_ввод'!U78</f>
        <v>11042</v>
      </c>
      <c r="P147" s="4"/>
      <c r="Q147" s="850"/>
      <c r="R147" s="4"/>
      <c r="S147" s="4"/>
      <c r="T147" s="4"/>
      <c r="U147" s="4"/>
      <c r="V147" s="4"/>
      <c r="W147" s="4"/>
      <c r="X147" s="4"/>
      <c r="Y147" s="4"/>
      <c r="Z147" s="4"/>
      <c r="AA147" s="4"/>
      <c r="AB147" s="4"/>
      <c r="AC147" s="4"/>
      <c r="AD147" s="4"/>
      <c r="AE147" s="4"/>
      <c r="AF147" s="4"/>
      <c r="AG147" s="4"/>
      <c r="AH147" s="4"/>
      <c r="AI147" s="4"/>
      <c r="AJ147" s="4"/>
    </row>
    <row r="148" spans="1:36" s="1991" customFormat="1" ht="14.25" x14ac:dyDescent="0.2">
      <c r="A148" s="1987"/>
      <c r="B148" s="1987" t="s">
        <v>3412</v>
      </c>
      <c r="C148" s="1987"/>
      <c r="D148" s="1987"/>
      <c r="E148" s="1988"/>
      <c r="F148" s="1989"/>
      <c r="G148" s="1989">
        <f>G147/'Банк. система_ввод'!M19</f>
        <v>0</v>
      </c>
      <c r="H148" s="1989">
        <f>H147/'Банк. система_ввод'!N19</f>
        <v>0</v>
      </c>
      <c r="I148" s="1989">
        <f>I147/'Банк. система_ввод'!O19</f>
        <v>0</v>
      </c>
      <c r="J148" s="1989">
        <f>J147/'Банк. система_ввод'!P19</f>
        <v>0</v>
      </c>
      <c r="K148" s="1989">
        <f>K147/'Банк. система_ввод'!Q19</f>
        <v>0</v>
      </c>
      <c r="L148" s="1989">
        <f>L147/'Банк. система_ввод'!R19</f>
        <v>0.60994121745806607</v>
      </c>
      <c r="M148" s="1989">
        <f>M147/'Банк. система_ввод'!S19</f>
        <v>0.61697990475248021</v>
      </c>
      <c r="N148" s="1989">
        <f>N147/'Банк. система_ввод'!T19</f>
        <v>0.58601765026690789</v>
      </c>
      <c r="O148" s="1989">
        <f>O147/'Банк. система_ввод'!U19</f>
        <v>0.58380077192355473</v>
      </c>
      <c r="P148" s="1987"/>
      <c r="Q148" s="1990"/>
      <c r="R148" s="1987"/>
      <c r="S148" s="1987"/>
      <c r="T148" s="1987"/>
      <c r="U148" s="1987"/>
      <c r="V148" s="1987"/>
      <c r="W148" s="1987"/>
      <c r="X148" s="1987"/>
      <c r="Y148" s="1987"/>
      <c r="Z148" s="1987"/>
      <c r="AA148" s="1987"/>
      <c r="AB148" s="1987"/>
      <c r="AC148" s="1987"/>
      <c r="AD148" s="1987"/>
      <c r="AE148" s="1987"/>
      <c r="AF148" s="1987"/>
      <c r="AG148" s="1987"/>
      <c r="AH148" s="1987"/>
      <c r="AI148" s="1987"/>
      <c r="AJ148" s="1987"/>
    </row>
    <row r="149" spans="1:36" s="1" customFormat="1" x14ac:dyDescent="0.25">
      <c r="A149" s="95"/>
      <c r="B149" s="4"/>
      <c r="C149" s="4"/>
      <c r="D149" s="4"/>
      <c r="E149" s="632"/>
      <c r="F149" s="632"/>
      <c r="G149" s="632"/>
      <c r="H149" s="632"/>
      <c r="I149" s="632"/>
      <c r="J149" s="632"/>
      <c r="K149" s="632"/>
      <c r="L149" s="632"/>
      <c r="M149" s="632"/>
      <c r="N149" s="632"/>
      <c r="O149" s="632"/>
      <c r="P149" s="4"/>
      <c r="Q149" s="850"/>
      <c r="R149" s="4"/>
      <c r="S149" s="4"/>
      <c r="T149" s="4"/>
      <c r="U149" s="4"/>
      <c r="V149" s="4"/>
      <c r="W149" s="4"/>
      <c r="X149" s="4"/>
      <c r="Y149" s="4"/>
      <c r="Z149" s="4"/>
      <c r="AA149" s="4"/>
      <c r="AB149" s="4"/>
      <c r="AC149" s="4"/>
      <c r="AD149" s="4"/>
      <c r="AE149" s="4"/>
      <c r="AF149" s="4"/>
      <c r="AG149" s="4"/>
      <c r="AH149" s="4"/>
      <c r="AI149" s="4"/>
      <c r="AJ149" s="4"/>
    </row>
    <row r="150" spans="1:36" s="1" customFormat="1" x14ac:dyDescent="0.25">
      <c r="A150" s="95"/>
      <c r="B150" s="4" t="s">
        <v>3415</v>
      </c>
      <c r="C150" s="4"/>
      <c r="D150" s="4"/>
      <c r="E150" s="632"/>
      <c r="F150" s="573">
        <f>'Банк. система_ввод'!L119</f>
        <v>0</v>
      </c>
      <c r="G150" s="573">
        <f>'Банк. система_ввод'!M119</f>
        <v>0</v>
      </c>
      <c r="H150" s="573">
        <f>'Банк. система_ввод'!N119</f>
        <v>0</v>
      </c>
      <c r="I150" s="573">
        <f>'Банк. система_ввод'!O119</f>
        <v>0</v>
      </c>
      <c r="J150" s="573">
        <f>'Банк. система_ввод'!P119</f>
        <v>75.327003000000005</v>
      </c>
      <c r="K150" s="573">
        <f>'Банк. система_ввод'!Q119</f>
        <v>97.994758000000004</v>
      </c>
      <c r="L150" s="573">
        <f>'Банк. система_ввод'!R119</f>
        <v>120.17035</v>
      </c>
      <c r="M150" s="573">
        <f>'Банк. система_ввод'!S119</f>
        <v>146.724807</v>
      </c>
      <c r="N150" s="573">
        <f>'Банк. система_ввод'!T119</f>
        <v>195.007272</v>
      </c>
      <c r="O150" s="573">
        <f>'Банк. система_ввод'!U119</f>
        <v>233.985128</v>
      </c>
      <c r="P150" s="4"/>
      <c r="Q150" s="850"/>
      <c r="R150" s="4"/>
      <c r="S150" s="4"/>
      <c r="T150" s="4"/>
      <c r="U150" s="4"/>
      <c r="V150" s="4"/>
      <c r="W150" s="4"/>
      <c r="X150" s="4"/>
      <c r="Y150" s="4"/>
      <c r="Z150" s="4"/>
      <c r="AA150" s="4"/>
      <c r="AB150" s="4"/>
      <c r="AC150" s="4"/>
      <c r="AD150" s="4"/>
      <c r="AE150" s="4"/>
      <c r="AF150" s="4"/>
      <c r="AG150" s="4"/>
      <c r="AH150" s="4"/>
      <c r="AI150" s="4"/>
      <c r="AJ150" s="4"/>
    </row>
    <row r="151" spans="1:36" s="783" customFormat="1" ht="14.25" x14ac:dyDescent="0.2">
      <c r="A151" s="1992"/>
      <c r="B151" s="1993" t="s">
        <v>3416</v>
      </c>
      <c r="C151" s="1993"/>
      <c r="D151" s="1993"/>
      <c r="E151" s="1994"/>
      <c r="F151" s="1994">
        <f>'Банк. система_ввод'!L119/'Банк. система_ввод'!L114</f>
        <v>0</v>
      </c>
      <c r="G151" s="1994">
        <f>'Банк. система_ввод'!M119/'Банк. система_ввод'!M114</f>
        <v>0</v>
      </c>
      <c r="H151" s="1994">
        <f>'Банк. система_ввод'!N119/'Банк. система_ввод'!N114</f>
        <v>0</v>
      </c>
      <c r="I151" s="1994">
        <f>'Банк. система_ввод'!O119/'Банк. система_ввод'!O114</f>
        <v>0</v>
      </c>
      <c r="J151" s="1994">
        <f>'Банк. система_ввод'!P119/'Банк. система_ввод'!P114</f>
        <v>4.6602841471031956E-2</v>
      </c>
      <c r="K151" s="1994">
        <f>'Банк. система_ввод'!Q119/'Банк. система_ввод'!Q114</f>
        <v>5.5189992967551463E-2</v>
      </c>
      <c r="L151" s="1994">
        <f>'Банк. система_ввод'!R119/'Банк. система_ввод'!R114</f>
        <v>5.5120155224179818E-2</v>
      </c>
      <c r="M151" s="1994">
        <f>'Банк. система_ввод'!S119/'Банк. система_ввод'!S114</f>
        <v>6.6141602671972971E-2</v>
      </c>
      <c r="N151" s="1994">
        <f>'Банк. система_ввод'!T119/'Банк. система_ввод'!T114</f>
        <v>7.4326216211380094E-2</v>
      </c>
      <c r="O151" s="1994"/>
      <c r="P151" s="776"/>
      <c r="Q151" s="1978"/>
      <c r="R151" s="776"/>
      <c r="S151" s="776"/>
      <c r="T151" s="776"/>
      <c r="U151" s="776"/>
      <c r="V151" s="776"/>
      <c r="W151" s="776"/>
      <c r="X151" s="776"/>
      <c r="Y151" s="776"/>
      <c r="Z151" s="776"/>
      <c r="AA151" s="776"/>
      <c r="AB151" s="776"/>
      <c r="AC151" s="776"/>
      <c r="AD151" s="776"/>
      <c r="AE151" s="776"/>
      <c r="AF151" s="776"/>
      <c r="AG151" s="776"/>
      <c r="AH151" s="776"/>
      <c r="AI151" s="776"/>
      <c r="AJ151" s="776"/>
    </row>
    <row r="152" spans="1:36" s="783" customFormat="1" ht="14.25" x14ac:dyDescent="0.2">
      <c r="A152" s="1995"/>
      <c r="B152" s="1996" t="s">
        <v>3417</v>
      </c>
      <c r="C152" s="1996"/>
      <c r="D152" s="1996"/>
      <c r="E152" s="1997"/>
      <c r="F152" s="1997">
        <f>'Банк. система_ввод'!L119/('Банк. система_ввод'!L96+'Банк. система_ввод'!L114+'Банк. система_ввод'!L129+'Банк. система_ввод'!L134)</f>
        <v>0</v>
      </c>
      <c r="G152" s="1997">
        <f>'Банк. система_ввод'!M119/('Банк. система_ввод'!M96+'Банк. система_ввод'!M114+'Банк. система_ввод'!M129+'Банк. система_ввод'!M134)</f>
        <v>0</v>
      </c>
      <c r="H152" s="1997">
        <f>'Банк. система_ввод'!N119/('Банк. система_ввод'!N96+'Банк. система_ввод'!N114+'Банк. система_ввод'!N129+'Банк. система_ввод'!N134)</f>
        <v>0</v>
      </c>
      <c r="I152" s="1997">
        <f>'Банк. система_ввод'!O119/('Банк. система_ввод'!O96+'Банк. система_ввод'!O114+'Банк. система_ввод'!O129+'Банк. система_ввод'!O134)</f>
        <v>0</v>
      </c>
      <c r="J152" s="1997">
        <f>'Банк. система_ввод'!P119/('Банк. система_ввод'!P96+'Банк. система_ввод'!P114+'Банк. система_ввод'!P129+'Банк. система_ввод'!P134)</f>
        <v>8.6316765615484271E-3</v>
      </c>
      <c r="K152" s="1997">
        <f>'Банк. система_ввод'!Q119/('Банк. система_ввод'!Q96+'Банк. система_ввод'!Q114+'Банк. система_ввод'!Q129+'Банк. система_ввод'!Q134)</f>
        <v>1.0932309323514376E-2</v>
      </c>
      <c r="L152" s="1997">
        <f>'Банк. система_ввод'!R119/('Банк. система_ввод'!R96+'Банк. система_ввод'!R114+'Банк. система_ввод'!R129+'Банк. система_ввод'!R134)</f>
        <v>1.2780914264775812E-2</v>
      </c>
      <c r="M152" s="1997">
        <f>'Банк. система_ввод'!S119/('Банк. система_ввод'!S96+'Банк. система_ввод'!S114+'Банк. система_ввод'!S129+'Банк. система_ввод'!S134)</f>
        <v>1.1821131689005704E-2</v>
      </c>
      <c r="N152" s="1997">
        <f>'Банк. система_ввод'!T119/('Банк. система_ввод'!T96+'Банк. система_ввод'!T114+'Банк. система_ввод'!T129+'Банк. система_ввод'!T134)</f>
        <v>1.130814381811839E-2</v>
      </c>
      <c r="O152" s="1997"/>
      <c r="P152" s="776"/>
      <c r="Q152" s="1978"/>
      <c r="R152" s="776"/>
      <c r="S152" s="776"/>
      <c r="T152" s="776"/>
      <c r="U152" s="776"/>
      <c r="V152" s="776"/>
      <c r="W152" s="776"/>
      <c r="X152" s="776"/>
      <c r="Y152" s="776"/>
      <c r="Z152" s="776"/>
      <c r="AA152" s="776"/>
      <c r="AB152" s="776"/>
      <c r="AC152" s="776"/>
      <c r="AD152" s="776"/>
      <c r="AE152" s="776"/>
      <c r="AF152" s="776"/>
      <c r="AG152" s="776"/>
      <c r="AH152" s="776"/>
      <c r="AI152" s="776"/>
      <c r="AJ152" s="776"/>
    </row>
    <row r="153" spans="1:36" s="1" customFormat="1" ht="14.2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row>
    <row r="154" spans="1:36" s="1" customFormat="1" ht="14.2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row>
    <row r="155" spans="1:36" s="1" customFormat="1" ht="14.2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row>
    <row r="156" spans="1:36" s="1" customFormat="1" x14ac:dyDescent="0.2">
      <c r="A156" s="616"/>
      <c r="B156" s="617" t="s">
        <v>1253</v>
      </c>
      <c r="C156" s="507"/>
      <c r="D156" s="507"/>
      <c r="E156" s="618"/>
      <c r="F156" s="618"/>
      <c r="G156" s="618"/>
      <c r="H156" s="618"/>
      <c r="I156" s="618"/>
      <c r="J156" s="618"/>
      <c r="K156" s="618"/>
      <c r="L156" s="618"/>
      <c r="M156" s="618"/>
      <c r="N156" s="618"/>
      <c r="O156" s="618"/>
      <c r="P156" s="618"/>
      <c r="Q156" s="619"/>
      <c r="R156" s="619"/>
      <c r="S156" s="619"/>
      <c r="T156" s="619"/>
      <c r="U156" s="619"/>
      <c r="V156" s="619"/>
      <c r="W156" s="619"/>
      <c r="X156" s="619"/>
      <c r="Y156" s="619"/>
      <c r="Z156" s="619"/>
      <c r="AA156" s="619"/>
      <c r="AB156" s="619"/>
      <c r="AC156" s="4"/>
      <c r="AD156" s="4"/>
      <c r="AE156" s="4"/>
      <c r="AF156" s="4"/>
      <c r="AG156" s="4"/>
      <c r="AH156" s="4"/>
      <c r="AI156" s="4"/>
      <c r="AJ156" s="4"/>
    </row>
    <row r="157" spans="1:36" s="1" customFormat="1" ht="14.25" x14ac:dyDescent="0.2">
      <c r="A157" s="4"/>
      <c r="B157" s="4"/>
      <c r="C157" s="4"/>
      <c r="D157" s="4"/>
      <c r="F157" s="4"/>
      <c r="G157" s="4" t="s">
        <v>348</v>
      </c>
      <c r="H157" s="4"/>
      <c r="I157" s="4"/>
      <c r="J157" s="4"/>
      <c r="K157" s="4"/>
      <c r="L157" s="4"/>
      <c r="M157" s="4"/>
      <c r="N157" s="4"/>
      <c r="O157" s="4"/>
      <c r="P157" s="4"/>
      <c r="Q157" s="547"/>
      <c r="R157" s="547"/>
      <c r="S157" s="547"/>
      <c r="T157" s="547"/>
      <c r="U157" s="547"/>
      <c r="V157" s="547"/>
      <c r="W157" s="547"/>
      <c r="X157" s="547"/>
      <c r="Y157" s="547"/>
      <c r="Z157" s="547"/>
      <c r="AA157" s="547"/>
      <c r="AB157" s="547"/>
      <c r="AC157" s="4"/>
      <c r="AD157" s="4"/>
      <c r="AE157" s="4"/>
      <c r="AF157" s="4"/>
      <c r="AG157" s="4"/>
      <c r="AH157" s="4"/>
      <c r="AI157" s="4"/>
      <c r="AJ157" s="4"/>
    </row>
    <row r="158" spans="1:36" s="1" customFormat="1" x14ac:dyDescent="0.25">
      <c r="A158" s="15"/>
      <c r="B158" s="15"/>
      <c r="C158" s="15"/>
      <c r="D158" s="15"/>
      <c r="E158" s="539"/>
      <c r="F158" s="539">
        <f t="shared" ref="F158:K158" si="56">F8</f>
        <v>2016</v>
      </c>
      <c r="G158" s="539">
        <f t="shared" si="56"/>
        <v>2017</v>
      </c>
      <c r="H158" s="539">
        <f t="shared" si="56"/>
        <v>2018</v>
      </c>
      <c r="I158" s="539">
        <f t="shared" si="56"/>
        <v>2019</v>
      </c>
      <c r="J158" s="539">
        <f t="shared" si="56"/>
        <v>2020</v>
      </c>
      <c r="K158" s="539">
        <f t="shared" si="56"/>
        <v>2021</v>
      </c>
      <c r="L158" s="539">
        <f t="shared" ref="L158:O158" si="57">L8</f>
        <v>2022</v>
      </c>
      <c r="M158" s="539">
        <f t="shared" si="57"/>
        <v>2023</v>
      </c>
      <c r="N158" s="539">
        <f t="shared" si="57"/>
        <v>2024</v>
      </c>
      <c r="O158" s="539">
        <f t="shared" si="57"/>
        <v>2025</v>
      </c>
      <c r="P158" s="4"/>
      <c r="Q158" s="95" t="s">
        <v>1141</v>
      </c>
      <c r="R158" s="547"/>
      <c r="S158" s="547"/>
      <c r="T158" s="547"/>
      <c r="U158" s="547"/>
      <c r="V158" s="547"/>
      <c r="W158" s="547"/>
      <c r="X158" s="547"/>
      <c r="Y158" s="547"/>
      <c r="Z158" s="547"/>
      <c r="AA158" s="547"/>
      <c r="AB158" s="547"/>
      <c r="AC158" s="4"/>
      <c r="AD158" s="4"/>
      <c r="AE158" s="4"/>
      <c r="AF158" s="4"/>
      <c r="AG158" s="4"/>
      <c r="AH158" s="4"/>
      <c r="AI158" s="4"/>
      <c r="AJ158" s="4"/>
    </row>
    <row r="159" spans="1:36" s="1" customFormat="1" x14ac:dyDescent="0.25">
      <c r="A159" s="95" t="s">
        <v>1254</v>
      </c>
      <c r="B159" s="4" t="s">
        <v>780</v>
      </c>
      <c r="C159" s="4"/>
      <c r="D159" s="4"/>
      <c r="E159" s="647"/>
      <c r="F159" s="647">
        <f>Ввод!G400</f>
        <v>2.0470999999999999</v>
      </c>
      <c r="G159" s="647">
        <f>Ввод!H400</f>
        <v>1.52423</v>
      </c>
      <c r="H159" s="647">
        <f>Ввод!I400</f>
        <v>1.6833199999999999</v>
      </c>
      <c r="I159" s="647">
        <f>Ввод!J400</f>
        <v>1.96346</v>
      </c>
      <c r="J159" s="647">
        <f>Ввод!K400</f>
        <v>2.0877500000000002</v>
      </c>
      <c r="K159" s="647">
        <f>Ввод!L400</f>
        <v>2.71888</v>
      </c>
      <c r="L159" s="647">
        <f>Ввод!M400</f>
        <v>0</v>
      </c>
      <c r="M159" s="647">
        <f>Ввод!N400</f>
        <v>0</v>
      </c>
      <c r="N159" s="647">
        <f>Ввод!O400</f>
        <v>0</v>
      </c>
      <c r="O159" s="647">
        <f>Ввод!P400</f>
        <v>0</v>
      </c>
      <c r="P159" s="4"/>
      <c r="Q159" s="850" t="s">
        <v>1258</v>
      </c>
      <c r="R159" s="547"/>
      <c r="S159" s="547"/>
      <c r="T159" s="547"/>
      <c r="U159" s="547"/>
      <c r="V159" s="547"/>
      <c r="W159" s="547"/>
      <c r="X159" s="547"/>
      <c r="Y159" s="547"/>
      <c r="Z159" s="547"/>
      <c r="AA159" s="547"/>
      <c r="AB159" s="547"/>
      <c r="AC159" s="4"/>
      <c r="AD159" s="4"/>
      <c r="AE159" s="4"/>
      <c r="AF159" s="4"/>
      <c r="AG159" s="4"/>
      <c r="AH159" s="4"/>
      <c r="AI159" s="4"/>
      <c r="AJ159" s="4"/>
    </row>
    <row r="160" spans="1:36" s="1" customFormat="1" x14ac:dyDescent="0.25">
      <c r="A160" s="95" t="s">
        <v>1255</v>
      </c>
      <c r="B160" s="4" t="s">
        <v>767</v>
      </c>
      <c r="C160" s="4"/>
      <c r="D160" s="4"/>
      <c r="E160" s="632"/>
      <c r="F160" s="632">
        <f>Ввод!G402</f>
        <v>4.0000000000000001E-3</v>
      </c>
      <c r="G160" s="632">
        <f>Ввод!H402</f>
        <v>2E-3</v>
      </c>
      <c r="H160" s="632">
        <f>Ввод!I402</f>
        <v>2.7000000000000001E-3</v>
      </c>
      <c r="I160" s="632">
        <f>Ввод!J402</f>
        <v>3.8E-3</v>
      </c>
      <c r="J160" s="632">
        <f>Ввод!K402</f>
        <v>0</v>
      </c>
      <c r="K160" s="632">
        <f>Ввод!L402</f>
        <v>0</v>
      </c>
      <c r="L160" s="632">
        <f>Ввод!M402</f>
        <v>0</v>
      </c>
      <c r="M160" s="632">
        <f>Ввод!N402</f>
        <v>0</v>
      </c>
      <c r="N160" s="632">
        <f>Ввод!O402</f>
        <v>0</v>
      </c>
      <c r="O160" s="632">
        <f>Ввод!P402</f>
        <v>0</v>
      </c>
      <c r="P160" s="4"/>
      <c r="Q160" s="850" t="s">
        <v>1247</v>
      </c>
      <c r="R160" s="4"/>
      <c r="S160" s="4"/>
      <c r="T160" s="4"/>
      <c r="U160" s="4"/>
      <c r="V160" s="4"/>
      <c r="W160" s="4"/>
      <c r="X160" s="4"/>
      <c r="Y160" s="4"/>
      <c r="Z160" s="4"/>
      <c r="AA160" s="4"/>
      <c r="AB160" s="4"/>
      <c r="AC160" s="4"/>
      <c r="AD160" s="4"/>
      <c r="AE160" s="4"/>
      <c r="AF160" s="4"/>
      <c r="AG160" s="4"/>
      <c r="AH160" s="4"/>
      <c r="AI160" s="4"/>
      <c r="AJ160" s="4"/>
    </row>
    <row r="161" spans="1:36" s="1" customFormat="1" x14ac:dyDescent="0.25">
      <c r="A161" s="95" t="s">
        <v>1256</v>
      </c>
      <c r="B161" s="4" t="s">
        <v>781</v>
      </c>
      <c r="C161" s="4"/>
      <c r="D161" s="4"/>
      <c r="E161" s="632"/>
      <c r="F161" s="632">
        <f>Ввод!G403</f>
        <v>0.22770000000000001</v>
      </c>
      <c r="G161" s="632">
        <f>Ввод!H403</f>
        <v>0.14377000000000001</v>
      </c>
      <c r="H161" s="632">
        <f>Ввод!I403</f>
        <v>0.14549999999999999</v>
      </c>
      <c r="I161" s="632">
        <f>Ввод!J403</f>
        <v>0.1522</v>
      </c>
      <c r="J161" s="632">
        <f>Ввод!K403</f>
        <v>0.15759999999999999</v>
      </c>
      <c r="K161" s="632">
        <f>Ввод!L403</f>
        <v>0</v>
      </c>
      <c r="L161" s="632">
        <f>Ввод!M403</f>
        <v>0</v>
      </c>
      <c r="M161" s="632">
        <f>Ввод!N403</f>
        <v>0</v>
      </c>
      <c r="N161" s="632">
        <f>Ввод!O403</f>
        <v>0</v>
      </c>
      <c r="O161" s="632">
        <f>Ввод!P403</f>
        <v>0</v>
      </c>
      <c r="P161" s="4"/>
      <c r="Q161" s="850" t="s">
        <v>1259</v>
      </c>
      <c r="R161" s="4"/>
      <c r="S161" s="4"/>
      <c r="T161" s="4"/>
      <c r="U161" s="4"/>
      <c r="V161" s="4"/>
      <c r="W161" s="4"/>
      <c r="X161" s="4"/>
      <c r="Y161" s="4"/>
      <c r="Z161" s="4"/>
      <c r="AA161" s="4"/>
      <c r="AB161" s="4"/>
      <c r="AC161" s="4"/>
      <c r="AD161" s="4"/>
      <c r="AE161" s="4"/>
      <c r="AF161" s="4"/>
      <c r="AG161" s="4"/>
      <c r="AH161" s="4"/>
      <c r="AI161" s="4"/>
      <c r="AJ161" s="4"/>
    </row>
    <row r="162" spans="1:36" s="1" customFormat="1" x14ac:dyDescent="0.25">
      <c r="A162" s="95" t="s">
        <v>1257</v>
      </c>
      <c r="B162" s="4" t="s">
        <v>778</v>
      </c>
      <c r="C162" s="4"/>
      <c r="D162" s="4"/>
      <c r="E162" s="632"/>
      <c r="F162" s="632" t="str">
        <f>Ввод!G404</f>
        <v>х</v>
      </c>
      <c r="G162" s="632" t="str">
        <f>Ввод!H404</f>
        <v>х</v>
      </c>
      <c r="H162" s="632">
        <f>Ввод!I404</f>
        <v>9.1700000000000004E-2</v>
      </c>
      <c r="I162" s="632">
        <f>Ввод!J404</f>
        <v>0.1144</v>
      </c>
      <c r="J162" s="632">
        <f>Ввод!K404</f>
        <v>0.1139</v>
      </c>
      <c r="K162" s="632">
        <f>Ввод!L404</f>
        <v>0</v>
      </c>
      <c r="L162" s="632">
        <f>Ввод!M404</f>
        <v>0</v>
      </c>
      <c r="M162" s="632">
        <f>Ввод!N404</f>
        <v>0</v>
      </c>
      <c r="N162" s="632">
        <f>Ввод!O404</f>
        <v>0</v>
      </c>
      <c r="O162" s="632">
        <f>Ввод!P404</f>
        <v>0</v>
      </c>
      <c r="P162" s="4"/>
      <c r="Q162" s="850" t="s">
        <v>1260</v>
      </c>
      <c r="R162" s="4"/>
      <c r="S162" s="4"/>
      <c r="T162" s="4"/>
      <c r="U162" s="4"/>
      <c r="V162" s="4"/>
      <c r="W162" s="4"/>
      <c r="X162" s="4"/>
      <c r="Y162" s="4"/>
      <c r="Z162" s="4"/>
      <c r="AA162" s="4"/>
      <c r="AB162" s="4"/>
      <c r="AC162" s="4"/>
      <c r="AD162" s="4"/>
      <c r="AE162" s="4"/>
      <c r="AF162" s="4"/>
      <c r="AG162" s="4"/>
      <c r="AH162" s="4"/>
      <c r="AI162" s="4"/>
      <c r="AJ162" s="4"/>
    </row>
    <row r="163" spans="1:36" s="1" customFormat="1" ht="14.2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row>
    <row r="164" spans="1:36" s="1" customFormat="1" ht="14.25" x14ac:dyDescent="0.2">
      <c r="A164" s="4"/>
      <c r="B164" s="4"/>
      <c r="C164" s="4"/>
      <c r="D164" s="4"/>
      <c r="E164" s="4"/>
      <c r="F164" s="35"/>
      <c r="G164" s="35"/>
      <c r="H164" s="35"/>
      <c r="I164" s="35"/>
      <c r="J164" s="35"/>
      <c r="K164" s="35"/>
      <c r="L164" s="35"/>
      <c r="M164" s="35"/>
      <c r="N164" s="35"/>
      <c r="O164" s="35"/>
      <c r="P164" s="4"/>
      <c r="Q164" s="4"/>
      <c r="R164" s="4"/>
      <c r="S164" s="4"/>
      <c r="T164" s="4"/>
      <c r="U164" s="4"/>
      <c r="V164" s="4"/>
      <c r="W164" s="4"/>
      <c r="X164" s="4"/>
      <c r="Y164" s="4"/>
      <c r="Z164" s="4"/>
      <c r="AA164" s="4"/>
      <c r="AB164" s="4"/>
      <c r="AC164" s="4"/>
      <c r="AD164" s="4"/>
      <c r="AE164" s="4"/>
      <c r="AF164" s="4"/>
      <c r="AG164" s="4"/>
      <c r="AH164" s="4"/>
      <c r="AI164" s="4"/>
      <c r="AJ164" s="4"/>
    </row>
    <row r="165" spans="1:36" s="1" customFormat="1" ht="14.2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row>
    <row r="166" spans="1:36" s="1" customFormat="1" x14ac:dyDescent="0.2">
      <c r="A166" s="616"/>
      <c r="B166" s="617" t="s">
        <v>995</v>
      </c>
      <c r="C166" s="507"/>
      <c r="D166" s="507"/>
      <c r="E166" s="618"/>
      <c r="F166" s="618"/>
      <c r="G166" s="618"/>
      <c r="H166" s="618"/>
      <c r="I166" s="618"/>
      <c r="J166" s="618"/>
      <c r="K166" s="618"/>
      <c r="L166" s="618"/>
      <c r="M166" s="618"/>
      <c r="N166" s="618"/>
      <c r="O166" s="618"/>
      <c r="P166" s="618"/>
      <c r="Q166" s="619"/>
      <c r="R166" s="619"/>
      <c r="S166" s="619"/>
      <c r="T166" s="619"/>
      <c r="U166" s="619"/>
      <c r="V166" s="619"/>
      <c r="W166" s="619"/>
      <c r="X166" s="619"/>
      <c r="Y166" s="619"/>
      <c r="Z166" s="619"/>
      <c r="AA166" s="619"/>
      <c r="AB166" s="619"/>
      <c r="AC166" s="547"/>
      <c r="AD166" s="4"/>
      <c r="AE166" s="4"/>
      <c r="AF166" s="4"/>
      <c r="AG166" s="4"/>
      <c r="AH166" s="4"/>
      <c r="AI166" s="4"/>
      <c r="AJ166" s="4"/>
    </row>
    <row r="167" spans="1:36" s="1" customFormat="1" ht="14.25" x14ac:dyDescent="0.2">
      <c r="A167" s="4"/>
      <c r="B167" s="4"/>
      <c r="C167" s="4"/>
      <c r="D167" s="4" t="str">
        <f>D7</f>
        <v>млрд руб.</v>
      </c>
      <c r="E167" s="4" t="s">
        <v>348</v>
      </c>
      <c r="F167" s="4"/>
      <c r="G167" s="4"/>
      <c r="H167" s="4"/>
      <c r="I167" s="4"/>
      <c r="J167" s="4"/>
      <c r="K167" s="4"/>
      <c r="L167" s="4"/>
      <c r="M167" s="4"/>
      <c r="N167" s="4"/>
      <c r="O167" s="4"/>
      <c r="P167" s="4"/>
      <c r="Q167" s="4" t="s">
        <v>17</v>
      </c>
      <c r="R167" s="4"/>
      <c r="S167" s="4"/>
      <c r="T167" s="4"/>
      <c r="U167" s="4"/>
      <c r="V167" s="71"/>
      <c r="W167" s="71"/>
      <c r="X167" s="71"/>
      <c r="Y167" s="71"/>
      <c r="Z167" s="71"/>
      <c r="AA167" s="71"/>
      <c r="AB167" s="71"/>
      <c r="AC167" s="4"/>
      <c r="AD167" s="4"/>
      <c r="AE167" s="4"/>
      <c r="AF167" s="4"/>
      <c r="AG167" s="4"/>
      <c r="AH167" s="4"/>
      <c r="AI167" s="4"/>
      <c r="AJ167" s="4"/>
    </row>
    <row r="168" spans="1:36" s="1" customFormat="1" ht="14.25" x14ac:dyDescent="0.2">
      <c r="A168" s="15"/>
      <c r="B168" s="15"/>
      <c r="C168" s="15"/>
      <c r="D168" s="15"/>
      <c r="E168" s="539"/>
      <c r="F168" s="539">
        <f t="shared" ref="F168:K168" si="58">F8</f>
        <v>2016</v>
      </c>
      <c r="G168" s="539">
        <f t="shared" si="58"/>
        <v>2017</v>
      </c>
      <c r="H168" s="539">
        <f t="shared" si="58"/>
        <v>2018</v>
      </c>
      <c r="I168" s="539">
        <f t="shared" si="58"/>
        <v>2019</v>
      </c>
      <c r="J168" s="539">
        <f t="shared" si="58"/>
        <v>2020</v>
      </c>
      <c r="K168" s="539">
        <f t="shared" si="58"/>
        <v>2021</v>
      </c>
      <c r="L168" s="539">
        <f t="shared" ref="L168:O168" si="59">L8</f>
        <v>2022</v>
      </c>
      <c r="M168" s="539">
        <f t="shared" si="59"/>
        <v>2023</v>
      </c>
      <c r="N168" s="539">
        <f t="shared" si="59"/>
        <v>2024</v>
      </c>
      <c r="O168" s="539">
        <f t="shared" si="59"/>
        <v>2025</v>
      </c>
      <c r="P168" s="15"/>
      <c r="Q168" s="539"/>
      <c r="R168" s="539">
        <f t="shared" ref="R168:W168" si="60">R8</f>
        <v>2016</v>
      </c>
      <c r="S168" s="539">
        <f t="shared" si="60"/>
        <v>2017</v>
      </c>
      <c r="T168" s="539">
        <f t="shared" si="60"/>
        <v>2018</v>
      </c>
      <c r="U168" s="539">
        <f t="shared" si="60"/>
        <v>2019</v>
      </c>
      <c r="V168" s="539">
        <f t="shared" si="60"/>
        <v>2020</v>
      </c>
      <c r="W168" s="539">
        <f t="shared" si="60"/>
        <v>2021</v>
      </c>
      <c r="X168" s="539">
        <f t="shared" ref="X168:AB168" si="61">X8</f>
        <v>2022</v>
      </c>
      <c r="Y168" s="539">
        <f t="shared" si="61"/>
        <v>2023</v>
      </c>
      <c r="Z168" s="539">
        <f t="shared" si="61"/>
        <v>2024</v>
      </c>
      <c r="AA168" s="539">
        <f t="shared" si="61"/>
        <v>2025</v>
      </c>
      <c r="AB168" s="539">
        <f t="shared" si="61"/>
        <v>0</v>
      </c>
      <c r="AC168" s="4"/>
      <c r="AD168" s="4"/>
      <c r="AE168" s="4"/>
      <c r="AF168" s="4"/>
      <c r="AG168" s="4"/>
      <c r="AH168" s="4"/>
      <c r="AI168" s="4"/>
      <c r="AJ168" s="4"/>
    </row>
    <row r="169" spans="1:36" s="1" customFormat="1" ht="14.25" x14ac:dyDescent="0.2">
      <c r="A169" s="4"/>
      <c r="B169" s="4" t="str">
        <f>Ввод!E558</f>
        <v xml:space="preserve">Финансовые услуги </v>
      </c>
      <c r="C169" s="4"/>
      <c r="D169" s="4"/>
      <c r="E169" s="620"/>
      <c r="F169" s="620">
        <f>Ввод!G558/VLOOKUP(Баланс!$B$7,Баланс!$A$1:$B$3,2,0)</f>
        <v>62.269283999999999</v>
      </c>
      <c r="G169" s="620">
        <f>Ввод!H558/VLOOKUP(Баланс!$B$7,Баланс!$A$1:$B$3,2,0)</f>
        <v>26.984273000000002</v>
      </c>
      <c r="H169" s="620">
        <f>Ввод!I558/VLOOKUP(Баланс!$B$7,Баланс!$A$1:$B$3,2,0)</f>
        <v>31.290509</v>
      </c>
      <c r="I169" s="620">
        <f>Ввод!J558/VLOOKUP(Баланс!$B$7,Баланс!$A$1:$B$3,2,0)</f>
        <v>49.072308999999997</v>
      </c>
      <c r="J169" s="620">
        <f>Ввод!K558/VLOOKUP(Баланс!$B$7,Баланс!$A$1:$B$3,2,0)</f>
        <v>54.585675000000002</v>
      </c>
      <c r="K169" s="620">
        <f>Ввод!L558/VLOOKUP(Баланс!$B$7,Баланс!$A$1:$B$3,2,0)</f>
        <v>42.612000000000002</v>
      </c>
      <c r="L169" s="620">
        <f>Ввод!M558/VLOOKUP(Баланс!$B$7,Баланс!$A$1:$B$3,2,0)</f>
        <v>52.838880000000003</v>
      </c>
      <c r="M169" s="620">
        <f>Ввод!N558/VLOOKUP(Баланс!$B$7,Баланс!$A$1:$B$3,2,0)</f>
        <v>23.993189999999998</v>
      </c>
      <c r="N169" s="620">
        <f>Ввод!O558/VLOOKUP(Баланс!$B$7,Баланс!$A$1:$B$3,2,0)</f>
        <v>27.096679999999999</v>
      </c>
      <c r="O169" s="620">
        <f>Ввод!P558/VLOOKUP(Баланс!$B$7,Баланс!$A$1:$B$3,2,0)</f>
        <v>0</v>
      </c>
      <c r="P169" s="4"/>
      <c r="Q169" s="690"/>
      <c r="R169" s="690">
        <f t="shared" ref="R169:R181" si="62">F169/F$186</f>
        <v>0.3486241970402949</v>
      </c>
      <c r="S169" s="690">
        <f t="shared" ref="S169:S181" si="63">G169/G$186</f>
        <v>0.18214600067920658</v>
      </c>
      <c r="T169" s="690">
        <f t="shared" ref="T169:T181" si="64">H169/H$186</f>
        <v>0.1928373651771976</v>
      </c>
      <c r="U169" s="690">
        <f t="shared" ref="U169:U181" si="65">I169/I$186</f>
        <v>0.26236857794634683</v>
      </c>
      <c r="V169" s="690">
        <f t="shared" ref="V169:V181" si="66">J169/J$186</f>
        <v>0.32849857731814847</v>
      </c>
      <c r="W169" s="690">
        <f t="shared" ref="W169:W181" si="67">K169/K$186</f>
        <v>0.241968157133617</v>
      </c>
      <c r="X169" s="690">
        <f t="shared" ref="X169:X181" si="68">L169/L$186</f>
        <v>0.24041457095954433</v>
      </c>
      <c r="Y169" s="690">
        <f t="shared" ref="Y169:Y181" si="69">M169/M$186</f>
        <v>0.10166958975545783</v>
      </c>
      <c r="Z169" s="690">
        <f t="shared" ref="Z169:Z181" si="70">N169/N$186</f>
        <v>9.0699949024366414E-2</v>
      </c>
      <c r="AA169" s="690" t="e">
        <f t="shared" ref="AA169:AA181" si="71">O169/O$186</f>
        <v>#DIV/0!</v>
      </c>
      <c r="AB169" s="690" t="e">
        <f t="shared" ref="AB169:AB181" si="72">P169/P$186</f>
        <v>#DIV/0!</v>
      </c>
      <c r="AC169" s="4"/>
      <c r="AD169" s="4"/>
      <c r="AE169" s="4"/>
      <c r="AF169" s="4"/>
      <c r="AG169" s="4"/>
      <c r="AH169" s="4"/>
      <c r="AI169" s="4"/>
      <c r="AJ169" s="4"/>
    </row>
    <row r="170" spans="1:36" s="1" customFormat="1" ht="14.25" x14ac:dyDescent="0.2">
      <c r="A170" s="4"/>
      <c r="B170" s="4" t="str">
        <f>Ввод!E559</f>
        <v>Строительство и девелопмент</v>
      </c>
      <c r="C170" s="4"/>
      <c r="D170" s="4"/>
      <c r="E170" s="620"/>
      <c r="F170" s="620">
        <f>Ввод!G559/VLOOKUP(Баланс!$B$7,Баланс!$A$1:$B$3,2,0)</f>
        <v>51.908974999999998</v>
      </c>
      <c r="G170" s="620">
        <f>Ввод!H559/VLOOKUP(Баланс!$B$7,Баланс!$A$1:$B$3,2,0)</f>
        <v>48.953173999999997</v>
      </c>
      <c r="H170" s="620">
        <f>Ввод!I559/VLOOKUP(Баланс!$B$7,Баланс!$A$1:$B$3,2,0)</f>
        <v>49.346822000000003</v>
      </c>
      <c r="I170" s="620">
        <f>Ввод!J559/VLOOKUP(Баланс!$B$7,Баланс!$A$1:$B$3,2,0)</f>
        <v>37.704560000000001</v>
      </c>
      <c r="J170" s="620">
        <f>Ввод!K559/VLOOKUP(Баланс!$B$7,Баланс!$A$1:$B$3,2,0)</f>
        <v>39.604489999999998</v>
      </c>
      <c r="K170" s="620">
        <f>Ввод!L559/VLOOKUP(Баланс!$B$7,Баланс!$A$1:$B$3,2,0)</f>
        <v>40.497300000000003</v>
      </c>
      <c r="L170" s="620">
        <f>Ввод!M559/VLOOKUP(Баланс!$B$7,Баланс!$A$1:$B$3,2,0)</f>
        <v>50.216652000000003</v>
      </c>
      <c r="M170" s="620">
        <f>Ввод!N559/VLOOKUP(Баланс!$B$7,Баланс!$A$1:$B$3,2,0)</f>
        <v>47.207160000000002</v>
      </c>
      <c r="N170" s="620">
        <f>Ввод!O559/VLOOKUP(Баланс!$B$7,Баланс!$A$1:$B$3,2,0)</f>
        <v>60.702170000000002</v>
      </c>
      <c r="O170" s="620">
        <f>Ввод!P559/VLOOKUP(Баланс!$B$7,Баланс!$A$1:$B$3,2,0)</f>
        <v>0</v>
      </c>
      <c r="P170" s="4"/>
      <c r="Q170" s="690"/>
      <c r="R170" s="690">
        <f t="shared" si="62"/>
        <v>0.29062040810618189</v>
      </c>
      <c r="S170" s="690">
        <f t="shared" si="63"/>
        <v>0.33043783927969139</v>
      </c>
      <c r="T170" s="690">
        <f t="shared" si="64"/>
        <v>0.30411493575729842</v>
      </c>
      <c r="U170" s="690">
        <f t="shared" si="65"/>
        <v>0.20159010225691051</v>
      </c>
      <c r="V170" s="690">
        <f t="shared" si="66"/>
        <v>0.23834126115342233</v>
      </c>
      <c r="W170" s="690">
        <f t="shared" si="67"/>
        <v>0.22996003590273228</v>
      </c>
      <c r="X170" s="690">
        <f t="shared" si="68"/>
        <v>0.22848354934102963</v>
      </c>
      <c r="Y170" s="690">
        <f t="shared" si="69"/>
        <v>0.20003728519301764</v>
      </c>
      <c r="Z170" s="690">
        <f t="shared" si="70"/>
        <v>0.20318665329732</v>
      </c>
      <c r="AA170" s="690" t="e">
        <f t="shared" si="71"/>
        <v>#DIV/0!</v>
      </c>
      <c r="AB170" s="690" t="e">
        <f t="shared" si="72"/>
        <v>#DIV/0!</v>
      </c>
      <c r="AC170" s="4"/>
      <c r="AD170" s="4"/>
      <c r="AE170" s="4"/>
      <c r="AF170" s="4"/>
      <c r="AG170" s="4"/>
      <c r="AH170" s="4"/>
      <c r="AI170" s="4"/>
      <c r="AJ170" s="4"/>
    </row>
    <row r="171" spans="1:36" s="1" customFormat="1" ht="14.25" x14ac:dyDescent="0.2">
      <c r="A171" s="4"/>
      <c r="B171" s="4" t="str">
        <f>Ввод!E560</f>
        <v>Торговля</v>
      </c>
      <c r="C171" s="4"/>
      <c r="D171" s="4"/>
      <c r="E171" s="620"/>
      <c r="F171" s="620">
        <f>Ввод!G560/VLOOKUP(Баланс!$B$7,Баланс!$A$1:$B$3,2,0)</f>
        <v>23.272106999999998</v>
      </c>
      <c r="G171" s="620">
        <f>Ввод!H560/VLOOKUP(Баланс!$B$7,Баланс!$A$1:$B$3,2,0)</f>
        <v>20.995647000000002</v>
      </c>
      <c r="H171" s="620">
        <f>Ввод!I560/VLOOKUP(Баланс!$B$7,Баланс!$A$1:$B$3,2,0)</f>
        <v>26.683233999999999</v>
      </c>
      <c r="I171" s="620">
        <f>Ввод!J560/VLOOKUP(Баланс!$B$7,Баланс!$A$1:$B$3,2,0)</f>
        <v>27.704384000000001</v>
      </c>
      <c r="J171" s="620">
        <f>Ввод!K560/VLOOKUP(Баланс!$B$7,Баланс!$A$1:$B$3,2,0)</f>
        <v>13.105472000000001</v>
      </c>
      <c r="K171" s="620">
        <f>Ввод!L560/VLOOKUP(Баланс!$B$7,Баланс!$A$1:$B$3,2,0)</f>
        <v>10.751580000000001</v>
      </c>
      <c r="L171" s="620">
        <f>Ввод!M560/VLOOKUP(Баланс!$B$7,Баланс!$A$1:$B$3,2,0)</f>
        <v>13.3319592</v>
      </c>
      <c r="M171" s="620">
        <f>Ввод!N560/VLOOKUP(Баланс!$B$7,Баланс!$A$1:$B$3,2,0)</f>
        <v>41.325569999999999</v>
      </c>
      <c r="N171" s="620">
        <f>Ввод!O560/VLOOKUP(Баланс!$B$7,Баланс!$A$1:$B$3,2,0)</f>
        <v>53.854170000000003</v>
      </c>
      <c r="O171" s="620">
        <f>Ввод!P560/VLOOKUP(Баланс!$B$7,Баланс!$A$1:$B$3,2,0)</f>
        <v>0</v>
      </c>
      <c r="P171" s="4"/>
      <c r="Q171" s="690"/>
      <c r="R171" s="690">
        <f t="shared" si="62"/>
        <v>0.13029248282846523</v>
      </c>
      <c r="S171" s="690">
        <f t="shared" si="63"/>
        <v>0.1417222962694745</v>
      </c>
      <c r="T171" s="690">
        <f t="shared" si="64"/>
        <v>0.16444361895700113</v>
      </c>
      <c r="U171" s="690">
        <f t="shared" si="65"/>
        <v>0.14812345253530915</v>
      </c>
      <c r="V171" s="690">
        <f t="shared" si="66"/>
        <v>7.886920711492218E-2</v>
      </c>
      <c r="W171" s="690">
        <f t="shared" si="67"/>
        <v>6.1051816363340235E-2</v>
      </c>
      <c r="X171" s="690">
        <f t="shared" si="68"/>
        <v>6.0659825702553682E-2</v>
      </c>
      <c r="Y171" s="690">
        <f t="shared" si="69"/>
        <v>0.17511442823194645</v>
      </c>
      <c r="Z171" s="690">
        <f t="shared" si="70"/>
        <v>0.18026453697462433</v>
      </c>
      <c r="AA171" s="690" t="e">
        <f t="shared" si="71"/>
        <v>#DIV/0!</v>
      </c>
      <c r="AB171" s="690" t="e">
        <f t="shared" si="72"/>
        <v>#DIV/0!</v>
      </c>
      <c r="AC171" s="4"/>
      <c r="AD171" s="4"/>
      <c r="AE171" s="4"/>
      <c r="AF171" s="4"/>
      <c r="AG171" s="4"/>
      <c r="AH171" s="4"/>
      <c r="AI171" s="4"/>
      <c r="AJ171" s="4"/>
    </row>
    <row r="172" spans="1:36" s="1" customFormat="1" ht="14.25" x14ac:dyDescent="0.2">
      <c r="A172" s="4"/>
      <c r="B172" s="4" t="str">
        <f>Ввод!E561</f>
        <v>Сельское хозяйство и пищевая отрасль</v>
      </c>
      <c r="C172" s="4"/>
      <c r="D172" s="4"/>
      <c r="E172" s="620"/>
      <c r="F172" s="620">
        <f>Ввод!G561/VLOOKUP(Баланс!$B$7,Баланс!$A$1:$B$3,2,0)</f>
        <v>19.824883</v>
      </c>
      <c r="G172" s="620">
        <f>Ввод!H561/VLOOKUP(Баланс!$B$7,Баланс!$A$1:$B$3,2,0)</f>
        <v>20.741313000000002</v>
      </c>
      <c r="H172" s="620">
        <f>Ввод!I561/VLOOKUP(Баланс!$B$7,Баланс!$A$1:$B$3,2,0)</f>
        <v>19.688848999999998</v>
      </c>
      <c r="I172" s="620">
        <f>Ввод!J561/VLOOKUP(Баланс!$B$7,Баланс!$A$1:$B$3,2,0)</f>
        <v>21.483711</v>
      </c>
      <c r="J172" s="620">
        <f>Ввод!K561/VLOOKUP(Баланс!$B$7,Баланс!$A$1:$B$3,2,0)</f>
        <v>18.165481</v>
      </c>
      <c r="K172" s="620">
        <f>Ввод!L561/VLOOKUP(Баланс!$B$7,Баланс!$A$1:$B$3,2,0)</f>
        <v>12.88006</v>
      </c>
      <c r="L172" s="620">
        <f>Ввод!M561/VLOOKUP(Баланс!$B$7,Баланс!$A$1:$B$3,2,0)</f>
        <v>15.9712744</v>
      </c>
      <c r="M172" s="620">
        <f>Ввод!N561/VLOOKUP(Баланс!$B$7,Баланс!$A$1:$B$3,2,0)</f>
        <v>17.77347</v>
      </c>
      <c r="N172" s="620">
        <f>Ввод!O561/VLOOKUP(Баланс!$B$7,Баланс!$A$1:$B$3,2,0)</f>
        <v>14.09404</v>
      </c>
      <c r="O172" s="620">
        <f>Ввод!P561/VLOOKUP(Баланс!$B$7,Баланс!$A$1:$B$3,2,0)</f>
        <v>0</v>
      </c>
      <c r="P172" s="4"/>
      <c r="Q172" s="690"/>
      <c r="R172" s="690">
        <f t="shared" si="62"/>
        <v>0.11099266722406495</v>
      </c>
      <c r="S172" s="690">
        <f t="shared" si="63"/>
        <v>0.14000552143041378</v>
      </c>
      <c r="T172" s="690">
        <f t="shared" si="64"/>
        <v>0.12133857472665917</v>
      </c>
      <c r="U172" s="690">
        <f t="shared" si="65"/>
        <v>0.11486418346608245</v>
      </c>
      <c r="V172" s="690">
        <f t="shared" si="66"/>
        <v>0.10932052529898836</v>
      </c>
      <c r="W172" s="690">
        <f t="shared" si="67"/>
        <v>7.3138186003248271E-2</v>
      </c>
      <c r="X172" s="690">
        <f t="shared" si="68"/>
        <v>7.2668593326602568E-2</v>
      </c>
      <c r="Y172" s="690">
        <f t="shared" si="69"/>
        <v>7.531392880358706E-2</v>
      </c>
      <c r="Z172" s="690">
        <f t="shared" si="70"/>
        <v>4.7176580656648016E-2</v>
      </c>
      <c r="AA172" s="690" t="e">
        <f t="shared" si="71"/>
        <v>#DIV/0!</v>
      </c>
      <c r="AB172" s="690" t="e">
        <f t="shared" si="72"/>
        <v>#DIV/0!</v>
      </c>
      <c r="AC172" s="4"/>
      <c r="AD172" s="4"/>
      <c r="AE172" s="4"/>
      <c r="AF172" s="4"/>
      <c r="AG172" s="4"/>
      <c r="AH172" s="4"/>
      <c r="AI172" s="4"/>
      <c r="AJ172" s="4"/>
    </row>
    <row r="173" spans="1:36" s="1" customFormat="1" ht="14.25" x14ac:dyDescent="0.2">
      <c r="A173" s="4"/>
      <c r="B173" s="4" t="str">
        <f>Ввод!E562</f>
        <v>Производство</v>
      </c>
      <c r="C173" s="4"/>
      <c r="D173" s="4"/>
      <c r="E173" s="620"/>
      <c r="F173" s="620">
        <f>Ввод!G562/VLOOKUP(Баланс!$B$7,Баланс!$A$1:$B$3,2,0)</f>
        <v>9.9824629999999992</v>
      </c>
      <c r="G173" s="620">
        <f>Ввод!H562/VLOOKUP(Баланс!$B$7,Баланс!$A$1:$B$3,2,0)</f>
        <v>8.2579499999999992</v>
      </c>
      <c r="H173" s="620">
        <f>Ввод!I562/VLOOKUP(Баланс!$B$7,Баланс!$A$1:$B$3,2,0)</f>
        <v>13.206097</v>
      </c>
      <c r="I173" s="620">
        <f>Ввод!J562/VLOOKUP(Баланс!$B$7,Баланс!$A$1:$B$3,2,0)</f>
        <v>20.816507999999999</v>
      </c>
      <c r="J173" s="620">
        <f>Ввод!K562/VLOOKUP(Баланс!$B$7,Баланс!$A$1:$B$3,2,0)</f>
        <v>16.011619</v>
      </c>
      <c r="K173" s="620">
        <f>Ввод!L562/VLOOKUP(Баланс!$B$7,Баланс!$A$1:$B$3,2,0)</f>
        <v>19.317440000000001</v>
      </c>
      <c r="L173" s="620">
        <f>Ввод!M562/VLOOKUP(Баланс!$B$7,Баланс!$A$1:$B$3,2,0)</f>
        <v>23.953625600000002</v>
      </c>
      <c r="M173" s="620">
        <f>Ввод!N562/VLOOKUP(Баланс!$B$7,Баланс!$A$1:$B$3,2,0)</f>
        <v>45.045000000000002</v>
      </c>
      <c r="N173" s="620">
        <f>Ввод!O562/VLOOKUP(Баланс!$B$7,Баланс!$A$1:$B$3,2,0)</f>
        <v>52.282339999999998</v>
      </c>
      <c r="O173" s="620">
        <f>Ввод!P562/VLOOKUP(Баланс!$B$7,Баланс!$A$1:$B$3,2,0)</f>
        <v>0</v>
      </c>
      <c r="P173" s="4"/>
      <c r="Q173" s="690"/>
      <c r="R173" s="690">
        <f t="shared" si="62"/>
        <v>5.5888359786816451E-2</v>
      </c>
      <c r="S173" s="690">
        <f t="shared" si="63"/>
        <v>5.57418228873112E-2</v>
      </c>
      <c r="T173" s="690">
        <f t="shared" si="64"/>
        <v>8.138662588564774E-2</v>
      </c>
      <c r="U173" s="690">
        <f t="shared" si="65"/>
        <v>0.11129693534022929</v>
      </c>
      <c r="V173" s="690">
        <f t="shared" si="66"/>
        <v>9.635850545148035E-2</v>
      </c>
      <c r="W173" s="690">
        <f t="shared" si="67"/>
        <v>0.10969223123390638</v>
      </c>
      <c r="X173" s="690">
        <f t="shared" si="68"/>
        <v>0.10898793883499343</v>
      </c>
      <c r="Y173" s="690">
        <f t="shared" si="69"/>
        <v>0.19087527213074204</v>
      </c>
      <c r="Z173" s="690">
        <f t="shared" si="70"/>
        <v>0.17500319496243055</v>
      </c>
      <c r="AA173" s="690" t="e">
        <f t="shared" si="71"/>
        <v>#DIV/0!</v>
      </c>
      <c r="AB173" s="690" t="e">
        <f t="shared" si="72"/>
        <v>#DIV/0!</v>
      </c>
      <c r="AC173" s="4"/>
      <c r="AD173" s="4"/>
      <c r="AE173" s="4"/>
      <c r="AF173" s="4"/>
      <c r="AG173" s="4"/>
      <c r="AH173" s="4"/>
      <c r="AI173" s="4"/>
      <c r="AJ173" s="4"/>
    </row>
    <row r="174" spans="1:36" s="1" customFormat="1" ht="14.25" x14ac:dyDescent="0.2">
      <c r="A174" s="4"/>
      <c r="B174" s="4" t="str">
        <f>Ввод!E563</f>
        <v xml:space="preserve">Транспорт </v>
      </c>
      <c r="C174" s="4"/>
      <c r="D174" s="4"/>
      <c r="E174" s="620"/>
      <c r="F174" s="620">
        <f>Ввод!G563/VLOOKUP(Баланс!$B$7,Баланс!$A$1:$B$3,2,0)</f>
        <v>2.8225280000000001</v>
      </c>
      <c r="G174" s="620">
        <f>Ввод!H563/VLOOKUP(Баланс!$B$7,Баланс!$A$1:$B$3,2,0)</f>
        <v>3.5198320000000001</v>
      </c>
      <c r="H174" s="620">
        <f>Ввод!I563/VLOOKUP(Баланс!$B$7,Баланс!$A$1:$B$3,2,0)</f>
        <v>2.8602219999999998</v>
      </c>
      <c r="I174" s="620">
        <f>Ввод!J563/VLOOKUP(Баланс!$B$7,Баланс!$A$1:$B$3,2,0)</f>
        <v>1.7322569999999999</v>
      </c>
      <c r="J174" s="620">
        <f>Ввод!K563/VLOOKUP(Баланс!$B$7,Баланс!$A$1:$B$3,2,0)</f>
        <v>4.3670070000000001</v>
      </c>
      <c r="K174" s="620">
        <f>Ввод!L563/VLOOKUP(Баланс!$B$7,Баланс!$A$1:$B$3,2,0)</f>
        <v>4.0746399999999996</v>
      </c>
      <c r="L174" s="620">
        <f>Ввод!M563/VLOOKUP(Баланс!$B$7,Баланс!$A$1:$B$3,2,0)</f>
        <v>5.0525535999999995</v>
      </c>
      <c r="M174" s="620">
        <f>Ввод!N563/VLOOKUP(Баланс!$B$7,Баланс!$A$1:$B$3,2,0)</f>
        <v>9.9297900000000006</v>
      </c>
      <c r="N174" s="620">
        <f>Ввод!O563/VLOOKUP(Баланс!$B$7,Баланс!$A$1:$B$3,2,0)</f>
        <v>36.055790000000002</v>
      </c>
      <c r="O174" s="620">
        <f>Ввод!P563/VLOOKUP(Баланс!$B$7,Баланс!$A$1:$B$3,2,0)</f>
        <v>0</v>
      </c>
      <c r="P174" s="4"/>
      <c r="Q174" s="690"/>
      <c r="R174" s="690">
        <f t="shared" si="62"/>
        <v>1.5802358633572045E-2</v>
      </c>
      <c r="S174" s="690">
        <f t="shared" si="63"/>
        <v>2.3759147480559992E-2</v>
      </c>
      <c r="T174" s="690">
        <f t="shared" si="64"/>
        <v>1.7626995914379481E-2</v>
      </c>
      <c r="U174" s="690">
        <f t="shared" si="65"/>
        <v>9.2616348199063732E-3</v>
      </c>
      <c r="V174" s="690">
        <f t="shared" si="66"/>
        <v>2.628080694501617E-2</v>
      </c>
      <c r="W174" s="690">
        <f t="shared" si="67"/>
        <v>2.3137452637353822E-2</v>
      </c>
      <c r="X174" s="690">
        <f t="shared" si="68"/>
        <v>2.2988895790260901E-2</v>
      </c>
      <c r="Y174" s="690">
        <f t="shared" si="69"/>
        <v>4.207684245645734E-2</v>
      </c>
      <c r="Z174" s="690">
        <f t="shared" si="70"/>
        <v>0.12068852401966811</v>
      </c>
      <c r="AA174" s="690" t="e">
        <f t="shared" si="71"/>
        <v>#DIV/0!</v>
      </c>
      <c r="AB174" s="690" t="e">
        <f t="shared" si="72"/>
        <v>#DIV/0!</v>
      </c>
      <c r="AC174" s="4"/>
      <c r="AD174" s="4"/>
      <c r="AE174" s="4"/>
      <c r="AF174" s="4"/>
      <c r="AG174" s="4"/>
      <c r="AH174" s="4"/>
      <c r="AI174" s="4"/>
      <c r="AJ174" s="4"/>
    </row>
    <row r="175" spans="1:36" s="1" customFormat="1" ht="14.25" x14ac:dyDescent="0.2">
      <c r="A175" s="4"/>
      <c r="B175" s="4" t="str">
        <f>Ввод!E564</f>
        <v xml:space="preserve">Химическая производство </v>
      </c>
      <c r="C175" s="4"/>
      <c r="D175" s="4"/>
      <c r="E175" s="620"/>
      <c r="F175" s="620">
        <f>Ввод!G564/VLOOKUP(Баланс!$B$7,Баланс!$A$1:$B$3,2,0)</f>
        <v>4.459994</v>
      </c>
      <c r="G175" s="620">
        <f>Ввод!H564/VLOOKUP(Баланс!$B$7,Баланс!$A$1:$B$3,2,0)</f>
        <v>5.7396180000000001</v>
      </c>
      <c r="H175" s="620">
        <f>Ввод!I564/VLOOKUP(Баланс!$B$7,Баланс!$A$1:$B$3,2,0)</f>
        <v>11.962332</v>
      </c>
      <c r="I175" s="620">
        <f>Ввод!J564/VLOOKUP(Баланс!$B$7,Баланс!$A$1:$B$3,2,0)</f>
        <v>8.4346879999999995</v>
      </c>
      <c r="J175" s="620">
        <f>Ввод!K564/VLOOKUP(Баланс!$B$7,Баланс!$A$1:$B$3,2,0)</f>
        <v>3.382098</v>
      </c>
      <c r="K175" s="620">
        <f>Ввод!L564/VLOOKUP(Баланс!$B$7,Баланс!$A$1:$B$3,2,0)</f>
        <v>8.7471200000000007</v>
      </c>
      <c r="L175" s="620">
        <f>Ввод!M564/VLOOKUP(Баланс!$B$7,Баланс!$A$1:$B$3,2,0)</f>
        <v>10.8464288</v>
      </c>
      <c r="M175" s="620">
        <f>Ввод!N564/VLOOKUP(Баланс!$B$7,Баланс!$A$1:$B$3,2,0)</f>
        <v>7.3873800000000003</v>
      </c>
      <c r="N175" s="620">
        <f>Ввод!O564/VLOOKUP(Баланс!$B$7,Баланс!$A$1:$B$3,2,0)</f>
        <v>9.0650399999999998</v>
      </c>
      <c r="O175" s="620">
        <f>Ввод!P564/VLOOKUP(Баланс!$B$7,Баланс!$A$1:$B$3,2,0)</f>
        <v>0</v>
      </c>
      <c r="P175" s="4"/>
      <c r="Q175" s="690"/>
      <c r="R175" s="690">
        <f t="shared" si="62"/>
        <v>2.4969964759102303E-2</v>
      </c>
      <c r="S175" s="690">
        <f t="shared" si="63"/>
        <v>3.874288049659097E-2</v>
      </c>
      <c r="T175" s="690">
        <f t="shared" si="64"/>
        <v>7.372154234547211E-2</v>
      </c>
      <c r="U175" s="690">
        <f t="shared" si="65"/>
        <v>4.5096657179533088E-2</v>
      </c>
      <c r="V175" s="690">
        <f t="shared" si="66"/>
        <v>2.0353588763912057E-2</v>
      </c>
      <c r="W175" s="690">
        <f t="shared" si="67"/>
        <v>4.9669682404641979E-2</v>
      </c>
      <c r="X175" s="690">
        <f t="shared" si="68"/>
        <v>4.9350772128312431E-2</v>
      </c>
      <c r="Y175" s="690">
        <f t="shared" si="69"/>
        <v>3.1303544629441696E-2</v>
      </c>
      <c r="Z175" s="690">
        <f t="shared" si="70"/>
        <v>3.0343151482168387E-2</v>
      </c>
      <c r="AA175" s="690" t="e">
        <f t="shared" si="71"/>
        <v>#DIV/0!</v>
      </c>
      <c r="AB175" s="690" t="e">
        <f t="shared" si="72"/>
        <v>#DIV/0!</v>
      </c>
      <c r="AC175" s="4"/>
      <c r="AD175" s="4"/>
      <c r="AE175" s="4"/>
      <c r="AF175" s="4"/>
      <c r="AG175" s="4"/>
      <c r="AH175" s="4"/>
      <c r="AI175" s="4"/>
      <c r="AJ175" s="4"/>
    </row>
    <row r="176" spans="1:36" s="1" customFormat="1" ht="14.25" x14ac:dyDescent="0.2">
      <c r="A176" s="4"/>
      <c r="B176" s="4" t="str">
        <f>Ввод!E565</f>
        <v xml:space="preserve">Телекоммуникации </v>
      </c>
      <c r="C176" s="4"/>
      <c r="D176" s="4"/>
      <c r="E176" s="620"/>
      <c r="F176" s="620">
        <f>Ввод!G565/VLOOKUP(Баланс!$B$7,Баланс!$A$1:$B$3,2,0)</f>
        <v>0.81656200000000001</v>
      </c>
      <c r="G176" s="620">
        <f>Ввод!H565/VLOOKUP(Баланс!$B$7,Баланс!$A$1:$B$3,2,0)</f>
        <v>0.27375699999999997</v>
      </c>
      <c r="H176" s="620">
        <f>Ввод!I565/VLOOKUP(Баланс!$B$7,Баланс!$A$1:$B$3,2,0)</f>
        <v>4.535253</v>
      </c>
      <c r="I176" s="620">
        <f>Ввод!J565/VLOOKUP(Баланс!$B$7,Баланс!$A$1:$B$3,2,0)</f>
        <v>1.3828830000000001</v>
      </c>
      <c r="J176" s="620">
        <f>Ввод!K565/VLOOKUP(Баланс!$B$7,Баланс!$A$1:$B$3,2,0)</f>
        <v>2.4160210000000002</v>
      </c>
      <c r="K176" s="620">
        <f>Ввод!L565/VLOOKUP(Баланс!$B$7,Баланс!$A$1:$B$3,2,0)</f>
        <v>5.76004</v>
      </c>
      <c r="L176" s="620">
        <f>Ввод!M565/VLOOKUP(Баланс!$B$7,Баланс!$A$1:$B$3,2,0)</f>
        <v>7.1424496</v>
      </c>
      <c r="M176" s="620">
        <f>Ввод!N565/VLOOKUP(Баланс!$B$7,Баланс!$A$1:$B$3,2,0)</f>
        <v>7.6260599999999998</v>
      </c>
      <c r="N176" s="620">
        <f>Ввод!O565/VLOOKUP(Баланс!$B$7,Баланс!$A$1:$B$3,2,0)</f>
        <v>8.1320000000000014</v>
      </c>
      <c r="O176" s="620">
        <f>Ввод!P565/VLOOKUP(Баланс!$B$7,Баланс!$A$1:$B$3,2,0)</f>
        <v>0</v>
      </c>
      <c r="P176" s="4"/>
      <c r="Q176" s="690"/>
      <c r="R176" s="690">
        <f t="shared" si="62"/>
        <v>4.5716483841956052E-3</v>
      </c>
      <c r="S176" s="690">
        <f t="shared" si="63"/>
        <v>1.8478816423157869E-3</v>
      </c>
      <c r="T176" s="690">
        <f t="shared" si="64"/>
        <v>2.7949888540706732E-2</v>
      </c>
      <c r="U176" s="690">
        <f t="shared" si="65"/>
        <v>7.393681967893093E-3</v>
      </c>
      <c r="V176" s="690">
        <f t="shared" si="66"/>
        <v>1.453970224368885E-2</v>
      </c>
      <c r="W176" s="690">
        <f t="shared" si="67"/>
        <v>3.2707834971743156E-2</v>
      </c>
      <c r="X176" s="690">
        <f t="shared" si="68"/>
        <v>3.2497830313287658E-2</v>
      </c>
      <c r="Y176" s="690">
        <f t="shared" si="69"/>
        <v>3.2314935681770816E-2</v>
      </c>
      <c r="Z176" s="690">
        <f t="shared" si="70"/>
        <v>2.7220013133201108E-2</v>
      </c>
      <c r="AA176" s="690" t="e">
        <f t="shared" si="71"/>
        <v>#DIV/0!</v>
      </c>
      <c r="AB176" s="690" t="e">
        <f t="shared" si="72"/>
        <v>#DIV/0!</v>
      </c>
      <c r="AC176" s="4"/>
      <c r="AD176" s="4"/>
      <c r="AE176" s="4"/>
      <c r="AF176" s="4"/>
      <c r="AG176" s="4"/>
      <c r="AH176" s="4"/>
      <c r="AI176" s="4"/>
      <c r="AJ176" s="4"/>
    </row>
    <row r="177" spans="1:36" s="1" customFormat="1" ht="14.25" x14ac:dyDescent="0.2">
      <c r="A177" s="4"/>
      <c r="B177" s="4" t="str">
        <f>Ввод!E566</f>
        <v>Нефтегазовая отрасль</v>
      </c>
      <c r="C177" s="4"/>
      <c r="D177" s="4"/>
      <c r="E177" s="620"/>
      <c r="F177" s="620">
        <f>Ввод!G566/VLOOKUP(Баланс!$B$7,Баланс!$A$1:$B$3,2,0)</f>
        <v>0.56981400000000004</v>
      </c>
      <c r="G177" s="620">
        <f>Ввод!H566/VLOOKUP(Баланс!$B$7,Баланс!$A$1:$B$3,2,0)</f>
        <v>10.131157999999999</v>
      </c>
      <c r="H177" s="620">
        <f>Ввод!I566/VLOOKUP(Баланс!$B$7,Баланс!$A$1:$B$3,2,0)</f>
        <v>4.8531999999999999E-2</v>
      </c>
      <c r="I177" s="620">
        <f>Ввод!J566/VLOOKUP(Баланс!$B$7,Баланс!$A$1:$B$3,2,0)</f>
        <v>0.44955099999999998</v>
      </c>
      <c r="J177" s="620">
        <f>Ввод!K566/VLOOKUP(Баланс!$B$7,Баланс!$A$1:$B$3,2,0)</f>
        <v>3.4586790000000001</v>
      </c>
      <c r="K177" s="620">
        <f>Ввод!L566/VLOOKUP(Баланс!$B$7,Баланс!$A$1:$B$3,2,0)</f>
        <v>16.568860000000001</v>
      </c>
      <c r="L177" s="620">
        <f>Ввод!M566/VLOOKUP(Баланс!$B$7,Баланс!$A$1:$B$3,2,0)</f>
        <v>20.545386399999998</v>
      </c>
      <c r="M177" s="620">
        <f>Ввод!N566/VLOOKUP(Баланс!$B$7,Баланс!$A$1:$B$3,2,0)</f>
        <v>18.06363</v>
      </c>
      <c r="N177" s="620">
        <f>Ввод!O566/VLOOKUP(Баланс!$B$7,Баланс!$A$1:$B$3,2,0)</f>
        <v>21.178509999999999</v>
      </c>
      <c r="O177" s="620">
        <f>Ввод!P566/VLOOKUP(Баланс!$B$7,Баланс!$A$1:$B$3,2,0)</f>
        <v>0</v>
      </c>
      <c r="P177" s="4"/>
      <c r="Q177" s="690"/>
      <c r="R177" s="690">
        <f t="shared" si="62"/>
        <v>3.1901916234064712E-3</v>
      </c>
      <c r="S177" s="690">
        <f t="shared" si="63"/>
        <v>6.8386126687539392E-2</v>
      </c>
      <c r="T177" s="690">
        <f t="shared" si="64"/>
        <v>2.9909334510281547E-4</v>
      </c>
      <c r="U177" s="690">
        <f t="shared" si="65"/>
        <v>2.4035562823089933E-3</v>
      </c>
      <c r="V177" s="690">
        <f t="shared" si="66"/>
        <v>2.0814456007004701E-2</v>
      </c>
      <c r="W177" s="690">
        <f t="shared" si="67"/>
        <v>9.4084683187949436E-2</v>
      </c>
      <c r="X177" s="690">
        <f t="shared" si="68"/>
        <v>9.3480600961906385E-2</v>
      </c>
      <c r="Y177" s="690">
        <f t="shared" si="69"/>
        <v>7.6543463024065617E-2</v>
      </c>
      <c r="Z177" s="690">
        <f t="shared" si="70"/>
        <v>7.0890226308611762E-2</v>
      </c>
      <c r="AA177" s="690" t="e">
        <f t="shared" si="71"/>
        <v>#DIV/0!</v>
      </c>
      <c r="AB177" s="690" t="e">
        <f t="shared" si="72"/>
        <v>#DIV/0!</v>
      </c>
      <c r="AC177" s="4"/>
      <c r="AD177" s="4"/>
      <c r="AE177" s="4"/>
      <c r="AF177" s="4"/>
      <c r="AG177" s="4"/>
      <c r="AH177" s="4"/>
      <c r="AI177" s="4"/>
      <c r="AJ177" s="4"/>
    </row>
    <row r="178" spans="1:36" s="1" customFormat="1" ht="14.25" x14ac:dyDescent="0.2">
      <c r="A178" s="4"/>
      <c r="B178" s="4" t="str">
        <f>Ввод!E567</f>
        <v>Прочие</v>
      </c>
      <c r="C178" s="4"/>
      <c r="D178" s="4"/>
      <c r="E178" s="620"/>
      <c r="F178" s="620">
        <f>Ввод!G567/VLOOKUP(Баланс!$B$7,Баланс!$A$1:$B$3,2,0)</f>
        <v>2.6877390000000001</v>
      </c>
      <c r="G178" s="620">
        <f>Ввод!H567/VLOOKUP(Баланс!$B$7,Баланс!$A$1:$B$3,2,0)</f>
        <v>2.549671</v>
      </c>
      <c r="H178" s="620">
        <f>Ввод!I567/VLOOKUP(Баланс!$B$7,Баланс!$A$1:$B$3,2,0)</f>
        <v>2.6418740000000001</v>
      </c>
      <c r="I178" s="620">
        <f>Ввод!J567/VLOOKUP(Баланс!$B$7,Баланс!$A$1:$B$3,2,0)</f>
        <v>18.254919000000001</v>
      </c>
      <c r="J178" s="620">
        <f>Ввод!K567/VLOOKUP(Баланс!$B$7,Баланс!$A$1:$B$3,2,0)</f>
        <v>11.070615999999999</v>
      </c>
      <c r="K178" s="620">
        <f>Ввод!L567/VLOOKUP(Баланс!$B$7,Баланс!$A$1:$B$3,2,0)</f>
        <v>14.896777</v>
      </c>
      <c r="L178" s="620">
        <f>Ввод!M567/VLOOKUP(Баланс!$B$7,Баланс!$A$1:$B$3,2,0)</f>
        <v>19.883142979999999</v>
      </c>
      <c r="M178" s="620">
        <f>Ввод!N567/VLOOKUP(Баланс!$B$7,Баланс!$A$1:$B$3,2,0)</f>
        <v>17.640554999999999</v>
      </c>
      <c r="N178" s="620">
        <f>Ввод!O567/VLOOKUP(Баланс!$B$7,Баланс!$A$1:$B$3,2,0)</f>
        <v>16.290034300000002</v>
      </c>
      <c r="O178" s="620">
        <f>Ввод!P567/VLOOKUP(Баланс!$B$7,Баланс!$A$1:$B$3,2,0)</f>
        <v>0</v>
      </c>
      <c r="P178" s="4"/>
      <c r="Q178" s="690"/>
      <c r="R178" s="690">
        <f t="shared" si="62"/>
        <v>1.5047721613900123E-2</v>
      </c>
      <c r="S178" s="690">
        <f t="shared" si="63"/>
        <v>1.7210483146896462E-2</v>
      </c>
      <c r="T178" s="690">
        <f t="shared" si="64"/>
        <v>1.6281359350534812E-2</v>
      </c>
      <c r="U178" s="690">
        <f t="shared" si="65"/>
        <v>9.7601218205480164E-2</v>
      </c>
      <c r="V178" s="690">
        <f t="shared" si="66"/>
        <v>6.6623369703416355E-2</v>
      </c>
      <c r="W178" s="690">
        <f t="shared" si="67"/>
        <v>8.4589920161467463E-2</v>
      </c>
      <c r="X178" s="690">
        <f t="shared" si="68"/>
        <v>9.0467422641508963E-2</v>
      </c>
      <c r="Y178" s="690">
        <f t="shared" si="69"/>
        <v>7.4750710093513639E-2</v>
      </c>
      <c r="Z178" s="690">
        <f t="shared" si="70"/>
        <v>5.4527170140961201E-2</v>
      </c>
      <c r="AA178" s="690" t="e">
        <f t="shared" si="71"/>
        <v>#DIV/0!</v>
      </c>
      <c r="AB178" s="690" t="e">
        <f t="shared" si="72"/>
        <v>#DIV/0!</v>
      </c>
      <c r="AC178" s="4"/>
      <c r="AD178" s="4"/>
      <c r="AE178" s="4"/>
      <c r="AF178" s="4"/>
      <c r="AG178" s="4"/>
      <c r="AH178" s="4"/>
      <c r="AI178" s="4"/>
      <c r="AJ178" s="4"/>
    </row>
    <row r="179" spans="1:36" s="1" customFormat="1" ht="14.25" x14ac:dyDescent="0.2">
      <c r="A179" s="4"/>
      <c r="B179" s="4">
        <f>Ввод!E568</f>
        <v>0</v>
      </c>
      <c r="C179" s="4"/>
      <c r="D179" s="4"/>
      <c r="E179" s="620"/>
      <c r="F179" s="620">
        <f>Ввод!G568/VLOOKUP(Баланс!$B$7,Баланс!$A$1:$B$3,2,0)</f>
        <v>0</v>
      </c>
      <c r="G179" s="620">
        <f>Ввод!H568/VLOOKUP(Баланс!$B$7,Баланс!$A$1:$B$3,2,0)</f>
        <v>0</v>
      </c>
      <c r="H179" s="620">
        <f>Ввод!I568/VLOOKUP(Баланс!$B$7,Баланс!$A$1:$B$3,2,0)</f>
        <v>0</v>
      </c>
      <c r="I179" s="620">
        <f>Ввод!J568/VLOOKUP(Баланс!$B$7,Баланс!$A$1:$B$3,2,0)</f>
        <v>0</v>
      </c>
      <c r="J179" s="620">
        <f>Ввод!K568/VLOOKUP(Баланс!$B$7,Баланс!$A$1:$B$3,2,0)</f>
        <v>0</v>
      </c>
      <c r="K179" s="620">
        <f>Ввод!L568/VLOOKUP(Баланс!$B$7,Баланс!$A$1:$B$3,2,0)</f>
        <v>0</v>
      </c>
      <c r="L179" s="620">
        <f>Ввод!M568/VLOOKUP(Баланс!$B$7,Баланс!$A$1:$B$3,2,0)</f>
        <v>0</v>
      </c>
      <c r="M179" s="620">
        <f>Ввод!N568/VLOOKUP(Баланс!$B$7,Баланс!$A$1:$B$3,2,0)</f>
        <v>0</v>
      </c>
      <c r="N179" s="620">
        <f>Ввод!O568/VLOOKUP(Баланс!$B$7,Баланс!$A$1:$B$3,2,0)</f>
        <v>0</v>
      </c>
      <c r="O179" s="620">
        <f>Ввод!P568/VLOOKUP(Баланс!$B$7,Баланс!$A$1:$B$3,2,0)</f>
        <v>0</v>
      </c>
      <c r="P179" s="4"/>
      <c r="Q179" s="690"/>
      <c r="R179" s="690">
        <f t="shared" si="62"/>
        <v>0</v>
      </c>
      <c r="S179" s="690">
        <f t="shared" si="63"/>
        <v>0</v>
      </c>
      <c r="T179" s="690">
        <f t="shared" si="64"/>
        <v>0</v>
      </c>
      <c r="U179" s="690">
        <f t="shared" si="65"/>
        <v>0</v>
      </c>
      <c r="V179" s="690">
        <f t="shared" si="66"/>
        <v>0</v>
      </c>
      <c r="W179" s="690">
        <f t="shared" si="67"/>
        <v>0</v>
      </c>
      <c r="X179" s="690">
        <f t="shared" si="68"/>
        <v>0</v>
      </c>
      <c r="Y179" s="690">
        <f t="shared" si="69"/>
        <v>0</v>
      </c>
      <c r="Z179" s="690">
        <f t="shared" si="70"/>
        <v>0</v>
      </c>
      <c r="AA179" s="690" t="e">
        <f t="shared" si="71"/>
        <v>#DIV/0!</v>
      </c>
      <c r="AB179" s="690" t="e">
        <f t="shared" si="72"/>
        <v>#DIV/0!</v>
      </c>
      <c r="AC179" s="4"/>
      <c r="AD179" s="4"/>
      <c r="AE179" s="4"/>
      <c r="AF179" s="4"/>
      <c r="AG179" s="4"/>
      <c r="AH179" s="4"/>
      <c r="AI179" s="4"/>
      <c r="AJ179" s="4"/>
    </row>
    <row r="180" spans="1:36" s="1" customFormat="1" ht="14.25" x14ac:dyDescent="0.2">
      <c r="A180" s="4"/>
      <c r="B180" s="4">
        <f>Ввод!E569</f>
        <v>0</v>
      </c>
      <c r="C180" s="4"/>
      <c r="D180" s="4"/>
      <c r="E180" s="620"/>
      <c r="F180" s="620">
        <f>Ввод!G569/VLOOKUP(Баланс!$B$7,Баланс!$A$1:$B$3,2,0)</f>
        <v>0</v>
      </c>
      <c r="G180" s="620">
        <f>Ввод!H569/VLOOKUP(Баланс!$B$7,Баланс!$A$1:$B$3,2,0)</f>
        <v>0</v>
      </c>
      <c r="H180" s="620">
        <f>Ввод!I569/VLOOKUP(Баланс!$B$7,Баланс!$A$1:$B$3,2,0)</f>
        <v>0</v>
      </c>
      <c r="I180" s="620">
        <f>Ввод!J569/VLOOKUP(Баланс!$B$7,Баланс!$A$1:$B$3,2,0)</f>
        <v>0</v>
      </c>
      <c r="J180" s="620">
        <f>Ввод!K569/VLOOKUP(Баланс!$B$7,Баланс!$A$1:$B$3,2,0)</f>
        <v>0</v>
      </c>
      <c r="K180" s="620">
        <f>Ввод!L569/VLOOKUP(Баланс!$B$7,Баланс!$A$1:$B$3,2,0)</f>
        <v>0</v>
      </c>
      <c r="L180" s="620">
        <f>Ввод!M569/VLOOKUP(Баланс!$B$7,Баланс!$A$1:$B$3,2,0)</f>
        <v>0</v>
      </c>
      <c r="M180" s="620">
        <f>Ввод!N569/VLOOKUP(Баланс!$B$7,Баланс!$A$1:$B$3,2,0)</f>
        <v>0</v>
      </c>
      <c r="N180" s="620">
        <f>Ввод!O569/VLOOKUP(Баланс!$B$7,Баланс!$A$1:$B$3,2,0)</f>
        <v>0</v>
      </c>
      <c r="O180" s="620">
        <f>Ввод!P569/VLOOKUP(Баланс!$B$7,Баланс!$A$1:$B$3,2,0)</f>
        <v>0</v>
      </c>
      <c r="P180" s="4"/>
      <c r="Q180" s="690"/>
      <c r="R180" s="690">
        <f t="shared" si="62"/>
        <v>0</v>
      </c>
      <c r="S180" s="690">
        <f t="shared" si="63"/>
        <v>0</v>
      </c>
      <c r="T180" s="690">
        <f t="shared" si="64"/>
        <v>0</v>
      </c>
      <c r="U180" s="690">
        <f t="shared" si="65"/>
        <v>0</v>
      </c>
      <c r="V180" s="690">
        <f t="shared" si="66"/>
        <v>0</v>
      </c>
      <c r="W180" s="690">
        <f t="shared" si="67"/>
        <v>0</v>
      </c>
      <c r="X180" s="690">
        <f t="shared" si="68"/>
        <v>0</v>
      </c>
      <c r="Y180" s="690">
        <f t="shared" si="69"/>
        <v>0</v>
      </c>
      <c r="Z180" s="690">
        <f t="shared" si="70"/>
        <v>0</v>
      </c>
      <c r="AA180" s="690" t="e">
        <f t="shared" si="71"/>
        <v>#DIV/0!</v>
      </c>
      <c r="AB180" s="690" t="e">
        <f t="shared" si="72"/>
        <v>#DIV/0!</v>
      </c>
      <c r="AC180" s="4"/>
      <c r="AD180" s="4"/>
      <c r="AE180" s="4"/>
      <c r="AF180" s="4"/>
      <c r="AG180" s="4"/>
      <c r="AH180" s="4"/>
      <c r="AI180" s="4"/>
      <c r="AJ180" s="4"/>
    </row>
    <row r="181" spans="1:36" s="1" customFormat="1" ht="14.25" x14ac:dyDescent="0.2">
      <c r="A181" s="4"/>
      <c r="B181" s="4">
        <f>Ввод!E570</f>
        <v>0</v>
      </c>
      <c r="C181" s="4"/>
      <c r="D181" s="4"/>
      <c r="E181" s="2216"/>
      <c r="F181" s="620">
        <f>Ввод!G570/VLOOKUP(Баланс!$B$7,Баланс!$A$1:$B$3,2,0)</f>
        <v>0</v>
      </c>
      <c r="G181" s="620">
        <f>Ввод!H570/VLOOKUP(Баланс!$B$7,Баланс!$A$1:$B$3,2,0)</f>
        <v>0</v>
      </c>
      <c r="H181" s="620">
        <f>Ввод!I570/VLOOKUP(Баланс!$B$7,Баланс!$A$1:$B$3,2,0)</f>
        <v>0</v>
      </c>
      <c r="I181" s="620">
        <f>Ввод!J570/VLOOKUP(Баланс!$B$7,Баланс!$A$1:$B$3,2,0)</f>
        <v>0</v>
      </c>
      <c r="J181" s="620">
        <f>Ввод!K570/VLOOKUP(Баланс!$B$7,Баланс!$A$1:$B$3,2,0)</f>
        <v>0</v>
      </c>
      <c r="K181" s="620">
        <f>Ввод!L570/VLOOKUP(Баланс!$B$7,Баланс!$A$1:$B$3,2,0)</f>
        <v>0</v>
      </c>
      <c r="L181" s="620">
        <f>Ввод!M570/VLOOKUP(Баланс!$B$7,Баланс!$A$1:$B$3,2,0)</f>
        <v>0</v>
      </c>
      <c r="M181" s="620">
        <f>Ввод!N570/VLOOKUP(Баланс!$B$7,Баланс!$A$1:$B$3,2,0)</f>
        <v>0</v>
      </c>
      <c r="N181" s="620">
        <f>Ввод!O570/VLOOKUP(Баланс!$B$7,Баланс!$A$1:$B$3,2,0)</f>
        <v>0</v>
      </c>
      <c r="O181" s="620">
        <f>Ввод!P570/VLOOKUP(Баланс!$B$7,Баланс!$A$1:$B$3,2,0)</f>
        <v>0</v>
      </c>
      <c r="P181" s="4"/>
      <c r="Q181" s="690"/>
      <c r="R181" s="690">
        <f t="shared" si="62"/>
        <v>0</v>
      </c>
      <c r="S181" s="690">
        <f t="shared" si="63"/>
        <v>0</v>
      </c>
      <c r="T181" s="690">
        <f t="shared" si="64"/>
        <v>0</v>
      </c>
      <c r="U181" s="690">
        <f t="shared" si="65"/>
        <v>0</v>
      </c>
      <c r="V181" s="690">
        <f t="shared" si="66"/>
        <v>0</v>
      </c>
      <c r="W181" s="690">
        <f t="shared" si="67"/>
        <v>0</v>
      </c>
      <c r="X181" s="690">
        <f t="shared" si="68"/>
        <v>0</v>
      </c>
      <c r="Y181" s="690">
        <f t="shared" si="69"/>
        <v>0</v>
      </c>
      <c r="Z181" s="690">
        <f t="shared" si="70"/>
        <v>0</v>
      </c>
      <c r="AA181" s="690" t="e">
        <f t="shared" si="71"/>
        <v>#DIV/0!</v>
      </c>
      <c r="AB181" s="690" t="e">
        <f t="shared" si="72"/>
        <v>#DIV/0!</v>
      </c>
      <c r="AC181" s="4"/>
      <c r="AD181" s="4"/>
      <c r="AE181" s="4"/>
      <c r="AF181" s="4"/>
      <c r="AG181" s="4"/>
      <c r="AH181" s="4"/>
      <c r="AI181" s="4"/>
      <c r="AJ181" s="4"/>
    </row>
    <row r="182" spans="1:36" s="1" customFormat="1" ht="14.25" x14ac:dyDescent="0.2">
      <c r="A182" s="4"/>
      <c r="B182" s="4">
        <f>Ввод!E571</f>
        <v>0</v>
      </c>
      <c r="C182" s="4"/>
      <c r="D182" s="4"/>
      <c r="E182" s="2216"/>
      <c r="F182" s="620">
        <f>Ввод!G571/VLOOKUP(Баланс!$B$7,Баланс!$A$1:$B$3,2,0)</f>
        <v>0</v>
      </c>
      <c r="G182" s="620">
        <f>Ввод!H571/VLOOKUP(Баланс!$B$7,Баланс!$A$1:$B$3,2,0)</f>
        <v>0</v>
      </c>
      <c r="H182" s="620">
        <f>Ввод!I571/VLOOKUP(Баланс!$B$7,Баланс!$A$1:$B$3,2,0)</f>
        <v>0</v>
      </c>
      <c r="I182" s="620">
        <f>Ввод!J571/VLOOKUP(Баланс!$B$7,Баланс!$A$1:$B$3,2,0)</f>
        <v>0</v>
      </c>
      <c r="J182" s="620">
        <f>Ввод!K571/VLOOKUP(Баланс!$B$7,Баланс!$A$1:$B$3,2,0)</f>
        <v>0</v>
      </c>
      <c r="K182" s="620">
        <f>Ввод!L571/VLOOKUP(Баланс!$B$7,Баланс!$A$1:$B$3,2,0)</f>
        <v>0</v>
      </c>
      <c r="L182" s="620">
        <f>Ввод!M571/VLOOKUP(Баланс!$B$7,Баланс!$A$1:$B$3,2,0)</f>
        <v>0</v>
      </c>
      <c r="M182" s="620">
        <f>Ввод!N571/VLOOKUP(Баланс!$B$7,Баланс!$A$1:$B$3,2,0)</f>
        <v>0</v>
      </c>
      <c r="N182" s="620">
        <f>Ввод!O571/VLOOKUP(Баланс!$B$7,Баланс!$A$1:$B$3,2,0)</f>
        <v>0</v>
      </c>
      <c r="O182" s="620">
        <f>Ввод!P571/VLOOKUP(Баланс!$B$7,Баланс!$A$1:$B$3,2,0)</f>
        <v>0</v>
      </c>
      <c r="P182" s="4"/>
      <c r="Q182" s="690"/>
      <c r="R182" s="690"/>
      <c r="S182" s="690"/>
      <c r="T182" s="690"/>
      <c r="U182" s="690"/>
      <c r="V182" s="690"/>
      <c r="W182" s="690"/>
      <c r="X182" s="690"/>
      <c r="Y182" s="690"/>
      <c r="Z182" s="690"/>
      <c r="AA182" s="690"/>
      <c r="AB182" s="690"/>
      <c r="AC182" s="4"/>
      <c r="AD182" s="4"/>
      <c r="AE182" s="4"/>
      <c r="AF182" s="4"/>
      <c r="AG182" s="4"/>
      <c r="AH182" s="4"/>
      <c r="AI182" s="4"/>
      <c r="AJ182" s="4"/>
    </row>
    <row r="183" spans="1:36" s="1" customFormat="1" ht="14.25" x14ac:dyDescent="0.2">
      <c r="A183" s="4"/>
      <c r="B183" s="4">
        <f>Ввод!E572</f>
        <v>0</v>
      </c>
      <c r="C183" s="4"/>
      <c r="D183" s="4"/>
      <c r="E183" s="2216"/>
      <c r="F183" s="620">
        <f>Ввод!G572/VLOOKUP(Баланс!$B$7,Баланс!$A$1:$B$3,2,0)</f>
        <v>0</v>
      </c>
      <c r="G183" s="620">
        <f>Ввод!H572/VLOOKUP(Баланс!$B$7,Баланс!$A$1:$B$3,2,0)</f>
        <v>0</v>
      </c>
      <c r="H183" s="620">
        <f>Ввод!I572/VLOOKUP(Баланс!$B$7,Баланс!$A$1:$B$3,2,0)</f>
        <v>0</v>
      </c>
      <c r="I183" s="620">
        <f>Ввод!J572/VLOOKUP(Баланс!$B$7,Баланс!$A$1:$B$3,2,0)</f>
        <v>0</v>
      </c>
      <c r="J183" s="620">
        <f>Ввод!K572/VLOOKUP(Баланс!$B$7,Баланс!$A$1:$B$3,2,0)</f>
        <v>0</v>
      </c>
      <c r="K183" s="620">
        <f>Ввод!L572/VLOOKUP(Баланс!$B$7,Баланс!$A$1:$B$3,2,0)</f>
        <v>0</v>
      </c>
      <c r="L183" s="620">
        <f>Ввод!M572/VLOOKUP(Баланс!$B$7,Баланс!$A$1:$B$3,2,0)</f>
        <v>0</v>
      </c>
      <c r="M183" s="620">
        <f>Ввод!N572/VLOOKUP(Баланс!$B$7,Баланс!$A$1:$B$3,2,0)</f>
        <v>0</v>
      </c>
      <c r="N183" s="620">
        <f>Ввод!O572/VLOOKUP(Баланс!$B$7,Баланс!$A$1:$B$3,2,0)</f>
        <v>0</v>
      </c>
      <c r="O183" s="620">
        <f>Ввод!P572/VLOOKUP(Баланс!$B$7,Баланс!$A$1:$B$3,2,0)</f>
        <v>0</v>
      </c>
      <c r="P183" s="4"/>
      <c r="Q183" s="690"/>
      <c r="R183" s="690"/>
      <c r="S183" s="690"/>
      <c r="T183" s="690"/>
      <c r="U183" s="690"/>
      <c r="V183" s="690"/>
      <c r="W183" s="690"/>
      <c r="X183" s="690"/>
      <c r="Y183" s="690"/>
      <c r="Z183" s="690"/>
      <c r="AA183" s="690"/>
      <c r="AB183" s="690"/>
      <c r="AC183" s="4"/>
      <c r="AD183" s="4"/>
      <c r="AE183" s="4"/>
      <c r="AF183" s="4"/>
      <c r="AG183" s="4"/>
      <c r="AH183" s="4"/>
      <c r="AI183" s="4"/>
      <c r="AJ183" s="4"/>
    </row>
    <row r="184" spans="1:36" s="1" customFormat="1" ht="14.25" x14ac:dyDescent="0.2">
      <c r="A184" s="4"/>
      <c r="B184" s="4">
        <f>Ввод!E573</f>
        <v>0</v>
      </c>
      <c r="C184" s="4"/>
      <c r="D184" s="4"/>
      <c r="E184" s="2216"/>
      <c r="F184" s="620">
        <f>Ввод!G573/VLOOKUP(Баланс!$B$7,Баланс!$A$1:$B$3,2,0)</f>
        <v>0</v>
      </c>
      <c r="G184" s="620">
        <f>Ввод!H573/VLOOKUP(Баланс!$B$7,Баланс!$A$1:$B$3,2,0)</f>
        <v>0</v>
      </c>
      <c r="H184" s="620">
        <f>Ввод!I573/VLOOKUP(Баланс!$B$7,Баланс!$A$1:$B$3,2,0)</f>
        <v>0</v>
      </c>
      <c r="I184" s="620">
        <f>Ввод!J573/VLOOKUP(Баланс!$B$7,Баланс!$A$1:$B$3,2,0)</f>
        <v>0</v>
      </c>
      <c r="J184" s="620">
        <f>Ввод!K573/VLOOKUP(Баланс!$B$7,Баланс!$A$1:$B$3,2,0)</f>
        <v>0</v>
      </c>
      <c r="K184" s="620">
        <f>Ввод!L573/VLOOKUP(Баланс!$B$7,Баланс!$A$1:$B$3,2,0)</f>
        <v>0</v>
      </c>
      <c r="L184" s="620">
        <f>Ввод!M573/VLOOKUP(Баланс!$B$7,Баланс!$A$1:$B$3,2,0)</f>
        <v>0</v>
      </c>
      <c r="M184" s="620">
        <f>Ввод!N573/VLOOKUP(Баланс!$B$7,Баланс!$A$1:$B$3,2,0)</f>
        <v>0</v>
      </c>
      <c r="N184" s="620">
        <f>Ввод!O573/VLOOKUP(Баланс!$B$7,Баланс!$A$1:$B$3,2,0)</f>
        <v>0</v>
      </c>
      <c r="O184" s="620">
        <f>Ввод!P573/VLOOKUP(Баланс!$B$7,Баланс!$A$1:$B$3,2,0)</f>
        <v>0</v>
      </c>
      <c r="P184" s="4"/>
      <c r="Q184" s="690"/>
      <c r="R184" s="690"/>
      <c r="S184" s="690"/>
      <c r="T184" s="690"/>
      <c r="U184" s="690"/>
      <c r="V184" s="690"/>
      <c r="W184" s="690"/>
      <c r="X184" s="690"/>
      <c r="Y184" s="690"/>
      <c r="Z184" s="690"/>
      <c r="AA184" s="690"/>
      <c r="AB184" s="690"/>
      <c r="AC184" s="4"/>
      <c r="AD184" s="4"/>
      <c r="AE184" s="4"/>
      <c r="AF184" s="4"/>
      <c r="AG184" s="4"/>
      <c r="AH184" s="4"/>
      <c r="AI184" s="4"/>
      <c r="AJ184" s="4"/>
    </row>
    <row r="185" spans="1:36" s="1" customFormat="1" ht="14.25" x14ac:dyDescent="0.2">
      <c r="A185" s="4"/>
      <c r="B185" s="4">
        <f>Ввод!E574</f>
        <v>0</v>
      </c>
      <c r="C185" s="4"/>
      <c r="D185" s="4"/>
      <c r="E185" s="2216"/>
      <c r="F185" s="620">
        <f>Ввод!G574/VLOOKUP(Баланс!$B$7,Баланс!$A$1:$B$3,2,0)</f>
        <v>0</v>
      </c>
      <c r="G185" s="620">
        <f>Ввод!H574/VLOOKUP(Баланс!$B$7,Баланс!$A$1:$B$3,2,0)</f>
        <v>0</v>
      </c>
      <c r="H185" s="620">
        <f>Ввод!I574/VLOOKUP(Баланс!$B$7,Баланс!$A$1:$B$3,2,0)</f>
        <v>0</v>
      </c>
      <c r="I185" s="620">
        <f>Ввод!J574/VLOOKUP(Баланс!$B$7,Баланс!$A$1:$B$3,2,0)</f>
        <v>0</v>
      </c>
      <c r="J185" s="620">
        <f>Ввод!K574/VLOOKUP(Баланс!$B$7,Баланс!$A$1:$B$3,2,0)</f>
        <v>0</v>
      </c>
      <c r="K185" s="620">
        <f>Ввод!L574/VLOOKUP(Баланс!$B$7,Баланс!$A$1:$B$3,2,0)</f>
        <v>0</v>
      </c>
      <c r="L185" s="620">
        <f>Ввод!M574/VLOOKUP(Баланс!$B$7,Баланс!$A$1:$B$3,2,0)</f>
        <v>0</v>
      </c>
      <c r="M185" s="620">
        <f>Ввод!N574/VLOOKUP(Баланс!$B$7,Баланс!$A$1:$B$3,2,0)</f>
        <v>0</v>
      </c>
      <c r="N185" s="620">
        <f>Ввод!O574/VLOOKUP(Баланс!$B$7,Баланс!$A$1:$B$3,2,0)</f>
        <v>0</v>
      </c>
      <c r="O185" s="620">
        <f>Ввод!P574/VLOOKUP(Баланс!$B$7,Баланс!$A$1:$B$3,2,0)</f>
        <v>0</v>
      </c>
      <c r="P185" s="4"/>
      <c r="Q185" s="690"/>
      <c r="R185" s="690"/>
      <c r="S185" s="690"/>
      <c r="T185" s="690"/>
      <c r="U185" s="690"/>
      <c r="V185" s="690"/>
      <c r="W185" s="690"/>
      <c r="X185" s="690"/>
      <c r="Y185" s="690"/>
      <c r="Z185" s="690"/>
      <c r="AA185" s="690"/>
      <c r="AB185" s="690"/>
      <c r="AC185" s="4"/>
      <c r="AD185" s="4"/>
      <c r="AE185" s="4"/>
      <c r="AF185" s="4"/>
      <c r="AG185" s="4"/>
      <c r="AH185" s="4"/>
      <c r="AI185" s="4"/>
      <c r="AJ185" s="4"/>
    </row>
    <row r="186" spans="1:36" s="1" customFormat="1" ht="26.25" customHeight="1" x14ac:dyDescent="0.2">
      <c r="A186" s="515"/>
      <c r="B186" s="516" t="s">
        <v>442</v>
      </c>
      <c r="C186" s="517"/>
      <c r="D186" s="517"/>
      <c r="E186" s="518"/>
      <c r="F186" s="518">
        <f t="shared" ref="F186:O186" si="73">SUM(F169:F185)</f>
        <v>178.614349</v>
      </c>
      <c r="G186" s="518">
        <f t="shared" si="73"/>
        <v>148.14639299999999</v>
      </c>
      <c r="H186" s="518">
        <f t="shared" si="73"/>
        <v>162.263724</v>
      </c>
      <c r="I186" s="518">
        <f t="shared" si="73"/>
        <v>187.03577000000001</v>
      </c>
      <c r="J186" s="518">
        <f t="shared" si="73"/>
        <v>166.16715800000003</v>
      </c>
      <c r="K186" s="518">
        <f t="shared" si="73"/>
        <v>176.105817</v>
      </c>
      <c r="L186" s="518">
        <f t="shared" si="73"/>
        <v>219.78235258000001</v>
      </c>
      <c r="M186" s="518">
        <f t="shared" si="73"/>
        <v>235.99180499999997</v>
      </c>
      <c r="N186" s="518">
        <f t="shared" si="73"/>
        <v>298.75077430000005</v>
      </c>
      <c r="O186" s="518">
        <f t="shared" si="73"/>
        <v>0</v>
      </c>
      <c r="P186" s="604"/>
      <c r="Q186" s="608"/>
      <c r="R186" s="608">
        <f t="shared" ref="R186:AB186" si="74">SUM(R169:R185)</f>
        <v>1.0000000000000002</v>
      </c>
      <c r="S186" s="608">
        <f t="shared" si="74"/>
        <v>1</v>
      </c>
      <c r="T186" s="608">
        <f t="shared" si="74"/>
        <v>0.99999999999999989</v>
      </c>
      <c r="U186" s="608">
        <f t="shared" si="74"/>
        <v>1</v>
      </c>
      <c r="V186" s="608">
        <f t="shared" si="74"/>
        <v>0.99999999999999989</v>
      </c>
      <c r="W186" s="608">
        <f t="shared" si="74"/>
        <v>1</v>
      </c>
      <c r="X186" s="608">
        <f t="shared" si="74"/>
        <v>1</v>
      </c>
      <c r="Y186" s="608">
        <f t="shared" si="74"/>
        <v>1.0000000000000002</v>
      </c>
      <c r="Z186" s="608">
        <f t="shared" si="74"/>
        <v>0.99999999999999978</v>
      </c>
      <c r="AA186" s="608" t="e">
        <f t="shared" si="74"/>
        <v>#DIV/0!</v>
      </c>
      <c r="AB186" s="608" t="e">
        <f t="shared" si="74"/>
        <v>#DIV/0!</v>
      </c>
      <c r="AC186" s="547"/>
      <c r="AD186" s="4"/>
      <c r="AE186" s="4"/>
      <c r="AF186" s="4"/>
      <c r="AG186" s="4"/>
      <c r="AH186" s="4"/>
      <c r="AI186" s="4"/>
      <c r="AJ186" s="4"/>
    </row>
    <row r="187" spans="1:36" s="1" customFormat="1" ht="15.75" outlineLevel="1" x14ac:dyDescent="0.25">
      <c r="A187" s="4"/>
      <c r="B187" s="304" t="s">
        <v>458</v>
      </c>
      <c r="C187" s="386"/>
      <c r="D187" s="386"/>
      <c r="E187" s="386"/>
      <c r="F187" s="386">
        <f>Ввод!G575/VLOOKUP(Баланс!$B$7,Баланс!$A$1:$B$3,2,0)-F186</f>
        <v>0</v>
      </c>
      <c r="G187" s="386">
        <f>Ввод!H575/VLOOKUP(Баланс!$B$7,Баланс!$A$1:$B$3,2,0)-G186</f>
        <v>0</v>
      </c>
      <c r="H187" s="386">
        <f>Ввод!I575/VLOOKUP(Баланс!$B$7,Баланс!$A$1:$B$3,2,0)-H186</f>
        <v>0</v>
      </c>
      <c r="I187" s="386">
        <f>Ввод!J575/VLOOKUP(Баланс!$B$7,Баланс!$A$1:$B$3,2,0)-I186</f>
        <v>0</v>
      </c>
      <c r="J187" s="386">
        <f>Ввод!K575/VLOOKUP(Баланс!$B$7,Баланс!$A$1:$B$3,2,0)-J186</f>
        <v>0</v>
      </c>
      <c r="K187" s="386">
        <f>Ввод!L575/VLOOKUP(Баланс!$B$7,Баланс!$A$1:$B$3,2,0)-K186</f>
        <v>0</v>
      </c>
      <c r="L187" s="386">
        <f>Ввод!M575/VLOOKUP(Баланс!$B$7,Баланс!$A$1:$B$3,2,0)-L186</f>
        <v>0</v>
      </c>
      <c r="M187" s="386">
        <f>Ввод!N575/VLOOKUP(Баланс!$B$7,Баланс!$A$1:$B$3,2,0)-M186</f>
        <v>0</v>
      </c>
      <c r="N187" s="386">
        <f>Ввод!O575/VLOOKUP(Баланс!$B$7,Баланс!$A$1:$B$3,2,0)-N186</f>
        <v>0</v>
      </c>
      <c r="O187" s="386">
        <f>Ввод!P575/VLOOKUP(Баланс!$B$7,Баланс!$A$1:$B$3,2,0)-O186</f>
        <v>0</v>
      </c>
      <c r="P187" s="4"/>
      <c r="Q187" s="4"/>
      <c r="R187" s="4"/>
      <c r="S187" s="4"/>
      <c r="T187" s="4"/>
      <c r="U187" s="4"/>
      <c r="V187" s="4"/>
      <c r="W187" s="4"/>
      <c r="X187" s="4"/>
      <c r="Y187" s="4"/>
      <c r="Z187" s="4"/>
      <c r="AA187" s="4"/>
      <c r="AB187" s="4"/>
      <c r="AC187" s="4"/>
      <c r="AD187" s="4"/>
      <c r="AE187" s="4"/>
      <c r="AF187" s="4"/>
      <c r="AG187" s="4"/>
      <c r="AH187" s="4"/>
      <c r="AI187" s="4"/>
      <c r="AJ187" s="4"/>
    </row>
    <row r="188" spans="1:36" s="1" customFormat="1" ht="14.2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row>
    <row r="189" spans="1:36" s="1" customFormat="1" ht="14.2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row>
    <row r="190" spans="1:36" s="1" customFormat="1" ht="14.2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row>
    <row r="191" spans="1:36" s="1" customFormat="1" ht="14.2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row>
    <row r="192" spans="1:36" s="1" customFormat="1" ht="14.2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row>
    <row r="193" spans="1:36" s="1" customFormat="1" ht="14.2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row>
    <row r="194" spans="1:36" s="1" customFormat="1" ht="14.2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row>
    <row r="195" spans="1:36" s="1" customFormat="1" ht="15" customHeight="1"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row>
    <row r="196" spans="1:36" s="1" customFormat="1" x14ac:dyDescent="0.2">
      <c r="A196" s="616"/>
      <c r="B196" s="617" t="s">
        <v>1163</v>
      </c>
      <c r="C196" s="507"/>
      <c r="D196" s="507"/>
      <c r="E196" s="618"/>
      <c r="F196" s="618"/>
      <c r="G196" s="618"/>
      <c r="H196" s="618"/>
      <c r="I196" s="618"/>
      <c r="J196" s="618"/>
      <c r="K196" s="618"/>
      <c r="L196" s="618"/>
      <c r="M196" s="618"/>
      <c r="N196" s="618"/>
      <c r="O196" s="618"/>
      <c r="P196" s="618"/>
      <c r="Q196" s="619"/>
      <c r="R196" s="619"/>
      <c r="S196" s="619"/>
      <c r="T196" s="619"/>
      <c r="U196" s="619"/>
      <c r="V196" s="619"/>
      <c r="W196" s="619"/>
      <c r="X196" s="619"/>
      <c r="Y196" s="619"/>
      <c r="Z196" s="619"/>
      <c r="AA196" s="619"/>
      <c r="AB196" s="619"/>
      <c r="AC196" s="547"/>
      <c r="AD196" s="4"/>
      <c r="AE196" s="4"/>
      <c r="AF196" s="4"/>
      <c r="AG196" s="4"/>
      <c r="AH196" s="4"/>
      <c r="AI196" s="4"/>
      <c r="AJ196" s="4"/>
    </row>
    <row r="197" spans="1:36" s="1" customFormat="1" ht="14.25" x14ac:dyDescent="0.2">
      <c r="A197" s="4"/>
      <c r="B197" s="4"/>
      <c r="C197" s="4"/>
      <c r="D197" s="4" t="str">
        <f>D7</f>
        <v>млрд руб.</v>
      </c>
      <c r="E197" s="4" t="s">
        <v>348</v>
      </c>
      <c r="F197" s="4"/>
      <c r="G197" s="4"/>
      <c r="H197" s="4"/>
      <c r="I197" s="4"/>
      <c r="J197" s="4"/>
      <c r="K197" s="4"/>
      <c r="L197" s="4"/>
      <c r="M197" s="4"/>
      <c r="N197" s="4"/>
      <c r="O197" s="4"/>
      <c r="P197" s="4"/>
      <c r="Q197" s="4"/>
      <c r="R197" s="4"/>
      <c r="S197" s="4"/>
      <c r="T197" s="4"/>
      <c r="U197" s="4"/>
      <c r="V197" s="71"/>
      <c r="W197" s="71"/>
      <c r="X197" s="71"/>
      <c r="Y197" s="71"/>
      <c r="Z197" s="71"/>
      <c r="AA197" s="71"/>
      <c r="AB197" s="71"/>
      <c r="AC197" s="4"/>
      <c r="AD197" s="4"/>
      <c r="AE197" s="4"/>
      <c r="AF197" s="4"/>
      <c r="AG197" s="4"/>
      <c r="AH197" s="4"/>
      <c r="AI197" s="4"/>
      <c r="AJ197" s="4"/>
    </row>
    <row r="198" spans="1:36" s="1" customFormat="1" thickBot="1" x14ac:dyDescent="0.25">
      <c r="A198" s="4"/>
      <c r="B198" s="4"/>
      <c r="C198" s="4"/>
      <c r="D198" s="4"/>
      <c r="E198" s="540"/>
      <c r="F198" s="540">
        <f t="shared" ref="F198:O198" si="75">F8</f>
        <v>2016</v>
      </c>
      <c r="G198" s="540">
        <f t="shared" si="75"/>
        <v>2017</v>
      </c>
      <c r="H198" s="540">
        <f t="shared" si="75"/>
        <v>2018</v>
      </c>
      <c r="I198" s="540">
        <f t="shared" si="75"/>
        <v>2019</v>
      </c>
      <c r="J198" s="540">
        <f t="shared" si="75"/>
        <v>2020</v>
      </c>
      <c r="K198" s="540">
        <f t="shared" si="75"/>
        <v>2021</v>
      </c>
      <c r="L198" s="540">
        <f t="shared" si="75"/>
        <v>2022</v>
      </c>
      <c r="M198" s="540">
        <f t="shared" si="75"/>
        <v>2023</v>
      </c>
      <c r="N198" s="540">
        <f t="shared" si="75"/>
        <v>2024</v>
      </c>
      <c r="O198" s="540">
        <f t="shared" si="75"/>
        <v>2025</v>
      </c>
      <c r="P198" s="4"/>
      <c r="Q198" s="540"/>
      <c r="R198" s="540"/>
      <c r="S198" s="540"/>
      <c r="T198" s="540"/>
      <c r="U198" s="540"/>
      <c r="V198" s="540"/>
      <c r="W198" s="540"/>
      <c r="X198" s="540"/>
      <c r="Y198" s="540"/>
      <c r="Z198" s="540"/>
      <c r="AA198" s="540"/>
      <c r="AB198" s="540"/>
      <c r="AC198" s="4"/>
      <c r="AD198" s="4"/>
      <c r="AE198" s="4"/>
      <c r="AF198" s="4"/>
      <c r="AG198" s="4"/>
      <c r="AH198" s="4"/>
      <c r="AI198" s="4"/>
      <c r="AJ198" s="4"/>
    </row>
    <row r="199" spans="1:36" s="234" customFormat="1" thickTop="1" x14ac:dyDescent="0.2">
      <c r="A199" s="838"/>
      <c r="B199" s="880" t="s">
        <v>1164</v>
      </c>
      <c r="C199" s="880"/>
      <c r="D199" s="839"/>
      <c r="E199" s="840"/>
      <c r="F199" s="840"/>
      <c r="G199" s="840"/>
      <c r="H199" s="840"/>
      <c r="I199" s="840"/>
      <c r="J199" s="840"/>
      <c r="K199" s="840"/>
      <c r="L199" s="840"/>
      <c r="M199" s="840"/>
      <c r="N199" s="840"/>
      <c r="O199" s="841"/>
      <c r="P199" s="71"/>
      <c r="Q199" s="624"/>
      <c r="R199" s="624"/>
      <c r="S199" s="624"/>
      <c r="T199" s="624"/>
      <c r="U199" s="624"/>
      <c r="V199" s="624"/>
      <c r="W199" s="624"/>
      <c r="X199" s="624"/>
      <c r="Y199" s="624"/>
      <c r="Z199" s="624"/>
      <c r="AA199" s="624"/>
      <c r="AB199" s="624"/>
      <c r="AC199" s="71"/>
      <c r="AD199" s="71"/>
      <c r="AE199" s="71"/>
      <c r="AF199" s="71"/>
      <c r="AG199" s="71"/>
      <c r="AH199" s="71"/>
      <c r="AI199" s="71"/>
      <c r="AJ199" s="71"/>
    </row>
    <row r="200" spans="1:36" s="234" customFormat="1" ht="14.25" x14ac:dyDescent="0.2">
      <c r="A200" s="842"/>
      <c r="B200" s="4" t="s">
        <v>307</v>
      </c>
      <c r="C200" s="4"/>
      <c r="D200" s="71"/>
      <c r="E200" s="498"/>
      <c r="F200" s="498">
        <f>F170</f>
        <v>51.908974999999998</v>
      </c>
      <c r="G200" s="498">
        <f t="shared" ref="G200:O200" si="76">G170</f>
        <v>48.953173999999997</v>
      </c>
      <c r="H200" s="498">
        <f t="shared" si="76"/>
        <v>49.346822000000003</v>
      </c>
      <c r="I200" s="498">
        <f t="shared" si="76"/>
        <v>37.704560000000001</v>
      </c>
      <c r="J200" s="498">
        <f t="shared" si="76"/>
        <v>39.604489999999998</v>
      </c>
      <c r="K200" s="498">
        <f t="shared" si="76"/>
        <v>40.497300000000003</v>
      </c>
      <c r="L200" s="498">
        <f t="shared" si="76"/>
        <v>50.216652000000003</v>
      </c>
      <c r="M200" s="498">
        <f t="shared" si="76"/>
        <v>47.207160000000002</v>
      </c>
      <c r="N200" s="498">
        <f t="shared" si="76"/>
        <v>60.702170000000002</v>
      </c>
      <c r="O200" s="837">
        <f t="shared" si="76"/>
        <v>0</v>
      </c>
      <c r="P200" s="71"/>
      <c r="Q200" s="624"/>
      <c r="R200" s="624"/>
      <c r="S200" s="624"/>
      <c r="T200" s="624"/>
      <c r="U200" s="624"/>
      <c r="V200" s="624"/>
      <c r="W200" s="624"/>
      <c r="X200" s="624"/>
      <c r="Y200" s="624"/>
      <c r="Z200" s="624"/>
      <c r="AA200" s="624"/>
      <c r="AB200" s="624"/>
      <c r="AC200" s="71"/>
      <c r="AD200" s="71"/>
      <c r="AE200" s="71"/>
      <c r="AF200" s="71"/>
      <c r="AG200" s="71"/>
      <c r="AH200" s="71"/>
      <c r="AI200" s="71"/>
      <c r="AJ200" s="71"/>
    </row>
    <row r="201" spans="1:36" s="234" customFormat="1" ht="14.25" x14ac:dyDescent="0.2">
      <c r="A201" s="842"/>
      <c r="B201" s="881" t="s">
        <v>1168</v>
      </c>
      <c r="C201" s="4"/>
      <c r="D201" s="71"/>
      <c r="E201" s="498"/>
      <c r="F201" s="498"/>
      <c r="G201" s="498"/>
      <c r="H201" s="498"/>
      <c r="I201" s="498"/>
      <c r="J201" s="498"/>
      <c r="K201" s="498"/>
      <c r="L201" s="498"/>
      <c r="M201" s="498"/>
      <c r="N201" s="498"/>
      <c r="O201" s="837">
        <f>O171</f>
        <v>0</v>
      </c>
      <c r="P201" s="71"/>
      <c r="Q201" s="624"/>
      <c r="R201" s="624"/>
      <c r="S201" s="624"/>
      <c r="T201" s="624"/>
      <c r="U201" s="624"/>
      <c r="V201" s="624"/>
      <c r="W201" s="624"/>
      <c r="X201" s="624"/>
      <c r="Y201" s="624"/>
      <c r="Z201" s="624"/>
      <c r="AA201" s="624"/>
      <c r="AB201" s="624"/>
      <c r="AC201" s="71"/>
      <c r="AD201" s="71"/>
      <c r="AE201" s="71"/>
      <c r="AF201" s="71"/>
      <c r="AG201" s="71"/>
      <c r="AH201" s="71"/>
      <c r="AI201" s="71"/>
      <c r="AJ201" s="71"/>
    </row>
    <row r="202" spans="1:36" s="234" customFormat="1" ht="14.25" x14ac:dyDescent="0.2">
      <c r="A202" s="842"/>
      <c r="B202" s="881" t="s">
        <v>1168</v>
      </c>
      <c r="C202" s="4"/>
      <c r="D202" s="71"/>
      <c r="E202" s="498"/>
      <c r="F202" s="498"/>
      <c r="G202" s="498"/>
      <c r="H202" s="498"/>
      <c r="I202" s="498"/>
      <c r="J202" s="498"/>
      <c r="K202" s="498"/>
      <c r="L202" s="498"/>
      <c r="M202" s="498"/>
      <c r="N202" s="498"/>
      <c r="O202" s="837"/>
      <c r="P202" s="71"/>
      <c r="Q202" s="624"/>
      <c r="R202" s="624"/>
      <c r="S202" s="624"/>
      <c r="T202" s="624"/>
      <c r="U202" s="624"/>
      <c r="V202" s="624"/>
      <c r="W202" s="624"/>
      <c r="X202" s="624"/>
      <c r="Y202" s="624"/>
      <c r="Z202" s="624"/>
      <c r="AA202" s="624"/>
      <c r="AB202" s="624"/>
      <c r="AC202" s="71"/>
      <c r="AD202" s="71"/>
      <c r="AE202" s="71"/>
      <c r="AF202" s="71"/>
      <c r="AG202" s="71"/>
      <c r="AH202" s="71"/>
      <c r="AI202" s="71"/>
      <c r="AJ202" s="71"/>
    </row>
    <row r="203" spans="1:36" s="1" customFormat="1" ht="25.5" customHeight="1" x14ac:dyDescent="0.2">
      <c r="A203" s="882"/>
      <c r="B203" s="516" t="s">
        <v>1165</v>
      </c>
      <c r="C203" s="517"/>
      <c r="D203" s="517"/>
      <c r="E203" s="518"/>
      <c r="F203" s="518">
        <f t="shared" ref="F203:J203" si="77">SUM(F199:F202)</f>
        <v>51.908974999999998</v>
      </c>
      <c r="G203" s="518">
        <f t="shared" si="77"/>
        <v>48.953173999999997</v>
      </c>
      <c r="H203" s="518">
        <f t="shared" si="77"/>
        <v>49.346822000000003</v>
      </c>
      <c r="I203" s="518">
        <f t="shared" si="77"/>
        <v>37.704560000000001</v>
      </c>
      <c r="J203" s="518">
        <f t="shared" si="77"/>
        <v>39.604489999999998</v>
      </c>
      <c r="K203" s="518">
        <f>SUM(K199:K202)</f>
        <v>40.497300000000003</v>
      </c>
      <c r="L203" s="518">
        <f t="shared" ref="L203:N203" si="78">SUM(L199:L202)</f>
        <v>50.216652000000003</v>
      </c>
      <c r="M203" s="518">
        <f t="shared" si="78"/>
        <v>47.207160000000002</v>
      </c>
      <c r="N203" s="518">
        <f t="shared" si="78"/>
        <v>60.702170000000002</v>
      </c>
      <c r="O203" s="883"/>
      <c r="P203" s="499"/>
      <c r="Q203" s="613"/>
      <c r="R203" s="613"/>
      <c r="S203" s="613"/>
      <c r="T203" s="613"/>
      <c r="U203" s="613"/>
      <c r="V203" s="613"/>
      <c r="W203" s="613"/>
      <c r="X203" s="613"/>
      <c r="Y203" s="613"/>
      <c r="Z203" s="613"/>
      <c r="AA203" s="613"/>
      <c r="AB203" s="613"/>
      <c r="AC203" s="547"/>
      <c r="AD203" s="4"/>
      <c r="AE203" s="4"/>
      <c r="AF203" s="4"/>
      <c r="AG203" s="4"/>
      <c r="AH203" s="4"/>
      <c r="AI203" s="4"/>
      <c r="AJ203" s="4"/>
    </row>
    <row r="204" spans="1:36" s="1" customFormat="1" ht="26.25" customHeight="1" x14ac:dyDescent="0.2">
      <c r="A204" s="882"/>
      <c r="B204" s="516" t="s">
        <v>1166</v>
      </c>
      <c r="C204" s="517"/>
      <c r="D204" s="517"/>
      <c r="E204" s="608"/>
      <c r="F204" s="608">
        <f t="shared" ref="F204:K204" si="79">F203/F225</f>
        <v>0.29062040810618189</v>
      </c>
      <c r="G204" s="608">
        <f t="shared" si="79"/>
        <v>0.33043783927969139</v>
      </c>
      <c r="H204" s="608">
        <f t="shared" si="79"/>
        <v>0.30411493575729842</v>
      </c>
      <c r="I204" s="608">
        <f t="shared" si="79"/>
        <v>0.20159010225691051</v>
      </c>
      <c r="J204" s="608">
        <f t="shared" si="79"/>
        <v>0.23834126115342233</v>
      </c>
      <c r="K204" s="608">
        <f t="shared" si="79"/>
        <v>0.22996003590273228</v>
      </c>
      <c r="L204" s="608">
        <f t="shared" ref="L204:N204" si="80">L203/L225</f>
        <v>0.22848354934102963</v>
      </c>
      <c r="M204" s="608">
        <f t="shared" si="80"/>
        <v>0.20003728519301764</v>
      </c>
      <c r="N204" s="608">
        <f t="shared" si="80"/>
        <v>0.20318665329732</v>
      </c>
      <c r="O204" s="884">
        <f>SUM(O200:O203)</f>
        <v>0</v>
      </c>
      <c r="P204" s="499"/>
      <c r="Q204" s="613"/>
      <c r="R204" s="613"/>
      <c r="S204" s="613"/>
      <c r="T204" s="613"/>
      <c r="U204" s="613"/>
      <c r="V204" s="613"/>
      <c r="W204" s="613"/>
      <c r="X204" s="613"/>
      <c r="Y204" s="613"/>
      <c r="Z204" s="613"/>
      <c r="AA204" s="613"/>
      <c r="AB204" s="613"/>
      <c r="AC204" s="547"/>
      <c r="AD204" s="4"/>
      <c r="AE204" s="4"/>
      <c r="AF204" s="4"/>
      <c r="AG204" s="4"/>
      <c r="AH204" s="4"/>
      <c r="AI204" s="4"/>
      <c r="AJ204" s="4"/>
    </row>
    <row r="205" spans="1:36" s="1" customFormat="1" ht="26.25" customHeight="1" x14ac:dyDescent="0.2">
      <c r="A205" s="951"/>
      <c r="B205" s="952" t="s">
        <v>1167</v>
      </c>
      <c r="C205" s="953"/>
      <c r="D205" s="953"/>
      <c r="E205" s="954"/>
      <c r="F205" s="954">
        <f>F203/((Ввод!G208+Ввод!G224)/VLOOKUP(Баланс!$B$7,Баланс!$A$1:$B$3,2,0))</f>
        <v>1.2548575016021444</v>
      </c>
      <c r="G205" s="954">
        <f>G203/((Ввод!H208+Ввод!H224)/VLOOKUP(Баланс!$B$7,Баланс!$A$1:$B$3,2,0))</f>
        <v>0.86643782627587751</v>
      </c>
      <c r="H205" s="954">
        <f>H203/((Ввод!I208+Ввод!I224)/VLOOKUP(Баланс!$B$7,Баланс!$A$1:$B$3,2,0))</f>
        <v>0.86461274129483467</v>
      </c>
      <c r="I205" s="954">
        <f>I203/((Ввод!J208+Ввод!J224)/VLOOKUP(Баланс!$B$7,Баланс!$A$1:$B$3,2,0))</f>
        <v>0.60954791935935304</v>
      </c>
      <c r="J205" s="954">
        <f>J203/((Ввод!K208+Ввод!K224)/VLOOKUP(Баланс!$B$7,Баланс!$A$1:$B$3,2,0))</f>
        <v>0.65030981368650742</v>
      </c>
      <c r="K205" s="954">
        <f>K203/((Ввод!L208+Ввод!L224)/VLOOKUP(Баланс!$B$7,Баланс!$A$1:$B$3,2,0))</f>
        <v>0.67915467745976332</v>
      </c>
      <c r="L205" s="954">
        <f>L203/((Ввод!M208+Ввод!M224)/VLOOKUP(Баланс!$B$7,Баланс!$A$1:$B$3,2,0))</f>
        <v>0.79988868986795869</v>
      </c>
      <c r="M205" s="954">
        <f>M203/((Ввод!N208+Ввод!N224)/VLOOKUP(Баланс!$B$7,Баланс!$A$1:$B$3,2,0))</f>
        <v>0.75109962923262785</v>
      </c>
      <c r="N205" s="954">
        <f>N203/((Ввод!O208+Ввод!O224)/VLOOKUP(Баланс!$B$7,Баланс!$A$1:$B$3,2,0))</f>
        <v>0.73511297459019642</v>
      </c>
      <c r="O205" s="955">
        <f>O203/((Ввод!P208+Ввод!P224)/VLOOKUP(Баланс!$B$7,Баланс!$A$1:$B$3,2,0))</f>
        <v>0</v>
      </c>
      <c r="P205" s="499"/>
      <c r="Q205" s="613"/>
      <c r="R205" s="613"/>
      <c r="S205" s="613"/>
      <c r="T205" s="613"/>
      <c r="U205" s="613"/>
      <c r="V205" s="613"/>
      <c r="W205" s="613"/>
      <c r="X205" s="613"/>
      <c r="Y205" s="613"/>
      <c r="Z205" s="613"/>
      <c r="AA205" s="613"/>
      <c r="AB205" s="613"/>
      <c r="AC205" s="547"/>
      <c r="AD205" s="4"/>
      <c r="AE205" s="4"/>
      <c r="AF205" s="4"/>
      <c r="AG205" s="4"/>
      <c r="AH205" s="4"/>
      <c r="AI205" s="4"/>
      <c r="AJ205" s="4"/>
    </row>
    <row r="206" spans="1:36" s="1" customFormat="1" ht="15" customHeight="1" thickBot="1" x14ac:dyDescent="0.25">
      <c r="A206" s="885"/>
      <c r="B206" s="886"/>
      <c r="C206" s="886"/>
      <c r="D206" s="886"/>
      <c r="E206" s="886"/>
      <c r="F206" s="886"/>
      <c r="G206" s="886"/>
      <c r="H206" s="886"/>
      <c r="I206" s="886"/>
      <c r="J206" s="886"/>
      <c r="K206" s="886"/>
      <c r="L206" s="886"/>
      <c r="M206" s="886"/>
      <c r="N206" s="886"/>
      <c r="O206" s="887"/>
      <c r="P206" s="4"/>
      <c r="Q206" s="4"/>
      <c r="R206" s="4"/>
      <c r="S206" s="4"/>
      <c r="T206" s="4"/>
      <c r="U206" s="4"/>
      <c r="V206" s="4"/>
      <c r="W206" s="4"/>
      <c r="X206" s="4"/>
      <c r="Y206" s="4"/>
      <c r="Z206" s="4"/>
      <c r="AA206" s="4"/>
      <c r="AB206" s="4"/>
      <c r="AC206" s="4"/>
      <c r="AD206" s="4"/>
      <c r="AE206" s="4"/>
      <c r="AF206" s="4"/>
      <c r="AG206" s="4"/>
      <c r="AH206" s="4"/>
      <c r="AI206" s="4"/>
      <c r="AJ206" s="4"/>
    </row>
    <row r="207" spans="1:36" s="1" customFormat="1" ht="15" customHeight="1" thickTop="1"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row>
    <row r="208" spans="1:36" s="1" customFormat="1" ht="15" customHeight="1"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row>
    <row r="209" spans="1:36" s="1" customFormat="1" ht="15" customHeight="1"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row>
    <row r="210" spans="1:36" s="1" customFormat="1" ht="15" customHeight="1"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row>
    <row r="211" spans="1:36" s="1" customFormat="1" ht="15" customHeight="1"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row>
    <row r="212" spans="1:36" s="1" customFormat="1" ht="20.25" customHeight="1" x14ac:dyDescent="0.25">
      <c r="A212" s="4"/>
      <c r="B212" s="2175" t="s">
        <v>3463</v>
      </c>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row>
    <row r="213" spans="1:36" s="1" customFormat="1" x14ac:dyDescent="0.2">
      <c r="A213" s="616"/>
      <c r="B213" s="617" t="s">
        <v>1170</v>
      </c>
      <c r="C213" s="507"/>
      <c r="D213" s="507"/>
      <c r="E213" s="618"/>
      <c r="F213" s="618"/>
      <c r="G213" s="618"/>
      <c r="H213" s="618"/>
      <c r="I213" s="618"/>
      <c r="J213" s="618"/>
      <c r="K213" s="618"/>
      <c r="L213" s="618"/>
      <c r="M213" s="618"/>
      <c r="N213" s="618"/>
      <c r="O213" s="618"/>
      <c r="P213" s="618"/>
      <c r="Q213" s="619"/>
      <c r="R213" s="619"/>
      <c r="S213" s="619"/>
      <c r="T213" s="619"/>
      <c r="U213" s="619"/>
      <c r="V213" s="619"/>
      <c r="W213" s="619"/>
      <c r="X213" s="619"/>
      <c r="Y213" s="619"/>
      <c r="Z213" s="619"/>
      <c r="AA213" s="619"/>
      <c r="AB213" s="619"/>
      <c r="AC213" s="547"/>
      <c r="AD213" s="4"/>
      <c r="AE213" s="4"/>
      <c r="AF213" s="4"/>
      <c r="AG213" s="4"/>
      <c r="AH213" s="4"/>
      <c r="AI213" s="4"/>
      <c r="AJ213" s="4"/>
    </row>
    <row r="214" spans="1:36" s="1" customFormat="1" ht="14.25" x14ac:dyDescent="0.2">
      <c r="A214" s="4"/>
      <c r="B214" s="4"/>
      <c r="C214" s="4"/>
      <c r="D214" s="4" t="str">
        <f>D7</f>
        <v>млрд руб.</v>
      </c>
      <c r="E214" s="4" t="s">
        <v>348</v>
      </c>
      <c r="F214" s="4"/>
      <c r="G214" s="4"/>
      <c r="H214" s="4"/>
      <c r="I214" s="4"/>
      <c r="J214" s="4"/>
      <c r="K214" s="4"/>
      <c r="L214" s="4"/>
      <c r="M214" s="4"/>
      <c r="N214" s="4"/>
      <c r="O214" s="4"/>
      <c r="P214" s="4"/>
      <c r="Q214" s="4" t="s">
        <v>17</v>
      </c>
      <c r="R214" s="4"/>
      <c r="S214" s="4"/>
      <c r="T214" s="4"/>
      <c r="U214" s="4"/>
      <c r="V214" s="71"/>
      <c r="W214" s="71"/>
      <c r="X214" s="71"/>
      <c r="Y214" s="71"/>
      <c r="Z214" s="71"/>
      <c r="AA214" s="71"/>
      <c r="AB214" s="71"/>
      <c r="AC214" s="4"/>
      <c r="AD214" s="4"/>
      <c r="AE214" s="4"/>
      <c r="AF214" s="4"/>
      <c r="AG214" s="4"/>
      <c r="AH214" s="4"/>
      <c r="AI214" s="4"/>
      <c r="AJ214" s="4"/>
    </row>
    <row r="215" spans="1:36" s="1" customFormat="1" ht="14.25" x14ac:dyDescent="0.2">
      <c r="A215" s="15"/>
      <c r="B215" s="15"/>
      <c r="C215" s="15"/>
      <c r="D215" s="15"/>
      <c r="E215" s="539"/>
      <c r="F215" s="539">
        <f t="shared" ref="F215:O215" si="81">F8</f>
        <v>2016</v>
      </c>
      <c r="G215" s="539">
        <f t="shared" si="81"/>
        <v>2017</v>
      </c>
      <c r="H215" s="539">
        <f t="shared" si="81"/>
        <v>2018</v>
      </c>
      <c r="I215" s="539">
        <f t="shared" si="81"/>
        <v>2019</v>
      </c>
      <c r="J215" s="539">
        <f t="shared" si="81"/>
        <v>2020</v>
      </c>
      <c r="K215" s="539">
        <f t="shared" si="81"/>
        <v>2021</v>
      </c>
      <c r="L215" s="539">
        <f t="shared" si="81"/>
        <v>2022</v>
      </c>
      <c r="M215" s="539">
        <f t="shared" si="81"/>
        <v>2023</v>
      </c>
      <c r="N215" s="539">
        <f t="shared" si="81"/>
        <v>2024</v>
      </c>
      <c r="O215" s="539">
        <f t="shared" si="81"/>
        <v>2025</v>
      </c>
      <c r="P215" s="4"/>
      <c r="Q215" s="539"/>
      <c r="R215" s="539">
        <f t="shared" ref="R215:W215" si="82">R8</f>
        <v>2016</v>
      </c>
      <c r="S215" s="539">
        <f t="shared" si="82"/>
        <v>2017</v>
      </c>
      <c r="T215" s="539">
        <f t="shared" si="82"/>
        <v>2018</v>
      </c>
      <c r="U215" s="539">
        <f t="shared" si="82"/>
        <v>2019</v>
      </c>
      <c r="V215" s="539">
        <f t="shared" si="82"/>
        <v>2020</v>
      </c>
      <c r="W215" s="539">
        <f t="shared" si="82"/>
        <v>2021</v>
      </c>
      <c r="X215" s="539">
        <f t="shared" ref="X215:Z215" si="83">X8</f>
        <v>2022</v>
      </c>
      <c r="Y215" s="539">
        <f t="shared" si="83"/>
        <v>2023</v>
      </c>
      <c r="Z215" s="539">
        <f t="shared" si="83"/>
        <v>2024</v>
      </c>
      <c r="AA215" s="539">
        <f>AA8</f>
        <v>2025</v>
      </c>
      <c r="AB215" s="540"/>
      <c r="AC215" s="4"/>
      <c r="AD215" s="4"/>
      <c r="AE215" s="4"/>
      <c r="AF215" s="4"/>
      <c r="AG215" s="4"/>
      <c r="AH215" s="4"/>
      <c r="AI215" s="4"/>
      <c r="AJ215" s="4"/>
    </row>
    <row r="216" spans="1:36" s="234" customFormat="1" ht="14.25" x14ac:dyDescent="0.2">
      <c r="A216" s="71">
        <v>1</v>
      </c>
      <c r="B216" s="71" t="str">
        <f>INDEX($B$169:$G$185,MATCH(G216,$G$169:$G$185,0),1)</f>
        <v>Строительство и девелопмент</v>
      </c>
      <c r="C216" s="38"/>
      <c r="D216" s="71"/>
      <c r="E216" s="498"/>
      <c r="F216" s="498">
        <f t="shared" ref="F216:F222" si="84">INDEX($B$168:$O$185,MATCH($B216,$B$168:$B$185,0),MATCH(F$215,$B$168:$O$168,0))</f>
        <v>51.908974999999998</v>
      </c>
      <c r="G216" s="2184">
        <f>LARGE($G$169:$G$185,A216)</f>
        <v>48.953173999999997</v>
      </c>
      <c r="H216" s="498">
        <f t="shared" ref="H216:O216" si="85">INDEX($B$168:$O$185,MATCH($B216,$B$168:$B$185,0),MATCH(H$215,$B$168:$O$168,0))</f>
        <v>49.346822000000003</v>
      </c>
      <c r="I216" s="498">
        <f t="shared" si="85"/>
        <v>37.704560000000001</v>
      </c>
      <c r="J216" s="498">
        <f t="shared" si="85"/>
        <v>39.604489999999998</v>
      </c>
      <c r="K216" s="498">
        <f t="shared" si="85"/>
        <v>40.497300000000003</v>
      </c>
      <c r="L216" s="498">
        <f t="shared" si="85"/>
        <v>50.216652000000003</v>
      </c>
      <c r="M216" s="498">
        <f t="shared" si="85"/>
        <v>47.207160000000002</v>
      </c>
      <c r="N216" s="498">
        <f t="shared" si="85"/>
        <v>60.702170000000002</v>
      </c>
      <c r="O216" s="498">
        <f t="shared" si="85"/>
        <v>0</v>
      </c>
      <c r="P216" s="71"/>
      <c r="Q216" s="624"/>
      <c r="R216" s="624">
        <f t="shared" ref="R216:W223" si="86">F216/F$225</f>
        <v>0.29062040810618189</v>
      </c>
      <c r="S216" s="624">
        <f t="shared" si="86"/>
        <v>0.33043783927969139</v>
      </c>
      <c r="T216" s="624">
        <f t="shared" si="86"/>
        <v>0.30411493575729842</v>
      </c>
      <c r="U216" s="624">
        <f t="shared" si="86"/>
        <v>0.20159010225691051</v>
      </c>
      <c r="V216" s="624">
        <f t="shared" si="86"/>
        <v>0.23834126115342233</v>
      </c>
      <c r="W216" s="624">
        <f t="shared" si="86"/>
        <v>0.22996003590273228</v>
      </c>
      <c r="X216" s="624">
        <f t="shared" ref="X216:Z223" si="87">L216/L$225</f>
        <v>0.22848354934102963</v>
      </c>
      <c r="Y216" s="624">
        <f t="shared" si="87"/>
        <v>0.20003728519301764</v>
      </c>
      <c r="Z216" s="624">
        <f t="shared" si="87"/>
        <v>0.20318665329732</v>
      </c>
      <c r="AA216" s="624" t="e">
        <f t="shared" ref="AA216:AA223" si="88">O216/O$225</f>
        <v>#DIV/0!</v>
      </c>
      <c r="AB216" s="624"/>
      <c r="AC216" s="71"/>
      <c r="AD216" s="71"/>
      <c r="AE216" s="71"/>
      <c r="AF216" s="71"/>
      <c r="AG216" s="71"/>
      <c r="AH216" s="71"/>
      <c r="AI216" s="71"/>
      <c r="AJ216" s="71"/>
    </row>
    <row r="217" spans="1:36" s="234" customFormat="1" ht="14.25" x14ac:dyDescent="0.2">
      <c r="A217" s="71">
        <v>2</v>
      </c>
      <c r="B217" s="71" t="str">
        <f t="shared" ref="B217:B222" si="89">INDEX($B$169:$G$185,MATCH(G217,$G$169:$G$185,0),1)</f>
        <v xml:space="preserve">Финансовые услуги </v>
      </c>
      <c r="C217" s="38"/>
      <c r="D217" s="71"/>
      <c r="E217" s="498"/>
      <c r="F217" s="498">
        <f t="shared" si="84"/>
        <v>62.269283999999999</v>
      </c>
      <c r="G217" s="2184">
        <f t="shared" ref="G217:G222" si="90">LARGE($G$169:$G$185,A217)</f>
        <v>26.984273000000002</v>
      </c>
      <c r="H217" s="498">
        <f t="shared" ref="H217:O222" si="91">INDEX($B$168:$O$185,MATCH($B217,$B$168:$B$185,0),MATCH(H$215,$B$168:$O$168,0))</f>
        <v>31.290509</v>
      </c>
      <c r="I217" s="498">
        <f t="shared" si="91"/>
        <v>49.072308999999997</v>
      </c>
      <c r="J217" s="498">
        <f t="shared" si="91"/>
        <v>54.585675000000002</v>
      </c>
      <c r="K217" s="498">
        <f t="shared" si="91"/>
        <v>42.612000000000002</v>
      </c>
      <c r="L217" s="498">
        <f t="shared" si="91"/>
        <v>52.838880000000003</v>
      </c>
      <c r="M217" s="498">
        <f t="shared" si="91"/>
        <v>23.993189999999998</v>
      </c>
      <c r="N217" s="498">
        <f t="shared" si="91"/>
        <v>27.096679999999999</v>
      </c>
      <c r="O217" s="498">
        <f t="shared" si="91"/>
        <v>0</v>
      </c>
      <c r="P217" s="71"/>
      <c r="Q217" s="624"/>
      <c r="R217" s="624">
        <f t="shared" si="86"/>
        <v>0.3486241970402949</v>
      </c>
      <c r="S217" s="624">
        <f t="shared" si="86"/>
        <v>0.18214600067920658</v>
      </c>
      <c r="T217" s="624">
        <f t="shared" si="86"/>
        <v>0.1928373651771976</v>
      </c>
      <c r="U217" s="624">
        <f t="shared" si="86"/>
        <v>0.26236857794634683</v>
      </c>
      <c r="V217" s="624">
        <f t="shared" si="86"/>
        <v>0.32849857731814847</v>
      </c>
      <c r="W217" s="624">
        <f t="shared" si="86"/>
        <v>0.241968157133617</v>
      </c>
      <c r="X217" s="624">
        <f t="shared" si="87"/>
        <v>0.24041457095954433</v>
      </c>
      <c r="Y217" s="624">
        <f t="shared" si="87"/>
        <v>0.10166958975545783</v>
      </c>
      <c r="Z217" s="624">
        <f t="shared" si="87"/>
        <v>9.0699949024366414E-2</v>
      </c>
      <c r="AA217" s="624" t="e">
        <f t="shared" si="88"/>
        <v>#DIV/0!</v>
      </c>
      <c r="AB217" s="624"/>
      <c r="AC217" s="71"/>
      <c r="AD217" s="71"/>
      <c r="AE217" s="71"/>
      <c r="AF217" s="71"/>
      <c r="AG217" s="71"/>
      <c r="AH217" s="71"/>
      <c r="AI217" s="71"/>
      <c r="AJ217" s="71"/>
    </row>
    <row r="218" spans="1:36" s="234" customFormat="1" ht="14.25" x14ac:dyDescent="0.2">
      <c r="A218" s="71">
        <v>3</v>
      </c>
      <c r="B218" s="71" t="str">
        <f t="shared" si="89"/>
        <v>Торговля</v>
      </c>
      <c r="C218" s="38"/>
      <c r="D218" s="71"/>
      <c r="E218" s="498"/>
      <c r="F218" s="498">
        <f t="shared" si="84"/>
        <v>23.272106999999998</v>
      </c>
      <c r="G218" s="2184">
        <f t="shared" si="90"/>
        <v>20.995647000000002</v>
      </c>
      <c r="H218" s="498">
        <f t="shared" si="91"/>
        <v>26.683233999999999</v>
      </c>
      <c r="I218" s="498">
        <f t="shared" si="91"/>
        <v>27.704384000000001</v>
      </c>
      <c r="J218" s="498">
        <f t="shared" si="91"/>
        <v>13.105472000000001</v>
      </c>
      <c r="K218" s="498">
        <f t="shared" si="91"/>
        <v>10.751580000000001</v>
      </c>
      <c r="L218" s="498">
        <f t="shared" si="91"/>
        <v>13.3319592</v>
      </c>
      <c r="M218" s="498">
        <f t="shared" si="91"/>
        <v>41.325569999999999</v>
      </c>
      <c r="N218" s="498">
        <f t="shared" si="91"/>
        <v>53.854170000000003</v>
      </c>
      <c r="O218" s="498">
        <f t="shared" si="91"/>
        <v>0</v>
      </c>
      <c r="P218" s="71"/>
      <c r="Q218" s="624"/>
      <c r="R218" s="624">
        <f t="shared" si="86"/>
        <v>0.13029248282846523</v>
      </c>
      <c r="S218" s="624">
        <f t="shared" si="86"/>
        <v>0.1417222962694745</v>
      </c>
      <c r="T218" s="624">
        <f t="shared" si="86"/>
        <v>0.16444361895700113</v>
      </c>
      <c r="U218" s="624">
        <f t="shared" si="86"/>
        <v>0.14812345253530915</v>
      </c>
      <c r="V218" s="624">
        <f t="shared" si="86"/>
        <v>7.886920711492218E-2</v>
      </c>
      <c r="W218" s="624">
        <f t="shared" si="86"/>
        <v>6.1051816363340235E-2</v>
      </c>
      <c r="X218" s="624">
        <f t="shared" si="87"/>
        <v>6.0659825702553682E-2</v>
      </c>
      <c r="Y218" s="624">
        <f t="shared" si="87"/>
        <v>0.17511442823194645</v>
      </c>
      <c r="Z218" s="624">
        <f t="shared" si="87"/>
        <v>0.18026453697462433</v>
      </c>
      <c r="AA218" s="624" t="e">
        <f t="shared" si="88"/>
        <v>#DIV/0!</v>
      </c>
      <c r="AB218" s="624"/>
      <c r="AC218" s="71"/>
      <c r="AD218" s="71"/>
      <c r="AE218" s="71"/>
      <c r="AF218" s="71"/>
      <c r="AG218" s="71"/>
      <c r="AH218" s="71"/>
      <c r="AI218" s="71"/>
      <c r="AJ218" s="71"/>
    </row>
    <row r="219" spans="1:36" s="234" customFormat="1" ht="14.25" x14ac:dyDescent="0.2">
      <c r="A219" s="71">
        <v>4</v>
      </c>
      <c r="B219" s="71" t="str">
        <f t="shared" si="89"/>
        <v>Сельское хозяйство и пищевая отрасль</v>
      </c>
      <c r="C219" s="38"/>
      <c r="D219" s="71"/>
      <c r="E219" s="498"/>
      <c r="F219" s="498">
        <f t="shared" si="84"/>
        <v>19.824883</v>
      </c>
      <c r="G219" s="2184">
        <f t="shared" si="90"/>
        <v>20.741313000000002</v>
      </c>
      <c r="H219" s="498">
        <f t="shared" si="91"/>
        <v>19.688848999999998</v>
      </c>
      <c r="I219" s="498">
        <f t="shared" si="91"/>
        <v>21.483711</v>
      </c>
      <c r="J219" s="498">
        <f t="shared" si="91"/>
        <v>18.165481</v>
      </c>
      <c r="K219" s="498">
        <f t="shared" si="91"/>
        <v>12.88006</v>
      </c>
      <c r="L219" s="498">
        <f t="shared" si="91"/>
        <v>15.9712744</v>
      </c>
      <c r="M219" s="498">
        <f t="shared" si="91"/>
        <v>17.77347</v>
      </c>
      <c r="N219" s="498">
        <f t="shared" si="91"/>
        <v>14.09404</v>
      </c>
      <c r="O219" s="498">
        <f t="shared" si="91"/>
        <v>0</v>
      </c>
      <c r="P219" s="71"/>
      <c r="Q219" s="624"/>
      <c r="R219" s="624">
        <f t="shared" si="86"/>
        <v>0.11099266722406495</v>
      </c>
      <c r="S219" s="624">
        <f t="shared" si="86"/>
        <v>0.14000552143041378</v>
      </c>
      <c r="T219" s="624">
        <f t="shared" si="86"/>
        <v>0.12133857472665917</v>
      </c>
      <c r="U219" s="624">
        <f t="shared" si="86"/>
        <v>0.11486418346608245</v>
      </c>
      <c r="V219" s="624">
        <f t="shared" si="86"/>
        <v>0.10932052529898836</v>
      </c>
      <c r="W219" s="624">
        <f t="shared" si="86"/>
        <v>7.3138186003248271E-2</v>
      </c>
      <c r="X219" s="624">
        <f t="shared" si="87"/>
        <v>7.2668593326602568E-2</v>
      </c>
      <c r="Y219" s="624">
        <f t="shared" si="87"/>
        <v>7.531392880358706E-2</v>
      </c>
      <c r="Z219" s="624">
        <f t="shared" si="87"/>
        <v>4.7176580656648016E-2</v>
      </c>
      <c r="AA219" s="624" t="e">
        <f t="shared" si="88"/>
        <v>#DIV/0!</v>
      </c>
      <c r="AB219" s="624"/>
      <c r="AC219" s="71"/>
      <c r="AD219" s="71"/>
      <c r="AE219" s="71"/>
      <c r="AF219" s="71"/>
      <c r="AG219" s="71"/>
      <c r="AH219" s="71"/>
      <c r="AI219" s="71"/>
      <c r="AJ219" s="71"/>
    </row>
    <row r="220" spans="1:36" s="234" customFormat="1" ht="14.25" x14ac:dyDescent="0.2">
      <c r="A220" s="71">
        <v>5</v>
      </c>
      <c r="B220" s="71" t="str">
        <f t="shared" si="89"/>
        <v>Нефтегазовая отрасль</v>
      </c>
      <c r="C220" s="38"/>
      <c r="D220" s="71"/>
      <c r="E220" s="498"/>
      <c r="F220" s="498">
        <f t="shared" si="84"/>
        <v>0.56981400000000004</v>
      </c>
      <c r="G220" s="2184">
        <f t="shared" si="90"/>
        <v>10.131157999999999</v>
      </c>
      <c r="H220" s="498">
        <f t="shared" si="91"/>
        <v>4.8531999999999999E-2</v>
      </c>
      <c r="I220" s="498">
        <f t="shared" si="91"/>
        <v>0.44955099999999998</v>
      </c>
      <c r="J220" s="498">
        <f t="shared" si="91"/>
        <v>3.4586790000000001</v>
      </c>
      <c r="K220" s="498">
        <f t="shared" si="91"/>
        <v>16.568860000000001</v>
      </c>
      <c r="L220" s="498">
        <f t="shared" si="91"/>
        <v>20.545386399999998</v>
      </c>
      <c r="M220" s="498">
        <f t="shared" si="91"/>
        <v>18.06363</v>
      </c>
      <c r="N220" s="498">
        <f t="shared" si="91"/>
        <v>21.178509999999999</v>
      </c>
      <c r="O220" s="498">
        <f t="shared" si="91"/>
        <v>0</v>
      </c>
      <c r="P220" s="71"/>
      <c r="Q220" s="624"/>
      <c r="R220" s="624">
        <f t="shared" si="86"/>
        <v>3.1901916234064712E-3</v>
      </c>
      <c r="S220" s="624">
        <f t="shared" si="86"/>
        <v>6.8386126687539392E-2</v>
      </c>
      <c r="T220" s="624">
        <f t="shared" si="86"/>
        <v>2.9909334510281547E-4</v>
      </c>
      <c r="U220" s="624">
        <f t="shared" si="86"/>
        <v>2.4035562823089933E-3</v>
      </c>
      <c r="V220" s="624">
        <f t="shared" si="86"/>
        <v>2.0814456007004701E-2</v>
      </c>
      <c r="W220" s="624">
        <f t="shared" si="86"/>
        <v>9.4084683187949436E-2</v>
      </c>
      <c r="X220" s="624">
        <f t="shared" si="87"/>
        <v>9.3480600961906385E-2</v>
      </c>
      <c r="Y220" s="624">
        <f t="shared" si="87"/>
        <v>7.6543463024065617E-2</v>
      </c>
      <c r="Z220" s="624">
        <f t="shared" si="87"/>
        <v>7.0890226308611762E-2</v>
      </c>
      <c r="AA220" s="624" t="e">
        <f t="shared" si="88"/>
        <v>#DIV/0!</v>
      </c>
      <c r="AB220" s="624"/>
      <c r="AC220" s="71"/>
      <c r="AD220" s="71"/>
      <c r="AE220" s="71"/>
      <c r="AF220" s="71"/>
      <c r="AG220" s="71"/>
      <c r="AH220" s="71"/>
      <c r="AI220" s="71"/>
      <c r="AJ220" s="71"/>
    </row>
    <row r="221" spans="1:36" s="234" customFormat="1" ht="14.25" x14ac:dyDescent="0.2">
      <c r="A221" s="71">
        <v>6</v>
      </c>
      <c r="B221" s="71" t="str">
        <f t="shared" si="89"/>
        <v>Производство</v>
      </c>
      <c r="C221" s="38"/>
      <c r="D221" s="71"/>
      <c r="E221" s="498"/>
      <c r="F221" s="498">
        <f t="shared" si="84"/>
        <v>9.9824629999999992</v>
      </c>
      <c r="G221" s="2184">
        <f t="shared" si="90"/>
        <v>8.2579499999999992</v>
      </c>
      <c r="H221" s="498">
        <f t="shared" si="91"/>
        <v>13.206097</v>
      </c>
      <c r="I221" s="498">
        <f t="shared" si="91"/>
        <v>20.816507999999999</v>
      </c>
      <c r="J221" s="498">
        <f t="shared" si="91"/>
        <v>16.011619</v>
      </c>
      <c r="K221" s="498">
        <f t="shared" si="91"/>
        <v>19.317440000000001</v>
      </c>
      <c r="L221" s="498">
        <f t="shared" si="91"/>
        <v>23.953625600000002</v>
      </c>
      <c r="M221" s="498">
        <f t="shared" si="91"/>
        <v>45.045000000000002</v>
      </c>
      <c r="N221" s="498">
        <f t="shared" si="91"/>
        <v>52.282339999999998</v>
      </c>
      <c r="O221" s="498">
        <f t="shared" si="91"/>
        <v>0</v>
      </c>
      <c r="P221" s="71"/>
      <c r="Q221" s="624"/>
      <c r="R221" s="624">
        <f t="shared" si="86"/>
        <v>5.5888359786816451E-2</v>
      </c>
      <c r="S221" s="624">
        <f t="shared" si="86"/>
        <v>5.57418228873112E-2</v>
      </c>
      <c r="T221" s="624">
        <f t="shared" si="86"/>
        <v>8.138662588564774E-2</v>
      </c>
      <c r="U221" s="624">
        <f t="shared" si="86"/>
        <v>0.11129693534022929</v>
      </c>
      <c r="V221" s="624">
        <f t="shared" si="86"/>
        <v>9.635850545148035E-2</v>
      </c>
      <c r="W221" s="624">
        <f t="shared" si="86"/>
        <v>0.10969223123390638</v>
      </c>
      <c r="X221" s="624">
        <f t="shared" si="87"/>
        <v>0.10898793883499343</v>
      </c>
      <c r="Y221" s="624">
        <f t="shared" si="87"/>
        <v>0.19087527213074204</v>
      </c>
      <c r="Z221" s="624">
        <f t="shared" si="87"/>
        <v>0.17500319496243055</v>
      </c>
      <c r="AA221" s="624" t="e">
        <f t="shared" si="88"/>
        <v>#DIV/0!</v>
      </c>
      <c r="AB221" s="624"/>
      <c r="AC221" s="71"/>
      <c r="AD221" s="71"/>
      <c r="AE221" s="71"/>
      <c r="AF221" s="71"/>
      <c r="AG221" s="71"/>
      <c r="AH221" s="71"/>
      <c r="AI221" s="71"/>
      <c r="AJ221" s="71"/>
    </row>
    <row r="222" spans="1:36" s="234" customFormat="1" thickBot="1" x14ac:dyDescent="0.25">
      <c r="A222" s="2169">
        <v>7</v>
      </c>
      <c r="B222" s="2169" t="str">
        <f t="shared" si="89"/>
        <v xml:space="preserve">Химическая производство </v>
      </c>
      <c r="C222" s="2183"/>
      <c r="D222" s="2169"/>
      <c r="E222" s="2170"/>
      <c r="F222" s="2170">
        <f t="shared" si="84"/>
        <v>4.459994</v>
      </c>
      <c r="G222" s="2185">
        <f t="shared" si="90"/>
        <v>5.7396180000000001</v>
      </c>
      <c r="H222" s="2170">
        <f t="shared" si="91"/>
        <v>11.962332</v>
      </c>
      <c r="I222" s="2170">
        <f t="shared" si="91"/>
        <v>8.4346879999999995</v>
      </c>
      <c r="J222" s="2170">
        <f t="shared" si="91"/>
        <v>3.382098</v>
      </c>
      <c r="K222" s="2170">
        <f t="shared" si="91"/>
        <v>8.7471200000000007</v>
      </c>
      <c r="L222" s="2170">
        <f t="shared" si="91"/>
        <v>10.8464288</v>
      </c>
      <c r="M222" s="2170">
        <f t="shared" si="91"/>
        <v>7.3873800000000003</v>
      </c>
      <c r="N222" s="2170">
        <f t="shared" si="91"/>
        <v>9.0650399999999998</v>
      </c>
      <c r="O222" s="2170">
        <f t="shared" si="91"/>
        <v>0</v>
      </c>
      <c r="P222" s="71"/>
      <c r="Q222" s="624"/>
      <c r="R222" s="624">
        <f t="shared" si="86"/>
        <v>2.4969964759102303E-2</v>
      </c>
      <c r="S222" s="624">
        <f t="shared" si="86"/>
        <v>3.874288049659097E-2</v>
      </c>
      <c r="T222" s="624">
        <f t="shared" si="86"/>
        <v>7.372154234547211E-2</v>
      </c>
      <c r="U222" s="624">
        <f t="shared" si="86"/>
        <v>4.5096657179533088E-2</v>
      </c>
      <c r="V222" s="624">
        <f t="shared" si="86"/>
        <v>2.0353588763912057E-2</v>
      </c>
      <c r="W222" s="624">
        <f t="shared" si="86"/>
        <v>4.9669682404641979E-2</v>
      </c>
      <c r="X222" s="624">
        <f t="shared" si="87"/>
        <v>4.9350772128312431E-2</v>
      </c>
      <c r="Y222" s="624">
        <f t="shared" si="87"/>
        <v>3.1303544629441696E-2</v>
      </c>
      <c r="Z222" s="624">
        <f t="shared" si="87"/>
        <v>3.0343151482168387E-2</v>
      </c>
      <c r="AA222" s="624" t="e">
        <f t="shared" si="88"/>
        <v>#DIV/0!</v>
      </c>
      <c r="AB222" s="624"/>
      <c r="AC222" s="71"/>
      <c r="AD222" s="71"/>
      <c r="AE222" s="71"/>
      <c r="AF222" s="71"/>
      <c r="AG222" s="71"/>
      <c r="AH222" s="71"/>
      <c r="AI222" s="71"/>
      <c r="AJ222" s="71"/>
    </row>
    <row r="223" spans="1:36" s="2174" customFormat="1" ht="14.25" x14ac:dyDescent="0.2">
      <c r="A223" s="2171"/>
      <c r="B223" s="2171" t="s">
        <v>294</v>
      </c>
      <c r="C223" s="2171"/>
      <c r="D223" s="2171"/>
      <c r="E223" s="2172"/>
      <c r="F223" s="2172">
        <f>F186-SUM(F216:F222)</f>
        <v>6.3268290000000036</v>
      </c>
      <c r="G223" s="2186">
        <f>G186-SUM(G216:G222)</f>
        <v>6.3432599999999866</v>
      </c>
      <c r="H223" s="2172">
        <f t="shared" ref="H223:O223" si="92">H186-SUM(H216:H222)</f>
        <v>10.037349000000006</v>
      </c>
      <c r="I223" s="2172">
        <f t="shared" si="92"/>
        <v>21.370058999999998</v>
      </c>
      <c r="J223" s="2172">
        <f t="shared" si="92"/>
        <v>17.853644000000003</v>
      </c>
      <c r="K223" s="2172">
        <f t="shared" si="92"/>
        <v>24.731457000000006</v>
      </c>
      <c r="L223" s="2172">
        <f t="shared" si="92"/>
        <v>32.078146179999976</v>
      </c>
      <c r="M223" s="2172">
        <f t="shared" si="92"/>
        <v>35.196404999999999</v>
      </c>
      <c r="N223" s="2172">
        <f t="shared" si="92"/>
        <v>60.477824300000037</v>
      </c>
      <c r="O223" s="2172">
        <f t="shared" si="92"/>
        <v>0</v>
      </c>
      <c r="P223" s="2171"/>
      <c r="Q223" s="2173"/>
      <c r="R223" s="2173">
        <f t="shared" si="86"/>
        <v>3.5421728631667794E-2</v>
      </c>
      <c r="S223" s="2173">
        <f t="shared" si="86"/>
        <v>4.2817512269772151E-2</v>
      </c>
      <c r="T223" s="2173">
        <f t="shared" si="86"/>
        <v>6.1858243805621063E-2</v>
      </c>
      <c r="U223" s="2173">
        <f t="shared" si="86"/>
        <v>0.1142565349932796</v>
      </c>
      <c r="V223" s="2173">
        <f t="shared" si="86"/>
        <v>0.10744387889212138</v>
      </c>
      <c r="W223" s="2173">
        <f t="shared" si="86"/>
        <v>0.14043520777056448</v>
      </c>
      <c r="X223" s="2173">
        <f t="shared" si="87"/>
        <v>0.14595414874505741</v>
      </c>
      <c r="Y223" s="2173">
        <f t="shared" si="87"/>
        <v>0.14914248823174178</v>
      </c>
      <c r="Z223" s="2173">
        <f t="shared" si="87"/>
        <v>0.20243570729383054</v>
      </c>
      <c r="AA223" s="2173" t="e">
        <f t="shared" si="88"/>
        <v>#DIV/0!</v>
      </c>
      <c r="AB223" s="2173"/>
      <c r="AC223" s="2171"/>
      <c r="AD223" s="2171"/>
      <c r="AE223" s="2171"/>
      <c r="AF223" s="2171"/>
      <c r="AG223" s="2171"/>
      <c r="AH223" s="2171"/>
      <c r="AI223" s="2171"/>
      <c r="AJ223" s="2171"/>
    </row>
    <row r="224" spans="1:36" s="2174" customFormat="1" thickBot="1" x14ac:dyDescent="0.25">
      <c r="A224" s="2171"/>
      <c r="B224" s="2171"/>
      <c r="C224" s="2171"/>
      <c r="D224" s="2171"/>
      <c r="E224" s="2172"/>
      <c r="F224" s="2172"/>
      <c r="G224" s="2172"/>
      <c r="H224" s="2172"/>
      <c r="I224" s="2172"/>
      <c r="J224" s="2172"/>
      <c r="K224" s="2172"/>
      <c r="L224" s="2172"/>
      <c r="M224" s="2172"/>
      <c r="N224" s="2172"/>
      <c r="O224" s="2172"/>
      <c r="P224" s="2171"/>
      <c r="Q224" s="2173"/>
      <c r="R224" s="2173"/>
      <c r="S224" s="2173"/>
      <c r="T224" s="2173"/>
      <c r="U224" s="2173"/>
      <c r="V224" s="2173"/>
      <c r="W224" s="2173"/>
      <c r="X224" s="2173"/>
      <c r="Y224" s="2173"/>
      <c r="Z224" s="2173"/>
      <c r="AA224" s="2173"/>
      <c r="AB224" s="2173"/>
      <c r="AC224" s="2171"/>
      <c r="AD224" s="2171"/>
      <c r="AE224" s="2171"/>
      <c r="AF224" s="2171"/>
      <c r="AG224" s="2171"/>
      <c r="AH224" s="2171"/>
      <c r="AI224" s="2171"/>
      <c r="AJ224" s="2171"/>
    </row>
    <row r="225" spans="1:36" s="1" customFormat="1" ht="26.25" customHeight="1" thickBot="1" x14ac:dyDescent="0.25">
      <c r="A225" s="512"/>
      <c r="B225" s="513" t="s">
        <v>1169</v>
      </c>
      <c r="C225" s="514"/>
      <c r="D225" s="514"/>
      <c r="E225" s="527"/>
      <c r="F225" s="527">
        <f t="shared" ref="F225:O225" si="93">SUM(F216:F223)</f>
        <v>178.614349</v>
      </c>
      <c r="G225" s="527">
        <f t="shared" si="93"/>
        <v>148.14639299999999</v>
      </c>
      <c r="H225" s="527">
        <f t="shared" si="93"/>
        <v>162.263724</v>
      </c>
      <c r="I225" s="527">
        <f t="shared" si="93"/>
        <v>187.03577000000001</v>
      </c>
      <c r="J225" s="527">
        <f t="shared" si="93"/>
        <v>166.16715800000003</v>
      </c>
      <c r="K225" s="527">
        <f t="shared" si="93"/>
        <v>176.105817</v>
      </c>
      <c r="L225" s="527">
        <f t="shared" si="93"/>
        <v>219.78235258000001</v>
      </c>
      <c r="M225" s="527">
        <f t="shared" si="93"/>
        <v>235.99180499999997</v>
      </c>
      <c r="N225" s="527">
        <f t="shared" si="93"/>
        <v>298.75077430000005</v>
      </c>
      <c r="O225" s="527">
        <f t="shared" si="93"/>
        <v>0</v>
      </c>
      <c r="P225" s="499"/>
      <c r="Q225" s="608"/>
      <c r="R225" s="608">
        <f t="shared" ref="R225:W225" si="94">SUM(R216:R223)</f>
        <v>1.0000000000000002</v>
      </c>
      <c r="S225" s="608">
        <f t="shared" si="94"/>
        <v>1</v>
      </c>
      <c r="T225" s="608">
        <f t="shared" si="94"/>
        <v>1</v>
      </c>
      <c r="U225" s="608">
        <f t="shared" si="94"/>
        <v>0.99999999999999989</v>
      </c>
      <c r="V225" s="608">
        <f t="shared" si="94"/>
        <v>0.99999999999999989</v>
      </c>
      <c r="W225" s="608">
        <f t="shared" si="94"/>
        <v>1</v>
      </c>
      <c r="X225" s="608">
        <f t="shared" ref="X225:AA225" si="95">SUM(X216:X223)</f>
        <v>0.99999999999999989</v>
      </c>
      <c r="Y225" s="608">
        <f t="shared" si="95"/>
        <v>1</v>
      </c>
      <c r="Z225" s="608">
        <f t="shared" si="95"/>
        <v>0.99999999999999989</v>
      </c>
      <c r="AA225" s="608" t="e">
        <f t="shared" si="95"/>
        <v>#DIV/0!</v>
      </c>
      <c r="AB225" s="613"/>
      <c r="AC225" s="547"/>
      <c r="AD225" s="4"/>
      <c r="AE225" s="4"/>
      <c r="AF225" s="4"/>
      <c r="AG225" s="4"/>
      <c r="AH225" s="4"/>
      <c r="AI225" s="4"/>
      <c r="AJ225" s="4"/>
    </row>
    <row r="226" spans="1:36" s="1" customFormat="1" ht="15.75" outlineLevel="1" x14ac:dyDescent="0.25">
      <c r="A226" s="4"/>
      <c r="B226" s="304" t="s">
        <v>458</v>
      </c>
      <c r="C226" s="386"/>
      <c r="D226" s="386"/>
      <c r="E226" s="386"/>
      <c r="F226" s="386">
        <f>Ввод!G575/VLOOKUP(Баланс!$B$7,Баланс!$A$1:$B$3,2,0)-F225</f>
        <v>0</v>
      </c>
      <c r="G226" s="386">
        <f>Ввод!H575/VLOOKUP(Баланс!$B$7,Баланс!$A$1:$B$3,2,0)-G225</f>
        <v>0</v>
      </c>
      <c r="H226" s="386">
        <f>Ввод!I575/VLOOKUP(Баланс!$B$7,Баланс!$A$1:$B$3,2,0)-H225</f>
        <v>0</v>
      </c>
      <c r="I226" s="386">
        <f>Ввод!J575/VLOOKUP(Баланс!$B$7,Баланс!$A$1:$B$3,2,0)-I225</f>
        <v>0</v>
      </c>
      <c r="J226" s="386">
        <f>Ввод!K575/VLOOKUP(Баланс!$B$7,Баланс!$A$1:$B$3,2,0)-J225</f>
        <v>0</v>
      </c>
      <c r="K226" s="386">
        <f>Ввод!L575/VLOOKUP(Баланс!$B$7,Баланс!$A$1:$B$3,2,0)-K225</f>
        <v>0</v>
      </c>
      <c r="L226" s="386">
        <f>Ввод!M575/VLOOKUP(Баланс!$B$7,Баланс!$A$1:$B$3,2,0)-L225</f>
        <v>0</v>
      </c>
      <c r="M226" s="386">
        <f>Ввод!N575/VLOOKUP(Баланс!$B$7,Баланс!$A$1:$B$3,2,0)-M225</f>
        <v>0</v>
      </c>
      <c r="N226" s="386">
        <f>Ввод!O575/VLOOKUP(Баланс!$B$7,Баланс!$A$1:$B$3,2,0)-N225</f>
        <v>0</v>
      </c>
      <c r="O226" s="386">
        <f>Ввод!P575/VLOOKUP(Баланс!$B$7,Баланс!$A$1:$B$3,2,0)-O225</f>
        <v>0</v>
      </c>
      <c r="P226" s="4"/>
      <c r="Q226" s="4"/>
      <c r="R226" s="4"/>
      <c r="S226" s="4"/>
      <c r="T226" s="4"/>
      <c r="U226" s="4"/>
      <c r="V226" s="4"/>
      <c r="W226" s="4"/>
      <c r="X226" s="4"/>
      <c r="Y226" s="4"/>
      <c r="Z226" s="4"/>
      <c r="AA226" s="4"/>
      <c r="AB226" s="4"/>
      <c r="AC226" s="4"/>
      <c r="AD226" s="4"/>
      <c r="AE226" s="4"/>
      <c r="AF226" s="4"/>
      <c r="AG226" s="4"/>
      <c r="AH226" s="4"/>
      <c r="AI226" s="4"/>
      <c r="AJ226" s="4"/>
    </row>
    <row r="227" spans="1:36" s="1" customFormat="1" ht="14.2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row>
    <row r="228" spans="1:36" s="1" customFormat="1" ht="14.2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row>
    <row r="229" spans="1:36" s="1" customFormat="1" ht="14.2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row>
    <row r="230" spans="1:36" s="1" customFormat="1" ht="14.2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row>
    <row r="231" spans="1:36" s="1" customFormat="1" ht="14.2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row>
    <row r="232" spans="1:36" s="1" customFormat="1" ht="14.2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row>
    <row r="233" spans="1:36" s="1" customFormat="1" ht="14.2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row>
    <row r="234" spans="1:36" s="1" customFormat="1" ht="14.2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row>
    <row r="235" spans="1:36" s="1" customFormat="1" ht="14.2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row>
    <row r="236" spans="1:36" s="1" customFormat="1" ht="14.2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row>
    <row r="237" spans="1:36" s="1" customFormat="1" ht="14.25"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row>
    <row r="238" spans="1:36" s="1" customFormat="1" ht="14.25"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row>
    <row r="239" spans="1:36" s="1" customFormat="1" ht="14.25"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row>
    <row r="240" spans="1:36" s="1" customFormat="1" ht="14.25"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row>
    <row r="241" spans="1:36" s="1" customFormat="1" ht="14.25"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row>
    <row r="242" spans="1:36" s="1" customFormat="1" ht="14.25"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row>
    <row r="243" spans="1:36" s="1" customFormat="1" ht="14.25"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row>
    <row r="244" spans="1:36" s="1" customFormat="1" ht="14.25"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row>
    <row r="245" spans="1:36" s="1" customFormat="1" ht="14.25"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row>
    <row r="246" spans="1:36" s="1" customFormat="1" ht="14.25"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row>
    <row r="247" spans="1:36" s="1" customFormat="1" ht="14.25"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row>
    <row r="248" spans="1:36" s="1" customFormat="1" ht="14.25"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row>
    <row r="249" spans="1:36" s="1" customFormat="1" ht="14.25"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row>
    <row r="250" spans="1:36" s="1" customFormat="1" ht="14.25"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row>
    <row r="251" spans="1:36" s="1" customFormat="1" ht="14.25"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row>
    <row r="252" spans="1:36" s="1" customFormat="1" ht="14.25"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row>
    <row r="253" spans="1:36" s="1" customFormat="1" ht="14.25"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row>
    <row r="254" spans="1:36" s="1" customFormat="1" ht="14.25"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row>
    <row r="255" spans="1:36" s="1" customFormat="1" ht="14.25"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row>
    <row r="256" spans="1:36" s="1" customFormat="1" ht="14.25"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row>
    <row r="257" spans="1:36" s="1" customFormat="1" ht="14.25"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row>
    <row r="258" spans="1:36" s="1" customFormat="1" ht="14.25"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row>
    <row r="259" spans="1:36" s="1" customFormat="1" ht="14.25"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row>
    <row r="260" spans="1:36" s="1" customFormat="1" ht="14.25"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row>
    <row r="261" spans="1:36" s="1" customFormat="1" ht="14.25"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row>
    <row r="262" spans="1:36" s="1" customFormat="1" ht="14.25"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row>
    <row r="263" spans="1:36" s="1" customFormat="1" ht="14.25"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row>
    <row r="264" spans="1:36" s="1" customFormat="1" ht="14.25"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row>
    <row r="265" spans="1:36" s="1" customFormat="1" ht="14.25"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row>
    <row r="266" spans="1:36" s="1" customFormat="1" ht="14.25"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row>
    <row r="267" spans="1:36" s="1" customFormat="1" ht="14.25"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row>
    <row r="268" spans="1:36" s="1" customFormat="1" ht="14.25"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row>
    <row r="269" spans="1:36" s="1" customFormat="1" ht="14.25"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row>
    <row r="270" spans="1:36" s="1" customFormat="1" ht="14.25"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row>
    <row r="271" spans="1:36" s="1" customFormat="1" ht="14.25"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row>
    <row r="272" spans="1:36" s="1" customFormat="1" ht="14.25"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row>
    <row r="273" spans="1:36" s="1" customFormat="1" ht="14.25"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row>
    <row r="274" spans="1:36" s="1" customFormat="1" ht="14.25"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row>
    <row r="275" spans="1:36" s="1" customFormat="1" ht="14.25"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row>
    <row r="276" spans="1:36" s="1" customFormat="1" ht="14.25"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row>
    <row r="277" spans="1:36" s="1" customFormat="1" ht="14.25"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row>
    <row r="278" spans="1:36" s="1" customFormat="1" ht="14.25"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row>
    <row r="279" spans="1:36" s="1" customFormat="1" ht="14.25"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row>
    <row r="280" spans="1:36" s="1" customFormat="1" ht="14.25"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row>
    <row r="281" spans="1:36" s="1" customFormat="1" ht="14.25"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row>
    <row r="282" spans="1:36" s="1" customFormat="1" ht="14.25"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row>
    <row r="283" spans="1:36" s="1" customFormat="1" ht="14.25"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row>
    <row r="284" spans="1:36" s="1" customFormat="1" ht="14.25" x14ac:dyDescent="0.2">
      <c r="A284" s="4"/>
      <c r="B284" s="4" t="s">
        <v>3464</v>
      </c>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row>
    <row r="285" spans="1:36" s="1" customFormat="1" ht="14.25"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row>
    <row r="286" spans="1:36" s="1" customFormat="1" ht="14.25"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row>
    <row r="287" spans="1:36" s="1" customFormat="1" ht="14.25"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row>
    <row r="288" spans="1:36" s="1" customFormat="1" ht="14.25"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row>
    <row r="289" spans="1:36" s="1" customFormat="1" ht="14.25"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row>
    <row r="290" spans="1:36" s="1" customFormat="1" ht="14.25"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row>
    <row r="291" spans="1:36" s="1" customFormat="1" ht="14.25"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row>
    <row r="292" spans="1:36" s="1" customFormat="1" ht="14.25"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row>
    <row r="293" spans="1:36" s="1" customFormat="1" ht="14.25"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row>
    <row r="294" spans="1:36" s="1" customFormat="1" ht="14.25"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row>
    <row r="295" spans="1:36" s="1" customFormat="1" ht="14.25"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row>
    <row r="296" spans="1:36" s="1" customFormat="1" ht="14.25"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row>
    <row r="297" spans="1:36" s="1" customFormat="1" ht="14.25"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row>
    <row r="298" spans="1:36" s="1" customFormat="1" ht="14.25"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row>
    <row r="299" spans="1:36" s="1" customFormat="1" ht="14.25"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row>
    <row r="300" spans="1:36" s="1" customFormat="1" ht="14.25"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row>
    <row r="301" spans="1:36" s="1" customFormat="1" ht="14.25"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row>
    <row r="302" spans="1:36" s="1" customFormat="1" ht="14.25"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row>
    <row r="303" spans="1:36" s="1" customFormat="1" ht="14.25"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row>
    <row r="304" spans="1:36" s="1" customFormat="1" ht="14.25"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spans="1:36" s="1" customFormat="1" ht="14.25"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spans="1:36" s="1" customFormat="1" ht="14.25"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spans="1:36" s="1" customFormat="1" ht="14.25"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spans="1:36" s="1" customFormat="1" ht="14.25"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spans="1:36" s="1" customFormat="1" ht="14.25"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spans="1:36" s="1" customFormat="1" ht="14.25"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spans="1:36" s="1" customFormat="1" ht="14.25"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spans="1:36" s="1" customFormat="1" ht="20.25" x14ac:dyDescent="0.3">
      <c r="A312" s="4"/>
      <c r="B312" s="2176" t="s">
        <v>3465</v>
      </c>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spans="1:36" s="1" customFormat="1" ht="14.25"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spans="1:36" s="1" customFormat="1" ht="14.25"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spans="1:36" s="1" customFormat="1" ht="14.25"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spans="1:36" s="1" customFormat="1" ht="14.25"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spans="1:36" s="1" customFormat="1" ht="14.25"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spans="1:36" s="1" customFormat="1" ht="14.25"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spans="1:36" s="1" customFormat="1" ht="14.25"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spans="1:36" s="1" customFormat="1" ht="14.25"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spans="1:36" s="1" customFormat="1" ht="14.25"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spans="1:36" s="1" customFormat="1" ht="14.25"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spans="1:36" s="1" customFormat="1" ht="14.25"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spans="1:36" s="1" customFormat="1" ht="14.25"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spans="1:36" s="1" customFormat="1" ht="14.25"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spans="1:36" s="1" customFormat="1" ht="14.25"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spans="1:36" s="1" customFormat="1" ht="14.25"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spans="1:36" s="1" customFormat="1" ht="14.25"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spans="1:36" s="1" customFormat="1" ht="14.25"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spans="1:36" s="1" customFormat="1" ht="14.25"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spans="1:36" s="1" customFormat="1" ht="14.25"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spans="1:36" s="1" customFormat="1" ht="14.25"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spans="1:36" s="1" customFormat="1" ht="14.25"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spans="1:36" s="1" customFormat="1" ht="14.25"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spans="1:36" s="1" customFormat="1" ht="14.25"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spans="1:36" s="1" customFormat="1" ht="14.25"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spans="1:36" s="1" customFormat="1" ht="14.25"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spans="1:36" s="1" customFormat="1" ht="14.25"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spans="1:36" s="1" customFormat="1" ht="14.25"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spans="1:36" s="1" customFormat="1" ht="14.25"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spans="1:36" s="1" customFormat="1" ht="14.25"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spans="1:36" s="1" customFormat="1" ht="14.25"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spans="1:36" s="1" customFormat="1" ht="14.25"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spans="1:36" s="1" customFormat="1" ht="14.25"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spans="1:36" s="1" customFormat="1" ht="14.25"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spans="1:36" s="1" customFormat="1" ht="14.25"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spans="1:36" s="1" customFormat="1" ht="14.25"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spans="1:36" s="1" customFormat="1" ht="14.25"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spans="1:36" s="1" customFormat="1" ht="14.25"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spans="1:36" s="1" customFormat="1" ht="14.25"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spans="1:36" s="1" customFormat="1" ht="14.25"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spans="1:36" s="1" customFormat="1" ht="14.25"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spans="1:36" s="1" customFormat="1" ht="14.25"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spans="1:36" x14ac:dyDescent="0.2">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row>
    <row r="355" spans="1:36" x14ac:dyDescent="0.2">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row>
    <row r="356" spans="1:36" x14ac:dyDescent="0.2">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row>
    <row r="357" spans="1:36" x14ac:dyDescent="0.2">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row>
    <row r="358" spans="1:36" x14ac:dyDescent="0.2">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row>
    <row r="359" spans="1:36" x14ac:dyDescent="0.2">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row>
    <row r="360" spans="1:36" x14ac:dyDescent="0.2">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row>
    <row r="361" spans="1:36" x14ac:dyDescent="0.2">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row>
    <row r="362" spans="1:36" x14ac:dyDescent="0.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row>
    <row r="363" spans="1:36" x14ac:dyDescent="0.2">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row>
    <row r="364" spans="1:36" x14ac:dyDescent="0.2">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row>
    <row r="365" spans="1:36" x14ac:dyDescent="0.2">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row>
    <row r="366" spans="1:36" x14ac:dyDescent="0.2">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row>
    <row r="367" spans="1:36" x14ac:dyDescent="0.2">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row>
    <row r="368" spans="1:36" x14ac:dyDescent="0.2">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row>
    <row r="369" spans="1:36" x14ac:dyDescent="0.2">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row>
    <row r="370" spans="1:36" x14ac:dyDescent="0.2">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row>
    <row r="371" spans="1:36" x14ac:dyDescent="0.2">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row>
    <row r="372" spans="1:36" x14ac:dyDescent="0.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row>
    <row r="373" spans="1:36" x14ac:dyDescent="0.2">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row>
    <row r="374" spans="1:36" x14ac:dyDescent="0.2">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row>
    <row r="375" spans="1:36" x14ac:dyDescent="0.2">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row>
    <row r="376" spans="1:36" x14ac:dyDescent="0.2">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row>
    <row r="377" spans="1:36" x14ac:dyDescent="0.2">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row>
    <row r="378" spans="1:36" x14ac:dyDescent="0.2">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row>
    <row r="379" spans="1:36" x14ac:dyDescent="0.2">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row>
    <row r="380" spans="1:36" x14ac:dyDescent="0.2">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row>
    <row r="381" spans="1:36" x14ac:dyDescent="0.2">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row>
    <row r="382" spans="1:36" x14ac:dyDescent="0.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row>
    <row r="383" spans="1:36" x14ac:dyDescent="0.2">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row>
    <row r="384" spans="1:36" x14ac:dyDescent="0.2">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row>
    <row r="385" spans="1:36" x14ac:dyDescent="0.2">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row>
    <row r="386" spans="1:36" x14ac:dyDescent="0.2">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row>
    <row r="387" spans="1:36" x14ac:dyDescent="0.2">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row>
    <row r="388" spans="1:36" x14ac:dyDescent="0.2">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row>
    <row r="389" spans="1:36" x14ac:dyDescent="0.2">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row>
    <row r="390" spans="1:36" x14ac:dyDescent="0.2">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row>
    <row r="391" spans="1:36" x14ac:dyDescent="0.2">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row>
    <row r="392" spans="1:36" x14ac:dyDescent="0.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row>
    <row r="393" spans="1:36" x14ac:dyDescent="0.2">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row>
    <row r="394" spans="1:36" x14ac:dyDescent="0.2">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row>
    <row r="395" spans="1:36" x14ac:dyDescent="0.2">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row>
    <row r="396" spans="1:36" x14ac:dyDescent="0.2">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row>
    <row r="397" spans="1:36" x14ac:dyDescent="0.2">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row>
    <row r="398" spans="1:36" x14ac:dyDescent="0.2">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row>
    <row r="399" spans="1:36" x14ac:dyDescent="0.2">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row>
    <row r="400" spans="1:36" x14ac:dyDescent="0.2">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row>
    <row r="401" spans="1:36" x14ac:dyDescent="0.2">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row>
    <row r="402" spans="1:36" x14ac:dyDescent="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row>
    <row r="403" spans="1:36" x14ac:dyDescent="0.2">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row>
    <row r="404" spans="1:36" x14ac:dyDescent="0.2">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row>
    <row r="405" spans="1:36" x14ac:dyDescent="0.2">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row>
    <row r="406" spans="1:36" x14ac:dyDescent="0.2">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row>
    <row r="407" spans="1:36" x14ac:dyDescent="0.2">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row>
    <row r="408" spans="1:36" x14ac:dyDescent="0.2">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row>
    <row r="409" spans="1:36" x14ac:dyDescent="0.2">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row>
    <row r="410" spans="1:36" x14ac:dyDescent="0.2">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row>
    <row r="411" spans="1:36" x14ac:dyDescent="0.2">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row>
    <row r="412" spans="1:36" x14ac:dyDescent="0.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row>
    <row r="413" spans="1:36" x14ac:dyDescent="0.2">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row>
    <row r="414" spans="1:36" x14ac:dyDescent="0.2">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row>
    <row r="415" spans="1:36" x14ac:dyDescent="0.2">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row>
    <row r="416" spans="1:36" x14ac:dyDescent="0.2">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row>
    <row r="417" spans="1:36" x14ac:dyDescent="0.2">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row>
    <row r="418" spans="1:36" x14ac:dyDescent="0.2">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row>
    <row r="419" spans="1:36" x14ac:dyDescent="0.2">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row>
    <row r="420" spans="1:36" x14ac:dyDescent="0.2">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row>
    <row r="421" spans="1:36" x14ac:dyDescent="0.2">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row>
    <row r="422" spans="1:36" x14ac:dyDescent="0.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row>
    <row r="423" spans="1:36" x14ac:dyDescent="0.2">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row>
    <row r="424" spans="1:36" x14ac:dyDescent="0.2">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row>
    <row r="425" spans="1:36" x14ac:dyDescent="0.2">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row>
    <row r="426" spans="1:36" x14ac:dyDescent="0.2">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row>
    <row r="427" spans="1:36" x14ac:dyDescent="0.2">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row>
    <row r="428" spans="1:36" x14ac:dyDescent="0.2">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row>
    <row r="429" spans="1:36" x14ac:dyDescent="0.2">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row>
    <row r="430" spans="1:36" x14ac:dyDescent="0.2">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row>
    <row r="431" spans="1:36" x14ac:dyDescent="0.2">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row>
    <row r="432" spans="1:36" x14ac:dyDescent="0.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row>
    <row r="433" spans="1:36" x14ac:dyDescent="0.2">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row>
    <row r="434" spans="1:36" x14ac:dyDescent="0.2">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row>
    <row r="435" spans="1:36" x14ac:dyDescent="0.2">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row>
    <row r="436" spans="1:36" x14ac:dyDescent="0.2">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row>
    <row r="437" spans="1:36" x14ac:dyDescent="0.2">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row>
    <row r="438" spans="1:36" x14ac:dyDescent="0.2">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row>
    <row r="439" spans="1:36" x14ac:dyDescent="0.2">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row>
    <row r="440" spans="1:36" x14ac:dyDescent="0.2">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row>
    <row r="441" spans="1:36" x14ac:dyDescent="0.2">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row>
    <row r="442" spans="1:36" x14ac:dyDescent="0.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row>
    <row r="443" spans="1:36" x14ac:dyDescent="0.2">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row>
    <row r="444" spans="1:36" x14ac:dyDescent="0.2">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row>
    <row r="445" spans="1:36" x14ac:dyDescent="0.2">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row>
    <row r="446" spans="1:36" x14ac:dyDescent="0.2">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row>
    <row r="447" spans="1:36" x14ac:dyDescent="0.2">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row>
    <row r="448" spans="1:36" x14ac:dyDescent="0.2">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row>
    <row r="449" spans="1:36" x14ac:dyDescent="0.2">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row>
    <row r="450" spans="1:36" x14ac:dyDescent="0.2">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row>
    <row r="451" spans="1:36" x14ac:dyDescent="0.2">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row>
    <row r="452" spans="1:36" x14ac:dyDescent="0.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row>
    <row r="453" spans="1:36" x14ac:dyDescent="0.2">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row>
    <row r="454" spans="1:36" x14ac:dyDescent="0.2">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row>
    <row r="455" spans="1:36" x14ac:dyDescent="0.2">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row>
    <row r="456" spans="1:36" x14ac:dyDescent="0.2">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row>
    <row r="457" spans="1:36" x14ac:dyDescent="0.2">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row>
    <row r="458" spans="1:36" x14ac:dyDescent="0.2">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row>
    <row r="459" spans="1:36" x14ac:dyDescent="0.2">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row>
    <row r="460" spans="1:36" x14ac:dyDescent="0.2">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row>
    <row r="461" spans="1:36" x14ac:dyDescent="0.2">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row>
    <row r="462" spans="1:36" x14ac:dyDescent="0.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row>
    <row r="463" spans="1:36" x14ac:dyDescent="0.2">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row>
    <row r="464" spans="1:36" x14ac:dyDescent="0.2">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row>
    <row r="465" spans="1:36" x14ac:dyDescent="0.2">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row>
    <row r="466" spans="1:36" x14ac:dyDescent="0.2">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row>
    <row r="467" spans="1:36" x14ac:dyDescent="0.2">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row>
    <row r="468" spans="1:36" x14ac:dyDescent="0.2">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row>
    <row r="469" spans="1:36" x14ac:dyDescent="0.2">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row>
    <row r="470" spans="1:36" x14ac:dyDescent="0.2">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row>
    <row r="471" spans="1:36" x14ac:dyDescent="0.2">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row>
  </sheetData>
  <mergeCells count="1">
    <mergeCell ref="E181:E185"/>
  </mergeCells>
  <phoneticPr fontId="134" type="noConversion"/>
  <conditionalFormatting sqref="E205:O205">
    <cfRule type="cellIs" dxfId="5" priority="3" operator="greaterThan">
      <formula>1</formula>
    </cfRule>
  </conditionalFormatting>
  <conditionalFormatting sqref="F139:O139">
    <cfRule type="dataBar" priority="2">
      <dataBar>
        <cfvo type="min"/>
        <cfvo type="max"/>
        <color rgb="FF638EC6"/>
      </dataBar>
      <extLst>
        <ext xmlns:x14="http://schemas.microsoft.com/office/spreadsheetml/2009/9/main" uri="{B025F937-C7B1-47D3-B67F-A62EFF666E3E}">
          <x14:id>{BF772F8B-3F17-4DE8-8FF5-9A5022DEFDEC}</x14:id>
        </ext>
      </extLst>
    </cfRule>
  </conditionalFormatting>
  <pageMargins left="0.7" right="0.7" top="0.75" bottom="0.75" header="0.3" footer="0.3"/>
  <pageSetup paperSize="9" orientation="portrait" verticalDpi="300" r:id="rId1"/>
  <drawing r:id="rId2"/>
  <legacyDrawing r:id="rId3"/>
  <extLst>
    <ext xmlns:x14="http://schemas.microsoft.com/office/spreadsheetml/2009/9/main" uri="{78C0D931-6437-407d-A8EE-F0AAD7539E65}">
      <x14:conditionalFormattings>
        <x14:conditionalFormatting xmlns:xm="http://schemas.microsoft.com/office/excel/2006/main">
          <x14:cfRule type="dataBar" id="{BF772F8B-3F17-4DE8-8FF5-9A5022DEFDEC}">
            <x14:dataBar minLength="0" maxLength="100" border="1" negativeBarBorderColorSameAsPositive="0">
              <x14:cfvo type="autoMin"/>
              <x14:cfvo type="autoMax"/>
              <x14:borderColor rgb="FF638EC6"/>
              <x14:negativeFillColor rgb="FFFF0000"/>
              <x14:negativeBorderColor rgb="FFFF0000"/>
              <x14:axisColor rgb="FF000000"/>
            </x14:dataBar>
          </x14:cfRule>
          <xm:sqref>F139:O139</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17"/>
  <sheetViews>
    <sheetView zoomScale="85" zoomScaleNormal="85" workbookViewId="0">
      <pane xSplit="5" ySplit="8" topLeftCell="F42" activePane="bottomRight" state="frozen"/>
      <selection pane="topRight" activeCell="F1" sqref="F1"/>
      <selection pane="bottomLeft" activeCell="A5" sqref="A5"/>
      <selection pane="bottomRight" activeCell="J8" sqref="J8"/>
    </sheetView>
  </sheetViews>
  <sheetFormatPr defaultColWidth="9.140625" defaultRowHeight="14.25" outlineLevelRow="1" outlineLevelCol="1" x14ac:dyDescent="0.2"/>
  <cols>
    <col min="1" max="1" width="2.7109375" style="1" customWidth="1"/>
    <col min="2" max="2" width="2.28515625" style="3" customWidth="1"/>
    <col min="3" max="3" width="3.7109375" style="3" customWidth="1"/>
    <col min="4" max="4" width="3.85546875" style="3" customWidth="1"/>
    <col min="5" max="5" width="59.42578125" style="3" customWidth="1"/>
    <col min="6" max="11" width="11.28515625" style="1" customWidth="1"/>
    <col min="12" max="12" width="16.140625" style="1" customWidth="1"/>
    <col min="13" max="18" width="13.140625" style="1" customWidth="1" outlineLevel="1"/>
    <col min="19" max="16384" width="9.140625" style="1"/>
  </cols>
  <sheetData>
    <row r="1" spans="1:26" ht="16.5" customHeight="1" x14ac:dyDescent="0.25">
      <c r="A1" s="93"/>
      <c r="B1" s="336"/>
      <c r="C1" s="93"/>
      <c r="D1" s="327"/>
      <c r="E1" s="93"/>
      <c r="F1" s="93"/>
      <c r="G1" s="93"/>
      <c r="H1" s="93"/>
      <c r="I1" s="93"/>
      <c r="J1" s="230"/>
      <c r="K1" s="337"/>
      <c r="L1" s="93"/>
      <c r="M1" s="93"/>
      <c r="N1" s="93"/>
      <c r="O1" s="93"/>
      <c r="P1" s="93"/>
      <c r="Q1" s="93"/>
      <c r="R1" s="337"/>
      <c r="S1" s="337"/>
    </row>
    <row r="2" spans="1:26" ht="16.5" customHeight="1" x14ac:dyDescent="0.25">
      <c r="A2" s="93"/>
      <c r="B2" s="336"/>
      <c r="C2" s="93"/>
      <c r="D2" s="327" t="str">
        <f>МСФО_ввод!E2</f>
        <v>ОАО "Банк Москвы"</v>
      </c>
      <c r="E2" s="93"/>
      <c r="F2" s="93"/>
      <c r="G2" s="93"/>
      <c r="H2" s="93"/>
      <c r="I2" s="93"/>
      <c r="J2" s="230"/>
      <c r="K2" s="337"/>
      <c r="L2" s="93"/>
      <c r="M2" s="93"/>
      <c r="N2" s="93"/>
      <c r="O2" s="93"/>
      <c r="P2" s="93"/>
      <c r="Q2" s="93"/>
      <c r="R2" s="337"/>
      <c r="S2" s="337"/>
    </row>
    <row r="3" spans="1:26" ht="16.5" customHeight="1" x14ac:dyDescent="0.25">
      <c r="A3" s="93"/>
      <c r="B3" s="336"/>
      <c r="C3" s="93"/>
      <c r="D3" s="327" t="s">
        <v>559</v>
      </c>
      <c r="E3" s="93"/>
      <c r="F3" s="93"/>
      <c r="G3" s="93"/>
      <c r="H3" s="93"/>
      <c r="I3" s="93"/>
      <c r="J3" s="230"/>
      <c r="K3" s="337"/>
      <c r="L3" s="93"/>
      <c r="M3" s="93"/>
      <c r="N3" s="93"/>
      <c r="O3" s="93"/>
      <c r="P3" s="93"/>
      <c r="Q3" s="93"/>
      <c r="R3" s="337"/>
      <c r="S3" s="337"/>
    </row>
    <row r="4" spans="1:26" ht="16.5" customHeight="1" x14ac:dyDescent="0.25">
      <c r="A4" s="93"/>
      <c r="B4" s="336"/>
      <c r="C4" s="93"/>
      <c r="D4" s="327" t="s">
        <v>758</v>
      </c>
      <c r="E4" s="93"/>
      <c r="F4" s="93"/>
      <c r="G4" s="93"/>
      <c r="H4" s="93"/>
      <c r="I4" s="93"/>
      <c r="J4" s="230"/>
      <c r="K4" s="337"/>
      <c r="L4" s="93"/>
      <c r="M4" s="93"/>
      <c r="N4" s="93"/>
      <c r="O4" s="93"/>
      <c r="P4" s="93"/>
      <c r="Q4" s="93"/>
      <c r="R4" s="337"/>
      <c r="S4" s="337"/>
    </row>
    <row r="5" spans="1:26" ht="16.5" customHeight="1" x14ac:dyDescent="0.25">
      <c r="A5" s="21"/>
      <c r="B5" s="338"/>
      <c r="C5" s="21"/>
      <c r="D5" s="338" t="s">
        <v>759</v>
      </c>
      <c r="E5" s="21"/>
      <c r="F5" s="21"/>
      <c r="G5" s="21"/>
      <c r="H5" s="21"/>
      <c r="I5" s="21"/>
      <c r="J5" s="339"/>
      <c r="K5" s="340"/>
      <c r="L5" s="21"/>
      <c r="M5" s="21"/>
      <c r="N5" s="21"/>
      <c r="O5" s="21"/>
      <c r="P5" s="21"/>
      <c r="Q5" s="21"/>
      <c r="R5" s="340"/>
      <c r="S5" s="340"/>
    </row>
    <row r="6" spans="1:26" s="103" customFormat="1" ht="18" x14ac:dyDescent="0.3">
      <c r="A6" s="101"/>
      <c r="B6" s="102"/>
      <c r="C6" s="240" t="s">
        <v>303</v>
      </c>
      <c r="D6" s="102"/>
      <c r="E6" s="102"/>
      <c r="F6" s="104"/>
      <c r="G6" s="104"/>
      <c r="H6" s="104"/>
      <c r="I6" s="104"/>
      <c r="J6" s="101"/>
      <c r="K6" s="101"/>
      <c r="L6" s="101"/>
      <c r="M6" s="101"/>
      <c r="N6" s="101"/>
      <c r="O6" s="101"/>
      <c r="P6" s="101"/>
      <c r="Q6" s="101"/>
      <c r="R6" s="101"/>
      <c r="S6" s="101"/>
      <c r="T6" s="101"/>
      <c r="U6" s="101"/>
      <c r="V6" s="101"/>
      <c r="W6" s="101"/>
      <c r="X6" s="101"/>
      <c r="Y6" s="101"/>
      <c r="Z6" s="101"/>
    </row>
    <row r="7" spans="1:26" s="103" customFormat="1" ht="16.5" x14ac:dyDescent="0.3">
      <c r="A7" s="460"/>
      <c r="B7" s="460"/>
      <c r="C7" s="460"/>
      <c r="D7" s="460" t="str">
        <f>МСФО_ввод!D7</f>
        <v>млрд руб.</v>
      </c>
      <c r="F7" s="461" t="s">
        <v>348</v>
      </c>
      <c r="G7" s="460"/>
      <c r="H7" s="460"/>
      <c r="I7" s="460"/>
      <c r="J7" s="460"/>
      <c r="K7" s="460"/>
      <c r="L7" s="460"/>
      <c r="M7" s="460" t="s">
        <v>17</v>
      </c>
      <c r="N7" s="460"/>
      <c r="O7" s="460"/>
      <c r="P7" s="460"/>
      <c r="Q7" s="460"/>
      <c r="R7" s="462"/>
      <c r="S7" s="462"/>
      <c r="T7" s="224" t="s">
        <v>785</v>
      </c>
      <c r="U7" s="224"/>
      <c r="V7" s="224"/>
      <c r="W7" s="224"/>
      <c r="X7" s="224"/>
      <c r="Y7" s="224"/>
      <c r="Z7" s="101"/>
    </row>
    <row r="8" spans="1:26" s="103" customFormat="1" ht="17.25" thickBot="1" x14ac:dyDescent="0.35">
      <c r="A8" s="463"/>
      <c r="B8" s="463"/>
      <c r="C8" s="463"/>
      <c r="D8" s="463"/>
      <c r="E8" s="101"/>
      <c r="F8" s="464">
        <f>Ввод!G125</f>
        <v>2010</v>
      </c>
      <c r="G8" s="464">
        <f>Ввод!H125</f>
        <v>0</v>
      </c>
      <c r="H8" s="464">
        <f>Ввод!I125</f>
        <v>0</v>
      </c>
      <c r="I8" s="464">
        <f>Ввод!J125</f>
        <v>2013</v>
      </c>
      <c r="J8" s="464">
        <f>Ввод!K125</f>
        <v>2014</v>
      </c>
      <c r="K8" s="464">
        <f>Ввод!L125</f>
        <v>2015</v>
      </c>
      <c r="L8" s="465"/>
      <c r="M8" s="464">
        <f>Ввод!G125</f>
        <v>2010</v>
      </c>
      <c r="N8" s="464">
        <f>Ввод!H125</f>
        <v>0</v>
      </c>
      <c r="O8" s="464">
        <f>Ввод!I125</f>
        <v>0</v>
      </c>
      <c r="P8" s="464">
        <f>Ввод!J125</f>
        <v>2013</v>
      </c>
      <c r="Q8" s="464">
        <f>Ввод!K125</f>
        <v>2014</v>
      </c>
      <c r="R8" s="464">
        <f>Ввод!L125</f>
        <v>2015</v>
      </c>
      <c r="S8" s="464"/>
      <c r="T8" s="468">
        <f>Ввод!G125</f>
        <v>2010</v>
      </c>
      <c r="U8" s="468">
        <f>Ввод!H125</f>
        <v>0</v>
      </c>
      <c r="V8" s="468">
        <f>Ввод!I125</f>
        <v>0</v>
      </c>
      <c r="W8" s="468">
        <f>Ввод!J125</f>
        <v>2013</v>
      </c>
      <c r="X8" s="468">
        <f>Ввод!K125</f>
        <v>2014</v>
      </c>
      <c r="Y8" s="468">
        <f>Ввод!L125</f>
        <v>2015</v>
      </c>
      <c r="Z8" s="101"/>
    </row>
    <row r="9" spans="1:26" s="103" customFormat="1" ht="16.5" x14ac:dyDescent="0.3">
      <c r="A9" s="105" t="s">
        <v>2</v>
      </c>
      <c r="B9" s="106" t="s">
        <v>236</v>
      </c>
      <c r="C9" s="106"/>
      <c r="D9" s="106"/>
      <c r="E9" s="106"/>
      <c r="F9" s="444">
        <f t="shared" ref="F9:K9" si="0">SUM(F10:F23)</f>
        <v>0</v>
      </c>
      <c r="G9" s="444">
        <f t="shared" si="0"/>
        <v>0</v>
      </c>
      <c r="H9" s="444">
        <f t="shared" si="0"/>
        <v>0</v>
      </c>
      <c r="I9" s="444">
        <f t="shared" si="0"/>
        <v>0</v>
      </c>
      <c r="J9" s="444">
        <f t="shared" si="0"/>
        <v>0</v>
      </c>
      <c r="K9" s="444">
        <f t="shared" si="0"/>
        <v>0</v>
      </c>
      <c r="L9" s="104"/>
      <c r="M9" s="459" t="e">
        <f>F9/F$39</f>
        <v>#DIV/0!</v>
      </c>
      <c r="N9" s="459" t="e">
        <f t="shared" ref="N9:N39" si="1">G9/G$39</f>
        <v>#DIV/0!</v>
      </c>
      <c r="O9" s="459" t="e">
        <f t="shared" ref="O9:O39" si="2">H9/H$39</f>
        <v>#DIV/0!</v>
      </c>
      <c r="P9" s="459" t="e">
        <f t="shared" ref="P9:P39" si="3">I9/I$39</f>
        <v>#DIV/0!</v>
      </c>
      <c r="Q9" s="459" t="e">
        <f t="shared" ref="Q9:Q39" si="4">J9/J$39</f>
        <v>#DIV/0!</v>
      </c>
      <c r="R9" s="459"/>
      <c r="S9" s="104"/>
      <c r="T9" s="444"/>
      <c r="U9" s="444">
        <f>G9-F9</f>
        <v>0</v>
      </c>
      <c r="V9" s="444">
        <f t="shared" ref="V9:V39" si="5">H9-G9</f>
        <v>0</v>
      </c>
      <c r="W9" s="444">
        <f t="shared" ref="W9:W39" si="6">I9-H9</f>
        <v>0</v>
      </c>
      <c r="X9" s="444">
        <f t="shared" ref="X9:X39" si="7">J9-I9</f>
        <v>0</v>
      </c>
      <c r="Y9" s="444"/>
      <c r="Z9" s="101"/>
    </row>
    <row r="10" spans="1:26" s="126" customFormat="1" ht="16.5" outlineLevel="1" x14ac:dyDescent="0.3">
      <c r="A10" s="120"/>
      <c r="B10" s="121"/>
      <c r="C10" s="129"/>
      <c r="D10" s="130" t="s">
        <v>30</v>
      </c>
      <c r="E10" s="122"/>
      <c r="F10" s="445">
        <f>Ввод!G128</f>
        <v>0</v>
      </c>
      <c r="G10" s="445">
        <f>Ввод!H128</f>
        <v>0</v>
      </c>
      <c r="H10" s="445">
        <f>Ввод!I128</f>
        <v>0</v>
      </c>
      <c r="I10" s="445">
        <f>Ввод!J128</f>
        <v>0</v>
      </c>
      <c r="J10" s="445">
        <f>Ввод!K128</f>
        <v>0</v>
      </c>
      <c r="K10" s="446" t="str">
        <f>Ввод!L128</f>
        <v>х</v>
      </c>
      <c r="L10" s="124"/>
      <c r="M10" s="100" t="e">
        <f t="shared" ref="M10:M39" si="8">F10/F$39</f>
        <v>#DIV/0!</v>
      </c>
      <c r="N10" s="100" t="e">
        <f t="shared" si="1"/>
        <v>#DIV/0!</v>
      </c>
      <c r="O10" s="100" t="e">
        <f t="shared" si="2"/>
        <v>#DIV/0!</v>
      </c>
      <c r="P10" s="100" t="e">
        <f t="shared" si="3"/>
        <v>#DIV/0!</v>
      </c>
      <c r="Q10" s="100" t="e">
        <f t="shared" si="4"/>
        <v>#DIV/0!</v>
      </c>
      <c r="R10" s="100"/>
      <c r="S10" s="125"/>
      <c r="T10" s="445"/>
      <c r="U10" s="445">
        <f t="shared" ref="U10:U39" si="9">G10-F10</f>
        <v>0</v>
      </c>
      <c r="V10" s="445">
        <f t="shared" si="5"/>
        <v>0</v>
      </c>
      <c r="W10" s="445">
        <f t="shared" si="6"/>
        <v>0</v>
      </c>
      <c r="X10" s="445">
        <f t="shared" si="7"/>
        <v>0</v>
      </c>
      <c r="Y10" s="446"/>
      <c r="Z10" s="120"/>
    </row>
    <row r="11" spans="1:26" s="126" customFormat="1" ht="16.5" outlineLevel="1" x14ac:dyDescent="0.3">
      <c r="A11" s="120"/>
      <c r="B11" s="121"/>
      <c r="C11" s="129"/>
      <c r="D11" s="130" t="s">
        <v>32</v>
      </c>
      <c r="E11" s="122"/>
      <c r="F11" s="445">
        <f>Ввод!G129</f>
        <v>0</v>
      </c>
      <c r="G11" s="445">
        <f>Ввод!H129</f>
        <v>0</v>
      </c>
      <c r="H11" s="445">
        <f>Ввод!I129</f>
        <v>0</v>
      </c>
      <c r="I11" s="445">
        <f>Ввод!J129</f>
        <v>0</v>
      </c>
      <c r="J11" s="445">
        <f>Ввод!K129</f>
        <v>0</v>
      </c>
      <c r="K11" s="446" t="str">
        <f>Ввод!L129</f>
        <v>х</v>
      </c>
      <c r="L11" s="124"/>
      <c r="M11" s="100" t="e">
        <f t="shared" si="8"/>
        <v>#DIV/0!</v>
      </c>
      <c r="N11" s="100" t="e">
        <f t="shared" si="1"/>
        <v>#DIV/0!</v>
      </c>
      <c r="O11" s="100" t="e">
        <f t="shared" si="2"/>
        <v>#DIV/0!</v>
      </c>
      <c r="P11" s="100" t="e">
        <f t="shared" si="3"/>
        <v>#DIV/0!</v>
      </c>
      <c r="Q11" s="100" t="e">
        <f t="shared" si="4"/>
        <v>#DIV/0!</v>
      </c>
      <c r="R11" s="100"/>
      <c r="S11" s="125"/>
      <c r="T11" s="445"/>
      <c r="U11" s="445">
        <f t="shared" si="9"/>
        <v>0</v>
      </c>
      <c r="V11" s="445">
        <f t="shared" si="5"/>
        <v>0</v>
      </c>
      <c r="W11" s="445">
        <f t="shared" si="6"/>
        <v>0</v>
      </c>
      <c r="X11" s="445">
        <f t="shared" si="7"/>
        <v>0</v>
      </c>
      <c r="Y11" s="446"/>
      <c r="Z11" s="120"/>
    </row>
    <row r="12" spans="1:26" s="126" customFormat="1" ht="16.5" outlineLevel="1" x14ac:dyDescent="0.3">
      <c r="A12" s="120"/>
      <c r="B12" s="121"/>
      <c r="C12" s="129"/>
      <c r="D12" s="130" t="s">
        <v>252</v>
      </c>
      <c r="E12" s="122"/>
      <c r="F12" s="445">
        <f>Ввод!G130</f>
        <v>0</v>
      </c>
      <c r="G12" s="445">
        <f>Ввод!H130</f>
        <v>0</v>
      </c>
      <c r="H12" s="445">
        <f>Ввод!I130</f>
        <v>0</v>
      </c>
      <c r="I12" s="445">
        <f>Ввод!J130</f>
        <v>0</v>
      </c>
      <c r="J12" s="445">
        <f>Ввод!K130</f>
        <v>0</v>
      </c>
      <c r="K12" s="446" t="str">
        <f>Ввод!L130</f>
        <v>х</v>
      </c>
      <c r="L12" s="124"/>
      <c r="M12" s="100" t="e">
        <f t="shared" si="8"/>
        <v>#DIV/0!</v>
      </c>
      <c r="N12" s="100" t="e">
        <f t="shared" si="1"/>
        <v>#DIV/0!</v>
      </c>
      <c r="O12" s="100" t="e">
        <f t="shared" si="2"/>
        <v>#DIV/0!</v>
      </c>
      <c r="P12" s="100" t="e">
        <f t="shared" si="3"/>
        <v>#DIV/0!</v>
      </c>
      <c r="Q12" s="100" t="e">
        <f t="shared" si="4"/>
        <v>#DIV/0!</v>
      </c>
      <c r="R12" s="100"/>
      <c r="S12" s="125"/>
      <c r="T12" s="445"/>
      <c r="U12" s="445">
        <f t="shared" si="9"/>
        <v>0</v>
      </c>
      <c r="V12" s="445">
        <f t="shared" si="5"/>
        <v>0</v>
      </c>
      <c r="W12" s="445">
        <f t="shared" si="6"/>
        <v>0</v>
      </c>
      <c r="X12" s="445">
        <f t="shared" si="7"/>
        <v>0</v>
      </c>
      <c r="Y12" s="446"/>
      <c r="Z12" s="120"/>
    </row>
    <row r="13" spans="1:26" s="126" customFormat="1" ht="16.5" outlineLevel="1" x14ac:dyDescent="0.3">
      <c r="A13" s="120"/>
      <c r="B13" s="121"/>
      <c r="C13" s="129"/>
      <c r="D13" s="130" t="s">
        <v>230</v>
      </c>
      <c r="E13" s="122"/>
      <c r="F13" s="445">
        <f>Ввод!G131</f>
        <v>0</v>
      </c>
      <c r="G13" s="445">
        <f>Ввод!H131</f>
        <v>0</v>
      </c>
      <c r="H13" s="445">
        <f>Ввод!I131</f>
        <v>0</v>
      </c>
      <c r="I13" s="445">
        <f>Ввод!J131</f>
        <v>0</v>
      </c>
      <c r="J13" s="445">
        <f>Ввод!K131</f>
        <v>0</v>
      </c>
      <c r="K13" s="445" t="str">
        <f>Ввод!L131</f>
        <v>х</v>
      </c>
      <c r="L13" s="124"/>
      <c r="M13" s="100" t="e">
        <f t="shared" si="8"/>
        <v>#DIV/0!</v>
      </c>
      <c r="N13" s="100" t="e">
        <f t="shared" si="1"/>
        <v>#DIV/0!</v>
      </c>
      <c r="O13" s="100" t="e">
        <f t="shared" si="2"/>
        <v>#DIV/0!</v>
      </c>
      <c r="P13" s="100" t="e">
        <f t="shared" si="3"/>
        <v>#DIV/0!</v>
      </c>
      <c r="Q13" s="100" t="e">
        <f t="shared" si="4"/>
        <v>#DIV/0!</v>
      </c>
      <c r="R13" s="100"/>
      <c r="S13" s="125"/>
      <c r="T13" s="445"/>
      <c r="U13" s="445">
        <f t="shared" si="9"/>
        <v>0</v>
      </c>
      <c r="V13" s="445">
        <f t="shared" si="5"/>
        <v>0</v>
      </c>
      <c r="W13" s="445">
        <f t="shared" si="6"/>
        <v>0</v>
      </c>
      <c r="X13" s="445">
        <f t="shared" si="7"/>
        <v>0</v>
      </c>
      <c r="Y13" s="446"/>
      <c r="Z13" s="120"/>
    </row>
    <row r="14" spans="1:26" s="126" customFormat="1" ht="16.5" outlineLevel="1" x14ac:dyDescent="0.3">
      <c r="A14" s="120"/>
      <c r="B14" s="121"/>
      <c r="C14" s="129"/>
      <c r="D14" s="130" t="s">
        <v>239</v>
      </c>
      <c r="E14" s="122"/>
      <c r="F14" s="445">
        <f>Ввод!G133</f>
        <v>0</v>
      </c>
      <c r="G14" s="445">
        <f>Ввод!H133</f>
        <v>0</v>
      </c>
      <c r="H14" s="445">
        <f>Ввод!I133</f>
        <v>0</v>
      </c>
      <c r="I14" s="445">
        <f>Ввод!J133</f>
        <v>0</v>
      </c>
      <c r="J14" s="445">
        <f>Ввод!K133</f>
        <v>0</v>
      </c>
      <c r="K14" s="445" t="str">
        <f>Ввод!L133</f>
        <v>х</v>
      </c>
      <c r="L14" s="124"/>
      <c r="M14" s="100" t="e">
        <f t="shared" si="8"/>
        <v>#DIV/0!</v>
      </c>
      <c r="N14" s="100" t="e">
        <f t="shared" si="1"/>
        <v>#DIV/0!</v>
      </c>
      <c r="O14" s="100" t="e">
        <f t="shared" si="2"/>
        <v>#DIV/0!</v>
      </c>
      <c r="P14" s="100" t="e">
        <f t="shared" si="3"/>
        <v>#DIV/0!</v>
      </c>
      <c r="Q14" s="100" t="e">
        <f t="shared" si="4"/>
        <v>#DIV/0!</v>
      </c>
      <c r="R14" s="100"/>
      <c r="S14" s="125"/>
      <c r="T14" s="445"/>
      <c r="U14" s="445">
        <f t="shared" si="9"/>
        <v>0</v>
      </c>
      <c r="V14" s="445">
        <f t="shared" si="5"/>
        <v>0</v>
      </c>
      <c r="W14" s="445">
        <f t="shared" si="6"/>
        <v>0</v>
      </c>
      <c r="X14" s="445">
        <f t="shared" si="7"/>
        <v>0</v>
      </c>
      <c r="Y14" s="446"/>
      <c r="Z14" s="120"/>
    </row>
    <row r="15" spans="1:26" s="126" customFormat="1" ht="16.5" outlineLevel="1" x14ac:dyDescent="0.3">
      <c r="A15" s="120"/>
      <c r="B15" s="121"/>
      <c r="C15" s="129"/>
      <c r="D15" s="130" t="s">
        <v>231</v>
      </c>
      <c r="E15" s="122"/>
      <c r="F15" s="445">
        <f>Ввод!G134</f>
        <v>0</v>
      </c>
      <c r="G15" s="445">
        <f>Ввод!H134</f>
        <v>0</v>
      </c>
      <c r="H15" s="445">
        <f>Ввод!I134</f>
        <v>0</v>
      </c>
      <c r="I15" s="445">
        <f>Ввод!J134</f>
        <v>0</v>
      </c>
      <c r="J15" s="445">
        <f>Ввод!K134</f>
        <v>0</v>
      </c>
      <c r="K15" s="445" t="str">
        <f>Ввод!L134</f>
        <v>х</v>
      </c>
      <c r="L15" s="124"/>
      <c r="M15" s="100" t="e">
        <f t="shared" si="8"/>
        <v>#DIV/0!</v>
      </c>
      <c r="N15" s="100" t="e">
        <f t="shared" si="1"/>
        <v>#DIV/0!</v>
      </c>
      <c r="O15" s="100" t="e">
        <f t="shared" si="2"/>
        <v>#DIV/0!</v>
      </c>
      <c r="P15" s="100" t="e">
        <f t="shared" si="3"/>
        <v>#DIV/0!</v>
      </c>
      <c r="Q15" s="100" t="e">
        <f t="shared" si="4"/>
        <v>#DIV/0!</v>
      </c>
      <c r="R15" s="100"/>
      <c r="S15" s="125"/>
      <c r="T15" s="445"/>
      <c r="U15" s="445">
        <f t="shared" si="9"/>
        <v>0</v>
      </c>
      <c r="V15" s="445">
        <f t="shared" si="5"/>
        <v>0</v>
      </c>
      <c r="W15" s="445">
        <f t="shared" si="6"/>
        <v>0</v>
      </c>
      <c r="X15" s="445">
        <f t="shared" si="7"/>
        <v>0</v>
      </c>
      <c r="Y15" s="446"/>
      <c r="Z15" s="120"/>
    </row>
    <row r="16" spans="1:26" s="126" customFormat="1" ht="16.5" outlineLevel="1" x14ac:dyDescent="0.3">
      <c r="A16" s="120"/>
      <c r="B16" s="121"/>
      <c r="C16" s="129"/>
      <c r="D16" s="130" t="s">
        <v>232</v>
      </c>
      <c r="E16" s="122"/>
      <c r="F16" s="445">
        <f>Ввод!G135</f>
        <v>0</v>
      </c>
      <c r="G16" s="445">
        <f>Ввод!H135</f>
        <v>0</v>
      </c>
      <c r="H16" s="445">
        <f>Ввод!I135</f>
        <v>0</v>
      </c>
      <c r="I16" s="445">
        <f>Ввод!J135</f>
        <v>0</v>
      </c>
      <c r="J16" s="445">
        <f>Ввод!K135</f>
        <v>0</v>
      </c>
      <c r="K16" s="445" t="str">
        <f>Ввод!L135</f>
        <v>х</v>
      </c>
      <c r="L16" s="124"/>
      <c r="M16" s="100" t="e">
        <f t="shared" si="8"/>
        <v>#DIV/0!</v>
      </c>
      <c r="N16" s="100" t="e">
        <f t="shared" si="1"/>
        <v>#DIV/0!</v>
      </c>
      <c r="O16" s="100" t="e">
        <f t="shared" si="2"/>
        <v>#DIV/0!</v>
      </c>
      <c r="P16" s="100" t="e">
        <f t="shared" si="3"/>
        <v>#DIV/0!</v>
      </c>
      <c r="Q16" s="100" t="e">
        <f t="shared" si="4"/>
        <v>#DIV/0!</v>
      </c>
      <c r="R16" s="100"/>
      <c r="S16" s="125"/>
      <c r="T16" s="445"/>
      <c r="U16" s="445">
        <f t="shared" si="9"/>
        <v>0</v>
      </c>
      <c r="V16" s="445">
        <f t="shared" si="5"/>
        <v>0</v>
      </c>
      <c r="W16" s="445">
        <f t="shared" si="6"/>
        <v>0</v>
      </c>
      <c r="X16" s="445">
        <f t="shared" si="7"/>
        <v>0</v>
      </c>
      <c r="Y16" s="446"/>
      <c r="Z16" s="120"/>
    </row>
    <row r="17" spans="1:26" s="126" customFormat="1" ht="16.5" outlineLevel="1" x14ac:dyDescent="0.3">
      <c r="A17" s="120"/>
      <c r="B17" s="121"/>
      <c r="C17" s="131" t="s">
        <v>74</v>
      </c>
      <c r="D17" s="130" t="s">
        <v>226</v>
      </c>
      <c r="E17" s="122"/>
      <c r="F17" s="445">
        <f>-Ввод!G137</f>
        <v>0</v>
      </c>
      <c r="G17" s="445">
        <f>-Ввод!H137</f>
        <v>0</v>
      </c>
      <c r="H17" s="445">
        <f>-Ввод!I137</f>
        <v>0</v>
      </c>
      <c r="I17" s="445">
        <f>-Ввод!J137</f>
        <v>0</v>
      </c>
      <c r="J17" s="445">
        <f>-Ввод!K137</f>
        <v>0</v>
      </c>
      <c r="K17" s="446" t="str">
        <f>Ввод!L136</f>
        <v>х</v>
      </c>
      <c r="L17" s="124"/>
      <c r="M17" s="100" t="e">
        <f t="shared" si="8"/>
        <v>#DIV/0!</v>
      </c>
      <c r="N17" s="100" t="e">
        <f t="shared" si="1"/>
        <v>#DIV/0!</v>
      </c>
      <c r="O17" s="100" t="e">
        <f t="shared" si="2"/>
        <v>#DIV/0!</v>
      </c>
      <c r="P17" s="100" t="e">
        <f t="shared" si="3"/>
        <v>#DIV/0!</v>
      </c>
      <c r="Q17" s="100" t="e">
        <f t="shared" si="4"/>
        <v>#DIV/0!</v>
      </c>
      <c r="R17" s="100"/>
      <c r="S17" s="125"/>
      <c r="T17" s="445"/>
      <c r="U17" s="445">
        <f t="shared" si="9"/>
        <v>0</v>
      </c>
      <c r="V17" s="445">
        <f t="shared" si="5"/>
        <v>0</v>
      </c>
      <c r="W17" s="445">
        <f t="shared" si="6"/>
        <v>0</v>
      </c>
      <c r="X17" s="445">
        <f t="shared" si="7"/>
        <v>0</v>
      </c>
      <c r="Y17" s="446"/>
      <c r="Z17" s="120"/>
    </row>
    <row r="18" spans="1:26" s="126" customFormat="1" ht="16.5" outlineLevel="1" x14ac:dyDescent="0.3">
      <c r="A18" s="120"/>
      <c r="B18" s="121"/>
      <c r="C18" s="131" t="s">
        <v>74</v>
      </c>
      <c r="D18" s="130" t="s">
        <v>251</v>
      </c>
      <c r="E18" s="122"/>
      <c r="F18" s="445">
        <f>-Ввод!G138</f>
        <v>0</v>
      </c>
      <c r="G18" s="445">
        <f>-Ввод!H138</f>
        <v>0</v>
      </c>
      <c r="H18" s="445">
        <f>-Ввод!I138</f>
        <v>0</v>
      </c>
      <c r="I18" s="445">
        <f>-Ввод!J138</f>
        <v>0</v>
      </c>
      <c r="J18" s="445">
        <f>-Ввод!K138</f>
        <v>0</v>
      </c>
      <c r="K18" s="445" t="str">
        <f>Ввод!L137</f>
        <v>х</v>
      </c>
      <c r="L18" s="124"/>
      <c r="M18" s="100" t="e">
        <f t="shared" si="8"/>
        <v>#DIV/0!</v>
      </c>
      <c r="N18" s="100" t="e">
        <f t="shared" si="1"/>
        <v>#DIV/0!</v>
      </c>
      <c r="O18" s="100" t="e">
        <f t="shared" si="2"/>
        <v>#DIV/0!</v>
      </c>
      <c r="P18" s="100" t="e">
        <f t="shared" si="3"/>
        <v>#DIV/0!</v>
      </c>
      <c r="Q18" s="100" t="e">
        <f t="shared" si="4"/>
        <v>#DIV/0!</v>
      </c>
      <c r="R18" s="100"/>
      <c r="S18" s="125"/>
      <c r="T18" s="445"/>
      <c r="U18" s="445">
        <f t="shared" si="9"/>
        <v>0</v>
      </c>
      <c r="V18" s="445">
        <f t="shared" si="5"/>
        <v>0</v>
      </c>
      <c r="W18" s="445">
        <f t="shared" si="6"/>
        <v>0</v>
      </c>
      <c r="X18" s="445">
        <f t="shared" si="7"/>
        <v>0</v>
      </c>
      <c r="Y18" s="446"/>
      <c r="Z18" s="120"/>
    </row>
    <row r="19" spans="1:26" s="126" customFormat="1" ht="16.5" outlineLevel="1" x14ac:dyDescent="0.3">
      <c r="A19" s="120"/>
      <c r="B19" s="121"/>
      <c r="C19" s="131" t="s">
        <v>74</v>
      </c>
      <c r="D19" s="130" t="s">
        <v>233</v>
      </c>
      <c r="E19" s="122"/>
      <c r="F19" s="445">
        <f>-Ввод!G139</f>
        <v>0</v>
      </c>
      <c r="G19" s="445">
        <f>-Ввод!H139</f>
        <v>0</v>
      </c>
      <c r="H19" s="445">
        <f>-Ввод!I139</f>
        <v>0</v>
      </c>
      <c r="I19" s="445">
        <f>-Ввод!J139</f>
        <v>0</v>
      </c>
      <c r="J19" s="445">
        <f>-Ввод!K139</f>
        <v>0</v>
      </c>
      <c r="K19" s="446" t="str">
        <f>Ввод!L138</f>
        <v>х</v>
      </c>
      <c r="L19" s="124"/>
      <c r="M19" s="100" t="e">
        <f t="shared" si="8"/>
        <v>#DIV/0!</v>
      </c>
      <c r="N19" s="100" t="e">
        <f t="shared" si="1"/>
        <v>#DIV/0!</v>
      </c>
      <c r="O19" s="100" t="e">
        <f t="shared" si="2"/>
        <v>#DIV/0!</v>
      </c>
      <c r="P19" s="100" t="e">
        <f t="shared" si="3"/>
        <v>#DIV/0!</v>
      </c>
      <c r="Q19" s="100" t="e">
        <f t="shared" si="4"/>
        <v>#DIV/0!</v>
      </c>
      <c r="R19" s="100"/>
      <c r="S19" s="125"/>
      <c r="T19" s="445"/>
      <c r="U19" s="445">
        <f t="shared" si="9"/>
        <v>0</v>
      </c>
      <c r="V19" s="445">
        <f t="shared" si="5"/>
        <v>0</v>
      </c>
      <c r="W19" s="445">
        <f t="shared" si="6"/>
        <v>0</v>
      </c>
      <c r="X19" s="445">
        <f t="shared" si="7"/>
        <v>0</v>
      </c>
      <c r="Y19" s="446"/>
      <c r="Z19" s="120"/>
    </row>
    <row r="20" spans="1:26" s="126" customFormat="1" ht="16.5" outlineLevel="1" x14ac:dyDescent="0.3">
      <c r="A20" s="120"/>
      <c r="B20" s="121"/>
      <c r="C20" s="131" t="s">
        <v>74</v>
      </c>
      <c r="D20" s="130" t="s">
        <v>227</v>
      </c>
      <c r="E20" s="122"/>
      <c r="F20" s="445">
        <f>-Ввод!G140</f>
        <v>0</v>
      </c>
      <c r="G20" s="445">
        <f>-Ввод!H140</f>
        <v>0</v>
      </c>
      <c r="H20" s="445">
        <f>-Ввод!I140</f>
        <v>0</v>
      </c>
      <c r="I20" s="445">
        <f>-Ввод!J140</f>
        <v>0</v>
      </c>
      <c r="J20" s="445">
        <f>-Ввод!K140</f>
        <v>0</v>
      </c>
      <c r="K20" s="445" t="str">
        <f>Ввод!L139</f>
        <v>х</v>
      </c>
      <c r="L20" s="124"/>
      <c r="M20" s="100" t="e">
        <f t="shared" si="8"/>
        <v>#DIV/0!</v>
      </c>
      <c r="N20" s="100" t="e">
        <f t="shared" si="1"/>
        <v>#DIV/0!</v>
      </c>
      <c r="O20" s="100" t="e">
        <f t="shared" si="2"/>
        <v>#DIV/0!</v>
      </c>
      <c r="P20" s="100" t="e">
        <f t="shared" si="3"/>
        <v>#DIV/0!</v>
      </c>
      <c r="Q20" s="100" t="e">
        <f t="shared" si="4"/>
        <v>#DIV/0!</v>
      </c>
      <c r="R20" s="100"/>
      <c r="S20" s="125"/>
      <c r="T20" s="445"/>
      <c r="U20" s="445">
        <f t="shared" si="9"/>
        <v>0</v>
      </c>
      <c r="V20" s="445">
        <f t="shared" si="5"/>
        <v>0</v>
      </c>
      <c r="W20" s="445">
        <f t="shared" si="6"/>
        <v>0</v>
      </c>
      <c r="X20" s="445">
        <f t="shared" si="7"/>
        <v>0</v>
      </c>
      <c r="Y20" s="445"/>
      <c r="Z20" s="120"/>
    </row>
    <row r="21" spans="1:26" s="126" customFormat="1" ht="16.5" outlineLevel="1" x14ac:dyDescent="0.3">
      <c r="A21" s="120"/>
      <c r="B21" s="121"/>
      <c r="C21" s="131" t="s">
        <v>74</v>
      </c>
      <c r="D21" s="130" t="s">
        <v>234</v>
      </c>
      <c r="E21" s="122"/>
      <c r="F21" s="445">
        <f>-Ввод!G142</f>
        <v>0</v>
      </c>
      <c r="G21" s="445">
        <f>-Ввод!H142</f>
        <v>0</v>
      </c>
      <c r="H21" s="445">
        <f>-Ввод!I142</f>
        <v>0</v>
      </c>
      <c r="I21" s="445">
        <f>-Ввод!J142</f>
        <v>0</v>
      </c>
      <c r="J21" s="445">
        <f>-Ввод!K142</f>
        <v>0</v>
      </c>
      <c r="K21" s="445" t="str">
        <f>Ввод!L140</f>
        <v>х</v>
      </c>
      <c r="L21" s="124"/>
      <c r="M21" s="100" t="e">
        <f t="shared" si="8"/>
        <v>#DIV/0!</v>
      </c>
      <c r="N21" s="100" t="e">
        <f t="shared" si="1"/>
        <v>#DIV/0!</v>
      </c>
      <c r="O21" s="100" t="e">
        <f t="shared" si="2"/>
        <v>#DIV/0!</v>
      </c>
      <c r="P21" s="100" t="e">
        <f t="shared" si="3"/>
        <v>#DIV/0!</v>
      </c>
      <c r="Q21" s="100" t="e">
        <f t="shared" si="4"/>
        <v>#DIV/0!</v>
      </c>
      <c r="R21" s="100"/>
      <c r="S21" s="125"/>
      <c r="T21" s="445"/>
      <c r="U21" s="445">
        <f t="shared" si="9"/>
        <v>0</v>
      </c>
      <c r="V21" s="445">
        <f t="shared" si="5"/>
        <v>0</v>
      </c>
      <c r="W21" s="445">
        <f t="shared" si="6"/>
        <v>0</v>
      </c>
      <c r="X21" s="445">
        <f t="shared" si="7"/>
        <v>0</v>
      </c>
      <c r="Y21" s="445"/>
      <c r="Z21" s="120"/>
    </row>
    <row r="22" spans="1:26" s="126" customFormat="1" ht="32.25" customHeight="1" outlineLevel="1" x14ac:dyDescent="0.3">
      <c r="A22" s="120"/>
      <c r="B22" s="121"/>
      <c r="C22" s="131" t="s">
        <v>74</v>
      </c>
      <c r="D22" s="2219" t="s">
        <v>244</v>
      </c>
      <c r="E22" s="2218"/>
      <c r="F22" s="445">
        <f>-Ввод!G143</f>
        <v>0</v>
      </c>
      <c r="G22" s="445">
        <f>-Ввод!H143</f>
        <v>0</v>
      </c>
      <c r="H22" s="445">
        <f>-Ввод!I143</f>
        <v>0</v>
      </c>
      <c r="I22" s="445">
        <f>-Ввод!J143</f>
        <v>0</v>
      </c>
      <c r="J22" s="445">
        <f>-Ввод!K143</f>
        <v>0</v>
      </c>
      <c r="K22" s="445" t="str">
        <f>Ввод!L141</f>
        <v>х</v>
      </c>
      <c r="L22" s="124"/>
      <c r="M22" s="100" t="e">
        <f t="shared" si="8"/>
        <v>#DIV/0!</v>
      </c>
      <c r="N22" s="100" t="e">
        <f t="shared" si="1"/>
        <v>#DIV/0!</v>
      </c>
      <c r="O22" s="100" t="e">
        <f t="shared" si="2"/>
        <v>#DIV/0!</v>
      </c>
      <c r="P22" s="100" t="e">
        <f t="shared" si="3"/>
        <v>#DIV/0!</v>
      </c>
      <c r="Q22" s="100" t="e">
        <f t="shared" si="4"/>
        <v>#DIV/0!</v>
      </c>
      <c r="R22" s="100"/>
      <c r="S22" s="125"/>
      <c r="T22" s="445"/>
      <c r="U22" s="445">
        <f t="shared" si="9"/>
        <v>0</v>
      </c>
      <c r="V22" s="445">
        <f t="shared" si="5"/>
        <v>0</v>
      </c>
      <c r="W22" s="445">
        <f t="shared" si="6"/>
        <v>0</v>
      </c>
      <c r="X22" s="445">
        <f t="shared" si="7"/>
        <v>0</v>
      </c>
      <c r="Y22" s="445"/>
      <c r="Z22" s="120"/>
    </row>
    <row r="23" spans="1:26" s="126" customFormat="1" ht="16.5" outlineLevel="1" x14ac:dyDescent="0.3">
      <c r="A23" s="120"/>
      <c r="B23" s="121"/>
      <c r="C23" s="131" t="s">
        <v>74</v>
      </c>
      <c r="D23" s="130" t="s">
        <v>235</v>
      </c>
      <c r="E23" s="122"/>
      <c r="F23" s="445">
        <f>Ввод!G144</f>
        <v>0</v>
      </c>
      <c r="G23" s="445">
        <f>Ввод!H144</f>
        <v>0</v>
      </c>
      <c r="H23" s="445">
        <f>Ввод!I144</f>
        <v>0</v>
      </c>
      <c r="I23" s="445">
        <f>Ввод!J144</f>
        <v>0</v>
      </c>
      <c r="J23" s="445">
        <f>Ввод!K144</f>
        <v>0</v>
      </c>
      <c r="K23" s="445" t="str">
        <f>Ввод!L142</f>
        <v>х</v>
      </c>
      <c r="L23" s="124"/>
      <c r="M23" s="100" t="e">
        <f t="shared" si="8"/>
        <v>#DIV/0!</v>
      </c>
      <c r="N23" s="100" t="e">
        <f t="shared" si="1"/>
        <v>#DIV/0!</v>
      </c>
      <c r="O23" s="100" t="e">
        <f t="shared" si="2"/>
        <v>#DIV/0!</v>
      </c>
      <c r="P23" s="100" t="e">
        <f t="shared" si="3"/>
        <v>#DIV/0!</v>
      </c>
      <c r="Q23" s="100" t="e">
        <f t="shared" si="4"/>
        <v>#DIV/0!</v>
      </c>
      <c r="R23" s="100"/>
      <c r="S23" s="125"/>
      <c r="T23" s="445"/>
      <c r="U23" s="445">
        <f t="shared" si="9"/>
        <v>0</v>
      </c>
      <c r="V23" s="445">
        <f t="shared" si="5"/>
        <v>0</v>
      </c>
      <c r="W23" s="445">
        <f t="shared" si="6"/>
        <v>0</v>
      </c>
      <c r="X23" s="445">
        <f t="shared" si="7"/>
        <v>0</v>
      </c>
      <c r="Y23" s="445"/>
      <c r="Z23" s="120"/>
    </row>
    <row r="24" spans="1:26" s="103" customFormat="1" ht="16.5" x14ac:dyDescent="0.3">
      <c r="A24" s="112" t="s">
        <v>15</v>
      </c>
      <c r="B24" s="113" t="s">
        <v>79</v>
      </c>
      <c r="C24" s="127"/>
      <c r="D24" s="128"/>
      <c r="E24" s="113"/>
      <c r="F24" s="447">
        <f t="shared" ref="F24:K24" si="10">SUM(F25:F32)</f>
        <v>0</v>
      </c>
      <c r="G24" s="447">
        <f t="shared" si="10"/>
        <v>0</v>
      </c>
      <c r="H24" s="447">
        <f t="shared" si="10"/>
        <v>0</v>
      </c>
      <c r="I24" s="447">
        <f t="shared" si="10"/>
        <v>0</v>
      </c>
      <c r="J24" s="447">
        <f t="shared" si="10"/>
        <v>0</v>
      </c>
      <c r="K24" s="447">
        <f t="shared" si="10"/>
        <v>0</v>
      </c>
      <c r="L24" s="145"/>
      <c r="M24" s="156" t="e">
        <f t="shared" si="8"/>
        <v>#DIV/0!</v>
      </c>
      <c r="N24" s="156" t="e">
        <f t="shared" si="1"/>
        <v>#DIV/0!</v>
      </c>
      <c r="O24" s="156" t="e">
        <f t="shared" si="2"/>
        <v>#DIV/0!</v>
      </c>
      <c r="P24" s="156" t="e">
        <f t="shared" si="3"/>
        <v>#DIV/0!</v>
      </c>
      <c r="Q24" s="156" t="e">
        <f t="shared" si="4"/>
        <v>#DIV/0!</v>
      </c>
      <c r="R24" s="156"/>
      <c r="S24" s="104"/>
      <c r="T24" s="447"/>
      <c r="U24" s="447">
        <f t="shared" si="9"/>
        <v>0</v>
      </c>
      <c r="V24" s="447">
        <f t="shared" si="5"/>
        <v>0</v>
      </c>
      <c r="W24" s="447">
        <f t="shared" si="6"/>
        <v>0</v>
      </c>
      <c r="X24" s="447">
        <f t="shared" si="7"/>
        <v>0</v>
      </c>
      <c r="Y24" s="447"/>
      <c r="Z24" s="101"/>
    </row>
    <row r="25" spans="1:26" s="126" customFormat="1" ht="16.5" outlineLevel="1" x14ac:dyDescent="0.3">
      <c r="A25" s="120"/>
      <c r="B25" s="121"/>
      <c r="C25" s="129"/>
      <c r="D25" s="129" t="s">
        <v>237</v>
      </c>
      <c r="E25" s="122"/>
      <c r="F25" s="445">
        <f>Ввод!G147</f>
        <v>0</v>
      </c>
      <c r="G25" s="445">
        <f>Ввод!H147</f>
        <v>0</v>
      </c>
      <c r="H25" s="445">
        <f>Ввод!I147</f>
        <v>0</v>
      </c>
      <c r="I25" s="445">
        <f>Ввод!J147</f>
        <v>0</v>
      </c>
      <c r="J25" s="445">
        <f>Ввод!K147</f>
        <v>0</v>
      </c>
      <c r="K25" s="445" t="str">
        <f>Ввод!L147</f>
        <v>х</v>
      </c>
      <c r="L25" s="124"/>
      <c r="M25" s="100" t="e">
        <f t="shared" si="8"/>
        <v>#DIV/0!</v>
      </c>
      <c r="N25" s="100" t="e">
        <f t="shared" si="1"/>
        <v>#DIV/0!</v>
      </c>
      <c r="O25" s="100" t="e">
        <f t="shared" si="2"/>
        <v>#DIV/0!</v>
      </c>
      <c r="P25" s="100" t="e">
        <f t="shared" si="3"/>
        <v>#DIV/0!</v>
      </c>
      <c r="Q25" s="100" t="e">
        <f t="shared" si="4"/>
        <v>#DIV/0!</v>
      </c>
      <c r="R25" s="100"/>
      <c r="S25" s="125"/>
      <c r="T25" s="445"/>
      <c r="U25" s="445">
        <f t="shared" si="9"/>
        <v>0</v>
      </c>
      <c r="V25" s="445">
        <f t="shared" si="5"/>
        <v>0</v>
      </c>
      <c r="W25" s="445">
        <f t="shared" si="6"/>
        <v>0</v>
      </c>
      <c r="X25" s="445">
        <f t="shared" si="7"/>
        <v>0</v>
      </c>
      <c r="Y25" s="445"/>
      <c r="Z25" s="120"/>
    </row>
    <row r="26" spans="1:26" s="126" customFormat="1" ht="16.5" outlineLevel="1" x14ac:dyDescent="0.3">
      <c r="A26" s="120"/>
      <c r="B26" s="121"/>
      <c r="C26" s="129"/>
      <c r="D26" s="129" t="s">
        <v>238</v>
      </c>
      <c r="E26" s="122"/>
      <c r="F26" s="445">
        <f>Ввод!G148</f>
        <v>0</v>
      </c>
      <c r="G26" s="445">
        <f>Ввод!H148</f>
        <v>0</v>
      </c>
      <c r="H26" s="445">
        <f>Ввод!I148</f>
        <v>0</v>
      </c>
      <c r="I26" s="445">
        <f>Ввод!J148</f>
        <v>0</v>
      </c>
      <c r="J26" s="445">
        <f>Ввод!K148</f>
        <v>0</v>
      </c>
      <c r="K26" s="445" t="str">
        <f>Ввод!L148</f>
        <v>х</v>
      </c>
      <c r="L26" s="124"/>
      <c r="M26" s="100" t="e">
        <f t="shared" si="8"/>
        <v>#DIV/0!</v>
      </c>
      <c r="N26" s="100" t="e">
        <f t="shared" si="1"/>
        <v>#DIV/0!</v>
      </c>
      <c r="O26" s="100" t="e">
        <f t="shared" si="2"/>
        <v>#DIV/0!</v>
      </c>
      <c r="P26" s="100" t="e">
        <f t="shared" si="3"/>
        <v>#DIV/0!</v>
      </c>
      <c r="Q26" s="100" t="e">
        <f t="shared" si="4"/>
        <v>#DIV/0!</v>
      </c>
      <c r="R26" s="100"/>
      <c r="S26" s="125"/>
      <c r="T26" s="445"/>
      <c r="U26" s="445">
        <f t="shared" si="9"/>
        <v>0</v>
      </c>
      <c r="V26" s="445">
        <f t="shared" si="5"/>
        <v>0</v>
      </c>
      <c r="W26" s="445">
        <f t="shared" si="6"/>
        <v>0</v>
      </c>
      <c r="X26" s="445">
        <f t="shared" si="7"/>
        <v>0</v>
      </c>
      <c r="Y26" s="445"/>
      <c r="Z26" s="120"/>
    </row>
    <row r="27" spans="1:26" s="126" customFormat="1" ht="16.5" outlineLevel="1" x14ac:dyDescent="0.3">
      <c r="A27" s="120"/>
      <c r="B27" s="121"/>
      <c r="C27" s="129"/>
      <c r="D27" s="129" t="s">
        <v>240</v>
      </c>
      <c r="E27" s="122"/>
      <c r="F27" s="445">
        <f>Ввод!G149</f>
        <v>0</v>
      </c>
      <c r="G27" s="445">
        <f>Ввод!H149</f>
        <v>0</v>
      </c>
      <c r="H27" s="445">
        <f>Ввод!I149</f>
        <v>0</v>
      </c>
      <c r="I27" s="445">
        <f>Ввод!J149</f>
        <v>0</v>
      </c>
      <c r="J27" s="445">
        <f>Ввод!K149</f>
        <v>0</v>
      </c>
      <c r="K27" s="445" t="str">
        <f>Ввод!L149</f>
        <v>х</v>
      </c>
      <c r="L27" s="124"/>
      <c r="M27" s="100" t="e">
        <f t="shared" si="8"/>
        <v>#DIV/0!</v>
      </c>
      <c r="N27" s="100" t="e">
        <f t="shared" si="1"/>
        <v>#DIV/0!</v>
      </c>
      <c r="O27" s="100" t="e">
        <f t="shared" si="2"/>
        <v>#DIV/0!</v>
      </c>
      <c r="P27" s="100" t="e">
        <f t="shared" si="3"/>
        <v>#DIV/0!</v>
      </c>
      <c r="Q27" s="100" t="e">
        <f t="shared" si="4"/>
        <v>#DIV/0!</v>
      </c>
      <c r="R27" s="100"/>
      <c r="S27" s="125"/>
      <c r="T27" s="445"/>
      <c r="U27" s="445">
        <f t="shared" si="9"/>
        <v>0</v>
      </c>
      <c r="V27" s="445">
        <f t="shared" si="5"/>
        <v>0</v>
      </c>
      <c r="W27" s="445">
        <f t="shared" si="6"/>
        <v>0</v>
      </c>
      <c r="X27" s="445">
        <f t="shared" si="7"/>
        <v>0</v>
      </c>
      <c r="Y27" s="445"/>
      <c r="Z27" s="120"/>
    </row>
    <row r="28" spans="1:26" s="126" customFormat="1" ht="16.5" outlineLevel="1" x14ac:dyDescent="0.3">
      <c r="A28" s="120"/>
      <c r="B28" s="121"/>
      <c r="C28" s="129"/>
      <c r="D28" s="129" t="s">
        <v>241</v>
      </c>
      <c r="E28" s="122"/>
      <c r="F28" s="445">
        <f>Ввод!G151</f>
        <v>0</v>
      </c>
      <c r="G28" s="445">
        <f>Ввод!H151</f>
        <v>0</v>
      </c>
      <c r="H28" s="445">
        <f>Ввод!I151</f>
        <v>0</v>
      </c>
      <c r="I28" s="445">
        <f>Ввод!J151</f>
        <v>0</v>
      </c>
      <c r="J28" s="445">
        <f>Ввод!K151</f>
        <v>0</v>
      </c>
      <c r="K28" s="445" t="str">
        <f>Ввод!L151</f>
        <v>х</v>
      </c>
      <c r="L28" s="124"/>
      <c r="M28" s="100" t="e">
        <f t="shared" si="8"/>
        <v>#DIV/0!</v>
      </c>
      <c r="N28" s="100" t="e">
        <f t="shared" si="1"/>
        <v>#DIV/0!</v>
      </c>
      <c r="O28" s="100" t="e">
        <f t="shared" si="2"/>
        <v>#DIV/0!</v>
      </c>
      <c r="P28" s="100" t="e">
        <f t="shared" si="3"/>
        <v>#DIV/0!</v>
      </c>
      <c r="Q28" s="100" t="e">
        <f t="shared" si="4"/>
        <v>#DIV/0!</v>
      </c>
      <c r="R28" s="100"/>
      <c r="S28" s="125"/>
      <c r="T28" s="445"/>
      <c r="U28" s="445">
        <f t="shared" si="9"/>
        <v>0</v>
      </c>
      <c r="V28" s="445">
        <f t="shared" si="5"/>
        <v>0</v>
      </c>
      <c r="W28" s="445">
        <f t="shared" si="6"/>
        <v>0</v>
      </c>
      <c r="X28" s="445">
        <f t="shared" si="7"/>
        <v>0</v>
      </c>
      <c r="Y28" s="445"/>
      <c r="Z28" s="120"/>
    </row>
    <row r="29" spans="1:26" s="126" customFormat="1" ht="32.25" customHeight="1" outlineLevel="1" x14ac:dyDescent="0.3">
      <c r="A29" s="120"/>
      <c r="B29" s="121"/>
      <c r="C29" s="129"/>
      <c r="D29" s="2217" t="s">
        <v>242</v>
      </c>
      <c r="E29" s="2218"/>
      <c r="F29" s="445">
        <f>Ввод!G152</f>
        <v>0</v>
      </c>
      <c r="G29" s="445">
        <f>Ввод!H152</f>
        <v>0</v>
      </c>
      <c r="H29" s="445">
        <f>Ввод!I152</f>
        <v>0</v>
      </c>
      <c r="I29" s="445">
        <f>Ввод!J152</f>
        <v>0</v>
      </c>
      <c r="J29" s="445">
        <f>Ввод!K152</f>
        <v>0</v>
      </c>
      <c r="K29" s="445" t="str">
        <f>Ввод!L152</f>
        <v>х</v>
      </c>
      <c r="L29" s="124"/>
      <c r="M29" s="100" t="e">
        <f t="shared" si="8"/>
        <v>#DIV/0!</v>
      </c>
      <c r="N29" s="100" t="e">
        <f t="shared" si="1"/>
        <v>#DIV/0!</v>
      </c>
      <c r="O29" s="100" t="e">
        <f t="shared" si="2"/>
        <v>#DIV/0!</v>
      </c>
      <c r="P29" s="100" t="e">
        <f t="shared" si="3"/>
        <v>#DIV/0!</v>
      </c>
      <c r="Q29" s="100" t="e">
        <f t="shared" si="4"/>
        <v>#DIV/0!</v>
      </c>
      <c r="R29" s="100"/>
      <c r="S29" s="125"/>
      <c r="T29" s="445"/>
      <c r="U29" s="445">
        <f t="shared" si="9"/>
        <v>0</v>
      </c>
      <c r="V29" s="445">
        <f t="shared" si="5"/>
        <v>0</v>
      </c>
      <c r="W29" s="445">
        <f t="shared" si="6"/>
        <v>0</v>
      </c>
      <c r="X29" s="445">
        <f t="shared" si="7"/>
        <v>0</v>
      </c>
      <c r="Y29" s="445"/>
      <c r="Z29" s="120"/>
    </row>
    <row r="30" spans="1:26" s="126" customFormat="1" ht="16.5" outlineLevel="1" x14ac:dyDescent="0.3">
      <c r="A30" s="120"/>
      <c r="B30" s="121"/>
      <c r="C30" s="129"/>
      <c r="D30" s="129" t="s">
        <v>243</v>
      </c>
      <c r="E30" s="122"/>
      <c r="F30" s="445">
        <f>Ввод!G153</f>
        <v>0</v>
      </c>
      <c r="G30" s="445">
        <f>Ввод!H153</f>
        <v>0</v>
      </c>
      <c r="H30" s="445">
        <f>Ввод!I153</f>
        <v>0</v>
      </c>
      <c r="I30" s="445">
        <f>Ввод!J153</f>
        <v>0</v>
      </c>
      <c r="J30" s="445">
        <f>Ввод!K153</f>
        <v>0</v>
      </c>
      <c r="K30" s="445" t="str">
        <f>Ввод!L153</f>
        <v>х</v>
      </c>
      <c r="L30" s="124"/>
      <c r="M30" s="100" t="e">
        <f t="shared" si="8"/>
        <v>#DIV/0!</v>
      </c>
      <c r="N30" s="100" t="e">
        <f t="shared" si="1"/>
        <v>#DIV/0!</v>
      </c>
      <c r="O30" s="100" t="e">
        <f t="shared" si="2"/>
        <v>#DIV/0!</v>
      </c>
      <c r="P30" s="100" t="e">
        <f t="shared" si="3"/>
        <v>#DIV/0!</v>
      </c>
      <c r="Q30" s="100" t="e">
        <f t="shared" si="4"/>
        <v>#DIV/0!</v>
      </c>
      <c r="R30" s="100"/>
      <c r="S30" s="125"/>
      <c r="T30" s="445"/>
      <c r="U30" s="445">
        <f t="shared" si="9"/>
        <v>0</v>
      </c>
      <c r="V30" s="445">
        <f t="shared" si="5"/>
        <v>0</v>
      </c>
      <c r="W30" s="445">
        <f t="shared" si="6"/>
        <v>0</v>
      </c>
      <c r="X30" s="445">
        <f t="shared" si="7"/>
        <v>0</v>
      </c>
      <c r="Y30" s="445"/>
      <c r="Z30" s="120"/>
    </row>
    <row r="31" spans="1:26" s="126" customFormat="1" ht="16.5" outlineLevel="1" x14ac:dyDescent="0.3">
      <c r="A31" s="120"/>
      <c r="B31" s="121"/>
      <c r="C31" s="129"/>
      <c r="D31" s="129" t="s">
        <v>231</v>
      </c>
      <c r="E31" s="122"/>
      <c r="F31" s="445">
        <f>Ввод!G154</f>
        <v>0</v>
      </c>
      <c r="G31" s="445">
        <f>Ввод!H154</f>
        <v>0</v>
      </c>
      <c r="H31" s="445">
        <f>Ввод!I154</f>
        <v>0</v>
      </c>
      <c r="I31" s="445">
        <f>Ввод!J154</f>
        <v>0</v>
      </c>
      <c r="J31" s="445">
        <f>Ввод!K154</f>
        <v>0</v>
      </c>
      <c r="K31" s="445" t="str">
        <f>Ввод!L154</f>
        <v>х</v>
      </c>
      <c r="L31" s="124"/>
      <c r="M31" s="100" t="e">
        <f t="shared" si="8"/>
        <v>#DIV/0!</v>
      </c>
      <c r="N31" s="100" t="e">
        <f t="shared" si="1"/>
        <v>#DIV/0!</v>
      </c>
      <c r="O31" s="100" t="e">
        <f t="shared" si="2"/>
        <v>#DIV/0!</v>
      </c>
      <c r="P31" s="100" t="e">
        <f t="shared" si="3"/>
        <v>#DIV/0!</v>
      </c>
      <c r="Q31" s="100" t="e">
        <f t="shared" si="4"/>
        <v>#DIV/0!</v>
      </c>
      <c r="R31" s="100"/>
      <c r="S31" s="125"/>
      <c r="T31" s="445"/>
      <c r="U31" s="445">
        <f t="shared" si="9"/>
        <v>0</v>
      </c>
      <c r="V31" s="445">
        <f t="shared" si="5"/>
        <v>0</v>
      </c>
      <c r="W31" s="445">
        <f t="shared" si="6"/>
        <v>0</v>
      </c>
      <c r="X31" s="445">
        <f t="shared" si="7"/>
        <v>0</v>
      </c>
      <c r="Y31" s="445"/>
      <c r="Z31" s="120"/>
    </row>
    <row r="32" spans="1:26" s="126" customFormat="1" ht="33" customHeight="1" outlineLevel="1" x14ac:dyDescent="0.3">
      <c r="A32" s="120"/>
      <c r="B32" s="121"/>
      <c r="C32" s="131" t="s">
        <v>74</v>
      </c>
      <c r="D32" s="2219" t="s">
        <v>245</v>
      </c>
      <c r="E32" s="2218"/>
      <c r="F32" s="445">
        <f>-Ввод!G155</f>
        <v>0</v>
      </c>
      <c r="G32" s="445">
        <f>-Ввод!H155</f>
        <v>0</v>
      </c>
      <c r="H32" s="445">
        <f>-Ввод!I155</f>
        <v>0</v>
      </c>
      <c r="I32" s="445">
        <f>-Ввод!J155</f>
        <v>0</v>
      </c>
      <c r="J32" s="445">
        <f>-Ввод!K155</f>
        <v>0</v>
      </c>
      <c r="K32" s="445">
        <f>-Ввод!L155</f>
        <v>0</v>
      </c>
      <c r="L32" s="124"/>
      <c r="M32" s="100" t="e">
        <f t="shared" si="8"/>
        <v>#DIV/0!</v>
      </c>
      <c r="N32" s="100" t="e">
        <f t="shared" si="1"/>
        <v>#DIV/0!</v>
      </c>
      <c r="O32" s="100" t="e">
        <f t="shared" si="2"/>
        <v>#DIV/0!</v>
      </c>
      <c r="P32" s="100" t="e">
        <f t="shared" si="3"/>
        <v>#DIV/0!</v>
      </c>
      <c r="Q32" s="100" t="e">
        <f t="shared" si="4"/>
        <v>#DIV/0!</v>
      </c>
      <c r="R32" s="100"/>
      <c r="S32" s="125"/>
      <c r="T32" s="445"/>
      <c r="U32" s="445">
        <f t="shared" si="9"/>
        <v>0</v>
      </c>
      <c r="V32" s="445">
        <f t="shared" si="5"/>
        <v>0</v>
      </c>
      <c r="W32" s="445">
        <f t="shared" si="6"/>
        <v>0</v>
      </c>
      <c r="X32" s="445">
        <f t="shared" si="7"/>
        <v>0</v>
      </c>
      <c r="Y32" s="445"/>
      <c r="Z32" s="120"/>
    </row>
    <row r="33" spans="1:26" s="138" customFormat="1" ht="16.5" x14ac:dyDescent="0.3">
      <c r="A33" s="132" t="s">
        <v>16</v>
      </c>
      <c r="B33" s="133" t="s">
        <v>246</v>
      </c>
      <c r="C33" s="134"/>
      <c r="D33" s="135"/>
      <c r="E33" s="133"/>
      <c r="F33" s="448">
        <f t="shared" ref="F33:K33" si="11">SUM(F34:F38)</f>
        <v>0</v>
      </c>
      <c r="G33" s="448">
        <f t="shared" si="11"/>
        <v>0</v>
      </c>
      <c r="H33" s="448">
        <f t="shared" si="11"/>
        <v>0</v>
      </c>
      <c r="I33" s="448">
        <f t="shared" si="11"/>
        <v>0</v>
      </c>
      <c r="J33" s="448">
        <f t="shared" si="11"/>
        <v>0</v>
      </c>
      <c r="K33" s="448">
        <f t="shared" si="11"/>
        <v>0</v>
      </c>
      <c r="L33" s="157"/>
      <c r="M33" s="158" t="e">
        <f t="shared" si="8"/>
        <v>#DIV/0!</v>
      </c>
      <c r="N33" s="158" t="e">
        <f t="shared" si="1"/>
        <v>#DIV/0!</v>
      </c>
      <c r="O33" s="158" t="e">
        <f t="shared" si="2"/>
        <v>#DIV/0!</v>
      </c>
      <c r="P33" s="158" t="e">
        <f t="shared" si="3"/>
        <v>#DIV/0!</v>
      </c>
      <c r="Q33" s="158" t="e">
        <f t="shared" si="4"/>
        <v>#DIV/0!</v>
      </c>
      <c r="R33" s="158"/>
      <c r="S33" s="136"/>
      <c r="T33" s="448"/>
      <c r="U33" s="448">
        <f t="shared" si="9"/>
        <v>0</v>
      </c>
      <c r="V33" s="448">
        <f t="shared" si="5"/>
        <v>0</v>
      </c>
      <c r="W33" s="448">
        <f t="shared" si="6"/>
        <v>0</v>
      </c>
      <c r="X33" s="448">
        <f t="shared" si="7"/>
        <v>0</v>
      </c>
      <c r="Y33" s="448"/>
      <c r="Z33" s="137"/>
    </row>
    <row r="34" spans="1:26" s="137" customFormat="1" ht="16.5" outlineLevel="1" x14ac:dyDescent="0.3">
      <c r="B34" s="139"/>
      <c r="C34" s="190" t="s">
        <v>74</v>
      </c>
      <c r="D34" s="130" t="s">
        <v>247</v>
      </c>
      <c r="E34" s="123"/>
      <c r="F34" s="449">
        <f>-Ввод!G159</f>
        <v>0</v>
      </c>
      <c r="G34" s="449">
        <f>-Ввод!H159</f>
        <v>0</v>
      </c>
      <c r="H34" s="449">
        <f>-Ввод!I159</f>
        <v>0</v>
      </c>
      <c r="I34" s="449">
        <f>-Ввод!J159</f>
        <v>0</v>
      </c>
      <c r="J34" s="449">
        <f>-Ввод!K159</f>
        <v>0</v>
      </c>
      <c r="K34" s="449">
        <f>-Ввод!L159</f>
        <v>0</v>
      </c>
      <c r="L34" s="136"/>
      <c r="M34" s="140" t="e">
        <f t="shared" si="8"/>
        <v>#DIV/0!</v>
      </c>
      <c r="N34" s="162" t="e">
        <f t="shared" si="1"/>
        <v>#DIV/0!</v>
      </c>
      <c r="O34" s="162" t="e">
        <f t="shared" si="2"/>
        <v>#DIV/0!</v>
      </c>
      <c r="P34" s="162" t="e">
        <f t="shared" si="3"/>
        <v>#DIV/0!</v>
      </c>
      <c r="Q34" s="162" t="e">
        <f t="shared" si="4"/>
        <v>#DIV/0!</v>
      </c>
      <c r="R34" s="162"/>
      <c r="S34" s="136"/>
      <c r="T34" s="449"/>
      <c r="U34" s="449">
        <f t="shared" si="9"/>
        <v>0</v>
      </c>
      <c r="V34" s="449">
        <f t="shared" si="5"/>
        <v>0</v>
      </c>
      <c r="W34" s="449">
        <f t="shared" si="6"/>
        <v>0</v>
      </c>
      <c r="X34" s="449">
        <f t="shared" si="7"/>
        <v>0</v>
      </c>
      <c r="Y34" s="449"/>
    </row>
    <row r="35" spans="1:26" s="137" customFormat="1" ht="16.5" outlineLevel="1" x14ac:dyDescent="0.3">
      <c r="B35" s="139"/>
      <c r="C35" s="190" t="s">
        <v>74</v>
      </c>
      <c r="D35" s="130" t="s">
        <v>248</v>
      </c>
      <c r="E35" s="123"/>
      <c r="F35" s="449">
        <f>-Ввод!G160</f>
        <v>0</v>
      </c>
      <c r="G35" s="449">
        <f>-Ввод!H160</f>
        <v>0</v>
      </c>
      <c r="H35" s="449">
        <f>-Ввод!I160</f>
        <v>0</v>
      </c>
      <c r="I35" s="449">
        <f>-Ввод!J160</f>
        <v>0</v>
      </c>
      <c r="J35" s="449">
        <f>-Ввод!K160</f>
        <v>0</v>
      </c>
      <c r="K35" s="449">
        <f>-Ввод!L160</f>
        <v>0</v>
      </c>
      <c r="L35" s="136"/>
      <c r="M35" s="140" t="e">
        <f t="shared" si="8"/>
        <v>#DIV/0!</v>
      </c>
      <c r="N35" s="162" t="e">
        <f t="shared" si="1"/>
        <v>#DIV/0!</v>
      </c>
      <c r="O35" s="162" t="e">
        <f t="shared" si="2"/>
        <v>#DIV/0!</v>
      </c>
      <c r="P35" s="162" t="e">
        <f t="shared" si="3"/>
        <v>#DIV/0!</v>
      </c>
      <c r="Q35" s="162" t="e">
        <f t="shared" si="4"/>
        <v>#DIV/0!</v>
      </c>
      <c r="R35" s="162"/>
      <c r="S35" s="136"/>
      <c r="T35" s="449"/>
      <c r="U35" s="449">
        <f t="shared" si="9"/>
        <v>0</v>
      </c>
      <c r="V35" s="449">
        <f t="shared" si="5"/>
        <v>0</v>
      </c>
      <c r="W35" s="449">
        <f t="shared" si="6"/>
        <v>0</v>
      </c>
      <c r="X35" s="449">
        <f t="shared" si="7"/>
        <v>0</v>
      </c>
      <c r="Y35" s="449"/>
    </row>
    <row r="36" spans="1:26" s="137" customFormat="1" ht="16.5" outlineLevel="1" x14ac:dyDescent="0.3">
      <c r="B36" s="139"/>
      <c r="C36" s="190" t="s">
        <v>74</v>
      </c>
      <c r="D36" s="130" t="s">
        <v>249</v>
      </c>
      <c r="E36" s="123"/>
      <c r="F36" s="449">
        <f>-Ввод!G161</f>
        <v>0</v>
      </c>
      <c r="G36" s="449">
        <f>-Ввод!H161</f>
        <v>0</v>
      </c>
      <c r="H36" s="449">
        <f>-Ввод!I161</f>
        <v>0</v>
      </c>
      <c r="I36" s="449">
        <f>-Ввод!J161</f>
        <v>0</v>
      </c>
      <c r="J36" s="449">
        <f>-Ввод!K161</f>
        <v>0</v>
      </c>
      <c r="K36" s="449">
        <f>-Ввод!L161</f>
        <v>0</v>
      </c>
      <c r="L36" s="136"/>
      <c r="M36" s="140" t="e">
        <f t="shared" si="8"/>
        <v>#DIV/0!</v>
      </c>
      <c r="N36" s="162" t="e">
        <f t="shared" si="1"/>
        <v>#DIV/0!</v>
      </c>
      <c r="O36" s="162" t="e">
        <f t="shared" si="2"/>
        <v>#DIV/0!</v>
      </c>
      <c r="P36" s="162" t="e">
        <f t="shared" si="3"/>
        <v>#DIV/0!</v>
      </c>
      <c r="Q36" s="162" t="e">
        <f t="shared" si="4"/>
        <v>#DIV/0!</v>
      </c>
      <c r="R36" s="162"/>
      <c r="S36" s="136"/>
      <c r="T36" s="449"/>
      <c r="U36" s="449">
        <f t="shared" si="9"/>
        <v>0</v>
      </c>
      <c r="V36" s="449">
        <f t="shared" si="5"/>
        <v>0</v>
      </c>
      <c r="W36" s="449">
        <f t="shared" si="6"/>
        <v>0</v>
      </c>
      <c r="X36" s="449">
        <f t="shared" si="7"/>
        <v>0</v>
      </c>
      <c r="Y36" s="449"/>
    </row>
    <row r="37" spans="1:26" s="137" customFormat="1" ht="16.5" outlineLevel="1" x14ac:dyDescent="0.3">
      <c r="B37" s="139"/>
      <c r="C37" s="190" t="s">
        <v>74</v>
      </c>
      <c r="D37" s="130" t="s">
        <v>250</v>
      </c>
      <c r="E37" s="123"/>
      <c r="F37" s="449">
        <f>-Ввод!G162</f>
        <v>0</v>
      </c>
      <c r="G37" s="449">
        <f>-Ввод!H162</f>
        <v>0</v>
      </c>
      <c r="H37" s="449">
        <f>-Ввод!I162</f>
        <v>0</v>
      </c>
      <c r="I37" s="449">
        <f>-Ввод!J162</f>
        <v>0</v>
      </c>
      <c r="J37" s="449">
        <f>-Ввод!K162</f>
        <v>0</v>
      </c>
      <c r="K37" s="449">
        <f>-Ввод!L162</f>
        <v>0</v>
      </c>
      <c r="L37" s="136"/>
      <c r="M37" s="140" t="e">
        <f t="shared" si="8"/>
        <v>#DIV/0!</v>
      </c>
      <c r="N37" s="162" t="e">
        <f t="shared" si="1"/>
        <v>#DIV/0!</v>
      </c>
      <c r="O37" s="162" t="e">
        <f t="shared" si="2"/>
        <v>#DIV/0!</v>
      </c>
      <c r="P37" s="162" t="e">
        <f t="shared" si="3"/>
        <v>#DIV/0!</v>
      </c>
      <c r="Q37" s="162" t="e">
        <f t="shared" si="4"/>
        <v>#DIV/0!</v>
      </c>
      <c r="R37" s="162"/>
      <c r="S37" s="136"/>
      <c r="T37" s="449"/>
      <c r="U37" s="449">
        <f t="shared" si="9"/>
        <v>0</v>
      </c>
      <c r="V37" s="449">
        <f t="shared" si="5"/>
        <v>0</v>
      </c>
      <c r="W37" s="449">
        <f t="shared" si="6"/>
        <v>0</v>
      </c>
      <c r="X37" s="449">
        <f t="shared" si="7"/>
        <v>0</v>
      </c>
      <c r="Y37" s="449"/>
    </row>
    <row r="38" spans="1:26" s="137" customFormat="1" ht="17.25" outlineLevel="1" thickBot="1" x14ac:dyDescent="0.35">
      <c r="B38" s="139"/>
      <c r="C38" s="190" t="s">
        <v>74</v>
      </c>
      <c r="D38" s="130" t="s">
        <v>760</v>
      </c>
      <c r="E38" s="123"/>
      <c r="F38" s="449">
        <f>-Ввод!G163</f>
        <v>0</v>
      </c>
      <c r="G38" s="449">
        <f>-Ввод!H163</f>
        <v>0</v>
      </c>
      <c r="H38" s="449">
        <f>-Ввод!I163</f>
        <v>0</v>
      </c>
      <c r="I38" s="449">
        <f>-Ввод!J163</f>
        <v>0</v>
      </c>
      <c r="J38" s="449">
        <f>-Ввод!K163</f>
        <v>0</v>
      </c>
      <c r="K38" s="449">
        <f>-Ввод!L163</f>
        <v>0</v>
      </c>
      <c r="L38" s="136"/>
      <c r="M38" s="140" t="e">
        <f t="shared" si="8"/>
        <v>#DIV/0!</v>
      </c>
      <c r="N38" s="162" t="e">
        <f t="shared" si="1"/>
        <v>#DIV/0!</v>
      </c>
      <c r="O38" s="162" t="e">
        <f t="shared" si="2"/>
        <v>#DIV/0!</v>
      </c>
      <c r="P38" s="162" t="e">
        <f t="shared" si="3"/>
        <v>#DIV/0!</v>
      </c>
      <c r="Q38" s="162" t="e">
        <f t="shared" si="4"/>
        <v>#DIV/0!</v>
      </c>
      <c r="R38" s="162"/>
      <c r="S38" s="136"/>
      <c r="T38" s="449"/>
      <c r="U38" s="449">
        <f t="shared" si="9"/>
        <v>0</v>
      </c>
      <c r="V38" s="449">
        <f t="shared" si="5"/>
        <v>0</v>
      </c>
      <c r="W38" s="449">
        <f t="shared" si="6"/>
        <v>0</v>
      </c>
      <c r="X38" s="449">
        <f t="shared" si="7"/>
        <v>0</v>
      </c>
      <c r="Y38" s="449"/>
    </row>
    <row r="39" spans="1:26" s="103" customFormat="1" ht="16.5" x14ac:dyDescent="0.3">
      <c r="A39" s="114"/>
      <c r="B39" s="115"/>
      <c r="C39" s="116" t="s">
        <v>254</v>
      </c>
      <c r="D39" s="116"/>
      <c r="E39" s="116"/>
      <c r="F39" s="450">
        <f t="shared" ref="F39:K39" si="12">F9+F24+F33</f>
        <v>0</v>
      </c>
      <c r="G39" s="450">
        <f t="shared" si="12"/>
        <v>0</v>
      </c>
      <c r="H39" s="450">
        <f t="shared" si="12"/>
        <v>0</v>
      </c>
      <c r="I39" s="450">
        <f t="shared" si="12"/>
        <v>0</v>
      </c>
      <c r="J39" s="450">
        <f t="shared" si="12"/>
        <v>0</v>
      </c>
      <c r="K39" s="450">
        <f t="shared" si="12"/>
        <v>0</v>
      </c>
      <c r="L39" s="104"/>
      <c r="M39" s="117" t="e">
        <f t="shared" si="8"/>
        <v>#DIV/0!</v>
      </c>
      <c r="N39" s="117" t="e">
        <f t="shared" si="1"/>
        <v>#DIV/0!</v>
      </c>
      <c r="O39" s="117" t="e">
        <f t="shared" si="2"/>
        <v>#DIV/0!</v>
      </c>
      <c r="P39" s="117" t="e">
        <f t="shared" si="3"/>
        <v>#DIV/0!</v>
      </c>
      <c r="Q39" s="117" t="e">
        <f t="shared" si="4"/>
        <v>#DIV/0!</v>
      </c>
      <c r="R39" s="117"/>
      <c r="S39" s="104"/>
      <c r="T39" s="450"/>
      <c r="U39" s="450">
        <f t="shared" si="9"/>
        <v>0</v>
      </c>
      <c r="V39" s="450">
        <f t="shared" si="5"/>
        <v>0</v>
      </c>
      <c r="W39" s="450">
        <f t="shared" si="6"/>
        <v>0</v>
      </c>
      <c r="X39" s="450">
        <f t="shared" si="7"/>
        <v>0</v>
      </c>
      <c r="Y39" s="450"/>
    </row>
    <row r="40" spans="1:26" s="149" customFormat="1" ht="16.5" outlineLevel="1" x14ac:dyDescent="0.3">
      <c r="A40" s="146"/>
      <c r="B40" s="147"/>
      <c r="C40" s="147" t="s">
        <v>256</v>
      </c>
      <c r="D40" s="147"/>
      <c r="E40" s="147"/>
      <c r="F40" s="451">
        <f>Ввод!G60</f>
        <v>49870344</v>
      </c>
      <c r="G40" s="451">
        <f>Ввод!H60</f>
        <v>63876246</v>
      </c>
      <c r="H40" s="451">
        <f>Ввод!I60</f>
        <v>65479410</v>
      </c>
      <c r="I40" s="451">
        <f>Ввод!J60</f>
        <v>73163479</v>
      </c>
      <c r="J40" s="451">
        <f>Ввод!K60</f>
        <v>72727427</v>
      </c>
      <c r="K40" s="451"/>
      <c r="L40" s="148"/>
      <c r="M40" s="148"/>
      <c r="N40" s="148"/>
      <c r="O40" s="148"/>
      <c r="P40" s="148"/>
      <c r="Q40" s="148"/>
      <c r="R40" s="148"/>
      <c r="S40" s="148"/>
      <c r="T40" s="146"/>
      <c r="U40" s="146"/>
      <c r="V40" s="146"/>
      <c r="W40" s="146"/>
      <c r="X40" s="146"/>
      <c r="Y40" s="146"/>
      <c r="Z40" s="146"/>
    </row>
    <row r="41" spans="1:26" s="103" customFormat="1" ht="16.5" x14ac:dyDescent="0.3">
      <c r="A41" s="101"/>
      <c r="B41" s="102"/>
      <c r="C41" s="102"/>
      <c r="D41" s="102"/>
      <c r="E41" s="102"/>
      <c r="F41" s="118"/>
      <c r="G41" s="118"/>
      <c r="H41" s="118"/>
      <c r="I41" s="118"/>
      <c r="J41" s="104"/>
      <c r="K41" s="104"/>
      <c r="L41" s="104"/>
      <c r="M41" s="104"/>
      <c r="N41" s="104"/>
      <c r="O41" s="104"/>
      <c r="P41" s="104"/>
      <c r="Q41" s="104"/>
      <c r="R41" s="104"/>
      <c r="S41" s="104"/>
      <c r="T41" s="101"/>
      <c r="U41" s="101"/>
      <c r="V41" s="101"/>
      <c r="W41" s="101"/>
      <c r="X41" s="101"/>
      <c r="Y41" s="101"/>
      <c r="Z41" s="101"/>
    </row>
    <row r="42" spans="1:26" s="103" customFormat="1" ht="16.5" x14ac:dyDescent="0.3">
      <c r="A42" s="101"/>
      <c r="B42" s="102"/>
      <c r="C42" s="102" t="s">
        <v>897</v>
      </c>
      <c r="D42" s="102"/>
      <c r="E42" s="102"/>
      <c r="F42" s="118">
        <f>F44/F40</f>
        <v>8.8699605922108731</v>
      </c>
      <c r="G42" s="118">
        <f>G44/G40</f>
        <v>6.8317161437445773</v>
      </c>
      <c r="H42" s="118">
        <f>H44/H40</f>
        <v>7.6104456958301858</v>
      </c>
      <c r="I42" s="118">
        <f>I44/I40</f>
        <v>7.6697375202729221</v>
      </c>
      <c r="J42" s="118">
        <f>J44/J40</f>
        <v>8.1678338902323606</v>
      </c>
      <c r="K42" s="118"/>
      <c r="L42" s="104"/>
      <c r="M42" s="104"/>
      <c r="N42" s="104"/>
      <c r="O42" s="104"/>
      <c r="P42" s="104"/>
      <c r="Q42" s="104"/>
      <c r="R42" s="104"/>
      <c r="S42" s="104"/>
      <c r="T42" s="101"/>
      <c r="U42" s="101"/>
      <c r="V42" s="101"/>
      <c r="W42" s="101"/>
      <c r="X42" s="101"/>
      <c r="Y42" s="101"/>
      <c r="Z42" s="101"/>
    </row>
    <row r="43" spans="1:26" s="103" customFormat="1" ht="16.5" x14ac:dyDescent="0.3">
      <c r="A43" s="101"/>
      <c r="B43" s="102"/>
      <c r="C43" s="102"/>
      <c r="D43" s="102"/>
      <c r="E43" s="102"/>
      <c r="F43" s="118"/>
      <c r="G43" s="118"/>
      <c r="H43" s="118"/>
      <c r="I43" s="118"/>
      <c r="J43" s="104"/>
      <c r="K43" s="104"/>
      <c r="L43" s="104"/>
      <c r="M43" s="104"/>
      <c r="N43" s="104"/>
      <c r="O43" s="104"/>
      <c r="P43" s="104"/>
      <c r="Q43" s="104"/>
      <c r="R43" s="104"/>
      <c r="S43" s="104"/>
      <c r="T43" s="101"/>
      <c r="U43" s="101"/>
      <c r="V43" s="101"/>
      <c r="W43" s="101"/>
      <c r="X43" s="101"/>
      <c r="Y43" s="101"/>
      <c r="Z43" s="101"/>
    </row>
    <row r="44" spans="1:26" s="103" customFormat="1" ht="16.5" x14ac:dyDescent="0.3">
      <c r="A44" s="101"/>
      <c r="B44" s="102"/>
      <c r="C44" s="102" t="s">
        <v>797</v>
      </c>
      <c r="D44" s="102"/>
      <c r="E44" s="102"/>
      <c r="F44" s="143">
        <f>Ввод!G24</f>
        <v>442347986</v>
      </c>
      <c r="G44" s="143">
        <f>Ввод!H24</f>
        <v>436384381</v>
      </c>
      <c r="H44" s="143">
        <f>Ввод!I24</f>
        <v>498327494</v>
      </c>
      <c r="I44" s="143">
        <f>Ввод!J24</f>
        <v>561144680</v>
      </c>
      <c r="J44" s="143">
        <f>Ввод!K24</f>
        <v>594025543</v>
      </c>
      <c r="K44" s="143"/>
      <c r="L44" s="143"/>
      <c r="M44" s="104"/>
      <c r="N44" s="104"/>
      <c r="O44" s="104"/>
      <c r="P44" s="104"/>
      <c r="Q44" s="104"/>
      <c r="R44" s="104"/>
      <c r="S44" s="104"/>
      <c r="T44" s="101"/>
      <c r="U44" s="101"/>
      <c r="V44" s="101"/>
      <c r="W44" s="101"/>
      <c r="X44" s="101"/>
      <c r="Y44" s="101"/>
      <c r="Z44" s="101"/>
    </row>
    <row r="45" spans="1:26" s="103" customFormat="1" ht="16.5" x14ac:dyDescent="0.3">
      <c r="A45" s="101"/>
      <c r="B45" s="102"/>
      <c r="C45" s="102" t="s">
        <v>82</v>
      </c>
      <c r="D45" s="102"/>
      <c r="E45" s="102"/>
      <c r="F45" s="143" t="e">
        <f>F39/F49</f>
        <v>#REF!</v>
      </c>
      <c r="G45" s="143" t="e">
        <f>G39/G49</f>
        <v>#REF!</v>
      </c>
      <c r="H45" s="143" t="e">
        <f>H39/H49</f>
        <v>#REF!</v>
      </c>
      <c r="I45" s="143" t="e">
        <f>I39/I49</f>
        <v>#REF!</v>
      </c>
      <c r="J45" s="143" t="e">
        <f>J39/J49</f>
        <v>#REF!</v>
      </c>
      <c r="K45" s="143"/>
      <c r="L45" s="143"/>
      <c r="M45" s="104"/>
      <c r="N45" s="104"/>
      <c r="O45" s="104"/>
      <c r="P45" s="104"/>
      <c r="Q45" s="104"/>
      <c r="R45" s="104"/>
      <c r="S45" s="104"/>
      <c r="T45" s="101"/>
      <c r="U45" s="101"/>
      <c r="V45" s="101"/>
      <c r="W45" s="101"/>
      <c r="X45" s="101"/>
      <c r="Y45" s="101"/>
      <c r="Z45" s="101"/>
    </row>
    <row r="46" spans="1:26" s="103" customFormat="1" ht="16.5" x14ac:dyDescent="0.3">
      <c r="A46" s="101"/>
      <c r="B46" s="102"/>
      <c r="C46" s="108"/>
      <c r="D46" s="108" t="s">
        <v>86</v>
      </c>
      <c r="E46" s="108"/>
      <c r="F46" s="144" t="e">
        <f>F45/F44</f>
        <v>#REF!</v>
      </c>
      <c r="G46" s="144" t="e">
        <f>G45/G44</f>
        <v>#REF!</v>
      </c>
      <c r="H46" s="144" t="e">
        <f>H45/H44</f>
        <v>#REF!</v>
      </c>
      <c r="I46" s="144" t="e">
        <f>I45/I44</f>
        <v>#REF!</v>
      </c>
      <c r="J46" s="144" t="e">
        <f>J45/J44</f>
        <v>#REF!</v>
      </c>
      <c r="K46" s="144"/>
      <c r="L46" s="142"/>
      <c r="M46" s="104"/>
      <c r="N46" s="104"/>
      <c r="O46" s="104"/>
      <c r="P46" s="104"/>
      <c r="Q46" s="104"/>
      <c r="R46" s="104"/>
      <c r="S46" s="104"/>
      <c r="T46" s="101"/>
      <c r="U46" s="101"/>
      <c r="V46" s="101"/>
      <c r="W46" s="101"/>
      <c r="X46" s="101"/>
      <c r="Y46" s="101"/>
      <c r="Z46" s="101"/>
    </row>
    <row r="47" spans="1:26" s="103" customFormat="1" ht="16.5" x14ac:dyDescent="0.3">
      <c r="A47" s="101"/>
      <c r="B47" s="102"/>
      <c r="C47" s="102"/>
      <c r="D47" s="102"/>
      <c r="E47" s="102"/>
      <c r="F47" s="104"/>
      <c r="G47" s="104"/>
      <c r="H47" s="104"/>
      <c r="I47" s="104"/>
      <c r="J47" s="104"/>
      <c r="K47" s="104"/>
      <c r="L47" s="104"/>
      <c r="M47" s="104"/>
      <c r="N47" s="104"/>
      <c r="O47" s="104"/>
      <c r="P47" s="104"/>
      <c r="Q47" s="104"/>
      <c r="R47" s="104"/>
      <c r="S47" s="104"/>
      <c r="T47" s="101"/>
      <c r="U47" s="101"/>
      <c r="V47" s="101"/>
      <c r="W47" s="101"/>
      <c r="X47" s="101"/>
      <c r="Y47" s="101"/>
      <c r="Z47" s="101"/>
    </row>
    <row r="48" spans="1:26" s="103" customFormat="1" ht="16.5" x14ac:dyDescent="0.3">
      <c r="A48" s="101"/>
      <c r="B48" s="102"/>
      <c r="C48" s="150" t="s">
        <v>84</v>
      </c>
      <c r="D48" s="102"/>
      <c r="E48" s="102"/>
      <c r="F48" s="104"/>
      <c r="G48" s="104"/>
      <c r="H48" s="104"/>
      <c r="I48" s="104"/>
      <c r="J48" s="104"/>
      <c r="K48" s="104"/>
      <c r="L48" s="104"/>
      <c r="M48" s="104"/>
      <c r="N48" s="104"/>
      <c r="O48" s="104"/>
      <c r="P48" s="104"/>
      <c r="Q48" s="104"/>
      <c r="R48" s="104"/>
      <c r="S48" s="104"/>
      <c r="T48" s="101"/>
      <c r="U48" s="101"/>
      <c r="V48" s="101"/>
      <c r="W48" s="101"/>
      <c r="X48" s="101"/>
      <c r="Y48" s="101"/>
      <c r="Z48" s="101"/>
    </row>
    <row r="49" spans="1:26" s="103" customFormat="1" ht="16.5" x14ac:dyDescent="0.3">
      <c r="A49" s="101"/>
      <c r="B49" s="102"/>
      <c r="C49" s="102" t="s">
        <v>74</v>
      </c>
      <c r="D49" s="102" t="s">
        <v>87</v>
      </c>
      <c r="E49" s="102"/>
      <c r="F49" s="151" t="e">
        <f>Ввод!#REF!</f>
        <v>#REF!</v>
      </c>
      <c r="G49" s="151" t="e">
        <f>Ввод!#REF!</f>
        <v>#REF!</v>
      </c>
      <c r="H49" s="151" t="e">
        <f>Ввод!#REF!</f>
        <v>#REF!</v>
      </c>
      <c r="I49" s="151" t="e">
        <f>Ввод!#REF!</f>
        <v>#REF!</v>
      </c>
      <c r="J49" s="151" t="e">
        <f>Ввод!#REF!</f>
        <v>#REF!</v>
      </c>
      <c r="K49" s="151"/>
      <c r="L49" s="151"/>
      <c r="M49" s="104"/>
      <c r="N49" s="104"/>
      <c r="O49" s="104"/>
      <c r="P49" s="104"/>
      <c r="Q49" s="104"/>
      <c r="R49" s="104"/>
      <c r="S49" s="104"/>
      <c r="T49" s="101"/>
      <c r="U49" s="101"/>
      <c r="V49" s="101"/>
      <c r="W49" s="101"/>
      <c r="X49" s="101"/>
      <c r="Y49" s="101"/>
      <c r="Z49" s="101"/>
    </row>
    <row r="50" spans="1:26" s="103" customFormat="1" ht="16.5" x14ac:dyDescent="0.3">
      <c r="A50" s="101"/>
      <c r="B50" s="102"/>
      <c r="C50" s="102"/>
      <c r="D50" s="102"/>
      <c r="E50" s="102"/>
      <c r="F50" s="151"/>
      <c r="G50" s="151"/>
      <c r="H50" s="151"/>
      <c r="I50" s="151"/>
      <c r="J50" s="151"/>
      <c r="K50" s="151"/>
      <c r="L50" s="151"/>
      <c r="M50" s="104"/>
      <c r="N50" s="104"/>
      <c r="O50" s="104"/>
      <c r="P50" s="104"/>
      <c r="Q50" s="104"/>
      <c r="R50" s="104"/>
      <c r="S50" s="104"/>
      <c r="T50" s="101"/>
      <c r="U50" s="101"/>
      <c r="V50" s="101"/>
      <c r="W50" s="101"/>
      <c r="X50" s="101"/>
      <c r="Y50" s="101"/>
      <c r="Z50" s="101"/>
    </row>
    <row r="51" spans="1:26" s="103" customFormat="1" ht="16.5" x14ac:dyDescent="0.3">
      <c r="A51" s="101"/>
      <c r="B51" s="102"/>
      <c r="C51" s="102"/>
      <c r="D51" s="102"/>
      <c r="E51" s="102"/>
      <c r="F51" s="104"/>
      <c r="G51" s="104"/>
      <c r="H51" s="104"/>
      <c r="I51" s="104"/>
      <c r="J51" s="104"/>
      <c r="K51" s="104"/>
      <c r="L51" s="104"/>
      <c r="M51" s="104"/>
      <c r="N51" s="104"/>
      <c r="O51" s="104"/>
      <c r="P51" s="104"/>
      <c r="Q51" s="104"/>
      <c r="R51" s="104"/>
      <c r="S51" s="104"/>
      <c r="T51" s="101"/>
      <c r="U51" s="101"/>
      <c r="V51" s="101"/>
      <c r="W51" s="101"/>
      <c r="X51" s="101"/>
      <c r="Y51" s="101"/>
      <c r="Z51" s="101"/>
    </row>
    <row r="52" spans="1:26" s="103" customFormat="1" ht="16.5" x14ac:dyDescent="0.3">
      <c r="A52" s="101"/>
      <c r="B52" s="102"/>
      <c r="C52" s="102" t="s">
        <v>90</v>
      </c>
      <c r="D52" s="102"/>
      <c r="E52" s="102"/>
      <c r="F52" s="104">
        <f>F39</f>
        <v>0</v>
      </c>
      <c r="G52" s="104">
        <f>G39</f>
        <v>0</v>
      </c>
      <c r="H52" s="104">
        <f>H39</f>
        <v>0</v>
      </c>
      <c r="I52" s="104">
        <f>I39</f>
        <v>0</v>
      </c>
      <c r="J52" s="104">
        <f>J39</f>
        <v>0</v>
      </c>
      <c r="K52" s="104"/>
      <c r="L52" s="104"/>
      <c r="M52" s="104"/>
      <c r="N52" s="104"/>
      <c r="O52" s="104"/>
      <c r="P52" s="104"/>
      <c r="Q52" s="104"/>
      <c r="R52" s="104"/>
      <c r="S52" s="104"/>
      <c r="T52" s="101"/>
      <c r="U52" s="101"/>
      <c r="V52" s="101"/>
      <c r="W52" s="101"/>
      <c r="X52" s="101"/>
      <c r="Y52" s="101"/>
      <c r="Z52" s="101"/>
    </row>
    <row r="53" spans="1:26" s="103" customFormat="1" ht="16.5" x14ac:dyDescent="0.3">
      <c r="A53" s="101"/>
      <c r="B53" s="102" t="s">
        <v>74</v>
      </c>
      <c r="C53" s="102" t="s">
        <v>253</v>
      </c>
      <c r="D53" s="102"/>
      <c r="E53" s="102"/>
      <c r="F53" s="104"/>
      <c r="G53" s="104"/>
      <c r="H53" s="104"/>
      <c r="I53" s="104"/>
      <c r="J53" s="104"/>
      <c r="K53" s="104"/>
      <c r="L53" s="104"/>
      <c r="M53" s="104"/>
      <c r="N53" s="104"/>
      <c r="O53" s="104"/>
      <c r="P53" s="104"/>
      <c r="Q53" s="104"/>
      <c r="R53" s="104"/>
      <c r="S53" s="104"/>
      <c r="T53" s="101"/>
      <c r="U53" s="101"/>
      <c r="V53" s="101"/>
      <c r="W53" s="101"/>
      <c r="X53" s="101"/>
      <c r="Y53" s="101"/>
      <c r="Z53" s="101"/>
    </row>
    <row r="54" spans="1:26" s="103" customFormat="1" ht="16.5" x14ac:dyDescent="0.3">
      <c r="A54" s="101"/>
      <c r="B54" s="102"/>
      <c r="C54" s="150"/>
      <c r="D54" s="102" t="s">
        <v>255</v>
      </c>
      <c r="E54" s="102"/>
      <c r="F54" s="104">
        <f>-Ввод!G20</f>
        <v>-3712388</v>
      </c>
      <c r="G54" s="104">
        <f>-Ввод!H21</f>
        <v>-357580</v>
      </c>
      <c r="H54" s="104">
        <f>-Ввод!I20</f>
        <v>-4381648</v>
      </c>
      <c r="I54" s="104">
        <f>-Ввод!J20</f>
        <v>-5453352</v>
      </c>
      <c r="J54" s="104">
        <f>-Ввод!K20</f>
        <v>-9019962</v>
      </c>
      <c r="K54" s="104"/>
      <c r="L54" s="104"/>
      <c r="M54" s="104"/>
      <c r="N54" s="104"/>
      <c r="O54" s="104"/>
      <c r="P54" s="104"/>
      <c r="Q54" s="104"/>
      <c r="R54" s="104"/>
      <c r="S54" s="104"/>
      <c r="T54" s="101"/>
      <c r="U54" s="101"/>
      <c r="V54" s="101"/>
      <c r="W54" s="101"/>
      <c r="X54" s="101"/>
      <c r="Y54" s="101"/>
      <c r="Z54" s="101"/>
    </row>
    <row r="55" spans="1:26" s="103" customFormat="1" ht="16.5" x14ac:dyDescent="0.3">
      <c r="A55" s="101"/>
      <c r="B55" s="102"/>
      <c r="C55" s="150"/>
      <c r="D55" s="102" t="s">
        <v>306</v>
      </c>
      <c r="E55" s="102"/>
      <c r="F55" s="678">
        <f>IF((Ввод!G525+Ввод!G532+Ввод!G479-Ввод!G475)&gt;0,-(Ввод!G525+Ввод!G532+Ввод!G479-Ввод!G475),0)</f>
        <v>0</v>
      </c>
      <c r="G55" s="678">
        <f>IF((Ввод!H525+Ввод!H532+Ввод!H479-Ввод!H475)&gt;0,-(Ввод!H525+Ввод!H532+Ввод!H479-Ввод!H475),0)</f>
        <v>0</v>
      </c>
      <c r="H55" s="678">
        <f>IF((Ввод!I525+Ввод!I532+Ввод!I479-Ввод!I475)&gt;0,-(Ввод!I525+Ввод!I532+Ввод!I479-Ввод!I475),0)</f>
        <v>0</v>
      </c>
      <c r="I55" s="678">
        <f>IF((Ввод!J525+Ввод!J532+Ввод!J479-Ввод!J475)&gt;0,-(Ввод!J525+Ввод!J532+Ввод!J479-Ввод!J475),0)</f>
        <v>0</v>
      </c>
      <c r="J55" s="678">
        <f>IF((Ввод!K525+Ввод!K532+Ввод!K479-Ввод!K475)&gt;0,-(Ввод!K525+Ввод!K532+Ввод!K479-Ввод!K475),0)</f>
        <v>0</v>
      </c>
      <c r="K55" s="458"/>
      <c r="L55" s="104"/>
      <c r="M55" s="104"/>
      <c r="N55" s="104"/>
      <c r="O55" s="104"/>
      <c r="P55" s="104"/>
      <c r="Q55" s="104"/>
      <c r="R55" s="104"/>
      <c r="S55" s="104"/>
      <c r="T55" s="101"/>
      <c r="U55" s="101"/>
      <c r="V55" s="101"/>
      <c r="W55" s="101"/>
      <c r="X55" s="101"/>
      <c r="Y55" s="101"/>
      <c r="Z55" s="101"/>
    </row>
    <row r="56" spans="1:26" s="103" customFormat="1" ht="16.5" x14ac:dyDescent="0.3">
      <c r="A56" s="101"/>
      <c r="B56" s="152" t="s">
        <v>45</v>
      </c>
      <c r="C56" s="152" t="s">
        <v>91</v>
      </c>
      <c r="D56" s="152"/>
      <c r="E56" s="152"/>
      <c r="F56" s="153">
        <f>SUM(F52:F55)</f>
        <v>-3712388</v>
      </c>
      <c r="G56" s="153">
        <f>SUM(G52:G55)</f>
        <v>-357580</v>
      </c>
      <c r="H56" s="153">
        <f>SUM(H52:H55)</f>
        <v>-4381648</v>
      </c>
      <c r="I56" s="153">
        <f>SUM(I52:I55)</f>
        <v>-5453352</v>
      </c>
      <c r="J56" s="153">
        <f>SUM(J52:J55)</f>
        <v>-9019962</v>
      </c>
      <c r="K56" s="153"/>
      <c r="L56" s="104"/>
      <c r="M56" s="104"/>
      <c r="N56" s="104"/>
      <c r="O56" s="104"/>
      <c r="P56" s="104"/>
      <c r="Q56" s="104"/>
      <c r="R56" s="104"/>
      <c r="S56" s="104"/>
      <c r="T56" s="101"/>
      <c r="U56" s="101"/>
      <c r="V56" s="101"/>
      <c r="W56" s="101"/>
      <c r="X56" s="101"/>
      <c r="Y56" s="101"/>
      <c r="Z56" s="101"/>
    </row>
    <row r="57" spans="1:26" s="103" customFormat="1" ht="16.5" x14ac:dyDescent="0.3">
      <c r="A57" s="101"/>
      <c r="B57" s="102"/>
      <c r="C57" s="102"/>
      <c r="D57" s="102"/>
      <c r="E57" s="102"/>
      <c r="F57" s="104"/>
      <c r="G57" s="104"/>
      <c r="H57" s="104"/>
      <c r="I57" s="104"/>
      <c r="J57" s="104"/>
      <c r="K57" s="104"/>
      <c r="L57" s="104"/>
      <c r="M57" s="104"/>
      <c r="N57" s="104"/>
      <c r="O57" s="104"/>
      <c r="P57" s="104"/>
      <c r="Q57" s="104"/>
      <c r="R57" s="104"/>
      <c r="S57" s="104"/>
      <c r="T57" s="101"/>
      <c r="U57" s="101"/>
      <c r="V57" s="101"/>
      <c r="W57" s="101"/>
      <c r="X57" s="101"/>
      <c r="Y57" s="101"/>
      <c r="Z57" s="101"/>
    </row>
    <row r="58" spans="1:26" s="103" customFormat="1" ht="16.5" x14ac:dyDescent="0.3">
      <c r="A58" s="101"/>
      <c r="B58" s="102"/>
      <c r="C58" s="102" t="s">
        <v>257</v>
      </c>
      <c r="D58" s="102"/>
      <c r="E58" s="102"/>
      <c r="F58" s="109" t="e">
        <f>1-F56/F52</f>
        <v>#DIV/0!</v>
      </c>
      <c r="G58" s="109" t="e">
        <f>1-G56/G52</f>
        <v>#DIV/0!</v>
      </c>
      <c r="H58" s="109" t="e">
        <f>1-H56/H52</f>
        <v>#DIV/0!</v>
      </c>
      <c r="I58" s="109" t="e">
        <f>1-I56/I52</f>
        <v>#DIV/0!</v>
      </c>
      <c r="J58" s="109" t="e">
        <f>1-J56/J52</f>
        <v>#DIV/0!</v>
      </c>
      <c r="K58" s="109"/>
      <c r="L58" s="104"/>
      <c r="M58" s="104"/>
      <c r="N58" s="104"/>
      <c r="O58" s="104"/>
      <c r="P58" s="104"/>
      <c r="Q58" s="104"/>
      <c r="R58" s="104"/>
      <c r="S58" s="104"/>
      <c r="T58" s="101"/>
      <c r="U58" s="101"/>
      <c r="V58" s="101"/>
      <c r="W58" s="101"/>
      <c r="X58" s="101"/>
      <c r="Y58" s="101"/>
      <c r="Z58" s="101"/>
    </row>
    <row r="59" spans="1:26" x14ac:dyDescent="0.2">
      <c r="A59" s="4"/>
      <c r="B59" s="6"/>
      <c r="C59" s="6"/>
      <c r="D59" s="6"/>
      <c r="E59" s="6"/>
      <c r="F59" s="8"/>
      <c r="G59" s="8"/>
      <c r="H59" s="8"/>
      <c r="I59" s="8"/>
      <c r="J59" s="8"/>
      <c r="K59" s="8"/>
      <c r="L59" s="8"/>
      <c r="M59" s="8"/>
      <c r="N59" s="8"/>
      <c r="O59" s="8"/>
      <c r="P59" s="8"/>
      <c r="Q59" s="8"/>
      <c r="R59" s="8"/>
      <c r="S59" s="8"/>
      <c r="T59" s="4"/>
      <c r="U59" s="4"/>
      <c r="V59" s="4"/>
      <c r="W59" s="4"/>
      <c r="X59" s="4"/>
      <c r="Y59" s="4"/>
      <c r="Z59" s="4"/>
    </row>
    <row r="60" spans="1:26" x14ac:dyDescent="0.2">
      <c r="A60" s="4"/>
      <c r="B60" s="6"/>
      <c r="C60" s="6"/>
      <c r="D60" s="6"/>
      <c r="E60" s="6"/>
      <c r="F60" s="8"/>
      <c r="G60" s="8"/>
      <c r="H60" s="8"/>
      <c r="I60" s="8"/>
      <c r="J60" s="8"/>
      <c r="K60" s="8"/>
      <c r="L60" s="8"/>
      <c r="M60" s="8"/>
      <c r="N60" s="8"/>
      <c r="O60" s="8"/>
      <c r="P60" s="8"/>
      <c r="Q60" s="8"/>
      <c r="R60" s="8"/>
      <c r="S60" s="8"/>
      <c r="T60" s="4"/>
      <c r="U60" s="4"/>
      <c r="V60" s="4"/>
      <c r="W60" s="4"/>
      <c r="X60" s="4"/>
      <c r="Y60" s="4"/>
      <c r="Z60" s="4"/>
    </row>
    <row r="61" spans="1:26" ht="15" x14ac:dyDescent="0.25">
      <c r="A61" s="4"/>
      <c r="B61" s="207"/>
      <c r="C61" s="207" t="s">
        <v>299</v>
      </c>
      <c r="D61" s="207"/>
      <c r="E61" s="207"/>
      <c r="F61" s="208"/>
      <c r="G61" s="208"/>
      <c r="H61" s="208"/>
      <c r="I61" s="208"/>
      <c r="J61" s="208"/>
      <c r="K61" s="208"/>
      <c r="L61" s="208"/>
      <c r="M61" s="8"/>
      <c r="N61" s="8"/>
      <c r="O61" s="8"/>
      <c r="P61" s="8"/>
      <c r="Q61" s="8"/>
      <c r="R61" s="8"/>
      <c r="S61" s="8"/>
      <c r="T61" s="4"/>
      <c r="U61" s="4"/>
      <c r="V61" s="4"/>
      <c r="W61" s="4"/>
      <c r="X61" s="4"/>
      <c r="Y61" s="4"/>
      <c r="Z61" s="4"/>
    </row>
    <row r="62" spans="1:26" ht="17.25" thickBot="1" x14ac:dyDescent="0.35">
      <c r="A62" s="4"/>
      <c r="B62" s="209" t="s">
        <v>286</v>
      </c>
      <c r="C62" s="209"/>
      <c r="D62" s="209"/>
      <c r="E62" s="209"/>
      <c r="F62" s="210"/>
      <c r="G62" s="210">
        <f>U8</f>
        <v>0</v>
      </c>
      <c r="H62" s="210">
        <f>V8</f>
        <v>0</v>
      </c>
      <c r="I62" s="210">
        <f>W8</f>
        <v>2013</v>
      </c>
      <c r="J62" s="210">
        <f>X8</f>
        <v>2014</v>
      </c>
      <c r="K62" s="210">
        <f>Y8</f>
        <v>2015</v>
      </c>
      <c r="L62" s="211" t="s">
        <v>287</v>
      </c>
      <c r="M62" s="8"/>
      <c r="N62" s="8"/>
      <c r="O62" s="8"/>
      <c r="P62" s="8"/>
      <c r="Q62" s="8"/>
      <c r="R62" s="8"/>
      <c r="S62" s="8"/>
      <c r="T62" s="4"/>
      <c r="U62" s="4"/>
      <c r="V62" s="4"/>
      <c r="W62" s="4"/>
      <c r="X62" s="4"/>
      <c r="Y62" s="4"/>
      <c r="Z62" s="4"/>
    </row>
    <row r="63" spans="1:26" ht="16.5" x14ac:dyDescent="0.3">
      <c r="A63" s="212"/>
      <c r="B63" s="213" t="s">
        <v>288</v>
      </c>
      <c r="C63" s="213"/>
      <c r="D63" s="213"/>
      <c r="E63" s="213"/>
      <c r="F63" s="214"/>
      <c r="G63" s="215">
        <f>SUM(G64:G65)</f>
        <v>0</v>
      </c>
      <c r="H63" s="215">
        <f>SUM(H64:H65)</f>
        <v>0</v>
      </c>
      <c r="I63" s="215">
        <f>SUM(I64:I65)</f>
        <v>0</v>
      </c>
      <c r="J63" s="215">
        <f>SUM(J64:J65)</f>
        <v>0</v>
      </c>
      <c r="K63" s="215"/>
      <c r="L63" s="216">
        <f>SUM(G63:K63)</f>
        <v>0</v>
      </c>
      <c r="M63" s="8"/>
      <c r="N63" s="8"/>
      <c r="O63" s="8"/>
      <c r="P63" s="8"/>
      <c r="Q63" s="8"/>
      <c r="R63" s="8"/>
      <c r="S63" s="8"/>
      <c r="T63" s="4"/>
      <c r="U63" s="4"/>
      <c r="V63" s="4"/>
      <c r="W63" s="4"/>
      <c r="X63" s="4"/>
      <c r="Y63" s="4"/>
      <c r="Z63" s="4"/>
    </row>
    <row r="64" spans="1:26" outlineLevel="1" x14ac:dyDescent="0.2">
      <c r="A64" s="4"/>
      <c r="B64" s="6"/>
      <c r="C64" s="6" t="s">
        <v>289</v>
      </c>
      <c r="D64" s="6"/>
      <c r="E64" s="6"/>
      <c r="F64" s="8"/>
      <c r="G64" s="43">
        <f>U12+U13+U14+U15+U26+U27</f>
        <v>0</v>
      </c>
      <c r="H64" s="43">
        <f>V12+V13+V14+V15+V26+V27</f>
        <v>0</v>
      </c>
      <c r="I64" s="43">
        <f>W12+W13+W14+W15+W26+W27</f>
        <v>0</v>
      </c>
      <c r="J64" s="43">
        <f>X12+X13+X14+X15+X26+X27</f>
        <v>0</v>
      </c>
      <c r="K64" s="43"/>
      <c r="L64" s="217">
        <f t="shared" ref="L64:L74" si="13">SUM(G64:K64)</f>
        <v>0</v>
      </c>
      <c r="M64" s="8"/>
      <c r="N64" s="8"/>
      <c r="O64" s="8"/>
      <c r="P64" s="8"/>
      <c r="Q64" s="8"/>
      <c r="R64" s="8"/>
      <c r="S64" s="8"/>
      <c r="T64" s="4"/>
      <c r="U64" s="4"/>
      <c r="V64" s="4"/>
      <c r="W64" s="4"/>
      <c r="X64" s="4"/>
      <c r="Y64" s="4"/>
      <c r="Z64" s="4"/>
    </row>
    <row r="65" spans="1:26" outlineLevel="1" x14ac:dyDescent="0.2">
      <c r="A65" s="4"/>
      <c r="B65" s="6"/>
      <c r="C65" s="1" t="s">
        <v>290</v>
      </c>
      <c r="D65" s="6"/>
      <c r="E65" s="6"/>
      <c r="F65" s="8"/>
      <c r="G65" s="43">
        <f>U19+U20</f>
        <v>0</v>
      </c>
      <c r="H65" s="43">
        <f>V19+V20</f>
        <v>0</v>
      </c>
      <c r="I65" s="43">
        <f>W19+W20</f>
        <v>0</v>
      </c>
      <c r="J65" s="43">
        <f>X19+X20</f>
        <v>0</v>
      </c>
      <c r="K65" s="43"/>
      <c r="L65" s="217">
        <f t="shared" si="13"/>
        <v>0</v>
      </c>
      <c r="M65" s="8"/>
      <c r="N65" s="8"/>
      <c r="O65" s="8"/>
      <c r="P65" s="8"/>
      <c r="Q65" s="8"/>
      <c r="R65" s="8"/>
      <c r="S65" s="8"/>
      <c r="T65" s="4"/>
      <c r="U65" s="4"/>
      <c r="V65" s="4"/>
      <c r="W65" s="4"/>
      <c r="X65" s="4"/>
      <c r="Y65" s="4"/>
      <c r="Z65" s="4"/>
    </row>
    <row r="66" spans="1:26" ht="16.5" x14ac:dyDescent="0.3">
      <c r="A66" s="212"/>
      <c r="B66" s="213" t="s">
        <v>291</v>
      </c>
      <c r="C66" s="213"/>
      <c r="D66" s="213"/>
      <c r="E66" s="213"/>
      <c r="F66" s="214"/>
      <c r="G66" s="218">
        <f>SUM(G67:G70)</f>
        <v>0</v>
      </c>
      <c r="H66" s="218">
        <f>SUM(H67:H70)</f>
        <v>0</v>
      </c>
      <c r="I66" s="218">
        <f>SUM(I67:I70)</f>
        <v>0</v>
      </c>
      <c r="J66" s="218">
        <f>SUM(J67:J70)</f>
        <v>0</v>
      </c>
      <c r="K66" s="218"/>
      <c r="L66" s="219">
        <f t="shared" si="13"/>
        <v>0</v>
      </c>
      <c r="M66" s="8"/>
      <c r="N66" s="8"/>
      <c r="O66" s="8"/>
      <c r="P66" s="8"/>
      <c r="Q66" s="8"/>
      <c r="R66" s="8"/>
      <c r="S66" s="8"/>
      <c r="T66" s="4"/>
      <c r="U66" s="4"/>
      <c r="V66" s="4"/>
      <c r="W66" s="4"/>
      <c r="X66" s="4"/>
      <c r="Y66" s="4"/>
      <c r="Z66" s="4"/>
    </row>
    <row r="67" spans="1:26" outlineLevel="1" x14ac:dyDescent="0.2">
      <c r="A67" s="4"/>
      <c r="B67" s="6"/>
      <c r="C67" s="6" t="s">
        <v>30</v>
      </c>
      <c r="D67" s="6"/>
      <c r="E67" s="6"/>
      <c r="F67" s="8"/>
      <c r="G67" s="43">
        <f t="shared" ref="G67:J68" si="14">U10</f>
        <v>0</v>
      </c>
      <c r="H67" s="43">
        <f t="shared" si="14"/>
        <v>0</v>
      </c>
      <c r="I67" s="43">
        <f t="shared" si="14"/>
        <v>0</v>
      </c>
      <c r="J67" s="43">
        <f t="shared" si="14"/>
        <v>0</v>
      </c>
      <c r="K67" s="43"/>
      <c r="L67" s="217">
        <f t="shared" si="13"/>
        <v>0</v>
      </c>
      <c r="M67" s="8"/>
      <c r="N67" s="8"/>
      <c r="O67" s="8"/>
      <c r="P67" s="8"/>
      <c r="Q67" s="8"/>
      <c r="R67" s="8"/>
      <c r="S67" s="8"/>
      <c r="T67" s="4"/>
      <c r="U67" s="4"/>
      <c r="V67" s="4"/>
      <c r="W67" s="4"/>
      <c r="X67" s="4"/>
      <c r="Y67" s="4"/>
      <c r="Z67" s="4"/>
    </row>
    <row r="68" spans="1:26" outlineLevel="1" x14ac:dyDescent="0.2">
      <c r="A68" s="4"/>
      <c r="B68" s="6"/>
      <c r="C68" s="1" t="s">
        <v>32</v>
      </c>
      <c r="D68" s="6"/>
      <c r="E68" s="6"/>
      <c r="F68" s="8"/>
      <c r="G68" s="43">
        <f t="shared" si="14"/>
        <v>0</v>
      </c>
      <c r="H68" s="43">
        <f t="shared" si="14"/>
        <v>0</v>
      </c>
      <c r="I68" s="43">
        <f t="shared" si="14"/>
        <v>0</v>
      </c>
      <c r="J68" s="43">
        <f t="shared" si="14"/>
        <v>0</v>
      </c>
      <c r="K68" s="43"/>
      <c r="L68" s="217">
        <f t="shared" si="13"/>
        <v>0</v>
      </c>
      <c r="M68" s="8"/>
      <c r="N68" s="8"/>
      <c r="O68" s="8"/>
      <c r="P68" s="8"/>
      <c r="Q68" s="8"/>
      <c r="R68" s="8"/>
      <c r="S68" s="8"/>
      <c r="T68" s="4"/>
      <c r="U68" s="4"/>
      <c r="V68" s="4"/>
      <c r="W68" s="4"/>
      <c r="X68" s="4"/>
      <c r="Y68" s="4"/>
      <c r="Z68" s="4"/>
    </row>
    <row r="69" spans="1:26" outlineLevel="1" x14ac:dyDescent="0.2">
      <c r="A69" s="4"/>
      <c r="B69" s="6"/>
      <c r="C69" s="6" t="s">
        <v>292</v>
      </c>
      <c r="D69" s="6"/>
      <c r="E69" s="6"/>
      <c r="F69" s="8"/>
      <c r="G69" s="43">
        <f>U30</f>
        <v>0</v>
      </c>
      <c r="H69" s="43">
        <f>V30</f>
        <v>0</v>
      </c>
      <c r="I69" s="43">
        <f>W30</f>
        <v>0</v>
      </c>
      <c r="J69" s="43">
        <f>X30</f>
        <v>0</v>
      </c>
      <c r="K69" s="43"/>
      <c r="L69" s="217">
        <f t="shared" si="13"/>
        <v>0</v>
      </c>
      <c r="M69" s="8"/>
      <c r="N69" s="8"/>
      <c r="O69" s="8"/>
      <c r="P69" s="8"/>
      <c r="Q69" s="8"/>
      <c r="R69" s="8"/>
      <c r="S69" s="8"/>
      <c r="T69" s="4"/>
      <c r="U69" s="4"/>
      <c r="V69" s="4"/>
      <c r="W69" s="4"/>
      <c r="X69" s="4"/>
      <c r="Y69" s="4"/>
      <c r="Z69" s="4"/>
    </row>
    <row r="70" spans="1:26" outlineLevel="1" x14ac:dyDescent="0.2">
      <c r="A70" s="4"/>
      <c r="B70" s="6"/>
      <c r="C70" s="6" t="s">
        <v>293</v>
      </c>
      <c r="D70" s="6"/>
      <c r="E70" s="6"/>
      <c r="F70" s="8"/>
      <c r="G70" s="43">
        <f>U16+U28</f>
        <v>0</v>
      </c>
      <c r="H70" s="43">
        <f>V16+V28</f>
        <v>0</v>
      </c>
      <c r="I70" s="43">
        <f>W16+W28</f>
        <v>0</v>
      </c>
      <c r="J70" s="43">
        <f>X16+X28</f>
        <v>0</v>
      </c>
      <c r="K70" s="43"/>
      <c r="L70" s="217">
        <f t="shared" si="13"/>
        <v>0</v>
      </c>
      <c r="M70" s="8"/>
      <c r="N70" s="8"/>
      <c r="O70" s="8"/>
      <c r="P70" s="8"/>
      <c r="Q70" s="8"/>
      <c r="R70" s="8"/>
      <c r="S70" s="8"/>
      <c r="T70" s="4"/>
      <c r="U70" s="4"/>
      <c r="V70" s="4"/>
      <c r="W70" s="4"/>
      <c r="X70" s="4"/>
      <c r="Y70" s="4"/>
      <c r="Z70" s="4"/>
    </row>
    <row r="71" spans="1:26" ht="16.5" x14ac:dyDescent="0.3">
      <c r="A71" s="212"/>
      <c r="B71" s="213" t="s">
        <v>294</v>
      </c>
      <c r="C71" s="213"/>
      <c r="D71" s="213"/>
      <c r="E71" s="213"/>
      <c r="F71" s="214"/>
      <c r="G71" s="220">
        <f>U39-SUM(G64:G65,G67:G70)</f>
        <v>0</v>
      </c>
      <c r="H71" s="220">
        <f>V39-SUM(H64:H65,H67:H70)</f>
        <v>0</v>
      </c>
      <c r="I71" s="220">
        <f>W39-SUM(I64:I65,I67:I70)</f>
        <v>0</v>
      </c>
      <c r="J71" s="220">
        <f>X39-SUM(J64:J65,J67:J70)</f>
        <v>0</v>
      </c>
      <c r="K71" s="220"/>
      <c r="L71" s="221">
        <f t="shared" si="13"/>
        <v>0</v>
      </c>
      <c r="M71" s="8"/>
      <c r="N71" s="8"/>
      <c r="O71" s="8"/>
      <c r="P71" s="8"/>
      <c r="Q71" s="8"/>
      <c r="R71" s="8"/>
      <c r="S71" s="8"/>
      <c r="T71" s="4"/>
      <c r="U71" s="4"/>
      <c r="V71" s="4"/>
      <c r="W71" s="4"/>
      <c r="X71" s="4"/>
      <c r="Y71" s="4"/>
      <c r="Z71" s="4"/>
    </row>
    <row r="72" spans="1:26" outlineLevel="1" x14ac:dyDescent="0.2">
      <c r="A72" s="4"/>
      <c r="B72" s="6"/>
      <c r="C72" s="6" t="s">
        <v>297</v>
      </c>
      <c r="D72" s="6"/>
      <c r="E72" s="6"/>
      <c r="F72" s="8"/>
      <c r="G72" s="43">
        <f>U21</f>
        <v>0</v>
      </c>
      <c r="H72" s="43">
        <f>V21</f>
        <v>0</v>
      </c>
      <c r="I72" s="43">
        <f>W21</f>
        <v>0</v>
      </c>
      <c r="J72" s="43">
        <f>X21</f>
        <v>0</v>
      </c>
      <c r="K72" s="43"/>
      <c r="L72" s="217">
        <f t="shared" si="13"/>
        <v>0</v>
      </c>
      <c r="M72" s="8"/>
      <c r="N72" s="8"/>
      <c r="O72" s="8"/>
      <c r="P72" s="8"/>
      <c r="Q72" s="8"/>
      <c r="R72" s="8"/>
      <c r="S72" s="8"/>
      <c r="T72" s="4"/>
      <c r="U72" s="4"/>
      <c r="V72" s="4"/>
      <c r="W72" s="4"/>
      <c r="X72" s="4"/>
      <c r="Y72" s="4"/>
      <c r="Z72" s="4"/>
    </row>
    <row r="73" spans="1:26" outlineLevel="1" x14ac:dyDescent="0.2">
      <c r="A73" s="4"/>
      <c r="B73" s="6"/>
      <c r="C73" s="1" t="s">
        <v>298</v>
      </c>
      <c r="D73" s="6"/>
      <c r="E73" s="6"/>
      <c r="F73" s="8"/>
      <c r="G73" s="43">
        <f>G71-G72</f>
        <v>0</v>
      </c>
      <c r="H73" s="43">
        <f>H71-H72</f>
        <v>0</v>
      </c>
      <c r="I73" s="43">
        <f>I71-I72</f>
        <v>0</v>
      </c>
      <c r="J73" s="43">
        <f>J71-J72</f>
        <v>0</v>
      </c>
      <c r="K73" s="43"/>
      <c r="L73" s="217">
        <f t="shared" si="13"/>
        <v>0</v>
      </c>
      <c r="M73" s="8"/>
      <c r="N73" s="8"/>
      <c r="O73" s="8"/>
      <c r="P73" s="8"/>
      <c r="Q73" s="8"/>
      <c r="R73" s="8"/>
      <c r="S73" s="8"/>
      <c r="T73" s="4"/>
      <c r="U73" s="4"/>
      <c r="V73" s="4"/>
      <c r="W73" s="4"/>
      <c r="X73" s="4"/>
      <c r="Y73" s="4"/>
      <c r="Z73" s="4"/>
    </row>
    <row r="74" spans="1:26" ht="15" x14ac:dyDescent="0.25">
      <c r="A74" s="12"/>
      <c r="B74" s="13"/>
      <c r="C74" s="13" t="s">
        <v>295</v>
      </c>
      <c r="D74" s="13"/>
      <c r="E74" s="13"/>
      <c r="F74" s="17"/>
      <c r="G74" s="222">
        <f>G63+G66+G71</f>
        <v>0</v>
      </c>
      <c r="H74" s="222">
        <f>H63+H66+H71</f>
        <v>0</v>
      </c>
      <c r="I74" s="222">
        <f>I63+I66+I71</f>
        <v>0</v>
      </c>
      <c r="J74" s="222">
        <f>J63+J66+J71</f>
        <v>0</v>
      </c>
      <c r="K74" s="222"/>
      <c r="L74" s="223">
        <f t="shared" si="13"/>
        <v>0</v>
      </c>
      <c r="M74" s="8"/>
      <c r="N74" s="8"/>
      <c r="O74" s="8"/>
      <c r="P74" s="8"/>
      <c r="Q74" s="8"/>
      <c r="R74" s="8"/>
      <c r="S74" s="8"/>
      <c r="T74" s="4"/>
      <c r="U74" s="4"/>
      <c r="V74" s="4"/>
      <c r="W74" s="4"/>
      <c r="X74" s="4"/>
      <c r="Y74" s="4"/>
      <c r="Z74" s="4"/>
    </row>
    <row r="75" spans="1:26" x14ac:dyDescent="0.2">
      <c r="A75" s="4"/>
      <c r="B75" s="6"/>
      <c r="C75" s="6"/>
      <c r="D75" s="6"/>
      <c r="E75" s="6"/>
      <c r="F75" s="8"/>
      <c r="G75" s="8"/>
      <c r="H75" s="8"/>
      <c r="I75" s="8"/>
      <c r="J75" s="8"/>
      <c r="K75" s="8"/>
      <c r="L75" s="8"/>
      <c r="M75" s="8"/>
      <c r="N75" s="8"/>
      <c r="O75" s="8"/>
      <c r="P75" s="8"/>
      <c r="Q75" s="8"/>
      <c r="R75" s="8"/>
      <c r="S75" s="8"/>
      <c r="T75" s="4"/>
      <c r="U75" s="4"/>
      <c r="V75" s="4"/>
      <c r="W75" s="4"/>
      <c r="X75" s="4"/>
      <c r="Y75" s="4"/>
      <c r="Z75" s="4"/>
    </row>
    <row r="76" spans="1:26" x14ac:dyDescent="0.2">
      <c r="A76" s="4"/>
      <c r="B76" s="6"/>
      <c r="C76" s="6"/>
      <c r="D76" s="6"/>
      <c r="E76" s="6"/>
      <c r="F76" s="8"/>
      <c r="G76" s="8"/>
      <c r="H76" s="8"/>
      <c r="I76" s="8"/>
      <c r="J76" s="8"/>
      <c r="K76" s="8"/>
      <c r="L76" s="8"/>
      <c r="M76" s="8"/>
      <c r="N76" s="8"/>
      <c r="O76" s="8"/>
      <c r="P76" s="8"/>
      <c r="Q76" s="8"/>
      <c r="R76" s="8"/>
      <c r="S76" s="8"/>
      <c r="T76" s="4"/>
      <c r="U76" s="4"/>
      <c r="V76" s="4"/>
      <c r="W76" s="4"/>
      <c r="X76" s="4"/>
      <c r="Y76" s="4"/>
      <c r="Z76" s="4"/>
    </row>
    <row r="77" spans="1:26" x14ac:dyDescent="0.2">
      <c r="A77" s="4"/>
      <c r="B77" s="6"/>
      <c r="C77" s="6"/>
      <c r="D77" s="6"/>
      <c r="E77" s="6"/>
      <c r="F77" s="8"/>
      <c r="G77" s="8"/>
      <c r="H77" s="141"/>
      <c r="I77" s="141"/>
      <c r="J77" s="141"/>
      <c r="K77" s="141"/>
      <c r="L77" s="8"/>
      <c r="M77" s="8"/>
      <c r="N77" s="8"/>
      <c r="O77" s="8"/>
      <c r="P77" s="8"/>
      <c r="Q77" s="8"/>
      <c r="R77" s="8"/>
      <c r="S77" s="8"/>
      <c r="T77" s="4"/>
      <c r="U77" s="4"/>
      <c r="V77" s="4"/>
      <c r="W77" s="4"/>
      <c r="X77" s="4"/>
      <c r="Y77" s="4"/>
      <c r="Z77" s="4"/>
    </row>
    <row r="78" spans="1:26" x14ac:dyDescent="0.2">
      <c r="A78" s="4"/>
      <c r="B78" s="6"/>
      <c r="C78" s="6"/>
      <c r="D78" s="6"/>
      <c r="E78" s="6"/>
      <c r="F78" s="9"/>
      <c r="G78" s="9"/>
      <c r="H78" s="9"/>
      <c r="I78" s="9"/>
      <c r="J78" s="9"/>
      <c r="K78" s="9"/>
      <c r="L78" s="9"/>
      <c r="M78" s="8"/>
      <c r="N78" s="8"/>
      <c r="O78" s="8"/>
      <c r="P78" s="8"/>
      <c r="Q78" s="8"/>
      <c r="R78" s="8"/>
      <c r="S78" s="8"/>
      <c r="T78" s="4"/>
      <c r="U78" s="4"/>
      <c r="V78" s="4"/>
      <c r="W78" s="4"/>
      <c r="X78" s="4"/>
      <c r="Y78" s="4"/>
      <c r="Z78" s="4"/>
    </row>
    <row r="79" spans="1:26" ht="18" x14ac:dyDescent="0.3">
      <c r="A79" s="159"/>
      <c r="B79" s="160"/>
      <c r="C79" s="466" t="s">
        <v>786</v>
      </c>
      <c r="D79" s="160"/>
      <c r="E79" s="160"/>
      <c r="F79" s="161"/>
      <c r="G79" s="161"/>
      <c r="H79" s="161"/>
      <c r="I79" s="161"/>
      <c r="J79" s="159"/>
      <c r="K79" s="159"/>
      <c r="L79" s="159"/>
      <c r="M79" s="159"/>
      <c r="N79" s="159"/>
      <c r="O79" s="159"/>
      <c r="P79" s="159"/>
      <c r="Q79" s="159"/>
      <c r="R79" s="159"/>
      <c r="S79" s="8"/>
      <c r="T79" s="4"/>
      <c r="U79" s="4"/>
      <c r="V79" s="4"/>
      <c r="W79" s="4"/>
      <c r="X79" s="4"/>
      <c r="Y79" s="4"/>
      <c r="Z79" s="4"/>
    </row>
    <row r="80" spans="1:26" s="103" customFormat="1" ht="16.5" x14ac:dyDescent="0.3">
      <c r="A80" s="460"/>
      <c r="B80" s="460"/>
      <c r="C80" s="460" t="s">
        <v>286</v>
      </c>
      <c r="D80" s="460"/>
      <c r="F80" s="461" t="s">
        <v>348</v>
      </c>
      <c r="G80" s="460"/>
      <c r="H80" s="460"/>
      <c r="I80" s="460"/>
      <c r="J80" s="460"/>
      <c r="K80" s="460"/>
      <c r="L80" s="460"/>
      <c r="M80" s="460" t="s">
        <v>17</v>
      </c>
      <c r="N80" s="460"/>
      <c r="O80" s="460"/>
      <c r="P80" s="460"/>
      <c r="Q80" s="460"/>
      <c r="R80" s="462"/>
      <c r="S80" s="462"/>
      <c r="T80" s="224"/>
      <c r="U80" s="224"/>
      <c r="V80" s="224"/>
      <c r="W80" s="224"/>
      <c r="X80" s="224"/>
      <c r="Y80" s="224"/>
      <c r="Z80" s="101"/>
    </row>
    <row r="81" spans="1:26" s="103" customFormat="1" ht="17.25" thickBot="1" x14ac:dyDescent="0.35">
      <c r="A81" s="463"/>
      <c r="B81" s="463"/>
      <c r="C81" s="463"/>
      <c r="D81" s="463"/>
      <c r="E81" s="101"/>
      <c r="F81" s="464">
        <f t="shared" ref="F81:K81" si="15">F8</f>
        <v>2010</v>
      </c>
      <c r="G81" s="464">
        <f t="shared" si="15"/>
        <v>0</v>
      </c>
      <c r="H81" s="464">
        <f t="shared" si="15"/>
        <v>0</v>
      </c>
      <c r="I81" s="464">
        <f t="shared" si="15"/>
        <v>2013</v>
      </c>
      <c r="J81" s="464">
        <f t="shared" si="15"/>
        <v>2014</v>
      </c>
      <c r="K81" s="464">
        <f t="shared" si="15"/>
        <v>2015</v>
      </c>
      <c r="L81" s="465"/>
      <c r="M81" s="464">
        <f t="shared" ref="M81:R81" si="16">M8</f>
        <v>2010</v>
      </c>
      <c r="N81" s="464">
        <f t="shared" si="16"/>
        <v>0</v>
      </c>
      <c r="O81" s="464">
        <f t="shared" si="16"/>
        <v>0</v>
      </c>
      <c r="P81" s="464">
        <f t="shared" si="16"/>
        <v>2013</v>
      </c>
      <c r="Q81" s="464">
        <f t="shared" si="16"/>
        <v>2014</v>
      </c>
      <c r="R81" s="464">
        <f t="shared" si="16"/>
        <v>2015</v>
      </c>
      <c r="S81" s="464"/>
      <c r="T81" s="101"/>
      <c r="U81" s="101"/>
      <c r="V81" s="101"/>
      <c r="W81" s="101"/>
      <c r="X81" s="101"/>
      <c r="Y81" s="101"/>
      <c r="Z81" s="101"/>
    </row>
    <row r="82" spans="1:26" s="103" customFormat="1" ht="16.5" x14ac:dyDescent="0.3">
      <c r="A82" s="105"/>
      <c r="B82" s="106" t="s">
        <v>2</v>
      </c>
      <c r="C82" s="106" t="s">
        <v>258</v>
      </c>
      <c r="D82" s="106"/>
      <c r="E82" s="106"/>
      <c r="F82" s="194">
        <f>HLOOKUP(F$81,'Банк. система_ввод'!$G$14:$T$21,2,0)</f>
        <v>2526.7302</v>
      </c>
      <c r="G82" s="194" t="e">
        <f>HLOOKUP(G$81,'Банк. система_ввод'!$G$14:$T$21,2,0)</f>
        <v>#N/A</v>
      </c>
      <c r="H82" s="194" t="e">
        <f>HLOOKUP(H$81,'Банк. система_ввод'!$G$14:$T$21,2,0)</f>
        <v>#N/A</v>
      </c>
      <c r="I82" s="194">
        <f>HLOOKUP(I$81,'Банк. система_ввод'!$G$14:$T$21,2,0)</f>
        <v>4838</v>
      </c>
      <c r="J82" s="194">
        <f>HLOOKUP(J$81,'Банк. система_ввод'!$G$14:$T$21,2,0)</f>
        <v>5718.4000000000005</v>
      </c>
      <c r="K82" s="194">
        <f>HLOOKUP(K$81,'Банк. система_ввод'!$G$14:$T$21,2,0)</f>
        <v>6002.5</v>
      </c>
      <c r="L82" s="104"/>
      <c r="M82" s="155">
        <f t="shared" ref="M82:Q83" si="17">F82/F$84</f>
        <v>0.53393280223147299</v>
      </c>
      <c r="N82" s="155" t="e">
        <f t="shared" si="17"/>
        <v>#N/A</v>
      </c>
      <c r="O82" s="155" t="e">
        <f t="shared" si="17"/>
        <v>#N/A</v>
      </c>
      <c r="P82" s="155">
        <f t="shared" si="17"/>
        <v>0.68485200232153221</v>
      </c>
      <c r="Q82" s="155">
        <f t="shared" si="17"/>
        <v>0.72125523434740935</v>
      </c>
      <c r="R82" s="155"/>
      <c r="S82" s="104"/>
      <c r="T82" s="101"/>
      <c r="U82" s="101"/>
      <c r="V82" s="101"/>
      <c r="W82" s="101"/>
      <c r="X82" s="101"/>
      <c r="Y82" s="101"/>
      <c r="Z82" s="101"/>
    </row>
    <row r="83" spans="1:26" s="103" customFormat="1" ht="17.25" collapsed="1" thickBot="1" x14ac:dyDescent="0.35">
      <c r="A83" s="112"/>
      <c r="B83" s="113" t="s">
        <v>15</v>
      </c>
      <c r="C83" s="127" t="s">
        <v>79</v>
      </c>
      <c r="D83" s="128"/>
      <c r="E83" s="113"/>
      <c r="F83" s="195">
        <f>HLOOKUP(F$81,'Банк. система_ввод'!$G$14:$T$21,5,0)</f>
        <v>2205.5698000000002</v>
      </c>
      <c r="G83" s="195" t="e">
        <f>HLOOKUP(G$81,'Банк. система_ввод'!$G$14:$T$21,5,0)</f>
        <v>#N/A</v>
      </c>
      <c r="H83" s="195" t="e">
        <f>HLOOKUP(H$81,'Банк. система_ввод'!$G$14:$T$21,5,0)</f>
        <v>#N/A</v>
      </c>
      <c r="I83" s="195">
        <f>HLOOKUP(I$81,'Банк. система_ввод'!$G$14:$T$21,5,0)</f>
        <v>2226.3000000000002</v>
      </c>
      <c r="J83" s="195">
        <f>HLOOKUP(J$81,'Банк. система_ввод'!$G$14:$T$21,5,0)</f>
        <v>2210</v>
      </c>
      <c r="K83" s="195">
        <f>HLOOKUP(K$81,'Банк. система_ввод'!$G$14:$T$21,5,0)</f>
        <v>3006.1</v>
      </c>
      <c r="L83" s="145"/>
      <c r="M83" s="156">
        <f t="shared" si="17"/>
        <v>0.46606719776852695</v>
      </c>
      <c r="N83" s="156" t="e">
        <f t="shared" si="17"/>
        <v>#N/A</v>
      </c>
      <c r="O83" s="156" t="e">
        <f t="shared" si="17"/>
        <v>#N/A</v>
      </c>
      <c r="P83" s="156">
        <f t="shared" si="17"/>
        <v>0.31514799767846779</v>
      </c>
      <c r="Q83" s="156">
        <f t="shared" si="17"/>
        <v>0.27874476565259065</v>
      </c>
      <c r="R83" s="156"/>
      <c r="S83" s="104"/>
      <c r="T83" s="101"/>
      <c r="U83" s="101"/>
      <c r="V83" s="101"/>
      <c r="W83" s="101"/>
      <c r="X83" s="101"/>
      <c r="Y83" s="101"/>
      <c r="Z83" s="101"/>
    </row>
    <row r="84" spans="1:26" s="166" customFormat="1" ht="16.5" x14ac:dyDescent="0.3">
      <c r="A84" s="163"/>
      <c r="B84" s="116"/>
      <c r="C84" s="116" t="s">
        <v>254</v>
      </c>
      <c r="D84" s="116"/>
      <c r="E84" s="116"/>
      <c r="F84" s="191">
        <f t="shared" ref="F84:K84" si="18">SUM(F82:F83)</f>
        <v>4732.3</v>
      </c>
      <c r="G84" s="191" t="e">
        <f t="shared" si="18"/>
        <v>#N/A</v>
      </c>
      <c r="H84" s="191" t="e">
        <f t="shared" si="18"/>
        <v>#N/A</v>
      </c>
      <c r="I84" s="191">
        <f t="shared" si="18"/>
        <v>7064.3</v>
      </c>
      <c r="J84" s="191">
        <f t="shared" si="18"/>
        <v>7928.4000000000005</v>
      </c>
      <c r="K84" s="191">
        <f t="shared" si="18"/>
        <v>9008.6</v>
      </c>
      <c r="L84" s="192"/>
      <c r="M84" s="196">
        <f>SUM(M82:M83)</f>
        <v>1</v>
      </c>
      <c r="N84" s="196" t="e">
        <f>SUM(N82:N83)</f>
        <v>#N/A</v>
      </c>
      <c r="O84" s="196" t="e">
        <f>SUM(O82:O83)</f>
        <v>#N/A</v>
      </c>
      <c r="P84" s="196">
        <f>SUM(P82:P83)</f>
        <v>1</v>
      </c>
      <c r="Q84" s="196">
        <f>SUM(Q82:Q83)</f>
        <v>1</v>
      </c>
      <c r="R84" s="196"/>
      <c r="S84" s="165"/>
      <c r="T84" s="163"/>
      <c r="U84" s="163"/>
      <c r="V84" s="163"/>
      <c r="W84" s="163"/>
      <c r="X84" s="163"/>
      <c r="Y84" s="163"/>
      <c r="Z84" s="163"/>
    </row>
    <row r="85" spans="1:26" s="103" customFormat="1" ht="16.5" x14ac:dyDescent="0.3">
      <c r="A85" s="101"/>
      <c r="B85" s="102"/>
      <c r="C85" s="102"/>
      <c r="D85" s="102"/>
      <c r="E85" s="102"/>
      <c r="F85" s="172"/>
      <c r="G85" s="172"/>
      <c r="H85" s="172"/>
      <c r="I85" s="172"/>
      <c r="J85" s="172"/>
      <c r="K85" s="172"/>
      <c r="L85" s="172"/>
      <c r="M85" s="101"/>
      <c r="N85" s="101"/>
      <c r="O85" s="101"/>
      <c r="P85" s="101"/>
      <c r="Q85" s="101"/>
      <c r="R85" s="101"/>
      <c r="S85" s="101"/>
      <c r="T85" s="101"/>
      <c r="U85" s="101"/>
      <c r="V85" s="101"/>
      <c r="W85" s="101"/>
      <c r="X85" s="101"/>
      <c r="Y85" s="101"/>
      <c r="Z85" s="101"/>
    </row>
    <row r="86" spans="1:26" s="103" customFormat="1" ht="16.5" x14ac:dyDescent="0.3">
      <c r="A86" s="101"/>
      <c r="B86" s="102"/>
      <c r="C86" s="102" t="s">
        <v>83</v>
      </c>
      <c r="D86" s="102"/>
      <c r="E86" s="102"/>
      <c r="F86" s="172">
        <f>HLOOKUP(F$81,'Банк. система_ввод'!$G$14:$T$21,7,0)</f>
        <v>31480.512939</v>
      </c>
      <c r="G86" s="172" t="e">
        <f>HLOOKUP(G$81,'Банк. система_ввод'!$G$14:$T$21,7,0)</f>
        <v>#N/A</v>
      </c>
      <c r="H86" s="172" t="e">
        <f>HLOOKUP(H$81,'Банк. система_ввод'!$G$14:$T$21,7,0)</f>
        <v>#N/A</v>
      </c>
      <c r="I86" s="172">
        <f>HLOOKUP(I$81,'Банк. система_ввод'!$G$14:$T$21,7,0)</f>
        <v>54382.127765999998</v>
      </c>
      <c r="J86" s="172">
        <f>HLOOKUP(J$81,'Банк. система_ввод'!$G$14:$T$21,7,0)</f>
        <v>73423.808596000003</v>
      </c>
      <c r="K86" s="172">
        <f>HLOOKUP(K$81,'Банк. система_ввод'!$G$14:$T$21,7,0)</f>
        <v>77474.262327999997</v>
      </c>
      <c r="L86" s="172"/>
      <c r="M86" s="104"/>
      <c r="N86" s="104"/>
      <c r="O86" s="104"/>
      <c r="P86" s="104"/>
      <c r="Q86" s="104"/>
      <c r="R86" s="104"/>
      <c r="S86" s="104"/>
      <c r="T86" s="101"/>
      <c r="U86" s="101"/>
      <c r="V86" s="101"/>
      <c r="W86" s="101"/>
      <c r="X86" s="101"/>
      <c r="Y86" s="101"/>
      <c r="Z86" s="101"/>
    </row>
    <row r="87" spans="1:26" s="103" customFormat="1" ht="16.5" x14ac:dyDescent="0.3">
      <c r="A87" s="101"/>
      <c r="B87" s="102"/>
      <c r="C87" s="102" t="s">
        <v>82</v>
      </c>
      <c r="D87" s="102"/>
      <c r="E87" s="102"/>
      <c r="F87" s="172">
        <f>HLOOKUP(F$81,'Банк. система_ввод'!$G$14:$T$21,8,0)</f>
        <v>22164.3</v>
      </c>
      <c r="G87" s="172" t="e">
        <f>HLOOKUP(G$81,'Банк. система_ввод'!$G$14:$T$21,8,0)</f>
        <v>#N/A</v>
      </c>
      <c r="H87" s="172" t="e">
        <f>HLOOKUP(H$81,'Банк. система_ввод'!$G$14:$T$21,8,0)</f>
        <v>#N/A</v>
      </c>
      <c r="I87" s="172">
        <f>HLOOKUP(I$81,'Банк. система_ввод'!$G$14:$T$21,8,0)</f>
        <v>52473.9</v>
      </c>
      <c r="J87" s="172">
        <f>HLOOKUP(J$81,'Банк. система_ввод'!$G$14:$T$21,8,0)</f>
        <v>63456.9</v>
      </c>
      <c r="K87" s="172">
        <f>HLOOKUP(K$81,'Банк. система_ввод'!$G$14:$T$21,8,0)</f>
        <v>70914.5</v>
      </c>
      <c r="L87" s="172"/>
      <c r="M87" s="104"/>
      <c r="N87" s="104"/>
      <c r="O87" s="104"/>
      <c r="P87" s="104"/>
      <c r="Q87" s="104"/>
      <c r="R87" s="104"/>
      <c r="S87" s="104"/>
      <c r="T87" s="101"/>
      <c r="U87" s="101"/>
      <c r="V87" s="101"/>
      <c r="W87" s="101"/>
      <c r="X87" s="101"/>
      <c r="Y87" s="101"/>
      <c r="Z87" s="101"/>
    </row>
    <row r="88" spans="1:26" s="103" customFormat="1" ht="16.5" x14ac:dyDescent="0.3">
      <c r="A88" s="107"/>
      <c r="B88" s="108"/>
      <c r="C88" s="108"/>
      <c r="D88" s="108" t="s">
        <v>86</v>
      </c>
      <c r="E88" s="108"/>
      <c r="F88" s="119">
        <f t="shared" ref="F88:K88" si="19">F87/F86</f>
        <v>0.70406413145007873</v>
      </c>
      <c r="G88" s="119" t="e">
        <f t="shared" si="19"/>
        <v>#N/A</v>
      </c>
      <c r="H88" s="119" t="e">
        <f t="shared" si="19"/>
        <v>#N/A</v>
      </c>
      <c r="I88" s="119">
        <f t="shared" si="19"/>
        <v>0.96491075571351526</v>
      </c>
      <c r="J88" s="119">
        <f t="shared" si="19"/>
        <v>0.86425508582861799</v>
      </c>
      <c r="K88" s="119">
        <f t="shared" si="19"/>
        <v>0.91532978655249186</v>
      </c>
      <c r="L88" s="107"/>
      <c r="M88" s="101"/>
      <c r="N88" s="101"/>
      <c r="O88" s="101"/>
      <c r="P88" s="101"/>
      <c r="Q88" s="101"/>
      <c r="R88" s="101"/>
      <c r="S88" s="101"/>
      <c r="T88" s="101"/>
      <c r="U88" s="101"/>
      <c r="V88" s="101"/>
      <c r="W88" s="101"/>
      <c r="X88" s="101"/>
      <c r="Y88" s="101"/>
      <c r="Z88" s="101"/>
    </row>
    <row r="89" spans="1:26" s="103" customFormat="1" ht="16.5" x14ac:dyDescent="0.3">
      <c r="A89" s="107"/>
      <c r="B89" s="108"/>
      <c r="C89" s="108"/>
      <c r="D89" s="108"/>
      <c r="E89" s="108"/>
      <c r="F89" s="119"/>
      <c r="G89" s="119"/>
      <c r="H89" s="119"/>
      <c r="I89" s="119"/>
      <c r="J89" s="119"/>
      <c r="K89" s="119"/>
      <c r="L89" s="107"/>
      <c r="M89" s="101"/>
      <c r="N89" s="101"/>
      <c r="O89" s="101"/>
      <c r="P89" s="101"/>
      <c r="Q89" s="101"/>
      <c r="R89" s="101"/>
      <c r="S89" s="101"/>
      <c r="T89" s="101"/>
      <c r="U89" s="101"/>
      <c r="V89" s="101"/>
      <c r="W89" s="101"/>
      <c r="X89" s="101"/>
      <c r="Y89" s="101"/>
      <c r="Z89" s="101"/>
    </row>
    <row r="90" spans="1:26" s="103" customFormat="1" ht="16.5" x14ac:dyDescent="0.3">
      <c r="A90" s="107"/>
      <c r="B90" s="108"/>
      <c r="C90" s="108"/>
      <c r="D90" s="108"/>
      <c r="E90" s="108"/>
      <c r="F90" s="461" t="s">
        <v>348</v>
      </c>
      <c r="G90" s="119"/>
      <c r="H90" s="119"/>
      <c r="I90" s="119"/>
      <c r="J90" s="119"/>
      <c r="K90" s="119"/>
      <c r="L90" s="107"/>
      <c r="M90" s="101"/>
      <c r="N90" s="101"/>
      <c r="O90" s="101"/>
      <c r="P90" s="101"/>
      <c r="Q90" s="101"/>
      <c r="R90" s="101"/>
      <c r="S90" s="101"/>
      <c r="T90" s="101"/>
      <c r="U90" s="101"/>
      <c r="V90" s="101"/>
      <c r="W90" s="101"/>
      <c r="X90" s="101"/>
      <c r="Y90" s="101"/>
      <c r="Z90" s="101"/>
    </row>
    <row r="91" spans="1:26" s="103" customFormat="1" ht="17.25" thickBot="1" x14ac:dyDescent="0.35">
      <c r="A91" s="107"/>
      <c r="B91" s="691"/>
      <c r="C91" s="692" t="s">
        <v>310</v>
      </c>
      <c r="D91" s="691"/>
      <c r="E91" s="691"/>
      <c r="F91" s="694">
        <f t="shared" ref="F91:K91" si="20">F8</f>
        <v>2010</v>
      </c>
      <c r="G91" s="694">
        <f t="shared" si="20"/>
        <v>0</v>
      </c>
      <c r="H91" s="694">
        <f t="shared" si="20"/>
        <v>0</v>
      </c>
      <c r="I91" s="694">
        <f t="shared" si="20"/>
        <v>2013</v>
      </c>
      <c r="J91" s="694">
        <f t="shared" si="20"/>
        <v>2014</v>
      </c>
      <c r="K91" s="694">
        <f t="shared" si="20"/>
        <v>2015</v>
      </c>
      <c r="L91" s="693"/>
      <c r="M91" s="101"/>
      <c r="N91" s="101"/>
      <c r="O91" s="101"/>
      <c r="P91" s="101"/>
      <c r="Q91" s="101"/>
      <c r="R91" s="101"/>
      <c r="S91" s="101"/>
      <c r="T91" s="101"/>
      <c r="U91" s="101"/>
      <c r="V91" s="101"/>
      <c r="W91" s="101"/>
      <c r="X91" s="101"/>
      <c r="Y91" s="101"/>
      <c r="Z91" s="101"/>
    </row>
    <row r="92" spans="1:26" s="103" customFormat="1" ht="16.5" outlineLevel="1" x14ac:dyDescent="0.3">
      <c r="A92" s="107"/>
      <c r="B92" s="108"/>
      <c r="C92" s="102" t="s">
        <v>318</v>
      </c>
      <c r="E92" s="102"/>
      <c r="F92" s="245">
        <f>HLOOKUP(F$81,'Банк. система_ввод'!$G$25:$T$35,2,0)</f>
        <v>0</v>
      </c>
      <c r="G92" s="245" t="e">
        <f>HLOOKUP(G$81,'Банк. система_ввод'!$G$25:$T$35,2,0)</f>
        <v>#N/A</v>
      </c>
      <c r="H92" s="245" t="e">
        <f>HLOOKUP(H$81,'Банк. система_ввод'!$G$25:$T$35,2,0)</f>
        <v>#N/A</v>
      </c>
      <c r="I92" s="245">
        <f>HLOOKUP(I$81,'Банк. система_ввод'!$G$25:$T$35,2,0)</f>
        <v>52473.9</v>
      </c>
      <c r="J92" s="245">
        <f>HLOOKUP(J$81,'Банк. система_ввод'!$G$25:$T$35,2,0)</f>
        <v>63456.9</v>
      </c>
      <c r="K92" s="245">
        <f>HLOOKUP(K$81,'Банк. система_ввод'!$G$25:$T$35,2,0)</f>
        <v>70914.5</v>
      </c>
      <c r="L92" s="695">
        <f t="shared" ref="L92:L99" si="21">J92/$J$92</f>
        <v>1</v>
      </c>
      <c r="M92" s="101"/>
      <c r="N92" s="101"/>
      <c r="O92" s="101"/>
      <c r="P92" s="101"/>
      <c r="Q92" s="101"/>
      <c r="R92" s="101"/>
      <c r="S92" s="101"/>
      <c r="T92" s="101"/>
      <c r="U92" s="101"/>
      <c r="V92" s="101"/>
      <c r="W92" s="101"/>
      <c r="X92" s="101"/>
      <c r="Y92" s="101"/>
      <c r="Z92" s="101"/>
    </row>
    <row r="93" spans="1:26" s="103" customFormat="1" ht="16.5" outlineLevel="1" x14ac:dyDescent="0.3">
      <c r="A93" s="107"/>
      <c r="B93" s="108"/>
      <c r="C93" s="102"/>
      <c r="D93" s="102" t="s">
        <v>311</v>
      </c>
      <c r="E93" s="102"/>
      <c r="F93" s="244">
        <f>HLOOKUP(F$81,'Банк. система_ввод'!$G$25:$T$35,3,0)</f>
        <v>0</v>
      </c>
      <c r="G93" s="244" t="e">
        <f>HLOOKUP(G$81,'Банк. система_ввод'!$G$25:$T$35,3,0)</f>
        <v>#N/A</v>
      </c>
      <c r="H93" s="244" t="e">
        <f>HLOOKUP(H$81,'Банк. система_ввод'!$G$25:$T$35,3,0)</f>
        <v>#N/A</v>
      </c>
      <c r="I93" s="244">
        <f>HLOOKUP(I$81,'Банк. система_ввод'!$G$25:$T$35,3,0)</f>
        <v>29502.1</v>
      </c>
      <c r="J93" s="244">
        <f>HLOOKUP(J$81,'Банк. система_ввод'!$G$25:$T$35,3,0)</f>
        <v>35225.199999999997</v>
      </c>
      <c r="K93" s="244">
        <f>HLOOKUP(K$81,'Банк. система_ввод'!$G$25:$T$35,3,0)</f>
        <v>40081.199999999997</v>
      </c>
      <c r="L93" s="696">
        <f t="shared" si="21"/>
        <v>0.55510433065592546</v>
      </c>
      <c r="M93" s="101"/>
      <c r="N93" s="101"/>
      <c r="O93" s="101"/>
      <c r="P93" s="101"/>
      <c r="Q93" s="101"/>
      <c r="R93" s="101"/>
      <c r="S93" s="101"/>
      <c r="T93" s="101"/>
      <c r="U93" s="101"/>
      <c r="V93" s="101"/>
      <c r="W93" s="101"/>
      <c r="X93" s="101"/>
      <c r="Y93" s="101"/>
      <c r="Z93" s="101"/>
    </row>
    <row r="94" spans="1:26" s="103" customFormat="1" ht="16.5" outlineLevel="1" x14ac:dyDescent="0.3">
      <c r="A94" s="107"/>
      <c r="B94" s="108"/>
      <c r="C94" s="102"/>
      <c r="D94" s="102" t="s">
        <v>312</v>
      </c>
      <c r="E94" s="102"/>
      <c r="F94" s="244">
        <f>HLOOKUP(F$81,'Банк. система_ввод'!$G$25:$T$35,4,0)</f>
        <v>0</v>
      </c>
      <c r="G94" s="244" t="e">
        <f>HLOOKUP(G$81,'Банк. система_ввод'!$G$25:$T$35,4,0)</f>
        <v>#N/A</v>
      </c>
      <c r="H94" s="244" t="e">
        <f>HLOOKUP(H$81,'Банк. система_ввод'!$G$25:$T$35,4,0)</f>
        <v>#N/A</v>
      </c>
      <c r="I94" s="244">
        <f>HLOOKUP(I$81,'Банк. система_ввод'!$G$25:$T$35,4,0)</f>
        <v>9078.2999999999993</v>
      </c>
      <c r="J94" s="244">
        <f>HLOOKUP(J$81,'Банк. система_ввод'!$G$25:$T$35,4,0)</f>
        <v>9592.6</v>
      </c>
      <c r="K94" s="244">
        <f>HLOOKUP(K$81,'Банк. система_ввод'!$G$25:$T$35,4,0)</f>
        <v>11168.6</v>
      </c>
      <c r="L94" s="696">
        <f t="shared" si="21"/>
        <v>0.15116717015801276</v>
      </c>
      <c r="M94" s="101"/>
      <c r="N94" s="101"/>
      <c r="O94" s="101"/>
      <c r="P94" s="101"/>
      <c r="Q94" s="101"/>
      <c r="R94" s="101"/>
      <c r="S94" s="101"/>
      <c r="T94" s="101"/>
      <c r="U94" s="101"/>
      <c r="V94" s="101"/>
      <c r="W94" s="101"/>
      <c r="X94" s="101"/>
      <c r="Y94" s="101"/>
      <c r="Z94" s="101"/>
    </row>
    <row r="95" spans="1:26" s="103" customFormat="1" ht="16.5" outlineLevel="1" x14ac:dyDescent="0.3">
      <c r="A95" s="107"/>
      <c r="B95" s="108"/>
      <c r="C95" s="102"/>
      <c r="D95" s="102" t="s">
        <v>314</v>
      </c>
      <c r="E95" s="102"/>
      <c r="F95" s="244">
        <f>HLOOKUP(F$81,'Банк. система_ввод'!$G$25:$T$35,5,0)</f>
        <v>0</v>
      </c>
      <c r="G95" s="244" t="e">
        <f>HLOOKUP(G$81,'Банк. система_ввод'!$G$25:$T$35,5,0)</f>
        <v>#N/A</v>
      </c>
      <c r="H95" s="244" t="e">
        <f>HLOOKUP(H$81,'Банк. система_ввод'!$G$25:$T$35,5,0)</f>
        <v>#N/A</v>
      </c>
      <c r="I95" s="244">
        <f>HLOOKUP(I$81,'Банк. система_ввод'!$G$25:$T$35,5,0)</f>
        <v>0</v>
      </c>
      <c r="J95" s="244">
        <f>HLOOKUP(J$81,'Банк. система_ввод'!$G$25:$T$35,5,0)</f>
        <v>0</v>
      </c>
      <c r="K95" s="244">
        <f>HLOOKUP(K$81,'Банк. система_ввод'!$G$25:$T$35,5,0)</f>
        <v>0</v>
      </c>
      <c r="L95" s="696">
        <f t="shared" si="21"/>
        <v>0</v>
      </c>
      <c r="M95" s="101"/>
      <c r="N95" s="101"/>
      <c r="O95" s="101"/>
      <c r="P95" s="101"/>
      <c r="Q95" s="101"/>
      <c r="R95" s="101"/>
      <c r="S95" s="101"/>
      <c r="T95" s="101"/>
      <c r="U95" s="101"/>
      <c r="V95" s="101"/>
      <c r="W95" s="101"/>
      <c r="X95" s="101"/>
      <c r="Y95" s="101"/>
      <c r="Z95" s="101"/>
    </row>
    <row r="96" spans="1:26" s="103" customFormat="1" ht="16.5" outlineLevel="1" x14ac:dyDescent="0.3">
      <c r="A96" s="107"/>
      <c r="B96" s="108"/>
      <c r="C96" s="102"/>
      <c r="D96" s="102" t="s">
        <v>313</v>
      </c>
      <c r="E96" s="102"/>
      <c r="F96" s="244">
        <f>HLOOKUP(F$81,'Банк. система_ввод'!$G$25:$T$35,6,0)</f>
        <v>0</v>
      </c>
      <c r="G96" s="244" t="e">
        <f>HLOOKUP(G$81,'Банк. система_ввод'!$G$25:$T$35,6,0)</f>
        <v>#N/A</v>
      </c>
      <c r="H96" s="244" t="e">
        <f>HLOOKUP(H$81,'Банк. система_ввод'!$G$25:$T$35,6,0)</f>
        <v>#N/A</v>
      </c>
      <c r="I96" s="244">
        <f>HLOOKUP(I$81,'Банк. система_ввод'!$G$25:$T$35,6,0)</f>
        <v>3558.1</v>
      </c>
      <c r="J96" s="244">
        <f>HLOOKUP(J$81,'Банк. система_ввод'!$G$25:$T$35,6,0)</f>
        <v>5264.7</v>
      </c>
      <c r="K96" s="244">
        <f>HLOOKUP(K$81,'Банк. система_ввод'!$G$25:$T$35,6,0)</f>
        <v>6732.5</v>
      </c>
      <c r="L96" s="696">
        <f t="shared" si="21"/>
        <v>8.2964973076213935E-2</v>
      </c>
      <c r="M96" s="101"/>
      <c r="N96" s="101"/>
      <c r="O96" s="101"/>
      <c r="P96" s="101"/>
      <c r="Q96" s="101"/>
      <c r="R96" s="101"/>
      <c r="S96" s="101"/>
      <c r="T96" s="101"/>
      <c r="U96" s="101"/>
      <c r="V96" s="101"/>
      <c r="W96" s="101"/>
      <c r="X96" s="101"/>
      <c r="Y96" s="101"/>
      <c r="Z96" s="101"/>
    </row>
    <row r="97" spans="1:26" s="103" customFormat="1" ht="16.5" outlineLevel="1" x14ac:dyDescent="0.3">
      <c r="A97" s="107"/>
      <c r="B97" s="108"/>
      <c r="C97" s="102"/>
      <c r="D97" s="102" t="s">
        <v>315</v>
      </c>
      <c r="E97" s="102"/>
      <c r="F97" s="244">
        <f>HLOOKUP(F$81,'Банк. система_ввод'!$G$25:$T$35,7,0)</f>
        <v>0</v>
      </c>
      <c r="G97" s="244" t="e">
        <f>HLOOKUP(G$81,'Банк. система_ввод'!$G$25:$T$35,7,0)</f>
        <v>#N/A</v>
      </c>
      <c r="H97" s="244" t="e">
        <f>HLOOKUP(H$81,'Банк. система_ввод'!$G$25:$T$35,7,0)</f>
        <v>#N/A</v>
      </c>
      <c r="I97" s="244">
        <f>HLOOKUP(I$81,'Банк. система_ввод'!$G$25:$T$35,7,0)</f>
        <v>3101.5</v>
      </c>
      <c r="J97" s="244">
        <f>HLOOKUP(J$81,'Банк. система_ввод'!$G$25:$T$35,7,0)</f>
        <v>2734.6</v>
      </c>
      <c r="K97" s="244">
        <f>HLOOKUP(K$81,'Банк. система_ввод'!$G$25:$T$35,7,0)</f>
        <v>3859.4</v>
      </c>
      <c r="L97" s="696">
        <f t="shared" si="21"/>
        <v>4.3093816432885942E-2</v>
      </c>
      <c r="M97" s="101"/>
      <c r="N97" s="101"/>
      <c r="O97" s="101"/>
      <c r="P97" s="101"/>
      <c r="Q97" s="101"/>
      <c r="R97" s="101"/>
      <c r="S97" s="101"/>
      <c r="T97" s="101"/>
      <c r="U97" s="101"/>
      <c r="V97" s="101"/>
      <c r="W97" s="101"/>
      <c r="X97" s="101"/>
      <c r="Y97" s="101"/>
      <c r="Z97" s="101"/>
    </row>
    <row r="98" spans="1:26" s="103" customFormat="1" ht="16.5" outlineLevel="1" x14ac:dyDescent="0.3">
      <c r="A98" s="107"/>
      <c r="B98" s="108"/>
      <c r="C98" s="102"/>
      <c r="D98" s="102" t="s">
        <v>316</v>
      </c>
      <c r="E98" s="102"/>
      <c r="F98" s="244">
        <f>HLOOKUP(F$81,'Банк. система_ввод'!$G$25:$T$35,8,0)</f>
        <v>0</v>
      </c>
      <c r="G98" s="244" t="e">
        <f>HLOOKUP(G$81,'Банк. система_ввод'!$G$25:$T$35,8,0)</f>
        <v>#N/A</v>
      </c>
      <c r="H98" s="244" t="e">
        <f>HLOOKUP(H$81,'Банк. система_ввод'!$G$25:$T$35,8,0)</f>
        <v>#N/A</v>
      </c>
      <c r="I98" s="244">
        <f>HLOOKUP(I$81,'Банк. система_ввод'!$G$25:$T$35,8,0)</f>
        <v>3971.4</v>
      </c>
      <c r="J98" s="244">
        <f>HLOOKUP(J$81,'Банк. система_ввод'!$G$25:$T$35,8,0)</f>
        <v>4802</v>
      </c>
      <c r="K98" s="244">
        <f>HLOOKUP(K$81,'Банк. система_ввод'!$G$25:$T$35,8,0)</f>
        <v>4198.1000000000004</v>
      </c>
      <c r="L98" s="696">
        <f t="shared" si="21"/>
        <v>7.5673409826196997E-2</v>
      </c>
      <c r="M98" s="101"/>
      <c r="N98" s="101"/>
      <c r="O98" s="101"/>
      <c r="P98" s="101"/>
      <c r="Q98" s="101"/>
      <c r="R98" s="101"/>
      <c r="S98" s="101"/>
      <c r="T98" s="101"/>
      <c r="U98" s="101"/>
      <c r="V98" s="101"/>
      <c r="W98" s="101"/>
      <c r="X98" s="101"/>
      <c r="Y98" s="101"/>
      <c r="Z98" s="101"/>
    </row>
    <row r="99" spans="1:26" s="103" customFormat="1" ht="16.5" outlineLevel="1" x14ac:dyDescent="0.3">
      <c r="A99" s="107"/>
      <c r="B99" s="108"/>
      <c r="C99" s="102"/>
      <c r="D99" s="102" t="s">
        <v>317</v>
      </c>
      <c r="E99" s="102"/>
      <c r="F99" s="244">
        <f>HLOOKUP(F$81,'Банк. система_ввод'!$G$25:$T$35,9,0)</f>
        <v>0</v>
      </c>
      <c r="G99" s="244" t="e">
        <f>HLOOKUP(G$81,'Банк. система_ввод'!$G$25:$T$35,9,0)</f>
        <v>#N/A</v>
      </c>
      <c r="H99" s="244" t="e">
        <f>HLOOKUP(H$81,'Банк. система_ввод'!$G$25:$T$35,9,0)</f>
        <v>#N/A</v>
      </c>
      <c r="I99" s="244">
        <f>HLOOKUP(I$81,'Банк. система_ввод'!$G$25:$T$35,9,0)</f>
        <v>2087.6</v>
      </c>
      <c r="J99" s="244">
        <f>HLOOKUP(J$81,'Банк. система_ввод'!$G$25:$T$35,9,0)</f>
        <v>1700.4</v>
      </c>
      <c r="K99" s="244">
        <f>HLOOKUP(K$81,'Банк. система_ввод'!$G$25:$T$35,9,0)</f>
        <v>1919.5</v>
      </c>
      <c r="L99" s="696">
        <f t="shared" si="21"/>
        <v>2.6796140372441768E-2</v>
      </c>
      <c r="M99" s="101"/>
      <c r="N99" s="101"/>
      <c r="O99" s="101"/>
      <c r="P99" s="101"/>
      <c r="Q99" s="101"/>
      <c r="R99" s="101"/>
      <c r="S99" s="101"/>
      <c r="T99" s="101"/>
      <c r="U99" s="101"/>
      <c r="V99" s="101"/>
      <c r="W99" s="101"/>
      <c r="X99" s="101"/>
      <c r="Y99" s="101"/>
      <c r="Z99" s="101"/>
    </row>
    <row r="100" spans="1:26" s="103" customFormat="1" ht="16.5" x14ac:dyDescent="0.3">
      <c r="A100" s="107"/>
      <c r="B100" s="108"/>
      <c r="C100" s="102"/>
      <c r="D100" s="102"/>
      <c r="E100" s="102"/>
      <c r="F100" s="244"/>
      <c r="G100" s="244"/>
      <c r="H100" s="244"/>
      <c r="I100" s="244"/>
      <c r="J100" s="244"/>
      <c r="K100" s="244"/>
      <c r="L100" s="101"/>
      <c r="M100" s="101"/>
      <c r="N100" s="101"/>
      <c r="O100" s="101"/>
      <c r="P100" s="101"/>
      <c r="Q100" s="101"/>
      <c r="R100" s="101"/>
      <c r="S100" s="101"/>
      <c r="T100" s="101"/>
      <c r="U100" s="101"/>
      <c r="V100" s="101"/>
      <c r="W100" s="101"/>
      <c r="X100" s="101"/>
      <c r="Y100" s="101"/>
      <c r="Z100" s="101"/>
    </row>
    <row r="101" spans="1:26" s="103" customFormat="1" ht="16.5" x14ac:dyDescent="0.3">
      <c r="A101" s="101"/>
      <c r="B101" s="102"/>
      <c r="C101" s="102"/>
      <c r="D101" s="102"/>
      <c r="E101" s="102"/>
      <c r="F101" s="172"/>
      <c r="G101" s="172"/>
      <c r="H101" s="172"/>
      <c r="I101" s="172"/>
      <c r="J101" s="172"/>
      <c r="K101" s="172"/>
      <c r="L101" s="104"/>
      <c r="M101" s="104"/>
      <c r="N101" s="104"/>
      <c r="O101" s="104"/>
      <c r="P101" s="104"/>
      <c r="Q101" s="104"/>
      <c r="R101" s="104"/>
      <c r="S101" s="104"/>
      <c r="T101" s="101"/>
      <c r="U101" s="101"/>
      <c r="V101" s="101"/>
      <c r="W101" s="101"/>
      <c r="X101" s="101"/>
      <c r="Y101" s="101"/>
      <c r="Z101" s="101"/>
    </row>
    <row r="102" spans="1:26" s="103" customFormat="1" ht="16.5" x14ac:dyDescent="0.3">
      <c r="A102" s="101"/>
      <c r="B102" s="102"/>
      <c r="C102" s="150" t="s">
        <v>84</v>
      </c>
      <c r="D102" s="102"/>
      <c r="E102" s="102"/>
      <c r="F102" s="104"/>
      <c r="G102" s="104"/>
      <c r="H102" s="104"/>
      <c r="I102" s="104"/>
      <c r="J102" s="104"/>
      <c r="K102" s="104"/>
      <c r="L102" s="104"/>
      <c r="M102" s="104"/>
      <c r="N102" s="104"/>
      <c r="O102" s="104"/>
      <c r="P102" s="104"/>
      <c r="Q102" s="104"/>
      <c r="R102" s="104"/>
      <c r="S102" s="104"/>
      <c r="T102" s="101"/>
      <c r="U102" s="101"/>
      <c r="V102" s="101"/>
      <c r="W102" s="101"/>
      <c r="X102" s="101"/>
      <c r="Y102" s="101"/>
      <c r="Z102" s="101"/>
    </row>
    <row r="103" spans="1:26" s="103" customFormat="1" ht="16.5" x14ac:dyDescent="0.3">
      <c r="A103" s="101"/>
      <c r="B103" s="102"/>
      <c r="C103" s="102" t="s">
        <v>74</v>
      </c>
      <c r="D103" s="102" t="s">
        <v>88</v>
      </c>
      <c r="E103" s="102"/>
      <c r="F103" s="193" t="str">
        <f>HLOOKUP(F$81,'Банк. система_ввод'!$G$51:$T$54,2,0)</f>
        <v>н/п</v>
      </c>
      <c r="G103" s="193" t="e">
        <f>HLOOKUP(G$81,'Банк. система_ввод'!$G$51:$T$54,2,0)</f>
        <v>#N/A</v>
      </c>
      <c r="H103" s="193" t="e">
        <f>HLOOKUP(H$81,'Банк. система_ввод'!$G$51:$T$54,2,0)</f>
        <v>#N/A</v>
      </c>
      <c r="I103" s="193">
        <f>HLOOKUP(I$81,'Банк. система_ввод'!$G$51:$T$54,2,0)</f>
        <v>8.7999999999999995E-2</v>
      </c>
      <c r="J103" s="151">
        <f>HLOOKUP(J$81,'Банк. система_ввод'!$G$51:$T$54,2,0)</f>
        <v>8.8999999999999996E-2</v>
      </c>
      <c r="K103" s="151">
        <f>HLOOKUP(K$81,'Банк. система_ввод'!$G$51:$T$54,2,0)</f>
        <v>8.2000000000000003E-2</v>
      </c>
      <c r="L103" s="151"/>
      <c r="M103" s="104"/>
      <c r="N103" s="104"/>
      <c r="O103" s="104"/>
      <c r="P103" s="104"/>
      <c r="Q103" s="104"/>
      <c r="R103" s="104"/>
      <c r="S103" s="104"/>
      <c r="T103" s="101"/>
      <c r="U103" s="101"/>
      <c r="V103" s="101"/>
      <c r="W103" s="101"/>
      <c r="X103" s="101"/>
      <c r="Y103" s="101"/>
      <c r="Z103" s="101"/>
    </row>
    <row r="104" spans="1:26" s="103" customFormat="1" ht="16.5" x14ac:dyDescent="0.3">
      <c r="A104" s="101"/>
      <c r="B104" s="102"/>
      <c r="C104" s="102" t="s">
        <v>74</v>
      </c>
      <c r="D104" s="102" t="s">
        <v>89</v>
      </c>
      <c r="E104" s="102"/>
      <c r="F104" s="193" t="str">
        <f>HLOOKUP(F$81,'Банк. система_ввод'!$G$51:$T$54,3,0)</f>
        <v>н/п</v>
      </c>
      <c r="G104" s="193" t="e">
        <f>HLOOKUP(G$81,'Банк. система_ввод'!$G$51:$T$54,3,0)</f>
        <v>#N/A</v>
      </c>
      <c r="H104" s="193" t="e">
        <f>HLOOKUP(H$81,'Банк. система_ввод'!$G$51:$T$54,3,0)</f>
        <v>#N/A</v>
      </c>
      <c r="I104" s="193">
        <f>HLOOKUP(I$81,'Банк. система_ввод'!$G$51:$T$54,3,0)</f>
        <v>8.7999999999999995E-2</v>
      </c>
      <c r="J104" s="151">
        <f>HLOOKUP(J$81,'Банк. система_ввод'!$G$51:$T$54,3,0)</f>
        <v>0.09</v>
      </c>
      <c r="K104" s="151">
        <f>HLOOKUP(K$81,'Банк. система_ввод'!$G$51:$T$54,3,0)</f>
        <v>8.5000000000000006E-2</v>
      </c>
      <c r="L104" s="151"/>
      <c r="M104" s="104"/>
      <c r="N104" s="104"/>
      <c r="O104" s="104"/>
      <c r="P104" s="104"/>
      <c r="Q104" s="104"/>
      <c r="R104" s="104"/>
      <c r="S104" s="104"/>
      <c r="T104" s="101"/>
      <c r="U104" s="101"/>
      <c r="V104" s="101"/>
      <c r="W104" s="101"/>
      <c r="X104" s="101"/>
      <c r="Y104" s="101"/>
      <c r="Z104" s="101"/>
    </row>
    <row r="105" spans="1:26" s="103" customFormat="1" ht="16.5" x14ac:dyDescent="0.3">
      <c r="A105" s="101"/>
      <c r="B105" s="102"/>
      <c r="C105" s="102" t="s">
        <v>74</v>
      </c>
      <c r="D105" s="102" t="s">
        <v>87</v>
      </c>
      <c r="E105" s="102"/>
      <c r="F105" s="151">
        <f>HLOOKUP(F$81,'Банк. система_ввод'!$G$51:$T$54,4,0)</f>
        <v>0.18099999999999999</v>
      </c>
      <c r="G105" s="151" t="e">
        <f>HLOOKUP(G$81,'Банк. система_ввод'!$G$51:$T$54,4,0)</f>
        <v>#N/A</v>
      </c>
      <c r="H105" s="151" t="e">
        <f>HLOOKUP(H$81,'Банк. система_ввод'!$G$51:$T$54,4,0)</f>
        <v>#N/A</v>
      </c>
      <c r="I105" s="151">
        <f>HLOOKUP(I$81,'Банк. система_ввод'!$G$51:$T$54,4,0)</f>
        <v>0.129</v>
      </c>
      <c r="J105" s="151">
        <f>HLOOKUP(J$81,'Банк. система_ввод'!$G$51:$T$54,4,0)</f>
        <v>0.125</v>
      </c>
      <c r="K105" s="151">
        <f>HLOOKUP(K$81,'Банк. система_ввод'!$G$51:$T$54,4,0)</f>
        <v>0.127</v>
      </c>
      <c r="L105" s="151"/>
      <c r="M105" s="104"/>
      <c r="N105" s="104"/>
      <c r="O105" s="104"/>
      <c r="P105" s="104"/>
      <c r="Q105" s="104"/>
      <c r="R105" s="104"/>
      <c r="S105" s="104"/>
      <c r="T105" s="101"/>
      <c r="U105" s="101"/>
      <c r="V105" s="101"/>
      <c r="W105" s="101"/>
      <c r="X105" s="101"/>
      <c r="Y105" s="101"/>
      <c r="Z105" s="101"/>
    </row>
    <row r="106" spans="1:26" s="103" customFormat="1" ht="16.5" x14ac:dyDescent="0.3">
      <c r="A106" s="101"/>
      <c r="B106" s="102"/>
      <c r="C106" s="102"/>
      <c r="D106" s="102"/>
      <c r="E106" s="102"/>
      <c r="F106" s="104"/>
      <c r="G106" s="104"/>
      <c r="H106" s="104"/>
      <c r="I106" s="104"/>
      <c r="J106" s="104"/>
      <c r="K106" s="104"/>
      <c r="L106" s="104"/>
      <c r="M106" s="104"/>
      <c r="N106" s="104"/>
      <c r="O106" s="104"/>
      <c r="P106" s="104"/>
      <c r="Q106" s="104"/>
      <c r="R106" s="104"/>
      <c r="S106" s="104"/>
      <c r="T106" s="101"/>
      <c r="U106" s="101"/>
      <c r="V106" s="101"/>
      <c r="W106" s="101"/>
      <c r="X106" s="101"/>
      <c r="Y106" s="101"/>
      <c r="Z106" s="101"/>
    </row>
    <row r="107" spans="1:26" s="103" customFormat="1" ht="16.5" x14ac:dyDescent="0.3">
      <c r="A107" s="101"/>
      <c r="B107" s="102"/>
      <c r="C107" s="102" t="s">
        <v>90</v>
      </c>
      <c r="D107" s="102"/>
      <c r="E107" s="102"/>
      <c r="F107" s="177">
        <f t="shared" ref="F107:K107" si="22">F84</f>
        <v>4732.3</v>
      </c>
      <c r="G107" s="177" t="e">
        <f t="shared" si="22"/>
        <v>#N/A</v>
      </c>
      <c r="H107" s="177" t="e">
        <f t="shared" si="22"/>
        <v>#N/A</v>
      </c>
      <c r="I107" s="177">
        <f t="shared" si="22"/>
        <v>7064.3</v>
      </c>
      <c r="J107" s="177">
        <f t="shared" si="22"/>
        <v>7928.4000000000005</v>
      </c>
      <c r="K107" s="177">
        <f t="shared" si="22"/>
        <v>9008.6</v>
      </c>
      <c r="L107" s="104"/>
      <c r="M107" s="104"/>
      <c r="N107" s="104"/>
      <c r="O107" s="104"/>
      <c r="P107" s="104"/>
      <c r="Q107" s="104"/>
      <c r="R107" s="104"/>
      <c r="S107" s="104"/>
      <c r="T107" s="101"/>
      <c r="U107" s="101"/>
      <c r="V107" s="101"/>
      <c r="W107" s="101"/>
      <c r="X107" s="101"/>
      <c r="Y107" s="101"/>
      <c r="Z107" s="101"/>
    </row>
    <row r="108" spans="1:26" s="103" customFormat="1" ht="16.5" x14ac:dyDescent="0.3">
      <c r="A108" s="101"/>
      <c r="B108" s="102" t="s">
        <v>74</v>
      </c>
      <c r="C108" s="102" t="s">
        <v>253</v>
      </c>
      <c r="D108" s="102"/>
      <c r="E108" s="102"/>
      <c r="F108" s="185"/>
      <c r="G108" s="185"/>
      <c r="H108" s="185"/>
      <c r="I108" s="185"/>
      <c r="J108" s="177"/>
      <c r="K108" s="177"/>
      <c r="L108" s="104"/>
      <c r="M108" s="104"/>
      <c r="N108" s="104"/>
      <c r="O108" s="104"/>
      <c r="P108" s="104"/>
      <c r="Q108" s="104"/>
      <c r="R108" s="104"/>
      <c r="S108" s="104"/>
      <c r="T108" s="101"/>
      <c r="U108" s="101"/>
      <c r="V108" s="101"/>
      <c r="W108" s="101"/>
      <c r="X108" s="101"/>
      <c r="Y108" s="101"/>
      <c r="Z108" s="101"/>
    </row>
    <row r="109" spans="1:26" s="103" customFormat="1" ht="16.5" x14ac:dyDescent="0.3">
      <c r="A109" s="101"/>
      <c r="B109" s="102"/>
      <c r="C109" s="150"/>
      <c r="D109" s="102" t="s">
        <v>255</v>
      </c>
      <c r="E109" s="102"/>
      <c r="F109" s="177">
        <f>HLOOKUP(F$81,'Банк. система_ввод'!$G$57:$T$63,4,0)</f>
        <v>-864.6</v>
      </c>
      <c r="G109" s="177" t="e">
        <f>HLOOKUP(G$81,'Банк. система_ввод'!$G$57:$T$63,4,0)</f>
        <v>#N/A</v>
      </c>
      <c r="H109" s="177" t="e">
        <f>HLOOKUP(H$81,'Банк. система_ввод'!$G$57:$T$63,4,0)</f>
        <v>#N/A</v>
      </c>
      <c r="I109" s="177">
        <f>HLOOKUP(I$81,'Банк. система_ввод'!$G$57:$T$63,4,0)</f>
        <v>-1147.5</v>
      </c>
      <c r="J109" s="177">
        <f>HLOOKUP(J$81,'Банк. система_ввод'!$G$57:$T$63,4,0)</f>
        <v>-1222.3</v>
      </c>
      <c r="K109" s="101">
        <f>HLOOKUP(K$81,'Банк. система_ввод'!$G$57:$T$63,4,0)</f>
        <v>-1277.5999999999999</v>
      </c>
      <c r="L109" s="104"/>
      <c r="M109" s="104"/>
      <c r="N109" s="104"/>
      <c r="O109" s="104"/>
      <c r="P109" s="104"/>
      <c r="Q109" s="104"/>
      <c r="R109" s="104"/>
      <c r="S109" s="104"/>
      <c r="T109" s="101"/>
      <c r="U109" s="101"/>
      <c r="V109" s="101"/>
      <c r="W109" s="101"/>
      <c r="X109" s="101"/>
      <c r="Y109" s="101"/>
      <c r="Z109" s="101"/>
    </row>
    <row r="110" spans="1:26" s="103" customFormat="1" ht="16.5" x14ac:dyDescent="0.3">
      <c r="A110" s="101"/>
      <c r="B110" s="102"/>
      <c r="C110" s="150"/>
      <c r="D110" s="102" t="s">
        <v>306</v>
      </c>
      <c r="E110" s="102"/>
      <c r="F110" s="185">
        <f>HLOOKUP(F$81,'Банк. система_ввод'!$G$57:$T$63,5,0)</f>
        <v>-493.090058</v>
      </c>
      <c r="G110" s="185" t="e">
        <f>HLOOKUP(G$81,'Банк. система_ввод'!$G$57:$T$63,5,0)</f>
        <v>#N/A</v>
      </c>
      <c r="H110" s="185" t="e">
        <f>HLOOKUP(H$81,'Банк. система_ввод'!$G$57:$T$63,5,0)</f>
        <v>#N/A</v>
      </c>
      <c r="I110" s="185">
        <f>HLOOKUP(I$81,'Банк. система_ввод'!$G$57:$T$63,5,0)</f>
        <v>-942.57819500000005</v>
      </c>
      <c r="J110" s="185">
        <f>HLOOKUP(J$81,'Банк. система_ввод'!$G$57:$T$63,5,0)</f>
        <v>-1704.0547819999999</v>
      </c>
      <c r="K110" s="101">
        <f>HLOOKUP(K$81,'Банк. система_ввод'!$G$57:$T$63,5,0)</f>
        <v>-2144.2346349999998</v>
      </c>
      <c r="L110" s="104"/>
      <c r="M110" s="104"/>
      <c r="N110" s="104"/>
      <c r="O110" s="104"/>
      <c r="P110" s="104"/>
      <c r="Q110" s="104"/>
      <c r="R110" s="104"/>
      <c r="S110" s="104"/>
      <c r="T110" s="101"/>
      <c r="U110" s="101"/>
      <c r="V110" s="101"/>
      <c r="W110" s="101"/>
      <c r="X110" s="101"/>
      <c r="Y110" s="101"/>
      <c r="Z110" s="101"/>
    </row>
    <row r="111" spans="1:26" s="103" customFormat="1" ht="16.5" x14ac:dyDescent="0.3">
      <c r="A111" s="101"/>
      <c r="B111" s="152" t="s">
        <v>45</v>
      </c>
      <c r="C111" s="152" t="s">
        <v>91</v>
      </c>
      <c r="D111" s="152"/>
      <c r="E111" s="152"/>
      <c r="F111" s="187">
        <f t="shared" ref="F111:K111" si="23">SUM(F107:F110)</f>
        <v>3374.609942</v>
      </c>
      <c r="G111" s="187" t="e">
        <f t="shared" si="23"/>
        <v>#N/A</v>
      </c>
      <c r="H111" s="187" t="e">
        <f t="shared" si="23"/>
        <v>#N/A</v>
      </c>
      <c r="I111" s="187">
        <f t="shared" si="23"/>
        <v>4974.2218050000001</v>
      </c>
      <c r="J111" s="187">
        <f t="shared" si="23"/>
        <v>5002.0452180000002</v>
      </c>
      <c r="K111" s="187">
        <f t="shared" si="23"/>
        <v>5586.7653650000002</v>
      </c>
      <c r="L111" s="104"/>
      <c r="M111" s="104"/>
      <c r="N111" s="104"/>
      <c r="O111" s="104"/>
      <c r="P111" s="104"/>
      <c r="Q111" s="104"/>
      <c r="R111" s="104"/>
      <c r="S111" s="104"/>
      <c r="T111" s="101"/>
      <c r="U111" s="101"/>
      <c r="V111" s="101"/>
      <c r="W111" s="101"/>
      <c r="X111" s="101"/>
      <c r="Y111" s="101"/>
      <c r="Z111" s="101"/>
    </row>
    <row r="112" spans="1:26" s="103" customFormat="1" ht="16.5" x14ac:dyDescent="0.3">
      <c r="A112" s="101"/>
      <c r="B112" s="102"/>
      <c r="C112" s="102"/>
      <c r="D112" s="102"/>
      <c r="E112" s="102"/>
      <c r="F112" s="101"/>
      <c r="G112" s="101"/>
      <c r="H112" s="101"/>
      <c r="I112" s="101"/>
      <c r="J112" s="101"/>
      <c r="K112" s="101"/>
      <c r="L112" s="101"/>
      <c r="M112" s="101"/>
      <c r="N112" s="101"/>
      <c r="O112" s="101"/>
      <c r="P112" s="101"/>
      <c r="Q112" s="101"/>
      <c r="R112" s="101"/>
      <c r="S112" s="101"/>
      <c r="T112" s="101"/>
      <c r="U112" s="101"/>
      <c r="V112" s="101"/>
      <c r="W112" s="101"/>
      <c r="X112" s="101"/>
      <c r="Y112" s="101"/>
      <c r="Z112" s="101"/>
    </row>
    <row r="113" spans="1:26" s="103" customFormat="1" ht="16.5" x14ac:dyDescent="0.3">
      <c r="A113" s="101"/>
      <c r="B113" s="102"/>
      <c r="C113" s="102" t="s">
        <v>257</v>
      </c>
      <c r="D113" s="102"/>
      <c r="E113" s="102"/>
      <c r="F113" s="197">
        <f t="shared" ref="F113:K113" si="24">1-F111/F107</f>
        <v>0.28689856053082008</v>
      </c>
      <c r="G113" s="197" t="e">
        <f t="shared" si="24"/>
        <v>#N/A</v>
      </c>
      <c r="H113" s="197" t="e">
        <f t="shared" si="24"/>
        <v>#N/A</v>
      </c>
      <c r="I113" s="197">
        <f t="shared" si="24"/>
        <v>0.29586486913069943</v>
      </c>
      <c r="J113" s="197">
        <f t="shared" si="24"/>
        <v>0.36909777281670952</v>
      </c>
      <c r="K113" s="197">
        <f t="shared" si="24"/>
        <v>0.37984088926137249</v>
      </c>
      <c r="L113" s="101"/>
      <c r="M113" s="101"/>
      <c r="N113" s="101"/>
      <c r="O113" s="101"/>
      <c r="P113" s="101"/>
      <c r="Q113" s="101"/>
      <c r="R113" s="101"/>
      <c r="S113" s="101"/>
      <c r="T113" s="101"/>
      <c r="U113" s="101"/>
      <c r="V113" s="101"/>
      <c r="W113" s="101"/>
      <c r="X113" s="101"/>
      <c r="Y113" s="101"/>
      <c r="Z113" s="101"/>
    </row>
    <row r="114" spans="1:26" s="103" customFormat="1" ht="16.5" x14ac:dyDescent="0.3">
      <c r="A114" s="101"/>
      <c r="B114" s="102"/>
      <c r="C114" s="102"/>
      <c r="D114" s="102"/>
      <c r="E114" s="102"/>
      <c r="F114" s="101"/>
      <c r="G114" s="101"/>
      <c r="H114" s="101"/>
      <c r="I114" s="101"/>
      <c r="J114" s="101"/>
      <c r="K114" s="101"/>
      <c r="L114" s="101"/>
      <c r="M114" s="101"/>
      <c r="N114" s="101"/>
      <c r="O114" s="101"/>
      <c r="P114" s="101"/>
      <c r="Q114" s="101"/>
      <c r="R114" s="101"/>
      <c r="S114" s="101"/>
      <c r="T114" s="101"/>
      <c r="U114" s="101"/>
      <c r="V114" s="101"/>
      <c r="W114" s="101"/>
      <c r="X114" s="101"/>
      <c r="Y114" s="101"/>
      <c r="Z114" s="101"/>
    </row>
    <row r="115" spans="1:26" x14ac:dyDescent="0.2">
      <c r="A115" s="4"/>
      <c r="B115" s="6"/>
      <c r="C115" s="6"/>
      <c r="D115" s="6"/>
      <c r="E115" s="6"/>
      <c r="F115" s="4"/>
      <c r="G115" s="4"/>
      <c r="H115" s="4"/>
      <c r="I115" s="4"/>
      <c r="J115" s="4"/>
      <c r="K115" s="4"/>
      <c r="L115" s="4"/>
      <c r="M115" s="4"/>
      <c r="N115" s="4"/>
      <c r="O115" s="4"/>
      <c r="P115" s="4"/>
      <c r="Q115" s="4"/>
      <c r="R115" s="4"/>
      <c r="S115" s="4"/>
      <c r="T115" s="4"/>
      <c r="U115" s="4"/>
      <c r="V115" s="4"/>
      <c r="W115" s="4"/>
      <c r="X115" s="4"/>
      <c r="Y115" s="4"/>
      <c r="Z115" s="4"/>
    </row>
    <row r="116" spans="1:26" x14ac:dyDescent="0.2">
      <c r="A116" s="4"/>
      <c r="B116" s="6"/>
      <c r="C116" s="6"/>
      <c r="D116" s="6"/>
      <c r="E116" s="6"/>
      <c r="F116" s="4"/>
      <c r="G116" s="4"/>
      <c r="H116" s="4"/>
      <c r="I116" s="4"/>
      <c r="J116" s="4"/>
      <c r="K116" s="4"/>
      <c r="L116" s="4"/>
      <c r="M116" s="4"/>
      <c r="N116" s="4"/>
      <c r="O116" s="4"/>
      <c r="P116" s="4"/>
      <c r="Q116" s="4"/>
      <c r="R116" s="4"/>
      <c r="S116" s="4"/>
      <c r="T116" s="4"/>
      <c r="U116" s="4"/>
      <c r="V116" s="4"/>
      <c r="W116" s="4"/>
      <c r="X116" s="4"/>
      <c r="Y116" s="4"/>
      <c r="Z116" s="4"/>
    </row>
    <row r="117" spans="1:26" x14ac:dyDescent="0.2">
      <c r="A117" s="4"/>
      <c r="B117" s="6"/>
      <c r="C117" s="6"/>
      <c r="D117" s="6"/>
      <c r="E117" s="6"/>
      <c r="F117" s="4"/>
      <c r="G117" s="4"/>
      <c r="H117" s="4"/>
      <c r="I117" s="4"/>
      <c r="J117" s="4"/>
      <c r="K117" s="4"/>
      <c r="L117" s="4"/>
      <c r="M117" s="4"/>
      <c r="N117" s="4"/>
      <c r="O117" s="4"/>
      <c r="P117" s="4"/>
      <c r="Q117" s="4"/>
      <c r="R117" s="4"/>
      <c r="S117" s="4"/>
      <c r="T117" s="4"/>
      <c r="U117" s="4"/>
      <c r="V117" s="4"/>
      <c r="W117" s="4"/>
      <c r="X117" s="4"/>
      <c r="Y117" s="4"/>
      <c r="Z117" s="4"/>
    </row>
  </sheetData>
  <mergeCells count="3">
    <mergeCell ref="D29:E29"/>
    <mergeCell ref="D32:E32"/>
    <mergeCell ref="D22:E22"/>
  </mergeCells>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321"/>
  <sheetViews>
    <sheetView tabSelected="1" zoomScale="90" zoomScaleNormal="90" workbookViewId="0">
      <pane xSplit="5" ySplit="8" topLeftCell="F162" activePane="bottomRight" state="frozen"/>
      <selection pane="topRight" activeCell="F1" sqref="F1"/>
      <selection pane="bottomLeft" activeCell="A5" sqref="A5"/>
      <selection pane="bottomRight" activeCell="N171" sqref="N171"/>
    </sheetView>
  </sheetViews>
  <sheetFormatPr defaultColWidth="9.140625" defaultRowHeight="14.25" outlineLevelRow="3" outlineLevelCol="1" x14ac:dyDescent="0.2"/>
  <cols>
    <col min="1" max="1" width="2.7109375" style="1" customWidth="1"/>
    <col min="2" max="2" width="2.28515625" style="3" customWidth="1"/>
    <col min="3" max="3" width="3.7109375" style="3" customWidth="1"/>
    <col min="4" max="4" width="6.7109375" style="3" customWidth="1"/>
    <col min="5" max="5" width="59.42578125" style="3" customWidth="1"/>
    <col min="6" max="11" width="16" style="1" customWidth="1"/>
    <col min="12" max="12" width="16.28515625" style="1" customWidth="1"/>
    <col min="13" max="13" width="17.85546875" style="1" customWidth="1"/>
    <col min="14" max="14" width="18.85546875" style="1" customWidth="1"/>
    <col min="15" max="15" width="19.28515625" style="1" customWidth="1"/>
    <col min="16" max="16" width="10.85546875" style="1" customWidth="1"/>
    <col min="17" max="17" width="9" style="1" customWidth="1" outlineLevel="1"/>
    <col min="18" max="19" width="13.140625" style="1" customWidth="1" outlineLevel="1"/>
    <col min="20" max="23" width="8.7109375" style="1" customWidth="1" outlineLevel="1"/>
    <col min="24" max="25" width="13.140625" style="1" customWidth="1" outlineLevel="1"/>
    <col min="26" max="27" width="9.5703125" style="1" customWidth="1" outlineLevel="1"/>
    <col min="28" max="28" width="9.140625" style="1"/>
    <col min="29" max="29" width="9.140625" style="1" customWidth="1" outlineLevel="1"/>
    <col min="30" max="30" width="14.7109375" style="1" customWidth="1" outlineLevel="1"/>
    <col min="31" max="38" width="16.28515625" style="1" customWidth="1" outlineLevel="1"/>
    <col min="39" max="39" width="9.140625" style="1" customWidth="1" outlineLevel="1"/>
    <col min="40" max="16384" width="9.140625" style="1"/>
  </cols>
  <sheetData>
    <row r="1" spans="1:43" ht="16.5" customHeight="1" x14ac:dyDescent="0.25">
      <c r="A1" s="93"/>
      <c r="B1" s="336"/>
      <c r="C1" s="93"/>
      <c r="D1" s="327"/>
      <c r="E1" s="93"/>
      <c r="F1" s="93"/>
      <c r="G1" s="93"/>
      <c r="H1" s="93"/>
      <c r="I1" s="93"/>
      <c r="J1" s="93"/>
      <c r="K1" s="93"/>
      <c r="L1" s="93"/>
      <c r="M1" s="93"/>
      <c r="N1" s="93"/>
      <c r="O1" s="93"/>
      <c r="P1" s="93"/>
      <c r="Q1" s="230"/>
      <c r="R1" s="93"/>
      <c r="S1" s="93"/>
      <c r="T1" s="93"/>
      <c r="U1" s="337"/>
      <c r="V1" s="93"/>
      <c r="W1" s="93"/>
      <c r="X1" s="93"/>
      <c r="Y1" s="93"/>
      <c r="Z1" s="93"/>
      <c r="AA1" s="93"/>
      <c r="AB1" s="93"/>
      <c r="AC1" s="93"/>
      <c r="AD1" s="93"/>
      <c r="AE1" s="93"/>
      <c r="AF1" s="93"/>
      <c r="AG1" s="93"/>
      <c r="AH1" s="337"/>
      <c r="AI1" s="337"/>
      <c r="AJ1" s="337"/>
      <c r="AK1" s="337"/>
      <c r="AL1" s="337"/>
      <c r="AM1" s="337"/>
    </row>
    <row r="2" spans="1:43" ht="16.5" customHeight="1" x14ac:dyDescent="0.25">
      <c r="A2" s="93"/>
      <c r="B2" s="336"/>
      <c r="C2" s="93"/>
      <c r="D2" s="327" t="str">
        <f>Ввод!F2</f>
        <v>ПАО "АК Барс Банк"</v>
      </c>
      <c r="E2" s="93"/>
      <c r="F2" s="93"/>
      <c r="G2" s="93"/>
      <c r="H2" s="93"/>
      <c r="I2" s="93"/>
      <c r="J2" s="93"/>
      <c r="K2" s="93"/>
      <c r="L2" s="93"/>
      <c r="M2" s="93"/>
      <c r="N2" s="93"/>
      <c r="O2" s="93"/>
      <c r="P2" s="93"/>
      <c r="Q2" s="230"/>
      <c r="R2" s="93"/>
      <c r="S2" s="93"/>
      <c r="T2" s="93"/>
      <c r="U2" s="337"/>
      <c r="V2" s="93"/>
      <c r="W2" s="93"/>
      <c r="X2" s="93"/>
      <c r="Y2" s="93"/>
      <c r="Z2" s="93"/>
      <c r="AA2" s="93"/>
      <c r="AB2" s="93"/>
      <c r="AC2" s="93"/>
      <c r="AD2" s="93"/>
      <c r="AE2" s="93"/>
      <c r="AF2" s="93"/>
      <c r="AG2" s="93"/>
      <c r="AH2" s="337"/>
      <c r="AI2" s="337"/>
      <c r="AJ2" s="337"/>
      <c r="AK2" s="337"/>
      <c r="AL2" s="337"/>
      <c r="AM2" s="337"/>
    </row>
    <row r="3" spans="1:43" ht="16.5" customHeight="1" x14ac:dyDescent="0.25">
      <c r="A3" s="93"/>
      <c r="B3" s="336"/>
      <c r="C3" s="93"/>
      <c r="D3" s="327" t="s">
        <v>559</v>
      </c>
      <c r="E3" s="93"/>
      <c r="F3" s="93"/>
      <c r="G3" s="93"/>
      <c r="H3" s="93"/>
      <c r="I3" s="93"/>
      <c r="J3" s="93"/>
      <c r="K3" s="93"/>
      <c r="L3" s="93"/>
      <c r="M3" s="93"/>
      <c r="N3" s="93"/>
      <c r="O3" s="93"/>
      <c r="P3" s="93"/>
      <c r="Q3" s="230"/>
      <c r="R3" s="93"/>
      <c r="S3" s="93"/>
      <c r="T3" s="93"/>
      <c r="U3" s="337"/>
      <c r="V3" s="93"/>
      <c r="W3" s="93"/>
      <c r="X3" s="93"/>
      <c r="Y3" s="93"/>
      <c r="Z3" s="93"/>
      <c r="AA3" s="93"/>
      <c r="AB3" s="93"/>
      <c r="AC3" s="93"/>
      <c r="AD3" s="93"/>
      <c r="AE3" s="93"/>
      <c r="AF3" s="93"/>
      <c r="AG3" s="93"/>
      <c r="AH3" s="337"/>
      <c r="AI3" s="337"/>
      <c r="AJ3" s="337"/>
      <c r="AK3" s="337"/>
      <c r="AL3" s="337"/>
      <c r="AM3" s="337"/>
    </row>
    <row r="4" spans="1:43" ht="16.5" customHeight="1" x14ac:dyDescent="0.25">
      <c r="A4" s="93"/>
      <c r="B4" s="336"/>
      <c r="C4" s="93"/>
      <c r="D4" s="327" t="s">
        <v>758</v>
      </c>
      <c r="E4" s="93"/>
      <c r="F4" s="93"/>
      <c r="G4" s="93"/>
      <c r="H4" s="93"/>
      <c r="I4" s="93"/>
      <c r="J4" s="93"/>
      <c r="K4" s="93"/>
      <c r="L4" s="93"/>
      <c r="M4" s="93"/>
      <c r="N4" s="93"/>
      <c r="O4" s="93"/>
      <c r="P4" s="93"/>
      <c r="Q4" s="230"/>
      <c r="R4" s="93"/>
      <c r="S4" s="93"/>
      <c r="T4" s="93"/>
      <c r="U4" s="337"/>
      <c r="V4" s="93"/>
      <c r="W4" s="93"/>
      <c r="X4" s="93"/>
      <c r="Y4" s="93"/>
      <c r="Z4" s="93"/>
      <c r="AA4" s="93"/>
      <c r="AB4" s="93"/>
      <c r="AC4" s="93"/>
      <c r="AD4" s="93"/>
      <c r="AE4" s="93"/>
      <c r="AF4" s="93"/>
      <c r="AG4" s="93"/>
      <c r="AH4" s="337"/>
      <c r="AI4" s="337"/>
      <c r="AJ4" s="337"/>
      <c r="AK4" s="337"/>
      <c r="AL4" s="337"/>
      <c r="AM4" s="337"/>
    </row>
    <row r="5" spans="1:43" ht="16.5" customHeight="1" x14ac:dyDescent="0.25">
      <c r="A5" s="21"/>
      <c r="B5" s="338"/>
      <c r="C5" s="21"/>
      <c r="D5" s="338" t="s">
        <v>3297</v>
      </c>
      <c r="E5" s="21"/>
      <c r="F5" s="21"/>
      <c r="G5" s="21"/>
      <c r="H5" s="21"/>
      <c r="I5" s="21"/>
      <c r="J5" s="21"/>
      <c r="K5" s="21"/>
      <c r="L5" s="21"/>
      <c r="M5" s="21"/>
      <c r="N5" s="21"/>
      <c r="O5" s="21"/>
      <c r="P5" s="21"/>
      <c r="Q5" s="339"/>
      <c r="R5" s="21"/>
      <c r="S5" s="21"/>
      <c r="T5" s="21"/>
      <c r="U5" s="340"/>
      <c r="V5" s="21"/>
      <c r="W5" s="21"/>
      <c r="X5" s="21"/>
      <c r="Y5" s="21"/>
      <c r="Z5" s="21"/>
      <c r="AA5" s="21"/>
      <c r="AB5" s="21"/>
      <c r="AC5" s="21"/>
      <c r="AD5" s="21"/>
      <c r="AE5" s="21"/>
      <c r="AF5" s="21"/>
      <c r="AG5" s="21"/>
      <c r="AH5" s="340"/>
      <c r="AI5" s="340"/>
      <c r="AJ5" s="340"/>
      <c r="AK5" s="340"/>
      <c r="AL5" s="340"/>
      <c r="AM5" s="340"/>
    </row>
    <row r="6" spans="1:43" s="103" customFormat="1" ht="18" x14ac:dyDescent="0.3">
      <c r="A6" s="101"/>
      <c r="B6" s="102"/>
      <c r="C6" s="240"/>
      <c r="D6" s="102"/>
      <c r="E6" s="102"/>
      <c r="F6" s="104"/>
      <c r="G6" s="104"/>
      <c r="H6" s="104"/>
      <c r="I6" s="104"/>
      <c r="J6" s="104"/>
      <c r="K6" s="104"/>
      <c r="L6" s="104"/>
      <c r="M6" s="104"/>
      <c r="N6" s="104"/>
      <c r="O6" s="104"/>
      <c r="P6" s="104"/>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row>
    <row r="7" spans="1:43" s="101" customFormat="1" ht="16.5" x14ac:dyDescent="0.3">
      <c r="A7" s="102"/>
      <c r="B7" s="102"/>
      <c r="C7" s="102"/>
      <c r="D7" s="102"/>
      <c r="E7" s="102" t="str">
        <f>Баланс!B7</f>
        <v>млрд руб.</v>
      </c>
      <c r="G7" s="168" t="s">
        <v>348</v>
      </c>
      <c r="H7" s="168"/>
      <c r="I7" s="168"/>
      <c r="J7" s="102"/>
      <c r="K7" s="102"/>
      <c r="L7" s="102"/>
      <c r="M7" s="168"/>
      <c r="N7" s="102"/>
      <c r="O7" s="102"/>
      <c r="P7" s="102"/>
      <c r="Q7" s="102"/>
      <c r="R7" s="102" t="s">
        <v>17</v>
      </c>
      <c r="S7" s="102"/>
      <c r="T7" s="102"/>
      <c r="U7" s="102"/>
      <c r="V7" s="102"/>
      <c r="W7" s="102"/>
      <c r="X7" s="102"/>
      <c r="Y7" s="102"/>
      <c r="Z7" s="102"/>
      <c r="AA7" s="102"/>
      <c r="AC7" s="224" t="s">
        <v>785</v>
      </c>
      <c r="AD7" s="224"/>
      <c r="AE7" s="224"/>
      <c r="AF7" s="224"/>
      <c r="AG7" s="224"/>
      <c r="AH7" s="224"/>
      <c r="AI7" s="224"/>
      <c r="AJ7" s="224"/>
      <c r="AK7" s="224"/>
      <c r="AL7" s="224"/>
      <c r="AM7" s="224"/>
    </row>
    <row r="8" spans="1:43" s="101" customFormat="1" ht="17.25" thickBot="1" x14ac:dyDescent="0.35">
      <c r="A8" s="102"/>
      <c r="B8" s="102"/>
      <c r="C8" s="102"/>
      <c r="D8" s="102"/>
      <c r="E8" s="102"/>
      <c r="F8" s="1282" t="str">
        <f>Ввод!G171</f>
        <v>2016</v>
      </c>
      <c r="G8" s="1282" t="str">
        <f>Ввод!H171</f>
        <v>2017</v>
      </c>
      <c r="H8" s="1282" t="str">
        <f>Ввод!I171</f>
        <v>2018</v>
      </c>
      <c r="I8" s="1282" t="str">
        <f>Ввод!J171</f>
        <v>2019</v>
      </c>
      <c r="J8" s="1282" t="str">
        <f>Ввод!K171</f>
        <v>2020</v>
      </c>
      <c r="K8" s="1282" t="str">
        <f>Ввод!L171</f>
        <v>2021</v>
      </c>
      <c r="L8" s="1378" t="str">
        <f>Ввод!M171</f>
        <v>2022</v>
      </c>
      <c r="M8" s="1378" t="str">
        <f>Ввод!N171</f>
        <v>2023</v>
      </c>
      <c r="N8" s="1378" t="str">
        <f>Ввод!O171</f>
        <v>2024</v>
      </c>
      <c r="O8" s="1378" t="str">
        <f>Ввод!P171</f>
        <v>2025</v>
      </c>
      <c r="P8" s="1282"/>
      <c r="Q8" s="102"/>
      <c r="R8" s="467" t="str">
        <f>Ввод!G171</f>
        <v>2016</v>
      </c>
      <c r="S8" s="467" t="str">
        <f>Ввод!H171</f>
        <v>2017</v>
      </c>
      <c r="T8" s="467" t="str">
        <f>Ввод!I171</f>
        <v>2018</v>
      </c>
      <c r="U8" s="467" t="str">
        <f>Ввод!J171</f>
        <v>2019</v>
      </c>
      <c r="V8" s="467" t="str">
        <f>Ввод!K171</f>
        <v>2020</v>
      </c>
      <c r="W8" s="467" t="str">
        <f>Ввод!L171</f>
        <v>2021</v>
      </c>
      <c r="X8" s="467" t="str">
        <f>Ввод!M171</f>
        <v>2022</v>
      </c>
      <c r="Y8" s="467" t="str">
        <f>Ввод!N171</f>
        <v>2023</v>
      </c>
      <c r="Z8" s="467" t="str">
        <f>Ввод!O171</f>
        <v>2024</v>
      </c>
      <c r="AA8" s="467" t="str">
        <f>Ввод!P171</f>
        <v>2025</v>
      </c>
      <c r="AC8" s="467" t="str">
        <f t="shared" ref="AC8:AL8" si="0">R8</f>
        <v>2016</v>
      </c>
      <c r="AD8" s="467" t="str">
        <f t="shared" si="0"/>
        <v>2017</v>
      </c>
      <c r="AE8" s="467" t="str">
        <f t="shared" si="0"/>
        <v>2018</v>
      </c>
      <c r="AF8" s="467" t="str">
        <f t="shared" si="0"/>
        <v>2019</v>
      </c>
      <c r="AG8" s="467" t="str">
        <f t="shared" si="0"/>
        <v>2020</v>
      </c>
      <c r="AH8" s="467" t="str">
        <f t="shared" si="0"/>
        <v>2021</v>
      </c>
      <c r="AI8" s="467" t="str">
        <f t="shared" si="0"/>
        <v>2022</v>
      </c>
      <c r="AJ8" s="467" t="str">
        <f t="shared" si="0"/>
        <v>2023</v>
      </c>
      <c r="AK8" s="467" t="str">
        <f t="shared" si="0"/>
        <v>2024</v>
      </c>
      <c r="AL8" s="467" t="str">
        <f t="shared" si="0"/>
        <v>2025</v>
      </c>
      <c r="AM8" s="467"/>
    </row>
    <row r="9" spans="1:43" s="103" customFormat="1" ht="16.5" x14ac:dyDescent="0.3">
      <c r="A9" s="106" t="s">
        <v>2</v>
      </c>
      <c r="B9" s="106" t="s">
        <v>80</v>
      </c>
      <c r="C9" s="106"/>
      <c r="D9" s="106"/>
      <c r="E9" s="106"/>
      <c r="F9" s="1379">
        <f t="shared" ref="F9:M9" si="1">F10+F33</f>
        <v>41.366429999999994</v>
      </c>
      <c r="G9" s="1379">
        <f t="shared" si="1"/>
        <v>56.49935</v>
      </c>
      <c r="H9" s="1379">
        <f t="shared" si="1"/>
        <v>57.073900999999999</v>
      </c>
      <c r="I9" s="1380">
        <f t="shared" si="1"/>
        <v>61.856597000000001</v>
      </c>
      <c r="J9" s="1379">
        <f t="shared" si="1"/>
        <v>60.900956999999998</v>
      </c>
      <c r="K9" s="1379">
        <f t="shared" si="1"/>
        <v>59.628979000000008</v>
      </c>
      <c r="L9" s="1379">
        <f t="shared" ref="L9" si="2">L10+L33</f>
        <v>62.77955</v>
      </c>
      <c r="M9" s="1379">
        <f t="shared" si="1"/>
        <v>62.850729999999999</v>
      </c>
      <c r="N9" s="1379">
        <f t="shared" ref="N9:O9" si="3">N10+N33</f>
        <v>82.575294</v>
      </c>
      <c r="O9" s="1379">
        <f t="shared" si="3"/>
        <v>87.699466999999999</v>
      </c>
      <c r="P9" s="1402"/>
      <c r="Q9" s="168"/>
      <c r="R9" s="1679">
        <f t="shared" ref="R9:AA10" si="4">F9/F$70</f>
        <v>0.57737821177947346</v>
      </c>
      <c r="S9" s="1679">
        <f t="shared" si="4"/>
        <v>0.7158087937425176</v>
      </c>
      <c r="T9" s="1679">
        <f t="shared" si="4"/>
        <v>0.72237920587207716</v>
      </c>
      <c r="U9" s="1679">
        <f t="shared" si="4"/>
        <v>0.79090396845303546</v>
      </c>
      <c r="V9" s="1679">
        <f t="shared" si="4"/>
        <v>0.81019613821888559</v>
      </c>
      <c r="W9" s="1679">
        <f t="shared" si="4"/>
        <v>0.78076282423260102</v>
      </c>
      <c r="X9" s="1679">
        <f t="shared" si="4"/>
        <v>0.75870228880416291</v>
      </c>
      <c r="Y9" s="1679">
        <f t="shared" si="4"/>
        <v>0.6515570222968724</v>
      </c>
      <c r="Z9" s="1679">
        <f t="shared" si="4"/>
        <v>0.81937489305744515</v>
      </c>
      <c r="AA9" s="1679">
        <f t="shared" si="4"/>
        <v>0.8554192931425515</v>
      </c>
      <c r="AB9" s="104"/>
      <c r="AC9" s="1427"/>
      <c r="AD9" s="1381">
        <f>G9-F9</f>
        <v>15.132920000000006</v>
      </c>
      <c r="AE9" s="1381">
        <f>H9-G9</f>
        <v>0.57455099999999959</v>
      </c>
      <c r="AF9" s="1381">
        <f>I9-H9</f>
        <v>4.7826960000000014</v>
      </c>
      <c r="AG9" s="1381">
        <f>J9-I9</f>
        <v>-0.95564000000000249</v>
      </c>
      <c r="AH9" s="1381">
        <f>K9-J9</f>
        <v>-1.2719779999999901</v>
      </c>
      <c r="AI9" s="1381">
        <f t="shared" ref="AI9:AI70" si="5">L9-K9</f>
        <v>3.1505709999999922</v>
      </c>
      <c r="AJ9" s="1381">
        <f t="shared" ref="AJ9:AJ70" si="6">M9-L9</f>
        <v>7.1179999999998245E-2</v>
      </c>
      <c r="AK9" s="1381">
        <f t="shared" ref="AK9:AL70" si="7">N9-M9</f>
        <v>19.724564000000001</v>
      </c>
      <c r="AL9" s="1381">
        <f t="shared" si="7"/>
        <v>5.124172999999999</v>
      </c>
      <c r="AM9" s="1381"/>
    </row>
    <row r="10" spans="1:43" s="1407" customFormat="1" ht="16.5" x14ac:dyDescent="0.3">
      <c r="A10" s="1403"/>
      <c r="B10" s="1403" t="s">
        <v>74</v>
      </c>
      <c r="C10" s="164" t="s">
        <v>77</v>
      </c>
      <c r="D10" s="164"/>
      <c r="E10" s="164"/>
      <c r="F10" s="1404">
        <f t="shared" ref="F10:K10" si="8">SUM(F11,F15:F17,F21:F29)</f>
        <v>41.366429999999994</v>
      </c>
      <c r="G10" s="1404">
        <f t="shared" si="8"/>
        <v>56.49935</v>
      </c>
      <c r="H10" s="1404">
        <f t="shared" si="8"/>
        <v>57.073900999999999</v>
      </c>
      <c r="I10" s="1405">
        <f t="shared" si="8"/>
        <v>61.856597000000001</v>
      </c>
      <c r="J10" s="1404">
        <f t="shared" si="8"/>
        <v>60.900956999999998</v>
      </c>
      <c r="K10" s="1404">
        <f t="shared" si="8"/>
        <v>59.628979000000008</v>
      </c>
      <c r="L10" s="1949">
        <f>Ввод!M208/VLOOKUP(Баланс!$B$7,Баланс!$A$1:$B$3,2,0)</f>
        <v>62.77955</v>
      </c>
      <c r="M10" s="1949">
        <f>Ввод!N208/VLOOKUP(Баланс!$B$7,Баланс!$A$1:$B$3,2,0)</f>
        <v>62.850729999999999</v>
      </c>
      <c r="N10" s="1949">
        <f>Ввод!O208/VLOOKUP(Баланс!$B$7,Баланс!$A$1:$B$3,2,0)</f>
        <v>82.575294</v>
      </c>
      <c r="O10" s="1949">
        <f>Ввод!P208/VLOOKUP(Баланс!$B$7,Баланс!$A$1:$B$3,2,0)</f>
        <v>87.699466999999999</v>
      </c>
      <c r="P10" s="1404"/>
      <c r="Q10" s="180"/>
      <c r="R10" s="1680">
        <f t="shared" si="4"/>
        <v>0.57737821177947346</v>
      </c>
      <c r="S10" s="1680">
        <f t="shared" si="4"/>
        <v>0.7158087937425176</v>
      </c>
      <c r="T10" s="1680">
        <f t="shared" si="4"/>
        <v>0.72237920587207716</v>
      </c>
      <c r="U10" s="1680">
        <f t="shared" si="4"/>
        <v>0.79090396845303546</v>
      </c>
      <c r="V10" s="1680">
        <f t="shared" si="4"/>
        <v>0.81019613821888559</v>
      </c>
      <c r="W10" s="1680">
        <f t="shared" si="4"/>
        <v>0.78076282423260102</v>
      </c>
      <c r="X10" s="1680">
        <f t="shared" si="4"/>
        <v>0.75870228880416291</v>
      </c>
      <c r="Y10" s="1680">
        <f t="shared" si="4"/>
        <v>0.6515570222968724</v>
      </c>
      <c r="Z10" s="1680">
        <f t="shared" si="4"/>
        <v>0.81937489305744515</v>
      </c>
      <c r="AA10" s="1680">
        <f t="shared" si="4"/>
        <v>0.8554192931425515</v>
      </c>
      <c r="AB10" s="1406"/>
      <c r="AC10" s="1428"/>
      <c r="AD10" s="1404">
        <f t="shared" ref="AD10:AD24" si="9">G10-F10</f>
        <v>15.132920000000006</v>
      </c>
      <c r="AE10" s="1404">
        <f t="shared" ref="AE10:AE24" si="10">H10-G10</f>
        <v>0.57455099999999959</v>
      </c>
      <c r="AF10" s="1404">
        <f t="shared" ref="AF10:AF24" si="11">I10-H10</f>
        <v>4.7826960000000014</v>
      </c>
      <c r="AG10" s="1404">
        <f t="shared" ref="AG10:AG69" si="12">J10-I10</f>
        <v>-0.95564000000000249</v>
      </c>
      <c r="AH10" s="1404">
        <f t="shared" ref="AH10:AH69" si="13">K10-J10</f>
        <v>-1.2719779999999901</v>
      </c>
      <c r="AI10" s="1404">
        <f t="shared" si="5"/>
        <v>3.1505709999999922</v>
      </c>
      <c r="AJ10" s="1404">
        <f t="shared" si="6"/>
        <v>7.1179999999998245E-2</v>
      </c>
      <c r="AK10" s="1404">
        <f t="shared" si="7"/>
        <v>19.724564000000001</v>
      </c>
      <c r="AL10" s="1404">
        <f t="shared" si="7"/>
        <v>5.124172999999999</v>
      </c>
      <c r="AM10" s="1404"/>
    </row>
    <row r="11" spans="1:43" s="111" customFormat="1" ht="16.5" outlineLevel="1" x14ac:dyDescent="0.3">
      <c r="A11" s="108"/>
      <c r="B11" s="108"/>
      <c r="C11" s="98"/>
      <c r="D11" s="99" t="s">
        <v>30</v>
      </c>
      <c r="E11" s="98"/>
      <c r="F11" s="1383">
        <f t="shared" ref="F11" si="14">SUM(F12:F14)</f>
        <v>38.011741000000001</v>
      </c>
      <c r="G11" s="1383">
        <f t="shared" ref="G11:K11" si="15">SUM(G12:G14)</f>
        <v>48.011741000000001</v>
      </c>
      <c r="H11" s="1383">
        <f t="shared" si="15"/>
        <v>48.011741000000001</v>
      </c>
      <c r="I11" s="1383">
        <f t="shared" si="15"/>
        <v>48.011741000000001</v>
      </c>
      <c r="J11" s="1383">
        <f t="shared" si="15"/>
        <v>48.011741000000001</v>
      </c>
      <c r="K11" s="1383">
        <f t="shared" si="15"/>
        <v>48.011741000000001</v>
      </c>
      <c r="L11" s="1383"/>
      <c r="M11" s="1383"/>
      <c r="N11" s="1383"/>
      <c r="O11" s="1383"/>
      <c r="P11" s="1410"/>
      <c r="Q11" s="171"/>
      <c r="R11" s="1681">
        <f t="shared" ref="R11:R26" si="16">F11/F$70</f>
        <v>0.53055463198551334</v>
      </c>
      <c r="S11" s="1681">
        <f t="shared" ref="S11:S26" si="17">G11/G$70</f>
        <v>0.60827649186562638</v>
      </c>
      <c r="T11" s="1681">
        <f t="shared" ref="T11:T26" si="18">H11/H$70</f>
        <v>0.60768026590850777</v>
      </c>
      <c r="U11" s="1681">
        <f t="shared" ref="U11:U26" si="19">I11/I$70</f>
        <v>0.61388240431718721</v>
      </c>
      <c r="V11" s="1681">
        <f t="shared" ref="V11:V26" si="20">J11/J$70</f>
        <v>0.63872439881963328</v>
      </c>
      <c r="W11" s="1681">
        <f t="shared" ref="W11:W26" si="21">K11/K$70</f>
        <v>0.62865041676269784</v>
      </c>
      <c r="X11" s="1681">
        <f t="shared" ref="X11:X26" si="22">L11/L$70</f>
        <v>0</v>
      </c>
      <c r="Y11" s="1686"/>
      <c r="Z11" s="1686"/>
      <c r="AA11" s="1686"/>
      <c r="AB11" s="110"/>
      <c r="AC11" s="1423"/>
      <c r="AD11" s="1387">
        <f t="shared" si="9"/>
        <v>10</v>
      </c>
      <c r="AE11" s="1387">
        <f t="shared" si="10"/>
        <v>0</v>
      </c>
      <c r="AF11" s="1387">
        <f t="shared" si="11"/>
        <v>0</v>
      </c>
      <c r="AG11" s="1387">
        <f t="shared" si="12"/>
        <v>0</v>
      </c>
      <c r="AH11" s="1387">
        <f t="shared" si="13"/>
        <v>0</v>
      </c>
      <c r="AI11" s="1671"/>
      <c r="AJ11" s="1671"/>
      <c r="AK11" s="1671"/>
      <c r="AL11" s="1671"/>
      <c r="AM11" s="1671"/>
    </row>
    <row r="12" spans="1:43" s="111" customFormat="1" ht="16.5" outlineLevel="2" x14ac:dyDescent="0.3">
      <c r="A12" s="108"/>
      <c r="B12" s="108"/>
      <c r="C12" s="201"/>
      <c r="D12" s="202" t="s">
        <v>74</v>
      </c>
      <c r="E12" s="201" t="s">
        <v>260</v>
      </c>
      <c r="F12" s="1384">
        <f>Ввод!G175/VLOOKUP(Баланс!$B$7,Баланс!$A$1:$B$3,2,0)</f>
        <v>38.011741000000001</v>
      </c>
      <c r="G12" s="1384">
        <f>Ввод!H175/VLOOKUP(Баланс!$B$7,Баланс!$A$1:$B$3,2,0)</f>
        <v>48.011741000000001</v>
      </c>
      <c r="H12" s="1384">
        <f>Ввод!I175/VLOOKUP(Баланс!$B$7,Баланс!$A$1:$B$3,2,0)</f>
        <v>48.011741000000001</v>
      </c>
      <c r="I12" s="1384">
        <f>Ввод!J175/VLOOKUP(Баланс!$B$7,Баланс!$A$1:$B$3,2,0)</f>
        <v>48.011741000000001</v>
      </c>
      <c r="J12" s="1384">
        <f>Ввод!K175/VLOOKUP(Баланс!$B$7,Баланс!$A$1:$B$3,2,0)</f>
        <v>48.011741000000001</v>
      </c>
      <c r="K12" s="1384">
        <f>Ввод!L175/VLOOKUP(Баланс!$B$7,Баланс!$A$1:$B$3,2,0)</f>
        <v>48.011741000000001</v>
      </c>
      <c r="L12" s="1384"/>
      <c r="M12" s="1384"/>
      <c r="N12" s="1384"/>
      <c r="O12" s="1384"/>
      <c r="P12" s="1411"/>
      <c r="Q12" s="203"/>
      <c r="R12" s="1682">
        <f t="shared" si="16"/>
        <v>0.53055463198551334</v>
      </c>
      <c r="S12" s="1682">
        <f t="shared" si="17"/>
        <v>0.60827649186562638</v>
      </c>
      <c r="T12" s="1682">
        <f t="shared" si="18"/>
        <v>0.60768026590850777</v>
      </c>
      <c r="U12" s="1682">
        <f t="shared" si="19"/>
        <v>0.61388240431718721</v>
      </c>
      <c r="V12" s="1682">
        <f t="shared" si="20"/>
        <v>0.63872439881963328</v>
      </c>
      <c r="W12" s="1682">
        <f t="shared" si="21"/>
        <v>0.62865041676269784</v>
      </c>
      <c r="X12" s="1682">
        <f t="shared" si="22"/>
        <v>0</v>
      </c>
      <c r="Y12" s="1687"/>
      <c r="Z12" s="1687"/>
      <c r="AA12" s="1687"/>
      <c r="AB12" s="110"/>
      <c r="AC12" s="1424"/>
      <c r="AD12" s="1672">
        <f t="shared" si="9"/>
        <v>10</v>
      </c>
      <c r="AE12" s="1672">
        <f t="shared" si="10"/>
        <v>0</v>
      </c>
      <c r="AF12" s="1672">
        <f t="shared" si="11"/>
        <v>0</v>
      </c>
      <c r="AG12" s="1672">
        <f t="shared" si="12"/>
        <v>0</v>
      </c>
      <c r="AH12" s="1672">
        <f t="shared" si="13"/>
        <v>0</v>
      </c>
      <c r="AI12" s="1673"/>
      <c r="AJ12" s="1673"/>
      <c r="AK12" s="1673"/>
      <c r="AL12" s="1673"/>
      <c r="AM12" s="1673"/>
    </row>
    <row r="13" spans="1:43" s="111" customFormat="1" ht="16.5" outlineLevel="2" x14ac:dyDescent="0.3">
      <c r="A13" s="108"/>
      <c r="B13" s="108"/>
      <c r="C13" s="201"/>
      <c r="D13" s="202" t="s">
        <v>74</v>
      </c>
      <c r="E13" s="201" t="s">
        <v>261</v>
      </c>
      <c r="F13" s="1384">
        <f>Ввод!G176/VLOOKUP(Баланс!$B$7,Баланс!$A$1:$B$3,2,0)</f>
        <v>0</v>
      </c>
      <c r="G13" s="1384">
        <f>Ввод!H176/VLOOKUP(Баланс!$B$7,Баланс!$A$1:$B$3,2,0)</f>
        <v>0</v>
      </c>
      <c r="H13" s="1384">
        <f>Ввод!I176/VLOOKUP(Баланс!$B$7,Баланс!$A$1:$B$3,2,0)</f>
        <v>0</v>
      </c>
      <c r="I13" s="1384">
        <f>Ввод!J176/VLOOKUP(Баланс!$B$7,Баланс!$A$1:$B$3,2,0)</f>
        <v>0</v>
      </c>
      <c r="J13" s="1384">
        <f>Ввод!K176/VLOOKUP(Баланс!$B$7,Баланс!$A$1:$B$3,2,0)</f>
        <v>0</v>
      </c>
      <c r="K13" s="1384">
        <f>Ввод!L176/VLOOKUP(Баланс!$B$7,Баланс!$A$1:$B$3,2,0)</f>
        <v>0</v>
      </c>
      <c r="L13" s="1384"/>
      <c r="M13" s="1384"/>
      <c r="N13" s="1384"/>
      <c r="O13" s="1384"/>
      <c r="P13" s="1411"/>
      <c r="Q13" s="203"/>
      <c r="R13" s="1682">
        <f t="shared" si="16"/>
        <v>0</v>
      </c>
      <c r="S13" s="1682">
        <f t="shared" si="17"/>
        <v>0</v>
      </c>
      <c r="T13" s="1682">
        <f t="shared" si="18"/>
        <v>0</v>
      </c>
      <c r="U13" s="1682">
        <f t="shared" si="19"/>
        <v>0</v>
      </c>
      <c r="V13" s="1682">
        <f t="shared" si="20"/>
        <v>0</v>
      </c>
      <c r="W13" s="1682">
        <f t="shared" si="21"/>
        <v>0</v>
      </c>
      <c r="X13" s="1682">
        <f t="shared" si="22"/>
        <v>0</v>
      </c>
      <c r="Y13" s="1687"/>
      <c r="Z13" s="1687"/>
      <c r="AA13" s="1687"/>
      <c r="AB13" s="110"/>
      <c r="AC13" s="1424"/>
      <c r="AD13" s="1672">
        <f t="shared" si="9"/>
        <v>0</v>
      </c>
      <c r="AE13" s="1672">
        <f t="shared" si="10"/>
        <v>0</v>
      </c>
      <c r="AF13" s="1672">
        <f t="shared" si="11"/>
        <v>0</v>
      </c>
      <c r="AG13" s="1672">
        <f t="shared" si="12"/>
        <v>0</v>
      </c>
      <c r="AH13" s="1672">
        <f t="shared" si="13"/>
        <v>0</v>
      </c>
      <c r="AI13" s="1673"/>
      <c r="AJ13" s="1673"/>
      <c r="AK13" s="1673"/>
      <c r="AL13" s="1673"/>
      <c r="AM13" s="1673"/>
    </row>
    <row r="14" spans="1:43" s="111" customFormat="1" ht="16.5" outlineLevel="2" x14ac:dyDescent="0.3">
      <c r="A14" s="108"/>
      <c r="B14" s="108"/>
      <c r="C14" s="201"/>
      <c r="D14" s="202" t="s">
        <v>74</v>
      </c>
      <c r="E14" s="201" t="s">
        <v>789</v>
      </c>
      <c r="F14" s="1384">
        <f>Ввод!G177/VLOOKUP(Баланс!$B$7,Баланс!$A$1:$B$3,2,0)</f>
        <v>0</v>
      </c>
      <c r="G14" s="1384">
        <f>Ввод!H177/VLOOKUP(Баланс!$B$7,Баланс!$A$1:$B$3,2,0)</f>
        <v>0</v>
      </c>
      <c r="H14" s="1384">
        <f>Ввод!I177/VLOOKUP(Баланс!$B$7,Баланс!$A$1:$B$3,2,0)</f>
        <v>0</v>
      </c>
      <c r="I14" s="1384">
        <f>Ввод!J177/VLOOKUP(Баланс!$B$7,Баланс!$A$1:$B$3,2,0)</f>
        <v>0</v>
      </c>
      <c r="J14" s="1384">
        <f>Ввод!K177/VLOOKUP(Баланс!$B$7,Баланс!$A$1:$B$3,2,0)</f>
        <v>0</v>
      </c>
      <c r="K14" s="1384">
        <f>Ввод!L177/VLOOKUP(Баланс!$B$7,Баланс!$A$1:$B$3,2,0)</f>
        <v>0</v>
      </c>
      <c r="L14" s="1384"/>
      <c r="M14" s="1384"/>
      <c r="N14" s="1384"/>
      <c r="O14" s="1384"/>
      <c r="P14" s="1411"/>
      <c r="Q14" s="203"/>
      <c r="R14" s="1682">
        <f t="shared" si="16"/>
        <v>0</v>
      </c>
      <c r="S14" s="1682">
        <f t="shared" si="17"/>
        <v>0</v>
      </c>
      <c r="T14" s="1682">
        <f t="shared" si="18"/>
        <v>0</v>
      </c>
      <c r="U14" s="1682">
        <f t="shared" si="19"/>
        <v>0</v>
      </c>
      <c r="V14" s="1682">
        <f t="shared" si="20"/>
        <v>0</v>
      </c>
      <c r="W14" s="1682">
        <f t="shared" si="21"/>
        <v>0</v>
      </c>
      <c r="X14" s="1682">
        <f t="shared" si="22"/>
        <v>0</v>
      </c>
      <c r="Y14" s="1687"/>
      <c r="Z14" s="1687"/>
      <c r="AA14" s="1687"/>
      <c r="AB14" s="110"/>
      <c r="AC14" s="1424"/>
      <c r="AD14" s="1672">
        <f t="shared" si="9"/>
        <v>0</v>
      </c>
      <c r="AE14" s="1672">
        <f t="shared" si="10"/>
        <v>0</v>
      </c>
      <c r="AF14" s="1672">
        <f t="shared" si="11"/>
        <v>0</v>
      </c>
      <c r="AG14" s="1672">
        <f t="shared" si="12"/>
        <v>0</v>
      </c>
      <c r="AH14" s="1672">
        <f t="shared" si="13"/>
        <v>0</v>
      </c>
      <c r="AI14" s="1673"/>
      <c r="AJ14" s="1673"/>
      <c r="AK14" s="1673"/>
      <c r="AL14" s="1673"/>
      <c r="AM14" s="1673"/>
    </row>
    <row r="15" spans="1:43" s="111" customFormat="1" ht="16.5" outlineLevel="1" x14ac:dyDescent="0.3">
      <c r="A15" s="108"/>
      <c r="B15" s="108"/>
      <c r="C15" s="98"/>
      <c r="D15" s="99" t="s">
        <v>32</v>
      </c>
      <c r="E15" s="98"/>
      <c r="F15" s="1383">
        <f>Ввод!G178/VLOOKUP(Баланс!$B$7,Баланс!$A$1:$B$3,2,0)</f>
        <v>0</v>
      </c>
      <c r="G15" s="1383">
        <f>Ввод!H178/VLOOKUP(Баланс!$B$7,Баланс!$A$1:$B$3,2,0)</f>
        <v>0</v>
      </c>
      <c r="H15" s="1383">
        <f>Ввод!I178/VLOOKUP(Баланс!$B$7,Баланс!$A$1:$B$3,2,0)</f>
        <v>0</v>
      </c>
      <c r="I15" s="1383">
        <f>Ввод!J178/VLOOKUP(Баланс!$B$7,Баланс!$A$1:$B$3,2,0)</f>
        <v>0</v>
      </c>
      <c r="J15" s="1383">
        <f>Ввод!K178/VLOOKUP(Баланс!$B$7,Баланс!$A$1:$B$3,2,0)</f>
        <v>0</v>
      </c>
      <c r="K15" s="1383">
        <f>Ввод!L178/VLOOKUP(Баланс!$B$7,Баланс!$A$1:$B$3,2,0)</f>
        <v>0</v>
      </c>
      <c r="L15" s="1384"/>
      <c r="M15" s="1384"/>
      <c r="N15" s="1384"/>
      <c r="O15" s="1383"/>
      <c r="P15" s="1410"/>
      <c r="Q15" s="171"/>
      <c r="R15" s="1681">
        <f t="shared" si="16"/>
        <v>0</v>
      </c>
      <c r="S15" s="1681">
        <f t="shared" si="17"/>
        <v>0</v>
      </c>
      <c r="T15" s="1681">
        <f t="shared" si="18"/>
        <v>0</v>
      </c>
      <c r="U15" s="1681">
        <f t="shared" si="19"/>
        <v>0</v>
      </c>
      <c r="V15" s="1681">
        <f t="shared" si="20"/>
        <v>0</v>
      </c>
      <c r="W15" s="1681">
        <f t="shared" si="21"/>
        <v>0</v>
      </c>
      <c r="X15" s="1681">
        <f t="shared" si="22"/>
        <v>0</v>
      </c>
      <c r="Y15" s="1686"/>
      <c r="Z15" s="1686"/>
      <c r="AA15" s="1686"/>
      <c r="AB15" s="110"/>
      <c r="AC15" s="1423"/>
      <c r="AD15" s="1387">
        <f t="shared" si="9"/>
        <v>0</v>
      </c>
      <c r="AE15" s="1387">
        <f t="shared" si="10"/>
        <v>0</v>
      </c>
      <c r="AF15" s="1387">
        <f t="shared" si="11"/>
        <v>0</v>
      </c>
      <c r="AG15" s="1387">
        <f t="shared" si="12"/>
        <v>0</v>
      </c>
      <c r="AH15" s="1387">
        <f t="shared" si="13"/>
        <v>0</v>
      </c>
      <c r="AI15" s="1671"/>
      <c r="AJ15" s="1671"/>
      <c r="AK15" s="1671"/>
      <c r="AL15" s="1671"/>
      <c r="AM15" s="1671"/>
    </row>
    <row r="16" spans="1:43" s="111" customFormat="1" ht="16.5" outlineLevel="1" x14ac:dyDescent="0.3">
      <c r="A16" s="108"/>
      <c r="B16" s="108"/>
      <c r="C16" s="98"/>
      <c r="D16" s="99" t="s">
        <v>33</v>
      </c>
      <c r="E16" s="98"/>
      <c r="F16" s="1383">
        <f>(Ввод!G183+Ввод!G184)/VLOOKUP(Баланс!$B$7,Баланс!$A$1:$B$3,2,0)</f>
        <v>0</v>
      </c>
      <c r="G16" s="1383">
        <f>(Ввод!H183+Ввод!H184)/VLOOKUP(Баланс!$B$7,Баланс!$A$1:$B$3,2,0)</f>
        <v>3.2534E-2</v>
      </c>
      <c r="H16" s="1383">
        <f>(Ввод!I183+Ввод!I184)/VLOOKUP(Баланс!$B$7,Баланс!$A$1:$B$3,2,0)</f>
        <v>7.2363999999999998E-2</v>
      </c>
      <c r="I16" s="1383">
        <f>(Ввод!J183+Ввод!J184)/VLOOKUP(Баланс!$B$7,Баланс!$A$1:$B$3,2,0)</f>
        <v>0.207894</v>
      </c>
      <c r="J16" s="1383">
        <f>(Ввод!K183+Ввод!K184)/VLOOKUP(Баланс!$B$7,Баланс!$A$1:$B$3,2,0)</f>
        <v>0.52053499999999997</v>
      </c>
      <c r="K16" s="1383">
        <f>(Ввод!L183+Ввод!L184)/VLOOKUP(Баланс!$B$7,Баланс!$A$1:$B$3,2,0)</f>
        <v>0.73840700000000004</v>
      </c>
      <c r="L16" s="1383"/>
      <c r="M16" s="1383"/>
      <c r="N16" s="1383"/>
      <c r="O16" s="1383"/>
      <c r="P16" s="1410"/>
      <c r="Q16" s="171"/>
      <c r="R16" s="1681">
        <f t="shared" si="16"/>
        <v>0</v>
      </c>
      <c r="S16" s="1681">
        <f t="shared" si="17"/>
        <v>4.1218391531263753E-4</v>
      </c>
      <c r="T16" s="1681">
        <f t="shared" si="18"/>
        <v>9.1590460679614289E-4</v>
      </c>
      <c r="U16" s="1681">
        <f t="shared" si="19"/>
        <v>2.6581512335309256E-3</v>
      </c>
      <c r="V16" s="1681">
        <f t="shared" si="20"/>
        <v>6.9249395671691595E-3</v>
      </c>
      <c r="W16" s="1681">
        <f t="shared" si="21"/>
        <v>9.6684656424038742E-3</v>
      </c>
      <c r="X16" s="1681">
        <f t="shared" si="22"/>
        <v>0</v>
      </c>
      <c r="Y16" s="1686"/>
      <c r="Z16" s="1686"/>
      <c r="AA16" s="1686"/>
      <c r="AB16" s="110"/>
      <c r="AC16" s="1423"/>
      <c r="AD16" s="1387">
        <f t="shared" si="9"/>
        <v>3.2534E-2</v>
      </c>
      <c r="AE16" s="1387">
        <f t="shared" si="10"/>
        <v>3.9829999999999997E-2</v>
      </c>
      <c r="AF16" s="1387">
        <f t="shared" si="11"/>
        <v>0.13552999999999998</v>
      </c>
      <c r="AG16" s="1387">
        <f t="shared" si="12"/>
        <v>0.31264099999999995</v>
      </c>
      <c r="AH16" s="1387">
        <f t="shared" si="13"/>
        <v>0.21787200000000007</v>
      </c>
      <c r="AI16" s="1671"/>
      <c r="AJ16" s="1671"/>
      <c r="AK16" s="1671"/>
      <c r="AL16" s="1671"/>
      <c r="AM16" s="1671"/>
    </row>
    <row r="17" spans="1:39" s="111" customFormat="1" ht="16.5" outlineLevel="1" x14ac:dyDescent="0.3">
      <c r="A17" s="108"/>
      <c r="B17" s="108"/>
      <c r="C17" s="98"/>
      <c r="D17" s="99" t="s">
        <v>262</v>
      </c>
      <c r="E17" s="98"/>
      <c r="F17" s="1383">
        <f t="shared" ref="F17" si="23">SUM(F18:F19)</f>
        <v>4.7150669999999995</v>
      </c>
      <c r="G17" s="1383">
        <f t="shared" ref="G17:K17" si="24">SUM(G18:G19)</f>
        <v>9.3590510000000009</v>
      </c>
      <c r="H17" s="1383">
        <f t="shared" si="24"/>
        <v>10.334916</v>
      </c>
      <c r="I17" s="1383">
        <f t="shared" si="24"/>
        <v>17.195208000000001</v>
      </c>
      <c r="J17" s="1383">
        <f t="shared" si="24"/>
        <v>18.256554999999999</v>
      </c>
      <c r="K17" s="1383">
        <f t="shared" si="24"/>
        <v>16.567931000000002</v>
      </c>
      <c r="L17" s="1383"/>
      <c r="M17" s="1383"/>
      <c r="N17" s="1383"/>
      <c r="O17" s="1383"/>
      <c r="P17" s="1410"/>
      <c r="Q17" s="171"/>
      <c r="R17" s="1681">
        <f t="shared" si="16"/>
        <v>6.5811261761781384E-2</v>
      </c>
      <c r="S17" s="1681">
        <f t="shared" si="17"/>
        <v>0.11857288635859888</v>
      </c>
      <c r="T17" s="1681">
        <f t="shared" si="18"/>
        <v>0.13080809760725176</v>
      </c>
      <c r="U17" s="1681">
        <f t="shared" si="19"/>
        <v>0.21985946374604773</v>
      </c>
      <c r="V17" s="1681">
        <f t="shared" si="20"/>
        <v>0.24287615641541865</v>
      </c>
      <c r="W17" s="1681">
        <f t="shared" si="21"/>
        <v>0.21693520191333246</v>
      </c>
      <c r="X17" s="1681">
        <f t="shared" si="22"/>
        <v>0</v>
      </c>
      <c r="Y17" s="1686"/>
      <c r="Z17" s="1686"/>
      <c r="AA17" s="1686"/>
      <c r="AB17" s="110"/>
      <c r="AC17" s="1423"/>
      <c r="AD17" s="1387">
        <f t="shared" si="9"/>
        <v>4.6439840000000014</v>
      </c>
      <c r="AE17" s="1387">
        <f t="shared" si="10"/>
        <v>0.97586499999999887</v>
      </c>
      <c r="AF17" s="1387">
        <f t="shared" si="11"/>
        <v>6.8602920000000012</v>
      </c>
      <c r="AG17" s="1387">
        <f t="shared" si="12"/>
        <v>1.0613469999999978</v>
      </c>
      <c r="AH17" s="1387">
        <f t="shared" si="13"/>
        <v>-1.6886239999999972</v>
      </c>
      <c r="AI17" s="1671"/>
      <c r="AJ17" s="1671"/>
      <c r="AK17" s="1671"/>
      <c r="AL17" s="1671"/>
      <c r="AM17" s="1671"/>
    </row>
    <row r="18" spans="1:39" s="111" customFormat="1" ht="16.5" outlineLevel="2" x14ac:dyDescent="0.3">
      <c r="A18" s="108"/>
      <c r="B18" s="108"/>
      <c r="C18" s="201"/>
      <c r="D18" s="202" t="s">
        <v>74</v>
      </c>
      <c r="E18" s="201" t="s">
        <v>263</v>
      </c>
      <c r="F18" s="1383">
        <f>Ввод!G186/VLOOKUP(Баланс!$B$7,Баланс!$A$1:$B$3,2,0)</f>
        <v>0.80569500000000005</v>
      </c>
      <c r="G18" s="1383">
        <f>Ввод!H186/VLOOKUP(Баланс!$B$7,Баланс!$A$1:$B$3,2,0)</f>
        <v>1.423861</v>
      </c>
      <c r="H18" s="1383">
        <f>Ввод!I186/VLOOKUP(Баланс!$B$7,Баланс!$A$1:$B$3,2,0)</f>
        <v>2.1806489999999998</v>
      </c>
      <c r="I18" s="1383">
        <f>Ввод!J186/VLOOKUP(Баланс!$B$7,Баланс!$A$1:$B$3,2,0)</f>
        <v>6.0026400000000004</v>
      </c>
      <c r="J18" s="1383">
        <f>Ввод!K186/VLOOKUP(Баланс!$B$7,Баланс!$A$1:$B$3,2,0)</f>
        <v>15.740831999999999</v>
      </c>
      <c r="K18" s="1383">
        <f>Ввод!L186/VLOOKUP(Баланс!$B$7,Баланс!$A$1:$B$3,2,0)</f>
        <v>12.89955</v>
      </c>
      <c r="L18" s="1383"/>
      <c r="M18" s="1383"/>
      <c r="N18" s="1383"/>
      <c r="O18" s="1383"/>
      <c r="P18" s="1410"/>
      <c r="Q18" s="203"/>
      <c r="R18" s="1682">
        <f t="shared" si="16"/>
        <v>1.124560998712393E-2</v>
      </c>
      <c r="S18" s="1682">
        <f t="shared" si="17"/>
        <v>1.8039361954907709E-2</v>
      </c>
      <c r="T18" s="1682">
        <f t="shared" si="18"/>
        <v>2.7600277277450142E-2</v>
      </c>
      <c r="U18" s="1682">
        <f t="shared" si="19"/>
        <v>7.6750290631004636E-2</v>
      </c>
      <c r="V18" s="1682">
        <f t="shared" si="20"/>
        <v>0.20940822487817815</v>
      </c>
      <c r="W18" s="1682">
        <f t="shared" si="21"/>
        <v>0.16890259162964449</v>
      </c>
      <c r="X18" s="1682">
        <f t="shared" si="22"/>
        <v>0</v>
      </c>
      <c r="Y18" s="1687"/>
      <c r="Z18" s="1687"/>
      <c r="AA18" s="1687"/>
      <c r="AB18" s="110"/>
      <c r="AC18" s="1424"/>
      <c r="AD18" s="1672">
        <f t="shared" si="9"/>
        <v>0.61816599999999999</v>
      </c>
      <c r="AE18" s="1672">
        <f t="shared" si="10"/>
        <v>0.75678799999999979</v>
      </c>
      <c r="AF18" s="1672">
        <f t="shared" si="11"/>
        <v>3.8219910000000006</v>
      </c>
      <c r="AG18" s="1672">
        <f t="shared" si="12"/>
        <v>9.738191999999998</v>
      </c>
      <c r="AH18" s="1672">
        <f t="shared" si="13"/>
        <v>-2.8412819999999996</v>
      </c>
      <c r="AI18" s="1673"/>
      <c r="AJ18" s="1673"/>
      <c r="AK18" s="1673"/>
      <c r="AL18" s="1673"/>
      <c r="AM18" s="1673"/>
    </row>
    <row r="19" spans="1:39" s="111" customFormat="1" ht="16.5" outlineLevel="2" x14ac:dyDescent="0.3">
      <c r="A19" s="108"/>
      <c r="B19" s="108"/>
      <c r="C19" s="201"/>
      <c r="D19" s="202" t="s">
        <v>74</v>
      </c>
      <c r="E19" s="201" t="s">
        <v>264</v>
      </c>
      <c r="F19" s="1383">
        <f>Ввод!G185/VLOOKUP(Баланс!$B$7,Баланс!$A$1:$B$3,2,0)</f>
        <v>3.9093719999999998</v>
      </c>
      <c r="G19" s="1383">
        <f>Ввод!H185/VLOOKUP(Баланс!$B$7,Баланс!$A$1:$B$3,2,0)</f>
        <v>7.9351900000000004</v>
      </c>
      <c r="H19" s="1383">
        <f>Ввод!I185/VLOOKUP(Баланс!$B$7,Баланс!$A$1:$B$3,2,0)</f>
        <v>8.1542670000000008</v>
      </c>
      <c r="I19" s="1383">
        <f>Ввод!J185/VLOOKUP(Баланс!$B$7,Баланс!$A$1:$B$3,2,0)</f>
        <v>11.192568</v>
      </c>
      <c r="J19" s="1383">
        <f>Ввод!K185/VLOOKUP(Баланс!$B$7,Баланс!$A$1:$B$3,2,0)</f>
        <v>2.5157229999999999</v>
      </c>
      <c r="K19" s="1383">
        <f>Ввод!L185/VLOOKUP(Баланс!$B$7,Баланс!$A$1:$B$3,2,0)</f>
        <v>3.6683810000000001</v>
      </c>
      <c r="L19" s="1383"/>
      <c r="M19" s="1383"/>
      <c r="N19" s="1383"/>
      <c r="O19" s="1383"/>
      <c r="P19" s="1410"/>
      <c r="Q19" s="203"/>
      <c r="R19" s="1682">
        <f t="shared" si="16"/>
        <v>5.456565177465747E-2</v>
      </c>
      <c r="S19" s="1682">
        <f t="shared" si="17"/>
        <v>0.10053352440369116</v>
      </c>
      <c r="T19" s="1682">
        <f t="shared" si="18"/>
        <v>0.10320782032980162</v>
      </c>
      <c r="U19" s="1682">
        <f t="shared" si="19"/>
        <v>0.14310917311504306</v>
      </c>
      <c r="V19" s="1682">
        <f t="shared" si="20"/>
        <v>3.3467931537240529E-2</v>
      </c>
      <c r="W19" s="1682">
        <f t="shared" si="21"/>
        <v>4.8032610283687951E-2</v>
      </c>
      <c r="X19" s="1682">
        <f t="shared" si="22"/>
        <v>0</v>
      </c>
      <c r="Y19" s="1687"/>
      <c r="Z19" s="1687"/>
      <c r="AA19" s="1687"/>
      <c r="AB19" s="110"/>
      <c r="AC19" s="1424"/>
      <c r="AD19" s="1672">
        <f t="shared" si="9"/>
        <v>4.025818000000001</v>
      </c>
      <c r="AE19" s="1672">
        <f t="shared" si="10"/>
        <v>0.21907700000000041</v>
      </c>
      <c r="AF19" s="1672">
        <f t="shared" si="11"/>
        <v>3.0383009999999988</v>
      </c>
      <c r="AG19" s="1672">
        <f t="shared" si="12"/>
        <v>-8.6768450000000001</v>
      </c>
      <c r="AH19" s="1672">
        <f t="shared" si="13"/>
        <v>1.1526580000000002</v>
      </c>
      <c r="AI19" s="1673"/>
      <c r="AJ19" s="1673"/>
      <c r="AK19" s="1673"/>
      <c r="AL19" s="1673"/>
      <c r="AM19" s="1673"/>
    </row>
    <row r="20" spans="1:39" s="111" customFormat="1" ht="16.5" outlineLevel="1" x14ac:dyDescent="0.3">
      <c r="A20" s="108"/>
      <c r="B20" s="108"/>
      <c r="C20" s="201"/>
      <c r="D20" s="204" t="s">
        <v>265</v>
      </c>
      <c r="E20" s="201"/>
      <c r="F20" s="1385"/>
      <c r="G20" s="1385"/>
      <c r="H20" s="1385"/>
      <c r="I20" s="1385"/>
      <c r="J20" s="1385"/>
      <c r="K20" s="1385"/>
      <c r="L20" s="1385"/>
      <c r="M20" s="1385"/>
      <c r="N20" s="1386"/>
      <c r="O20" s="1386"/>
      <c r="P20" s="1412"/>
      <c r="Q20" s="203"/>
      <c r="R20" s="1682">
        <f t="shared" si="16"/>
        <v>0</v>
      </c>
      <c r="S20" s="1682">
        <f t="shared" si="17"/>
        <v>0</v>
      </c>
      <c r="T20" s="1682">
        <f t="shared" si="18"/>
        <v>0</v>
      </c>
      <c r="U20" s="1682">
        <f t="shared" si="19"/>
        <v>0</v>
      </c>
      <c r="V20" s="1682">
        <f t="shared" si="20"/>
        <v>0</v>
      </c>
      <c r="W20" s="1682">
        <f t="shared" si="21"/>
        <v>0</v>
      </c>
      <c r="X20" s="1682">
        <f t="shared" si="22"/>
        <v>0</v>
      </c>
      <c r="Y20" s="1687"/>
      <c r="Z20" s="1687"/>
      <c r="AA20" s="1687"/>
      <c r="AB20" s="110"/>
      <c r="AC20" s="1425"/>
      <c r="AD20" s="1386">
        <f t="shared" si="9"/>
        <v>0</v>
      </c>
      <c r="AE20" s="1386">
        <f t="shared" si="10"/>
        <v>0</v>
      </c>
      <c r="AF20" s="1386">
        <f t="shared" si="11"/>
        <v>0</v>
      </c>
      <c r="AG20" s="1386">
        <f t="shared" si="12"/>
        <v>0</v>
      </c>
      <c r="AH20" s="1386">
        <f t="shared" si="13"/>
        <v>0</v>
      </c>
      <c r="AI20" s="1674"/>
      <c r="AJ20" s="1674"/>
      <c r="AK20" s="1674"/>
      <c r="AL20" s="1674"/>
      <c r="AM20" s="1674"/>
    </row>
    <row r="21" spans="1:39" s="111" customFormat="1" ht="16.5" outlineLevel="1" x14ac:dyDescent="0.3">
      <c r="A21" s="108"/>
      <c r="B21" s="108"/>
      <c r="C21" s="205" t="s">
        <v>74</v>
      </c>
      <c r="D21" s="99" t="s">
        <v>226</v>
      </c>
      <c r="E21" s="98"/>
      <c r="F21" s="1383">
        <f>-Ввод!G188/VLOOKUP(Баланс!$B$7,Баланс!$A$1:$B$3,2,0)</f>
        <v>-0.15629999999999999</v>
      </c>
      <c r="G21" s="1383">
        <f>-Ввод!H188/VLOOKUP(Баланс!$B$7,Баланс!$A$1:$B$3,2,0)</f>
        <v>-0.31487799999999999</v>
      </c>
      <c r="H21" s="1383">
        <f>-Ввод!I188/VLOOKUP(Баланс!$B$7,Баланс!$A$1:$B$3,2,0)</f>
        <v>-0.742641</v>
      </c>
      <c r="I21" s="1383">
        <f>-Ввод!J188/VLOOKUP(Баланс!$B$7,Баланс!$A$1:$B$3,2,0)</f>
        <v>-1.7831920000000001</v>
      </c>
      <c r="J21" s="1383">
        <f>-Ввод!K188/VLOOKUP(Баланс!$B$7,Баланс!$A$1:$B$3,2,0)</f>
        <v>-3.037328</v>
      </c>
      <c r="K21" s="1383">
        <f>-Ввод!L188/VLOOKUP(Баланс!$B$7,Баланс!$A$1:$B$3,2,0)</f>
        <v>-4.4097850000000003</v>
      </c>
      <c r="L21" s="1383"/>
      <c r="M21" s="1383"/>
      <c r="N21" s="1383"/>
      <c r="O21" s="1383"/>
      <c r="P21" s="1410"/>
      <c r="Q21" s="171"/>
      <c r="R21" s="1681">
        <f t="shared" si="16"/>
        <v>-2.1815809220455261E-3</v>
      </c>
      <c r="S21" s="1681">
        <f t="shared" si="17"/>
        <v>-3.9892926441818608E-3</v>
      </c>
      <c r="T21" s="1681">
        <f t="shared" si="18"/>
        <v>-9.3995400074027742E-3</v>
      </c>
      <c r="U21" s="1681">
        <f t="shared" si="19"/>
        <v>-2.2800052018925408E-2</v>
      </c>
      <c r="V21" s="1681">
        <f t="shared" si="20"/>
        <v>-4.0407105853921002E-2</v>
      </c>
      <c r="W21" s="1681">
        <f t="shared" si="21"/>
        <v>-5.7740317687790026E-2</v>
      </c>
      <c r="X21" s="1681">
        <f t="shared" si="22"/>
        <v>0</v>
      </c>
      <c r="Y21" s="1686"/>
      <c r="Z21" s="1686"/>
      <c r="AA21" s="1686"/>
      <c r="AB21" s="110"/>
      <c r="AC21" s="1423"/>
      <c r="AD21" s="1387">
        <f t="shared" si="9"/>
        <v>-0.158578</v>
      </c>
      <c r="AE21" s="1387">
        <f t="shared" si="10"/>
        <v>-0.427763</v>
      </c>
      <c r="AF21" s="1387">
        <f t="shared" si="11"/>
        <v>-1.0405510000000002</v>
      </c>
      <c r="AG21" s="1387">
        <f t="shared" si="12"/>
        <v>-1.2541359999999999</v>
      </c>
      <c r="AH21" s="1387">
        <f t="shared" si="13"/>
        <v>-1.3724570000000003</v>
      </c>
      <c r="AI21" s="1671"/>
      <c r="AJ21" s="1671"/>
      <c r="AK21" s="1671"/>
      <c r="AL21" s="1671"/>
      <c r="AM21" s="1671"/>
    </row>
    <row r="22" spans="1:39" s="111" customFormat="1" ht="16.5" outlineLevel="1" x14ac:dyDescent="0.3">
      <c r="A22" s="108"/>
      <c r="B22" s="108"/>
      <c r="C22" s="205" t="s">
        <v>74</v>
      </c>
      <c r="D22" s="99" t="s">
        <v>223</v>
      </c>
      <c r="E22" s="98"/>
      <c r="F22" s="1383">
        <f>-Ввод!G194/VLOOKUP(Баланс!$B$7,Баланс!$A$1:$B$3,2,0)</f>
        <v>-0.65542999999999996</v>
      </c>
      <c r="G22" s="1383">
        <f>-Ввод!H194/VLOOKUP(Баланс!$B$7,Баланс!$A$1:$B$3,2,0)</f>
        <v>-0.28924899999999998</v>
      </c>
      <c r="H22" s="1383">
        <f>-Ввод!I194/VLOOKUP(Баланс!$B$7,Баланс!$A$1:$B$3,2,0)</f>
        <v>0</v>
      </c>
      <c r="I22" s="1383">
        <f>-Ввод!J194/VLOOKUP(Баланс!$B$7,Баланс!$A$1:$B$3,2,0)</f>
        <v>0</v>
      </c>
      <c r="J22" s="1383">
        <f>-Ввод!K194/VLOOKUP(Баланс!$B$7,Баланс!$A$1:$B$3,2,0)</f>
        <v>0</v>
      </c>
      <c r="K22" s="1383">
        <f>-Ввод!L194/VLOOKUP(Баланс!$B$7,Баланс!$A$1:$B$3,2,0)</f>
        <v>0</v>
      </c>
      <c r="L22" s="1383"/>
      <c r="M22" s="1383"/>
      <c r="N22" s="1383"/>
      <c r="O22" s="1383"/>
      <c r="P22" s="1410"/>
      <c r="Q22" s="171"/>
      <c r="R22" s="1681">
        <f t="shared" si="16"/>
        <v>-9.1482634915950028E-3</v>
      </c>
      <c r="S22" s="1681">
        <f t="shared" si="17"/>
        <v>-3.6645904383188384E-3</v>
      </c>
      <c r="T22" s="1681">
        <f t="shared" si="18"/>
        <v>0</v>
      </c>
      <c r="U22" s="1681">
        <f t="shared" si="19"/>
        <v>0</v>
      </c>
      <c r="V22" s="1681">
        <f t="shared" si="20"/>
        <v>0</v>
      </c>
      <c r="W22" s="1681">
        <f t="shared" si="21"/>
        <v>0</v>
      </c>
      <c r="X22" s="1681">
        <f t="shared" si="22"/>
        <v>0</v>
      </c>
      <c r="Y22" s="1686"/>
      <c r="Z22" s="1686"/>
      <c r="AA22" s="1686"/>
      <c r="AB22" s="110"/>
      <c r="AC22" s="1423"/>
      <c r="AD22" s="1387">
        <f t="shared" si="9"/>
        <v>0.36618099999999998</v>
      </c>
      <c r="AE22" s="1387">
        <f t="shared" si="10"/>
        <v>0.28924899999999998</v>
      </c>
      <c r="AF22" s="1387">
        <f t="shared" si="11"/>
        <v>0</v>
      </c>
      <c r="AG22" s="1387">
        <f t="shared" si="12"/>
        <v>0</v>
      </c>
      <c r="AH22" s="1387">
        <f t="shared" si="13"/>
        <v>0</v>
      </c>
      <c r="AI22" s="1671"/>
      <c r="AJ22" s="1671"/>
      <c r="AK22" s="1671"/>
      <c r="AL22" s="1671"/>
      <c r="AM22" s="1671"/>
    </row>
    <row r="23" spans="1:39" s="111" customFormat="1" ht="16.5" outlineLevel="1" x14ac:dyDescent="0.3">
      <c r="A23" s="108"/>
      <c r="B23" s="108"/>
      <c r="C23" s="205" t="s">
        <v>74</v>
      </c>
      <c r="D23" s="99" t="s">
        <v>225</v>
      </c>
      <c r="E23" s="98"/>
      <c r="F23" s="1383">
        <f>-(Ввод!G199+Ввод!G200)/VLOOKUP(Баланс!$B$7,Баланс!$A$1:$B$3,2,0)</f>
        <v>-0.26350699999999999</v>
      </c>
      <c r="G23" s="1383">
        <f>-(Ввод!H199+Ввод!H200)/VLOOKUP(Баланс!$B$7,Баланс!$A$1:$B$3,2,0)</f>
        <v>0</v>
      </c>
      <c r="H23" s="1383">
        <f>-(Ввод!I199+Ввод!I200)/VLOOKUP(Баланс!$B$7,Баланс!$A$1:$B$3,2,0)</f>
        <v>0</v>
      </c>
      <c r="I23" s="1383">
        <f>-(Ввод!J199+Ввод!J200)/VLOOKUP(Баланс!$B$7,Баланс!$A$1:$B$3,2,0)</f>
        <v>-1.167346</v>
      </c>
      <c r="J23" s="1383">
        <f>-(Ввод!K199+Ввод!K200)/VLOOKUP(Баланс!$B$7,Баланс!$A$1:$B$3,2,0)</f>
        <v>-1.0157940000000001</v>
      </c>
      <c r="K23" s="1383">
        <f>-(Ввод!L199+Ввод!L200)/VLOOKUP(Баланс!$B$7,Баланс!$A$1:$B$3,2,0)</f>
        <v>-0.63845200000000002</v>
      </c>
      <c r="L23" s="1383"/>
      <c r="M23" s="1383"/>
      <c r="N23" s="1383"/>
      <c r="O23" s="1383"/>
      <c r="P23" s="1410"/>
      <c r="Q23" s="171"/>
      <c r="R23" s="1688">
        <f t="shared" si="16"/>
        <v>-3.6779388613272582E-3</v>
      </c>
      <c r="S23" s="1688">
        <f t="shared" si="17"/>
        <v>0</v>
      </c>
      <c r="T23" s="1688">
        <f t="shared" si="18"/>
        <v>0</v>
      </c>
      <c r="U23" s="1681">
        <f t="shared" si="19"/>
        <v>-1.4925790113506844E-2</v>
      </c>
      <c r="V23" s="1688">
        <f t="shared" si="20"/>
        <v>-1.351361976177016E-2</v>
      </c>
      <c r="W23" s="1688">
        <f t="shared" si="21"/>
        <v>-8.3596867666802157E-3</v>
      </c>
      <c r="X23" s="1688">
        <f t="shared" si="22"/>
        <v>0</v>
      </c>
      <c r="Y23" s="1689"/>
      <c r="Z23" s="1689"/>
      <c r="AA23" s="1689"/>
      <c r="AB23" s="110"/>
      <c r="AC23" s="1426"/>
      <c r="AD23" s="1383">
        <f t="shared" si="9"/>
        <v>0.26350699999999999</v>
      </c>
      <c r="AE23" s="1383">
        <f t="shared" si="10"/>
        <v>0</v>
      </c>
      <c r="AF23" s="1383">
        <f t="shared" si="11"/>
        <v>-1.167346</v>
      </c>
      <c r="AG23" s="1383">
        <f t="shared" si="12"/>
        <v>0.15155199999999991</v>
      </c>
      <c r="AH23" s="1383">
        <f t="shared" si="13"/>
        <v>0.37734200000000007</v>
      </c>
      <c r="AI23" s="1675"/>
      <c r="AJ23" s="1675"/>
      <c r="AK23" s="1675"/>
      <c r="AL23" s="1675"/>
      <c r="AM23" s="1675"/>
    </row>
    <row r="24" spans="1:39" s="111" customFormat="1" ht="16.5" outlineLevel="1" x14ac:dyDescent="0.3">
      <c r="A24" s="108"/>
      <c r="B24" s="108"/>
      <c r="C24" s="205" t="s">
        <v>74</v>
      </c>
      <c r="D24" s="99" t="s">
        <v>1438</v>
      </c>
      <c r="E24" s="98"/>
      <c r="F24" s="1383">
        <f>-(Ввод!G201+Ввод!G202+Ввод!G203+Ввод!G204+Ввод!G205)/VLOOKUP(Баланс!$B$7,Баланс!$A$1:$B$3,2,0)</f>
        <v>0</v>
      </c>
      <c r="G24" s="1383">
        <f>-(Ввод!H201+Ввод!H202+Ввод!H203+Ввод!H204+Ввод!H205)/VLOOKUP(Баланс!$B$7,Баланс!$A$1:$B$3,2,0)</f>
        <v>0</v>
      </c>
      <c r="H24" s="1383">
        <f>-(Ввод!I201+Ввод!I202+Ввод!I203+Ввод!I204+Ввод!I205)/VLOOKUP(Баланс!$B$7,Баланс!$A$1:$B$3,2,0)</f>
        <v>-0.37828099999999998</v>
      </c>
      <c r="I24" s="1383">
        <f>-(Ввод!J201+Ввод!J202+Ввод!J203+Ввод!J204+Ввод!J205)/VLOOKUP(Баланс!$B$7,Баланс!$A$1:$B$3,2,0)</f>
        <v>-0.37733</v>
      </c>
      <c r="J24" s="1383">
        <f>-(Ввод!K201+Ввод!K202+Ввод!K203+Ввод!K204+Ввод!K205)/VLOOKUP(Баланс!$B$7,Баланс!$A$1:$B$3,2,0)</f>
        <v>-0.39769500000000002</v>
      </c>
      <c r="K24" s="1383">
        <f>-(Ввод!L201+Ввод!L202+Ввод!L203+Ввод!L204+Ввод!L205)/VLOOKUP(Баланс!$B$7,Баланс!$A$1:$B$3,2,0)</f>
        <v>-0.41048499999999999</v>
      </c>
      <c r="L24" s="1383"/>
      <c r="M24" s="1383"/>
      <c r="N24" s="1383"/>
      <c r="O24" s="1383"/>
      <c r="P24" s="1410"/>
      <c r="Q24" s="171"/>
      <c r="R24" s="1688">
        <f t="shared" si="16"/>
        <v>0</v>
      </c>
      <c r="S24" s="1688">
        <f t="shared" si="17"/>
        <v>0</v>
      </c>
      <c r="T24" s="1688">
        <f t="shared" si="18"/>
        <v>-4.7878684230204483E-3</v>
      </c>
      <c r="U24" s="1681">
        <f t="shared" si="19"/>
        <v>-4.8245750476118799E-3</v>
      </c>
      <c r="V24" s="1688">
        <f t="shared" si="20"/>
        <v>-5.2907371092536315E-3</v>
      </c>
      <c r="W24" s="1688">
        <f t="shared" si="21"/>
        <v>-5.3747596098386854E-3</v>
      </c>
      <c r="X24" s="1688">
        <f t="shared" si="22"/>
        <v>0</v>
      </c>
      <c r="Y24" s="1689"/>
      <c r="Z24" s="1689"/>
      <c r="AA24" s="1689"/>
      <c r="AB24" s="110"/>
      <c r="AC24" s="1426"/>
      <c r="AD24" s="1383">
        <f t="shared" si="9"/>
        <v>0</v>
      </c>
      <c r="AE24" s="1383">
        <f t="shared" si="10"/>
        <v>-0.37828099999999998</v>
      </c>
      <c r="AF24" s="1383">
        <f t="shared" si="11"/>
        <v>9.5099999999997964E-4</v>
      </c>
      <c r="AG24" s="1383">
        <f t="shared" si="12"/>
        <v>-2.0365000000000022E-2</v>
      </c>
      <c r="AH24" s="1383">
        <f t="shared" si="13"/>
        <v>-1.2789999999999968E-2</v>
      </c>
      <c r="AI24" s="1675"/>
      <c r="AJ24" s="1675"/>
      <c r="AK24" s="1675"/>
      <c r="AL24" s="1675"/>
      <c r="AM24" s="1675"/>
    </row>
    <row r="25" spans="1:39" s="111" customFormat="1" ht="16.5" outlineLevel="1" x14ac:dyDescent="0.3">
      <c r="A25" s="108"/>
      <c r="B25" s="108"/>
      <c r="C25" s="205" t="s">
        <v>74</v>
      </c>
      <c r="D25" s="99" t="s">
        <v>224</v>
      </c>
      <c r="E25" s="98"/>
      <c r="F25" s="1383">
        <f>-Ввод!G206/VLOOKUP(Баланс!$B$7,Баланс!$A$1:$B$3,2,0)</f>
        <v>0</v>
      </c>
      <c r="G25" s="1383">
        <f>-Ввод!H206/VLOOKUP(Баланс!$B$7,Баланс!$A$1:$B$3,2,0)</f>
        <v>0</v>
      </c>
      <c r="H25" s="1383">
        <f>-Ввод!I206/VLOOKUP(Баланс!$B$7,Баланс!$A$1:$B$3,2,0)</f>
        <v>0</v>
      </c>
      <c r="I25" s="1383">
        <f>-Ввод!J206/VLOOKUP(Баланс!$B$7,Баланс!$A$1:$B$3,2,0)</f>
        <v>0</v>
      </c>
      <c r="J25" s="1383">
        <f>-Ввод!K206/VLOOKUP(Баланс!$B$7,Баланс!$A$1:$B$3,2,0)</f>
        <v>0</v>
      </c>
      <c r="K25" s="1383">
        <f>-Ввод!L206/VLOOKUP(Баланс!$B$7,Баланс!$A$1:$B$3,2,0)</f>
        <v>0</v>
      </c>
      <c r="L25" s="1383"/>
      <c r="M25" s="1383"/>
      <c r="N25" s="1383"/>
      <c r="O25" s="1383"/>
      <c r="P25" s="1410"/>
      <c r="Q25" s="171"/>
      <c r="R25" s="1688">
        <f t="shared" si="16"/>
        <v>0</v>
      </c>
      <c r="S25" s="1688">
        <f t="shared" si="17"/>
        <v>0</v>
      </c>
      <c r="T25" s="1688">
        <f t="shared" si="18"/>
        <v>0</v>
      </c>
      <c r="U25" s="1681">
        <f t="shared" si="19"/>
        <v>0</v>
      </c>
      <c r="V25" s="1688">
        <f t="shared" si="20"/>
        <v>0</v>
      </c>
      <c r="W25" s="1688">
        <f t="shared" si="21"/>
        <v>0</v>
      </c>
      <c r="X25" s="1688">
        <f t="shared" si="22"/>
        <v>0</v>
      </c>
      <c r="Y25" s="1689"/>
      <c r="Z25" s="1689"/>
      <c r="AA25" s="1689"/>
      <c r="AB25" s="110"/>
      <c r="AC25" s="1426"/>
      <c r="AD25" s="1383">
        <f t="shared" ref="AD25:AE70" si="25">G25-F25</f>
        <v>0</v>
      </c>
      <c r="AE25" s="1383">
        <f t="shared" si="25"/>
        <v>0</v>
      </c>
      <c r="AF25" s="1383">
        <f t="shared" ref="AF25:AF70" si="26">I25-H25</f>
        <v>0</v>
      </c>
      <c r="AG25" s="1383">
        <f t="shared" si="12"/>
        <v>0</v>
      </c>
      <c r="AH25" s="1383">
        <f t="shared" si="13"/>
        <v>0</v>
      </c>
      <c r="AI25" s="1675"/>
      <c r="AJ25" s="1675"/>
      <c r="AK25" s="1675"/>
      <c r="AL25" s="1675"/>
      <c r="AM25" s="1675"/>
    </row>
    <row r="26" spans="1:39" s="111" customFormat="1" ht="16.5" outlineLevel="1" x14ac:dyDescent="0.3">
      <c r="A26" s="108"/>
      <c r="B26" s="108"/>
      <c r="C26" s="205" t="s">
        <v>74</v>
      </c>
      <c r="D26" s="99" t="s">
        <v>227</v>
      </c>
      <c r="E26" s="98"/>
      <c r="F26" s="1383">
        <f>-Ввод!G207/VLOOKUP(Баланс!$B$7,Баланс!$A$1:$B$3,2,0)</f>
        <v>0</v>
      </c>
      <c r="G26" s="1383">
        <f>-Ввод!H207/VLOOKUP(Баланс!$B$7,Баланс!$A$1:$B$3,2,0)</f>
        <v>0</v>
      </c>
      <c r="H26" s="1383">
        <f>-Ввод!I207/VLOOKUP(Баланс!$B$7,Баланс!$A$1:$B$3,2,0)</f>
        <v>0</v>
      </c>
      <c r="I26" s="1383">
        <f>-Ввод!J207/VLOOKUP(Баланс!$B$7,Баланс!$A$1:$B$3,2,0)</f>
        <v>0</v>
      </c>
      <c r="J26" s="1383">
        <f>-Ввод!K207/VLOOKUP(Баланс!$B$7,Баланс!$A$1:$B$3,2,0)</f>
        <v>-1.2066790000000001</v>
      </c>
      <c r="K26" s="1383">
        <f>-Ввод!L207/VLOOKUP(Баланс!$B$7,Баланс!$A$1:$B$3,2,0)</f>
        <v>0</v>
      </c>
      <c r="L26" s="1383"/>
      <c r="M26" s="1383"/>
      <c r="N26" s="1383"/>
      <c r="O26" s="1383"/>
      <c r="P26" s="1410"/>
      <c r="Q26" s="171"/>
      <c r="R26" s="1688">
        <f t="shared" si="16"/>
        <v>0</v>
      </c>
      <c r="S26" s="1688">
        <f t="shared" si="17"/>
        <v>0</v>
      </c>
      <c r="T26" s="1688">
        <f t="shared" si="18"/>
        <v>0</v>
      </c>
      <c r="U26" s="1681">
        <f t="shared" si="19"/>
        <v>0</v>
      </c>
      <c r="V26" s="1688">
        <f t="shared" si="20"/>
        <v>-1.6053059164075643E-2</v>
      </c>
      <c r="W26" s="1688">
        <f t="shared" si="21"/>
        <v>0</v>
      </c>
      <c r="X26" s="1688">
        <f t="shared" si="22"/>
        <v>0</v>
      </c>
      <c r="Y26" s="1689"/>
      <c r="Z26" s="1689"/>
      <c r="AA26" s="1689"/>
      <c r="AB26" s="110"/>
      <c r="AC26" s="1426"/>
      <c r="AD26" s="1383">
        <f t="shared" si="25"/>
        <v>0</v>
      </c>
      <c r="AE26" s="1383">
        <f t="shared" si="25"/>
        <v>0</v>
      </c>
      <c r="AF26" s="1383">
        <f t="shared" si="26"/>
        <v>0</v>
      </c>
      <c r="AG26" s="1383">
        <f t="shared" si="12"/>
        <v>-1.2066790000000001</v>
      </c>
      <c r="AH26" s="1383">
        <f t="shared" si="13"/>
        <v>1.2066790000000001</v>
      </c>
      <c r="AI26" s="1675"/>
      <c r="AJ26" s="1675"/>
      <c r="AK26" s="1675"/>
      <c r="AL26" s="1675"/>
      <c r="AM26" s="1675"/>
    </row>
    <row r="27" spans="1:39" s="111" customFormat="1" ht="16.5" outlineLevel="1" x14ac:dyDescent="0.3">
      <c r="A27" s="108"/>
      <c r="B27" s="108"/>
      <c r="C27" s="205" t="s">
        <v>74</v>
      </c>
      <c r="D27" s="99" t="s">
        <v>1552</v>
      </c>
      <c r="E27" s="98"/>
      <c r="F27" s="1383">
        <f>-(Ввод!G195+Ввод!G197)/VLOOKUP(Баланс!$B$7,Баланс!$A$1:$B$3,2,0)</f>
        <v>-0.28514099999999998</v>
      </c>
      <c r="G27" s="1383">
        <f>-(Ввод!H195+Ввод!H197)/VLOOKUP(Баланс!$B$7,Баланс!$A$1:$B$3,2,0)</f>
        <v>-0.29984899999999998</v>
      </c>
      <c r="H27" s="1383">
        <f>-(Ввод!I195+Ввод!I197)/VLOOKUP(Баланс!$B$7,Баланс!$A$1:$B$3,2,0)</f>
        <v>-0.22419800000000001</v>
      </c>
      <c r="I27" s="1383">
        <f>-(Ввод!J195+Ввод!J197)/VLOOKUP(Баланс!$B$7,Баланс!$A$1:$B$3,2,0)</f>
        <v>-0.22419800000000001</v>
      </c>
      <c r="J27" s="1383">
        <f>-(Ввод!K195+Ввод!K197)/VLOOKUP(Баланс!$B$7,Баланс!$A$1:$B$3,2,0)</f>
        <v>-0.22419800000000001</v>
      </c>
      <c r="K27" s="1383">
        <f>-(Ввод!L195+Ввод!L197)/VLOOKUP(Баланс!$B$7,Баланс!$A$1:$B$3,2,0)</f>
        <v>-0.22419800000000001</v>
      </c>
      <c r="L27" s="1383"/>
      <c r="M27" s="1383"/>
      <c r="N27" s="1383"/>
      <c r="O27" s="1383"/>
      <c r="P27" s="1410"/>
      <c r="Q27" s="171"/>
      <c r="R27" s="1688"/>
      <c r="S27" s="1688"/>
      <c r="T27" s="1688"/>
      <c r="U27" s="1681"/>
      <c r="V27" s="1688"/>
      <c r="W27" s="1688"/>
      <c r="X27" s="1688"/>
      <c r="Y27" s="1689"/>
      <c r="Z27" s="1689"/>
      <c r="AA27" s="1689"/>
      <c r="AB27" s="110"/>
      <c r="AC27" s="1426"/>
      <c r="AD27" s="1383"/>
      <c r="AE27" s="1383"/>
      <c r="AF27" s="1383"/>
      <c r="AG27" s="1383"/>
      <c r="AH27" s="1383"/>
      <c r="AI27" s="1675"/>
      <c r="AJ27" s="1675"/>
      <c r="AK27" s="1675"/>
      <c r="AL27" s="1675"/>
      <c r="AM27" s="1675"/>
    </row>
    <row r="28" spans="1:39" s="111" customFormat="1" ht="16.5" outlineLevel="1" x14ac:dyDescent="0.3">
      <c r="A28" s="108"/>
      <c r="B28" s="108"/>
      <c r="C28" s="205" t="s">
        <v>74</v>
      </c>
      <c r="D28" s="99" t="s">
        <v>1440</v>
      </c>
      <c r="E28" s="98"/>
      <c r="F28" s="1383">
        <f>-Ввод!G196/VLOOKUP(Баланс!$B$7,Баланс!$A$1:$B$3,2,0)</f>
        <v>0</v>
      </c>
      <c r="G28" s="1383">
        <f>-Ввод!H196/VLOOKUP(Баланс!$B$7,Баланс!$A$1:$B$3,2,0)</f>
        <v>0</v>
      </c>
      <c r="H28" s="1383">
        <f>-Ввод!I196/VLOOKUP(Баланс!$B$7,Баланс!$A$1:$B$3,2,0)</f>
        <v>0</v>
      </c>
      <c r="I28" s="1383">
        <f>-Ввод!J196/VLOOKUP(Баланс!$B$7,Баланс!$A$1:$B$3,2,0)</f>
        <v>0</v>
      </c>
      <c r="J28" s="1383">
        <f>-Ввод!K196/VLOOKUP(Баланс!$B$7,Баланс!$A$1:$B$3,2,0)</f>
        <v>0</v>
      </c>
      <c r="K28" s="1383">
        <f>-Ввод!L196/VLOOKUP(Баланс!$B$7,Баланс!$A$1:$B$3,2,0)</f>
        <v>0</v>
      </c>
      <c r="L28" s="1383"/>
      <c r="M28" s="1383"/>
      <c r="N28" s="1383"/>
      <c r="O28" s="1383"/>
      <c r="P28" s="1410"/>
      <c r="Q28" s="171"/>
      <c r="R28" s="1688">
        <f t="shared" ref="R28:R60" si="27">F28/F$70</f>
        <v>0</v>
      </c>
      <c r="S28" s="1688">
        <f t="shared" ref="S28:S60" si="28">G28/G$70</f>
        <v>0</v>
      </c>
      <c r="T28" s="1688">
        <f t="shared" ref="T28:T60" si="29">H28/H$70</f>
        <v>0</v>
      </c>
      <c r="U28" s="1681">
        <f t="shared" ref="U28:U60" si="30">I28/I$70</f>
        <v>0</v>
      </c>
      <c r="V28" s="1688">
        <f t="shared" ref="V28:V60" si="31">J28/J$70</f>
        <v>0</v>
      </c>
      <c r="W28" s="1688">
        <f t="shared" ref="W28:W60" si="32">K28/K$70</f>
        <v>0</v>
      </c>
      <c r="X28" s="1688">
        <f t="shared" ref="X28:X60" si="33">L28/L$70</f>
        <v>0</v>
      </c>
      <c r="Y28" s="1689"/>
      <c r="Z28" s="1689"/>
      <c r="AA28" s="1689"/>
      <c r="AB28" s="110"/>
      <c r="AC28" s="1426"/>
      <c r="AD28" s="1383">
        <f t="shared" ref="AD28:AH28" si="34">G28-F28</f>
        <v>0</v>
      </c>
      <c r="AE28" s="1383">
        <f t="shared" si="34"/>
        <v>0</v>
      </c>
      <c r="AF28" s="1383">
        <f t="shared" si="34"/>
        <v>0</v>
      </c>
      <c r="AG28" s="1383">
        <f t="shared" si="34"/>
        <v>0</v>
      </c>
      <c r="AH28" s="1383">
        <f t="shared" si="34"/>
        <v>0</v>
      </c>
      <c r="AI28" s="1675"/>
      <c r="AJ28" s="1675"/>
      <c r="AK28" s="1675"/>
      <c r="AL28" s="1675"/>
      <c r="AM28" s="1675"/>
    </row>
    <row r="29" spans="1:39" s="111" customFormat="1" ht="16.5" outlineLevel="1" x14ac:dyDescent="0.3">
      <c r="A29" s="108"/>
      <c r="B29" s="108"/>
      <c r="C29" s="205" t="s">
        <v>74</v>
      </c>
      <c r="D29" s="99" t="s">
        <v>266</v>
      </c>
      <c r="E29" s="98"/>
      <c r="F29" s="1383">
        <f>-Ввод!G189/VLOOKUP(Баланс!$B$7,Баланс!$A$1:$B$3,2,0)</f>
        <v>0</v>
      </c>
      <c r="G29" s="1383">
        <f>-Ввод!H189/VLOOKUP(Баланс!$B$7,Баланс!$A$1:$B$3,2,0)</f>
        <v>0</v>
      </c>
      <c r="H29" s="1383">
        <f>-Ввод!I189/VLOOKUP(Баланс!$B$7,Баланс!$A$1:$B$3,2,0)</f>
        <v>0</v>
      </c>
      <c r="I29" s="1383">
        <f>-Ввод!J189/VLOOKUP(Баланс!$B$7,Баланс!$A$1:$B$3,2,0)</f>
        <v>-6.1799999999999997E-3</v>
      </c>
      <c r="J29" s="1383">
        <f>-Ввод!K189/VLOOKUP(Баланс!$B$7,Баланс!$A$1:$B$3,2,0)</f>
        <v>-6.1799999999999997E-3</v>
      </c>
      <c r="K29" s="1383">
        <f>-Ввод!L189/VLOOKUP(Баланс!$B$7,Баланс!$A$1:$B$3,2,0)</f>
        <v>-6.1799999999999997E-3</v>
      </c>
      <c r="L29" s="1383"/>
      <c r="M29" s="1383"/>
      <c r="N29" s="1383"/>
      <c r="O29" s="1383"/>
      <c r="P29" s="1410"/>
      <c r="Q29" s="171"/>
      <c r="R29" s="1688">
        <f t="shared" si="27"/>
        <v>0</v>
      </c>
      <c r="S29" s="1688">
        <f t="shared" si="28"/>
        <v>0</v>
      </c>
      <c r="T29" s="1688">
        <f t="shared" si="29"/>
        <v>0</v>
      </c>
      <c r="U29" s="1681">
        <f t="shared" si="30"/>
        <v>-7.9018031416111677E-5</v>
      </c>
      <c r="V29" s="1688">
        <f t="shared" si="31"/>
        <v>-8.2215656055991255E-5</v>
      </c>
      <c r="W29" s="1688">
        <f t="shared" si="32"/>
        <v>-8.0918948046342928E-5</v>
      </c>
      <c r="X29" s="1688">
        <f t="shared" si="33"/>
        <v>0</v>
      </c>
      <c r="Y29" s="1689"/>
      <c r="Z29" s="1689"/>
      <c r="AA29" s="1689"/>
      <c r="AB29" s="110"/>
      <c r="AC29" s="1423"/>
      <c r="AD29" s="1387">
        <f t="shared" si="25"/>
        <v>0</v>
      </c>
      <c r="AE29" s="1387">
        <f t="shared" si="25"/>
        <v>0</v>
      </c>
      <c r="AF29" s="1387">
        <f t="shared" si="26"/>
        <v>-6.1799999999999997E-3</v>
      </c>
      <c r="AG29" s="1387">
        <f t="shared" si="12"/>
        <v>0</v>
      </c>
      <c r="AH29" s="1387">
        <f t="shared" si="13"/>
        <v>0</v>
      </c>
      <c r="AI29" s="1671"/>
      <c r="AJ29" s="1671"/>
      <c r="AK29" s="1671"/>
      <c r="AL29" s="1671"/>
      <c r="AM29" s="1671"/>
    </row>
    <row r="30" spans="1:39" s="111" customFormat="1" ht="16.5" outlineLevel="2" x14ac:dyDescent="0.3">
      <c r="A30" s="108"/>
      <c r="B30" s="108"/>
      <c r="C30" s="206"/>
      <c r="D30" s="202" t="s">
        <v>74</v>
      </c>
      <c r="E30" s="201" t="s">
        <v>268</v>
      </c>
      <c r="F30" s="1383">
        <f>-Ввод!G191/VLOOKUP(Баланс!$B$7,Баланс!$A$1:$B$3,2,0)</f>
        <v>0</v>
      </c>
      <c r="G30" s="1383">
        <f>-Ввод!H191/VLOOKUP(Баланс!$B$7,Баланс!$A$1:$B$3,2,0)</f>
        <v>0</v>
      </c>
      <c r="H30" s="1383">
        <f>-Ввод!I191/VLOOKUP(Баланс!$B$7,Баланс!$A$1:$B$3,2,0)</f>
        <v>0</v>
      </c>
      <c r="I30" s="1383">
        <f>-Ввод!J191/VLOOKUP(Баланс!$B$7,Баланс!$A$1:$B$3,2,0)</f>
        <v>0</v>
      </c>
      <c r="J30" s="1383">
        <f>-Ввод!K191/VLOOKUP(Баланс!$B$7,Баланс!$A$1:$B$3,2,0)</f>
        <v>0</v>
      </c>
      <c r="K30" s="1383">
        <f>-Ввод!L191/VLOOKUP(Баланс!$B$7,Баланс!$A$1:$B$3,2,0)</f>
        <v>0</v>
      </c>
      <c r="L30" s="1383"/>
      <c r="M30" s="1383"/>
      <c r="N30" s="1383"/>
      <c r="O30" s="1383"/>
      <c r="P30" s="1410"/>
      <c r="Q30" s="203"/>
      <c r="R30" s="1690">
        <f t="shared" si="27"/>
        <v>0</v>
      </c>
      <c r="S30" s="1690">
        <f t="shared" si="28"/>
        <v>0</v>
      </c>
      <c r="T30" s="1690">
        <f t="shared" si="29"/>
        <v>0</v>
      </c>
      <c r="U30" s="1682">
        <f t="shared" si="30"/>
        <v>0</v>
      </c>
      <c r="V30" s="1690">
        <f t="shared" si="31"/>
        <v>0</v>
      </c>
      <c r="W30" s="1690">
        <f t="shared" si="32"/>
        <v>0</v>
      </c>
      <c r="X30" s="1690">
        <f t="shared" si="33"/>
        <v>0</v>
      </c>
      <c r="Y30" s="1691"/>
      <c r="Z30" s="1691"/>
      <c r="AA30" s="1691"/>
      <c r="AB30" s="110"/>
      <c r="AC30" s="1424"/>
      <c r="AD30" s="1672">
        <f t="shared" si="25"/>
        <v>0</v>
      </c>
      <c r="AE30" s="1672">
        <f t="shared" si="25"/>
        <v>0</v>
      </c>
      <c r="AF30" s="1672">
        <f t="shared" si="26"/>
        <v>0</v>
      </c>
      <c r="AG30" s="1672">
        <f t="shared" si="12"/>
        <v>0</v>
      </c>
      <c r="AH30" s="1672">
        <f t="shared" si="13"/>
        <v>0</v>
      </c>
      <c r="AI30" s="1673"/>
      <c r="AJ30" s="1673"/>
      <c r="AK30" s="1673"/>
      <c r="AL30" s="1673"/>
      <c r="AM30" s="1673"/>
    </row>
    <row r="31" spans="1:39" s="111" customFormat="1" ht="16.5" outlineLevel="2" x14ac:dyDescent="0.3">
      <c r="A31" s="108"/>
      <c r="B31" s="108"/>
      <c r="C31" s="206"/>
      <c r="D31" s="202" t="s">
        <v>74</v>
      </c>
      <c r="E31" s="201" t="s">
        <v>267</v>
      </c>
      <c r="F31" s="1383">
        <f>-(Ввод!G192+Ввод!G193)/VLOOKUP(Баланс!$B$7,Баланс!$A$1:$B$3,2,0)</f>
        <v>0</v>
      </c>
      <c r="G31" s="1383">
        <f>-(Ввод!H192+Ввод!H193)/VLOOKUP(Баланс!$B$7,Баланс!$A$1:$B$3,2,0)</f>
        <v>0</v>
      </c>
      <c r="H31" s="1383">
        <f>-(Ввод!I192+Ввод!I193)/VLOOKUP(Баланс!$B$7,Баланс!$A$1:$B$3,2,0)</f>
        <v>0</v>
      </c>
      <c r="I31" s="1383">
        <f>-(Ввод!J192+Ввод!J193)/VLOOKUP(Баланс!$B$7,Баланс!$A$1:$B$3,2,0)</f>
        <v>0</v>
      </c>
      <c r="J31" s="1383">
        <f>-(Ввод!K192+Ввод!K193)/VLOOKUP(Баланс!$B$7,Баланс!$A$1:$B$3,2,0)</f>
        <v>0</v>
      </c>
      <c r="K31" s="1383">
        <f>-(Ввод!L192+Ввод!L193)/VLOOKUP(Баланс!$B$7,Баланс!$A$1:$B$3,2,0)</f>
        <v>0</v>
      </c>
      <c r="L31" s="1383"/>
      <c r="M31" s="1383"/>
      <c r="N31" s="1383"/>
      <c r="O31" s="1383"/>
      <c r="P31" s="1410"/>
      <c r="Q31" s="203"/>
      <c r="R31" s="1690">
        <f t="shared" si="27"/>
        <v>0</v>
      </c>
      <c r="S31" s="1690">
        <f t="shared" si="28"/>
        <v>0</v>
      </c>
      <c r="T31" s="1690">
        <f t="shared" si="29"/>
        <v>0</v>
      </c>
      <c r="U31" s="1682">
        <f t="shared" si="30"/>
        <v>0</v>
      </c>
      <c r="V31" s="1690">
        <f t="shared" si="31"/>
        <v>0</v>
      </c>
      <c r="W31" s="1690">
        <f t="shared" si="32"/>
        <v>0</v>
      </c>
      <c r="X31" s="1690">
        <f t="shared" si="33"/>
        <v>0</v>
      </c>
      <c r="Y31" s="1691"/>
      <c r="Z31" s="1691"/>
      <c r="AA31" s="1691"/>
      <c r="AB31" s="110"/>
      <c r="AC31" s="1424"/>
      <c r="AD31" s="1672">
        <f t="shared" si="25"/>
        <v>0</v>
      </c>
      <c r="AE31" s="1672">
        <f t="shared" si="25"/>
        <v>0</v>
      </c>
      <c r="AF31" s="1672">
        <f t="shared" si="26"/>
        <v>0</v>
      </c>
      <c r="AG31" s="1672">
        <f t="shared" si="12"/>
        <v>0</v>
      </c>
      <c r="AH31" s="1672">
        <f t="shared" si="13"/>
        <v>0</v>
      </c>
      <c r="AI31" s="1673"/>
      <c r="AJ31" s="1673"/>
      <c r="AK31" s="1673"/>
      <c r="AL31" s="1673"/>
      <c r="AM31" s="1673"/>
    </row>
    <row r="32" spans="1:39" s="111" customFormat="1" ht="16.5" outlineLevel="1" x14ac:dyDescent="0.3">
      <c r="A32" s="108"/>
      <c r="B32" s="108"/>
      <c r="C32" s="205" t="s">
        <v>74</v>
      </c>
      <c r="D32" s="99" t="s">
        <v>302</v>
      </c>
      <c r="E32" s="98"/>
      <c r="F32" s="1383"/>
      <c r="G32" s="1383"/>
      <c r="H32" s="1383"/>
      <c r="I32" s="1383"/>
      <c r="J32" s="1383"/>
      <c r="K32" s="1383"/>
      <c r="L32" s="1383"/>
      <c r="M32" s="1383"/>
      <c r="N32" s="1383"/>
      <c r="O32" s="1383"/>
      <c r="P32" s="1410"/>
      <c r="Q32" s="171"/>
      <c r="R32" s="1688">
        <f t="shared" si="27"/>
        <v>0</v>
      </c>
      <c r="S32" s="1688">
        <f t="shared" si="28"/>
        <v>0</v>
      </c>
      <c r="T32" s="1688">
        <f t="shared" si="29"/>
        <v>0</v>
      </c>
      <c r="U32" s="1681">
        <f t="shared" si="30"/>
        <v>0</v>
      </c>
      <c r="V32" s="1688">
        <f t="shared" si="31"/>
        <v>0</v>
      </c>
      <c r="W32" s="1688">
        <f t="shared" si="32"/>
        <v>0</v>
      </c>
      <c r="X32" s="1688">
        <f t="shared" si="33"/>
        <v>0</v>
      </c>
      <c r="Y32" s="1689"/>
      <c r="Z32" s="1689"/>
      <c r="AA32" s="1689"/>
      <c r="AB32" s="110"/>
      <c r="AC32" s="1423"/>
      <c r="AD32" s="1387">
        <f t="shared" ref="AD32:AE32" si="35">G32-F32</f>
        <v>0</v>
      </c>
      <c r="AE32" s="1387">
        <f t="shared" si="35"/>
        <v>0</v>
      </c>
      <c r="AF32" s="1387">
        <f t="shared" ref="AF32" si="36">I32-H32</f>
        <v>0</v>
      </c>
      <c r="AG32" s="1387">
        <f t="shared" ref="AG32" si="37">J32-I32</f>
        <v>0</v>
      </c>
      <c r="AH32" s="1387">
        <f t="shared" ref="AH32" si="38">K32-J32</f>
        <v>0</v>
      </c>
      <c r="AI32" s="1671"/>
      <c r="AJ32" s="1671"/>
      <c r="AK32" s="1671"/>
      <c r="AL32" s="1671"/>
      <c r="AM32" s="1671"/>
    </row>
    <row r="33" spans="1:39" s="1407" customFormat="1" ht="16.5" x14ac:dyDescent="0.3">
      <c r="A33" s="1403"/>
      <c r="B33" s="1403" t="s">
        <v>74</v>
      </c>
      <c r="C33" s="164" t="s">
        <v>78</v>
      </c>
      <c r="D33" s="164"/>
      <c r="E33" s="164"/>
      <c r="F33" s="1408">
        <f t="shared" ref="F33:K33" si="39">IF(SUM(F34:F44)&lt;0,0,SUM(F34:F44))</f>
        <v>0</v>
      </c>
      <c r="G33" s="1408">
        <f t="shared" si="39"/>
        <v>0</v>
      </c>
      <c r="H33" s="1408">
        <f t="shared" si="39"/>
        <v>0</v>
      </c>
      <c r="I33" s="1408">
        <f t="shared" si="39"/>
        <v>0</v>
      </c>
      <c r="J33" s="1408">
        <f t="shared" si="39"/>
        <v>0</v>
      </c>
      <c r="K33" s="1408">
        <f t="shared" si="39"/>
        <v>0</v>
      </c>
      <c r="L33" s="1949">
        <f>Ввод!M224/VLOOKUP(Баланс!$B$7,Баланс!$A$1:$B$3,2,0)</f>
        <v>0</v>
      </c>
      <c r="M33" s="1949">
        <f>Ввод!N224/VLOOKUP(Баланс!$B$7,Баланс!$A$1:$B$3,2,0)</f>
        <v>0</v>
      </c>
      <c r="N33" s="1949">
        <f>Ввод!O224/VLOOKUP(Баланс!$B$7,Баланс!$A$1:$B$3,2,0)</f>
        <v>0</v>
      </c>
      <c r="O33" s="1949">
        <f>Ввод!P224/VLOOKUP(Баланс!$B$7,Баланс!$A$1:$B$3,2,0)</f>
        <v>0</v>
      </c>
      <c r="P33" s="1408"/>
      <c r="Q33" s="180"/>
      <c r="R33" s="1680">
        <f t="shared" si="27"/>
        <v>0</v>
      </c>
      <c r="S33" s="1680">
        <f t="shared" si="28"/>
        <v>0</v>
      </c>
      <c r="T33" s="1680">
        <f t="shared" si="29"/>
        <v>0</v>
      </c>
      <c r="U33" s="1680">
        <f t="shared" si="30"/>
        <v>0</v>
      </c>
      <c r="V33" s="1680">
        <f t="shared" si="31"/>
        <v>0</v>
      </c>
      <c r="W33" s="1680">
        <f t="shared" si="32"/>
        <v>0</v>
      </c>
      <c r="X33" s="1680">
        <f t="shared" si="33"/>
        <v>0</v>
      </c>
      <c r="Y33" s="1680">
        <f>M33/M$70</f>
        <v>0</v>
      </c>
      <c r="Z33" s="1680">
        <f>N33/N$70</f>
        <v>0</v>
      </c>
      <c r="AA33" s="1680">
        <f>O33/O$70</f>
        <v>0</v>
      </c>
      <c r="AB33" s="1406"/>
      <c r="AC33" s="1429"/>
      <c r="AD33" s="1408">
        <f t="shared" si="25"/>
        <v>0</v>
      </c>
      <c r="AE33" s="1408">
        <f t="shared" si="25"/>
        <v>0</v>
      </c>
      <c r="AF33" s="1408">
        <f t="shared" si="26"/>
        <v>0</v>
      </c>
      <c r="AG33" s="1408">
        <f t="shared" si="12"/>
        <v>0</v>
      </c>
      <c r="AH33" s="1408">
        <f t="shared" si="13"/>
        <v>0</v>
      </c>
      <c r="AI33" s="1408">
        <f t="shared" si="5"/>
        <v>0</v>
      </c>
      <c r="AJ33" s="1408">
        <f t="shared" si="6"/>
        <v>0</v>
      </c>
      <c r="AK33" s="1408">
        <f t="shared" si="7"/>
        <v>0</v>
      </c>
      <c r="AL33" s="1408">
        <f t="shared" si="7"/>
        <v>0</v>
      </c>
      <c r="AM33" s="1408"/>
    </row>
    <row r="34" spans="1:39" s="111" customFormat="1" ht="16.5" outlineLevel="1" x14ac:dyDescent="0.3">
      <c r="A34" s="108"/>
      <c r="B34" s="108"/>
      <c r="C34" s="98"/>
      <c r="D34" s="99" t="s">
        <v>269</v>
      </c>
      <c r="E34" s="98"/>
      <c r="F34" s="1387">
        <f>Ввод!G210/VLOOKUP(Баланс!$B$7,Баланс!$A$1:$B$3,2,0)</f>
        <v>0</v>
      </c>
      <c r="G34" s="1387">
        <f>Ввод!H210/VLOOKUP(Баланс!$B$7,Баланс!$A$1:$B$3,2,0)</f>
        <v>0</v>
      </c>
      <c r="H34" s="1387">
        <f>Ввод!I210/VLOOKUP(Баланс!$B$7,Баланс!$A$1:$B$3,2,0)</f>
        <v>0</v>
      </c>
      <c r="I34" s="1387">
        <f>Ввод!J210/VLOOKUP(Баланс!$B$7,Баланс!$A$1:$B$3,2,0)</f>
        <v>0</v>
      </c>
      <c r="J34" s="1387">
        <f>Ввод!K210/VLOOKUP(Баланс!$B$7,Баланс!$A$1:$B$3,2,0)</f>
        <v>0</v>
      </c>
      <c r="K34" s="1387">
        <f>Ввод!L210/VLOOKUP(Баланс!$B$7,Баланс!$A$1:$B$3,2,0)</f>
        <v>0</v>
      </c>
      <c r="L34" s="1387"/>
      <c r="M34" s="1387"/>
      <c r="N34" s="1387"/>
      <c r="O34" s="1387"/>
      <c r="P34" s="1402"/>
      <c r="Q34" s="171"/>
      <c r="R34" s="1681">
        <f t="shared" si="27"/>
        <v>0</v>
      </c>
      <c r="S34" s="1681">
        <f t="shared" si="28"/>
        <v>0</v>
      </c>
      <c r="T34" s="1681">
        <f t="shared" si="29"/>
        <v>0</v>
      </c>
      <c r="U34" s="1681">
        <f t="shared" si="30"/>
        <v>0</v>
      </c>
      <c r="V34" s="1681">
        <f t="shared" si="31"/>
        <v>0</v>
      </c>
      <c r="W34" s="1681">
        <f t="shared" si="32"/>
        <v>0</v>
      </c>
      <c r="X34" s="1681">
        <f t="shared" si="33"/>
        <v>0</v>
      </c>
      <c r="Y34" s="1686"/>
      <c r="Z34" s="1686"/>
      <c r="AA34" s="1686"/>
      <c r="AB34" s="110"/>
      <c r="AC34" s="1423"/>
      <c r="AD34" s="1387">
        <f t="shared" si="25"/>
        <v>0</v>
      </c>
      <c r="AE34" s="1387">
        <f t="shared" si="25"/>
        <v>0</v>
      </c>
      <c r="AF34" s="1387">
        <f t="shared" si="26"/>
        <v>0</v>
      </c>
      <c r="AG34" s="1387">
        <f t="shared" si="12"/>
        <v>0</v>
      </c>
      <c r="AH34" s="1387">
        <f t="shared" si="13"/>
        <v>0</v>
      </c>
      <c r="AI34" s="1671"/>
      <c r="AJ34" s="1671"/>
      <c r="AK34" s="1671"/>
      <c r="AL34" s="1671"/>
      <c r="AM34" s="1671"/>
    </row>
    <row r="35" spans="1:39" s="111" customFormat="1" ht="16.5" outlineLevel="1" x14ac:dyDescent="0.3">
      <c r="A35" s="108"/>
      <c r="B35" s="108"/>
      <c r="C35" s="98"/>
      <c r="D35" s="99" t="s">
        <v>270</v>
      </c>
      <c r="E35" s="98"/>
      <c r="F35" s="1387">
        <f>Ввод!G212/VLOOKUP(Баланс!$B$7,Баланс!$A$1:$B$3,2,0)</f>
        <v>0</v>
      </c>
      <c r="G35" s="1387">
        <f>Ввод!H212/VLOOKUP(Баланс!$B$7,Баланс!$A$1:$B$3,2,0)</f>
        <v>0</v>
      </c>
      <c r="H35" s="1387">
        <f>Ввод!I212/VLOOKUP(Баланс!$B$7,Баланс!$A$1:$B$3,2,0)</f>
        <v>0</v>
      </c>
      <c r="I35" s="1387">
        <f>Ввод!J212/VLOOKUP(Баланс!$B$7,Баланс!$A$1:$B$3,2,0)</f>
        <v>0</v>
      </c>
      <c r="J35" s="1387">
        <f>Ввод!K212/VLOOKUP(Баланс!$B$7,Баланс!$A$1:$B$3,2,0)</f>
        <v>0</v>
      </c>
      <c r="K35" s="1387">
        <f>Ввод!L212/VLOOKUP(Баланс!$B$7,Баланс!$A$1:$B$3,2,0)</f>
        <v>0</v>
      </c>
      <c r="L35" s="1387"/>
      <c r="M35" s="1387"/>
      <c r="N35" s="1387"/>
      <c r="O35" s="1387"/>
      <c r="P35" s="1402"/>
      <c r="Q35" s="171"/>
      <c r="R35" s="1681">
        <f t="shared" si="27"/>
        <v>0</v>
      </c>
      <c r="S35" s="1681">
        <f t="shared" si="28"/>
        <v>0</v>
      </c>
      <c r="T35" s="1681">
        <f t="shared" si="29"/>
        <v>0</v>
      </c>
      <c r="U35" s="1681">
        <f t="shared" si="30"/>
        <v>0</v>
      </c>
      <c r="V35" s="1681">
        <f t="shared" si="31"/>
        <v>0</v>
      </c>
      <c r="W35" s="1681">
        <f t="shared" si="32"/>
        <v>0</v>
      </c>
      <c r="X35" s="1681">
        <f t="shared" si="33"/>
        <v>0</v>
      </c>
      <c r="Y35" s="1686"/>
      <c r="Z35" s="1686"/>
      <c r="AA35" s="1686"/>
      <c r="AB35" s="110"/>
      <c r="AC35" s="1423"/>
      <c r="AD35" s="1387">
        <f t="shared" si="25"/>
        <v>0</v>
      </c>
      <c r="AE35" s="1387">
        <f t="shared" si="25"/>
        <v>0</v>
      </c>
      <c r="AF35" s="1387">
        <f t="shared" si="26"/>
        <v>0</v>
      </c>
      <c r="AG35" s="1387">
        <f t="shared" si="12"/>
        <v>0</v>
      </c>
      <c r="AH35" s="1387">
        <f t="shared" si="13"/>
        <v>0</v>
      </c>
      <c r="AI35" s="1671"/>
      <c r="AJ35" s="1671"/>
      <c r="AK35" s="1671"/>
      <c r="AL35" s="1671"/>
      <c r="AM35" s="1671"/>
    </row>
    <row r="36" spans="1:39" s="111" customFormat="1" ht="16.5" outlineLevel="1" x14ac:dyDescent="0.3">
      <c r="A36" s="108"/>
      <c r="B36" s="108"/>
      <c r="C36" s="98"/>
      <c r="D36" s="99" t="s">
        <v>232</v>
      </c>
      <c r="E36" s="98"/>
      <c r="F36" s="1387">
        <f>Ввод!G213/VLOOKUP(Баланс!$B$7,Баланс!$A$1:$B$3,2,0)</f>
        <v>0</v>
      </c>
      <c r="G36" s="1387">
        <f>Ввод!H213/VLOOKUP(Баланс!$B$7,Баланс!$A$1:$B$3,2,0)</f>
        <v>0</v>
      </c>
      <c r="H36" s="1387">
        <f>Ввод!I213/VLOOKUP(Баланс!$B$7,Баланс!$A$1:$B$3,2,0)</f>
        <v>0</v>
      </c>
      <c r="I36" s="1387">
        <f>Ввод!J213/VLOOKUP(Баланс!$B$7,Баланс!$A$1:$B$3,2,0)</f>
        <v>0</v>
      </c>
      <c r="J36" s="1387">
        <f>Ввод!K213/VLOOKUP(Баланс!$B$7,Баланс!$A$1:$B$3,2,0)</f>
        <v>0</v>
      </c>
      <c r="K36" s="1387">
        <f>Ввод!L213/VLOOKUP(Баланс!$B$7,Баланс!$A$1:$B$3,2,0)</f>
        <v>0</v>
      </c>
      <c r="L36" s="1387"/>
      <c r="M36" s="1387"/>
      <c r="N36" s="1387"/>
      <c r="O36" s="1387"/>
      <c r="P36" s="1402"/>
      <c r="Q36" s="171"/>
      <c r="R36" s="1681">
        <f t="shared" si="27"/>
        <v>0</v>
      </c>
      <c r="S36" s="1681">
        <f t="shared" si="28"/>
        <v>0</v>
      </c>
      <c r="T36" s="1681">
        <f t="shared" si="29"/>
        <v>0</v>
      </c>
      <c r="U36" s="1681">
        <f t="shared" si="30"/>
        <v>0</v>
      </c>
      <c r="V36" s="1681">
        <f t="shared" si="31"/>
        <v>0</v>
      </c>
      <c r="W36" s="1681">
        <f t="shared" si="32"/>
        <v>0</v>
      </c>
      <c r="X36" s="1681">
        <f t="shared" si="33"/>
        <v>0</v>
      </c>
      <c r="Y36" s="1686"/>
      <c r="Z36" s="1686"/>
      <c r="AA36" s="1686"/>
      <c r="AB36" s="110"/>
      <c r="AC36" s="1423"/>
      <c r="AD36" s="1387">
        <f t="shared" si="25"/>
        <v>0</v>
      </c>
      <c r="AE36" s="1387">
        <f t="shared" si="25"/>
        <v>0</v>
      </c>
      <c r="AF36" s="1387">
        <f t="shared" si="26"/>
        <v>0</v>
      </c>
      <c r="AG36" s="1387">
        <f t="shared" si="12"/>
        <v>0</v>
      </c>
      <c r="AH36" s="1387">
        <f t="shared" si="13"/>
        <v>0</v>
      </c>
      <c r="AI36" s="1671"/>
      <c r="AJ36" s="1671"/>
      <c r="AK36" s="1671"/>
      <c r="AL36" s="1671"/>
      <c r="AM36" s="1671"/>
    </row>
    <row r="37" spans="1:39" s="111" customFormat="1" ht="16.5" outlineLevel="1" x14ac:dyDescent="0.3">
      <c r="A37" s="108"/>
      <c r="B37" s="108"/>
      <c r="C37" s="98"/>
      <c r="D37" s="99" t="s">
        <v>271</v>
      </c>
      <c r="E37" s="98"/>
      <c r="F37" s="1387">
        <f>Ввод!G214/VLOOKUP(Баланс!$B$7,Баланс!$A$1:$B$3,2,0)</f>
        <v>0</v>
      </c>
      <c r="G37" s="1387">
        <f>Ввод!H214/VLOOKUP(Баланс!$B$7,Баланс!$A$1:$B$3,2,0)</f>
        <v>0</v>
      </c>
      <c r="H37" s="1387">
        <f>Ввод!I214/VLOOKUP(Баланс!$B$7,Баланс!$A$1:$B$3,2,0)</f>
        <v>0</v>
      </c>
      <c r="I37" s="1387">
        <f>Ввод!J214/VLOOKUP(Баланс!$B$7,Баланс!$A$1:$B$3,2,0)</f>
        <v>0</v>
      </c>
      <c r="J37" s="1387">
        <f>Ввод!K214/VLOOKUP(Баланс!$B$7,Баланс!$A$1:$B$3,2,0)</f>
        <v>0</v>
      </c>
      <c r="K37" s="1387">
        <f>Ввод!L214/VLOOKUP(Баланс!$B$7,Баланс!$A$1:$B$3,2,0)</f>
        <v>0</v>
      </c>
      <c r="L37" s="1387"/>
      <c r="M37" s="1387"/>
      <c r="N37" s="1387"/>
      <c r="O37" s="1387"/>
      <c r="P37" s="1402"/>
      <c r="Q37" s="171"/>
      <c r="R37" s="1681">
        <f t="shared" si="27"/>
        <v>0</v>
      </c>
      <c r="S37" s="1681">
        <f t="shared" si="28"/>
        <v>0</v>
      </c>
      <c r="T37" s="1681">
        <f t="shared" si="29"/>
        <v>0</v>
      </c>
      <c r="U37" s="1681">
        <f t="shared" si="30"/>
        <v>0</v>
      </c>
      <c r="V37" s="1681">
        <f t="shared" si="31"/>
        <v>0</v>
      </c>
      <c r="W37" s="1681">
        <f t="shared" si="32"/>
        <v>0</v>
      </c>
      <c r="X37" s="1681">
        <f t="shared" si="33"/>
        <v>0</v>
      </c>
      <c r="Y37" s="1686"/>
      <c r="Z37" s="1686"/>
      <c r="AA37" s="1686"/>
      <c r="AB37" s="110"/>
      <c r="AC37" s="1423"/>
      <c r="AD37" s="1387">
        <f t="shared" si="25"/>
        <v>0</v>
      </c>
      <c r="AE37" s="1387">
        <f t="shared" si="25"/>
        <v>0</v>
      </c>
      <c r="AF37" s="1387">
        <f t="shared" si="26"/>
        <v>0</v>
      </c>
      <c r="AG37" s="1387">
        <f t="shared" si="12"/>
        <v>0</v>
      </c>
      <c r="AH37" s="1387">
        <f t="shared" si="13"/>
        <v>0</v>
      </c>
      <c r="AI37" s="1671"/>
      <c r="AJ37" s="1671"/>
      <c r="AK37" s="1671"/>
      <c r="AL37" s="1671"/>
      <c r="AM37" s="1671"/>
    </row>
    <row r="38" spans="1:39" s="111" customFormat="1" ht="16.5" outlineLevel="1" x14ac:dyDescent="0.3">
      <c r="A38" s="108"/>
      <c r="B38" s="108"/>
      <c r="C38" s="98"/>
      <c r="D38" s="204" t="s">
        <v>265</v>
      </c>
      <c r="E38" s="98"/>
      <c r="F38" s="1387"/>
      <c r="G38" s="1387"/>
      <c r="H38" s="1387"/>
      <c r="I38" s="1387"/>
      <c r="J38" s="1387"/>
      <c r="K38" s="1387"/>
      <c r="L38" s="1387"/>
      <c r="M38" s="1387"/>
      <c r="N38" s="1387"/>
      <c r="O38" s="1387"/>
      <c r="P38" s="1402"/>
      <c r="Q38" s="171"/>
      <c r="R38" s="1681">
        <f t="shared" si="27"/>
        <v>0</v>
      </c>
      <c r="S38" s="1681">
        <f t="shared" si="28"/>
        <v>0</v>
      </c>
      <c r="T38" s="1681">
        <f t="shared" si="29"/>
        <v>0</v>
      </c>
      <c r="U38" s="1681">
        <f t="shared" si="30"/>
        <v>0</v>
      </c>
      <c r="V38" s="1681">
        <f t="shared" si="31"/>
        <v>0</v>
      </c>
      <c r="W38" s="1681">
        <f t="shared" si="32"/>
        <v>0</v>
      </c>
      <c r="X38" s="1681">
        <f t="shared" si="33"/>
        <v>0</v>
      </c>
      <c r="Y38" s="1686"/>
      <c r="Z38" s="1686"/>
      <c r="AA38" s="1686"/>
      <c r="AB38" s="110"/>
      <c r="AC38" s="1423"/>
      <c r="AD38" s="1387">
        <f t="shared" si="25"/>
        <v>0</v>
      </c>
      <c r="AE38" s="1387">
        <f t="shared" si="25"/>
        <v>0</v>
      </c>
      <c r="AF38" s="1387">
        <f t="shared" si="26"/>
        <v>0</v>
      </c>
      <c r="AG38" s="1387">
        <f t="shared" si="12"/>
        <v>0</v>
      </c>
      <c r="AH38" s="1387">
        <f t="shared" si="13"/>
        <v>0</v>
      </c>
      <c r="AI38" s="1671"/>
      <c r="AJ38" s="1671"/>
      <c r="AK38" s="1671"/>
      <c r="AL38" s="1671"/>
      <c r="AM38" s="1671"/>
    </row>
    <row r="39" spans="1:39" s="111" customFormat="1" ht="16.5" outlineLevel="1" x14ac:dyDescent="0.3">
      <c r="A39" s="108"/>
      <c r="B39" s="108"/>
      <c r="C39" s="205" t="s">
        <v>74</v>
      </c>
      <c r="D39" s="99" t="s">
        <v>272</v>
      </c>
      <c r="E39" s="98"/>
      <c r="F39" s="1387">
        <f>-(Ввод!G216+Ввод!G217)/VLOOKUP(Баланс!$B$7,Баланс!$A$1:$B$3,2,0)</f>
        <v>0</v>
      </c>
      <c r="G39" s="1387">
        <f>-(Ввод!H216+Ввод!H217)/VLOOKUP(Баланс!$B$7,Баланс!$A$1:$B$3,2,0)</f>
        <v>0</v>
      </c>
      <c r="H39" s="1387">
        <f>-(Ввод!I216+Ввод!I217)/VLOOKUP(Баланс!$B$7,Баланс!$A$1:$B$3,2,0)</f>
        <v>0</v>
      </c>
      <c r="I39" s="1387">
        <f>-(Ввод!J216+Ввод!J217)/VLOOKUP(Баланс!$B$7,Баланс!$A$1:$B$3,2,0)</f>
        <v>0</v>
      </c>
      <c r="J39" s="1387">
        <f>-(Ввод!K216+Ввод!K217)/VLOOKUP(Баланс!$B$7,Баланс!$A$1:$B$3,2,0)</f>
        <v>0</v>
      </c>
      <c r="K39" s="1387">
        <f>-(Ввод!L216+Ввод!L217)/VLOOKUP(Баланс!$B$7,Баланс!$A$1:$B$3,2,0)</f>
        <v>0</v>
      </c>
      <c r="L39" s="1387"/>
      <c r="M39" s="1387"/>
      <c r="N39" s="1387"/>
      <c r="O39" s="1387"/>
      <c r="P39" s="1402"/>
      <c r="Q39" s="171"/>
      <c r="R39" s="1681">
        <f t="shared" si="27"/>
        <v>0</v>
      </c>
      <c r="S39" s="1681">
        <f t="shared" si="28"/>
        <v>0</v>
      </c>
      <c r="T39" s="1681">
        <f t="shared" si="29"/>
        <v>0</v>
      </c>
      <c r="U39" s="1681">
        <f t="shared" si="30"/>
        <v>0</v>
      </c>
      <c r="V39" s="1681">
        <f t="shared" si="31"/>
        <v>0</v>
      </c>
      <c r="W39" s="1681">
        <f t="shared" si="32"/>
        <v>0</v>
      </c>
      <c r="X39" s="1681">
        <f t="shared" si="33"/>
        <v>0</v>
      </c>
      <c r="Y39" s="1686"/>
      <c r="Z39" s="1686"/>
      <c r="AA39" s="1686"/>
      <c r="AB39" s="110"/>
      <c r="AC39" s="1423"/>
      <c r="AD39" s="1387">
        <f t="shared" si="25"/>
        <v>0</v>
      </c>
      <c r="AE39" s="1387">
        <f t="shared" si="25"/>
        <v>0</v>
      </c>
      <c r="AF39" s="1387">
        <f t="shared" si="26"/>
        <v>0</v>
      </c>
      <c r="AG39" s="1387">
        <f t="shared" si="12"/>
        <v>0</v>
      </c>
      <c r="AH39" s="1387">
        <f t="shared" si="13"/>
        <v>0</v>
      </c>
      <c r="AI39" s="1671"/>
      <c r="AJ39" s="1671"/>
      <c r="AK39" s="1671"/>
      <c r="AL39" s="1671"/>
      <c r="AM39" s="1671"/>
    </row>
    <row r="40" spans="1:39" s="111" customFormat="1" ht="16.5" outlineLevel="1" x14ac:dyDescent="0.3">
      <c r="A40" s="108"/>
      <c r="B40" s="108"/>
      <c r="C40" s="205" t="s">
        <v>74</v>
      </c>
      <c r="D40" s="99" t="s">
        <v>282</v>
      </c>
      <c r="E40" s="98"/>
      <c r="F40" s="1387">
        <f>-Ввод!G218/VLOOKUP(Баланс!$B$7,Баланс!$A$1:$B$3,2,0)</f>
        <v>0</v>
      </c>
      <c r="G40" s="1387">
        <f>-Ввод!H218/VLOOKUP(Баланс!$B$7,Баланс!$A$1:$B$3,2,0)</f>
        <v>0</v>
      </c>
      <c r="H40" s="1387">
        <f>-Ввод!I218/VLOOKUP(Баланс!$B$7,Баланс!$A$1:$B$3,2,0)</f>
        <v>0</v>
      </c>
      <c r="I40" s="1387">
        <f>-Ввод!J218/VLOOKUP(Баланс!$B$7,Баланс!$A$1:$B$3,2,0)</f>
        <v>0</v>
      </c>
      <c r="J40" s="1387">
        <f>-Ввод!K218/VLOOKUP(Баланс!$B$7,Баланс!$A$1:$B$3,2,0)</f>
        <v>0</v>
      </c>
      <c r="K40" s="1387">
        <f>-Ввод!L218/VLOOKUP(Баланс!$B$7,Баланс!$A$1:$B$3,2,0)</f>
        <v>0</v>
      </c>
      <c r="L40" s="1387"/>
      <c r="M40" s="1387"/>
      <c r="N40" s="1387"/>
      <c r="O40" s="1387"/>
      <c r="P40" s="1402"/>
      <c r="Q40" s="171"/>
      <c r="R40" s="1681">
        <f t="shared" si="27"/>
        <v>0</v>
      </c>
      <c r="S40" s="1681">
        <f t="shared" si="28"/>
        <v>0</v>
      </c>
      <c r="T40" s="1681">
        <f t="shared" si="29"/>
        <v>0</v>
      </c>
      <c r="U40" s="1681">
        <f t="shared" si="30"/>
        <v>0</v>
      </c>
      <c r="V40" s="1681">
        <f t="shared" si="31"/>
        <v>0</v>
      </c>
      <c r="W40" s="1681">
        <f t="shared" si="32"/>
        <v>0</v>
      </c>
      <c r="X40" s="1681">
        <f t="shared" si="33"/>
        <v>0</v>
      </c>
      <c r="Y40" s="1686"/>
      <c r="Z40" s="1686"/>
      <c r="AA40" s="1686"/>
      <c r="AB40" s="110"/>
      <c r="AC40" s="1423"/>
      <c r="AD40" s="1387">
        <f t="shared" si="25"/>
        <v>0</v>
      </c>
      <c r="AE40" s="1387">
        <f t="shared" si="25"/>
        <v>0</v>
      </c>
      <c r="AF40" s="1387">
        <f t="shared" si="26"/>
        <v>0</v>
      </c>
      <c r="AG40" s="1387">
        <f t="shared" si="12"/>
        <v>0</v>
      </c>
      <c r="AH40" s="1387">
        <f t="shared" si="13"/>
        <v>0</v>
      </c>
      <c r="AI40" s="1671"/>
      <c r="AJ40" s="1671"/>
      <c r="AK40" s="1671"/>
      <c r="AL40" s="1671"/>
      <c r="AM40" s="1671"/>
    </row>
    <row r="41" spans="1:39" s="111" customFormat="1" ht="16.5" outlineLevel="1" x14ac:dyDescent="0.3">
      <c r="A41" s="108"/>
      <c r="B41" s="108"/>
      <c r="C41" s="205" t="s">
        <v>74</v>
      </c>
      <c r="D41" s="99" t="s">
        <v>273</v>
      </c>
      <c r="E41" s="98"/>
      <c r="F41" s="1387">
        <f>-Ввод!G219/VLOOKUP(Баланс!$B$7,Баланс!$A$1:$B$3,2,0)</f>
        <v>0</v>
      </c>
      <c r="G41" s="1387">
        <f>-Ввод!H219/VLOOKUP(Баланс!$B$7,Баланс!$A$1:$B$3,2,0)</f>
        <v>0</v>
      </c>
      <c r="H41" s="1387">
        <f>-Ввод!I219/VLOOKUP(Баланс!$B$7,Баланс!$A$1:$B$3,2,0)</f>
        <v>0</v>
      </c>
      <c r="I41" s="1387">
        <f>-Ввод!J219/VLOOKUP(Баланс!$B$7,Баланс!$A$1:$B$3,2,0)</f>
        <v>0</v>
      </c>
      <c r="J41" s="1387">
        <f>-Ввод!K219/VLOOKUP(Баланс!$B$7,Баланс!$A$1:$B$3,2,0)</f>
        <v>0</v>
      </c>
      <c r="K41" s="1387">
        <f>-Ввод!L219/VLOOKUP(Баланс!$B$7,Баланс!$A$1:$B$3,2,0)</f>
        <v>0</v>
      </c>
      <c r="L41" s="1387"/>
      <c r="M41" s="1387"/>
      <c r="N41" s="1387"/>
      <c r="O41" s="1387"/>
      <c r="P41" s="1402"/>
      <c r="Q41" s="171"/>
      <c r="R41" s="1681">
        <f t="shared" si="27"/>
        <v>0</v>
      </c>
      <c r="S41" s="1681">
        <f t="shared" si="28"/>
        <v>0</v>
      </c>
      <c r="T41" s="1681">
        <f t="shared" si="29"/>
        <v>0</v>
      </c>
      <c r="U41" s="1681">
        <f t="shared" si="30"/>
        <v>0</v>
      </c>
      <c r="V41" s="1681">
        <f t="shared" si="31"/>
        <v>0</v>
      </c>
      <c r="W41" s="1681">
        <f t="shared" si="32"/>
        <v>0</v>
      </c>
      <c r="X41" s="1681">
        <f t="shared" si="33"/>
        <v>0</v>
      </c>
      <c r="Y41" s="1686"/>
      <c r="Z41" s="1686"/>
      <c r="AA41" s="1686"/>
      <c r="AB41" s="110"/>
      <c r="AC41" s="1423"/>
      <c r="AD41" s="1387">
        <f t="shared" si="25"/>
        <v>0</v>
      </c>
      <c r="AE41" s="1387">
        <f t="shared" si="25"/>
        <v>0</v>
      </c>
      <c r="AF41" s="1387">
        <f t="shared" si="26"/>
        <v>0</v>
      </c>
      <c r="AG41" s="1387">
        <f t="shared" si="12"/>
        <v>0</v>
      </c>
      <c r="AH41" s="1387">
        <f t="shared" si="13"/>
        <v>0</v>
      </c>
      <c r="AI41" s="1671"/>
      <c r="AJ41" s="1671"/>
      <c r="AK41" s="1671"/>
      <c r="AL41" s="1671"/>
      <c r="AM41" s="1671"/>
    </row>
    <row r="42" spans="1:39" s="111" customFormat="1" ht="16.5" outlineLevel="1" x14ac:dyDescent="0.3">
      <c r="A42" s="108"/>
      <c r="B42" s="108"/>
      <c r="C42" s="205" t="s">
        <v>74</v>
      </c>
      <c r="D42" s="98" t="s">
        <v>283</v>
      </c>
      <c r="E42" s="98"/>
      <c r="F42" s="1387">
        <f>-(Ввод!G221+Ввод!G222)/VLOOKUP(Баланс!$B$7,Баланс!$A$1:$B$3,2,0)</f>
        <v>0</v>
      </c>
      <c r="G42" s="1387">
        <f>-(Ввод!H221+Ввод!H222)/VLOOKUP(Баланс!$B$7,Баланс!$A$1:$B$3,2,0)</f>
        <v>0</v>
      </c>
      <c r="H42" s="1387">
        <f>-(Ввод!I221+Ввод!I222)/VLOOKUP(Баланс!$B$7,Баланс!$A$1:$B$3,2,0)</f>
        <v>0</v>
      </c>
      <c r="I42" s="1387">
        <f>-(Ввод!J221+Ввод!J222)/VLOOKUP(Баланс!$B$7,Баланс!$A$1:$B$3,2,0)</f>
        <v>0</v>
      </c>
      <c r="J42" s="1387">
        <f>-(Ввод!K221+Ввод!K222)/VLOOKUP(Баланс!$B$7,Баланс!$A$1:$B$3,2,0)</f>
        <v>0</v>
      </c>
      <c r="K42" s="1387">
        <f>-(Ввод!L221+Ввод!L222)/VLOOKUP(Баланс!$B$7,Баланс!$A$1:$B$3,2,0)</f>
        <v>0</v>
      </c>
      <c r="L42" s="1387"/>
      <c r="M42" s="1387"/>
      <c r="N42" s="1387"/>
      <c r="O42" s="1387"/>
      <c r="P42" s="1402"/>
      <c r="Q42" s="171"/>
      <c r="R42" s="1681">
        <f t="shared" si="27"/>
        <v>0</v>
      </c>
      <c r="S42" s="1681">
        <f t="shared" si="28"/>
        <v>0</v>
      </c>
      <c r="T42" s="1681">
        <f t="shared" si="29"/>
        <v>0</v>
      </c>
      <c r="U42" s="1681">
        <f t="shared" si="30"/>
        <v>0</v>
      </c>
      <c r="V42" s="1681">
        <f t="shared" si="31"/>
        <v>0</v>
      </c>
      <c r="W42" s="1681">
        <f t="shared" si="32"/>
        <v>0</v>
      </c>
      <c r="X42" s="1681">
        <f t="shared" si="33"/>
        <v>0</v>
      </c>
      <c r="Y42" s="1686"/>
      <c r="Z42" s="1686"/>
      <c r="AA42" s="1686"/>
      <c r="AB42" s="110"/>
      <c r="AC42" s="1423"/>
      <c r="AD42" s="1387">
        <f t="shared" si="25"/>
        <v>0</v>
      </c>
      <c r="AE42" s="1387">
        <f t="shared" si="25"/>
        <v>0</v>
      </c>
      <c r="AF42" s="1387">
        <f t="shared" si="26"/>
        <v>0</v>
      </c>
      <c r="AG42" s="1387">
        <f t="shared" si="12"/>
        <v>0</v>
      </c>
      <c r="AH42" s="1387">
        <f t="shared" si="13"/>
        <v>0</v>
      </c>
      <c r="AI42" s="1671"/>
      <c r="AJ42" s="1671"/>
      <c r="AK42" s="1671"/>
      <c r="AL42" s="1671"/>
      <c r="AM42" s="1671"/>
    </row>
    <row r="43" spans="1:39" s="111" customFormat="1" ht="16.5" outlineLevel="1" x14ac:dyDescent="0.3">
      <c r="A43" s="108"/>
      <c r="B43" s="108"/>
      <c r="C43" s="205" t="s">
        <v>74</v>
      </c>
      <c r="D43" s="99" t="s">
        <v>235</v>
      </c>
      <c r="E43" s="98"/>
      <c r="F43" s="1387">
        <f>-Ввод!G220/VLOOKUP(Баланс!$B$7,Баланс!$A$1:$B$3,2,0)</f>
        <v>0</v>
      </c>
      <c r="G43" s="1387">
        <f>-Ввод!H220/VLOOKUP(Баланс!$B$7,Баланс!$A$1:$B$3,2,0)</f>
        <v>0</v>
      </c>
      <c r="H43" s="1387">
        <f>-Ввод!I220/VLOOKUP(Баланс!$B$7,Баланс!$A$1:$B$3,2,0)</f>
        <v>0</v>
      </c>
      <c r="I43" s="1387">
        <f>-Ввод!J220/VLOOKUP(Баланс!$B$7,Баланс!$A$1:$B$3,2,0)</f>
        <v>0</v>
      </c>
      <c r="J43" s="1387">
        <f>-Ввод!K220/VLOOKUP(Баланс!$B$7,Баланс!$A$1:$B$3,2,0)</f>
        <v>0</v>
      </c>
      <c r="K43" s="1387">
        <f>-Ввод!L220/VLOOKUP(Баланс!$B$7,Баланс!$A$1:$B$3,2,0)</f>
        <v>0</v>
      </c>
      <c r="L43" s="1387"/>
      <c r="M43" s="1387"/>
      <c r="N43" s="1387"/>
      <c r="O43" s="1387"/>
      <c r="P43" s="1402"/>
      <c r="Q43" s="171"/>
      <c r="R43" s="1681">
        <f t="shared" si="27"/>
        <v>0</v>
      </c>
      <c r="S43" s="1681">
        <f t="shared" si="28"/>
        <v>0</v>
      </c>
      <c r="T43" s="1681">
        <f t="shared" si="29"/>
        <v>0</v>
      </c>
      <c r="U43" s="1681">
        <f t="shared" si="30"/>
        <v>0</v>
      </c>
      <c r="V43" s="1681">
        <f t="shared" si="31"/>
        <v>0</v>
      </c>
      <c r="W43" s="1681">
        <f t="shared" si="32"/>
        <v>0</v>
      </c>
      <c r="X43" s="1681">
        <f t="shared" si="33"/>
        <v>0</v>
      </c>
      <c r="Y43" s="1686"/>
      <c r="Z43" s="1686"/>
      <c r="AA43" s="1686"/>
      <c r="AB43" s="110"/>
      <c r="AC43" s="1423"/>
      <c r="AD43" s="1387">
        <f t="shared" si="25"/>
        <v>0</v>
      </c>
      <c r="AE43" s="1387">
        <f t="shared" si="25"/>
        <v>0</v>
      </c>
      <c r="AF43" s="1387">
        <f t="shared" si="26"/>
        <v>0</v>
      </c>
      <c r="AG43" s="1387">
        <f t="shared" si="12"/>
        <v>0</v>
      </c>
      <c r="AH43" s="1387">
        <f t="shared" si="13"/>
        <v>0</v>
      </c>
      <c r="AI43" s="1671"/>
      <c r="AJ43" s="1671"/>
      <c r="AK43" s="1671"/>
      <c r="AL43" s="1671"/>
      <c r="AM43" s="1671"/>
    </row>
    <row r="44" spans="1:39" s="111" customFormat="1" ht="16.5" outlineLevel="1" x14ac:dyDescent="0.3">
      <c r="A44" s="108"/>
      <c r="B44" s="108"/>
      <c r="C44" s="205" t="s">
        <v>74</v>
      </c>
      <c r="D44" s="99" t="s">
        <v>302</v>
      </c>
      <c r="E44" s="98"/>
      <c r="F44" s="1387">
        <f>-Ввод!G223/VLOOKUP(Баланс!$B$7,Баланс!$A$1:$B$3,2,0)</f>
        <v>-0.65542999999999996</v>
      </c>
      <c r="G44" s="1387">
        <f>-Ввод!H223/VLOOKUP(Баланс!$B$7,Баланс!$A$1:$B$3,2,0)</f>
        <v>-0.28924899999999998</v>
      </c>
      <c r="H44" s="1387">
        <f>-Ввод!I223/VLOOKUP(Баланс!$B$7,Баланс!$A$1:$B$3,2,0)</f>
        <v>0</v>
      </c>
      <c r="I44" s="1387">
        <f>-Ввод!J223/VLOOKUP(Баланс!$B$7,Баланс!$A$1:$B$3,2,0)</f>
        <v>0</v>
      </c>
      <c r="J44" s="1387">
        <f>-Ввод!K223/VLOOKUP(Баланс!$B$7,Баланс!$A$1:$B$3,2,0)</f>
        <v>0</v>
      </c>
      <c r="K44" s="1387">
        <f>-Ввод!L223/VLOOKUP(Баланс!$B$7,Баланс!$A$1:$B$3,2,0)</f>
        <v>0</v>
      </c>
      <c r="L44" s="1387"/>
      <c r="M44" s="1387"/>
      <c r="N44" s="1387"/>
      <c r="O44" s="1387"/>
      <c r="P44" s="1402"/>
      <c r="Q44" s="171"/>
      <c r="R44" s="1681">
        <f t="shared" si="27"/>
        <v>-9.1482634915950028E-3</v>
      </c>
      <c r="S44" s="1681">
        <f t="shared" si="28"/>
        <v>-3.6645904383188384E-3</v>
      </c>
      <c r="T44" s="1681">
        <f t="shared" si="29"/>
        <v>0</v>
      </c>
      <c r="U44" s="1681">
        <f t="shared" si="30"/>
        <v>0</v>
      </c>
      <c r="V44" s="1681">
        <f t="shared" si="31"/>
        <v>0</v>
      </c>
      <c r="W44" s="1681">
        <f t="shared" si="32"/>
        <v>0</v>
      </c>
      <c r="X44" s="1681">
        <f t="shared" si="33"/>
        <v>0</v>
      </c>
      <c r="Y44" s="1686"/>
      <c r="Z44" s="1686"/>
      <c r="AA44" s="1686"/>
      <c r="AB44" s="110"/>
      <c r="AC44" s="1423"/>
      <c r="AD44" s="1387">
        <f t="shared" si="25"/>
        <v>0.36618099999999998</v>
      </c>
      <c r="AE44" s="1387">
        <f t="shared" si="25"/>
        <v>0.28924899999999998</v>
      </c>
      <c r="AF44" s="1387">
        <f t="shared" si="26"/>
        <v>0</v>
      </c>
      <c r="AG44" s="1387">
        <f t="shared" si="12"/>
        <v>0</v>
      </c>
      <c r="AH44" s="1387">
        <f t="shared" si="13"/>
        <v>0</v>
      </c>
      <c r="AI44" s="1671"/>
      <c r="AJ44" s="1671"/>
      <c r="AK44" s="1671"/>
      <c r="AL44" s="1671"/>
      <c r="AM44" s="1671"/>
    </row>
    <row r="45" spans="1:39" s="103" customFormat="1" ht="16.5" x14ac:dyDescent="0.3">
      <c r="A45" s="113" t="s">
        <v>15</v>
      </c>
      <c r="B45" s="113" t="s">
        <v>79</v>
      </c>
      <c r="C45" s="113"/>
      <c r="D45" s="113"/>
      <c r="E45" s="113"/>
      <c r="F45" s="1382">
        <f t="shared" ref="F45:K45" si="40">IF(SUM(F46:F51,F55:F65)&lt;0,0,SUM(F46:F51,F55:F65))</f>
        <v>30.278860999999999</v>
      </c>
      <c r="G45" s="1382">
        <f t="shared" si="40"/>
        <v>22.431435</v>
      </c>
      <c r="H45" s="1382">
        <f t="shared" si="40"/>
        <v>21.934326999999993</v>
      </c>
      <c r="I45" s="1382">
        <f t="shared" si="40"/>
        <v>16.353399999999997</v>
      </c>
      <c r="J45" s="1382">
        <f t="shared" si="40"/>
        <v>14.267208</v>
      </c>
      <c r="K45" s="1382">
        <f t="shared" si="40"/>
        <v>16.743738999999998</v>
      </c>
      <c r="L45" s="1948">
        <f>Ввод!M258/VLOOKUP(Баланс!$B$7,Баланс!$A$1:$B$3,2,0)</f>
        <v>19.966411000000001</v>
      </c>
      <c r="M45" s="1948">
        <f>Ввод!N258/VLOOKUP(Баланс!$B$7,Баланс!$A$1:$B$3,2,0)</f>
        <v>33.611632999999998</v>
      </c>
      <c r="N45" s="1948">
        <f>Ввод!O258/VLOOKUP(Баланс!$B$7,Баланс!$A$1:$B$3,2,0)</f>
        <v>18.203109999999999</v>
      </c>
      <c r="O45" s="1948">
        <f>Ввод!P258/VLOOKUP(Баланс!$B$7,Баланс!$A$1:$B$3,2,0)</f>
        <v>14.822732</v>
      </c>
      <c r="P45" s="1402"/>
      <c r="Q45" s="143"/>
      <c r="R45" s="1692">
        <f t="shared" si="27"/>
        <v>0.42262178822052665</v>
      </c>
      <c r="S45" s="1692">
        <f t="shared" si="28"/>
        <v>0.28419120625748245</v>
      </c>
      <c r="T45" s="1692">
        <f t="shared" si="29"/>
        <v>0.27762079412792295</v>
      </c>
      <c r="U45" s="1692">
        <f t="shared" si="30"/>
        <v>0.20909603154696446</v>
      </c>
      <c r="V45" s="1692">
        <f t="shared" si="31"/>
        <v>0.18980386178111439</v>
      </c>
      <c r="W45" s="1692">
        <f t="shared" si="32"/>
        <v>0.21923717576739898</v>
      </c>
      <c r="X45" s="1692">
        <f t="shared" si="33"/>
        <v>0.24129771119583712</v>
      </c>
      <c r="Y45" s="1692">
        <f>M45/M$70</f>
        <v>0.3484429777031276</v>
      </c>
      <c r="Z45" s="1692">
        <f>N45/N$70</f>
        <v>0.18062510694255487</v>
      </c>
      <c r="AA45" s="1692">
        <f>O45/O$70</f>
        <v>0.1445807068574485</v>
      </c>
      <c r="AB45" s="104"/>
      <c r="AC45" s="1423"/>
      <c r="AD45" s="1382">
        <f t="shared" si="25"/>
        <v>-7.8474259999999987</v>
      </c>
      <c r="AE45" s="1382">
        <f t="shared" si="25"/>
        <v>-0.49710800000000788</v>
      </c>
      <c r="AF45" s="1382">
        <f t="shared" si="26"/>
        <v>-5.5809269999999955</v>
      </c>
      <c r="AG45" s="1382">
        <f t="shared" si="12"/>
        <v>-2.0861919999999969</v>
      </c>
      <c r="AH45" s="1382">
        <f t="shared" si="13"/>
        <v>2.4765309999999978</v>
      </c>
      <c r="AI45" s="1382">
        <f t="shared" si="5"/>
        <v>3.2226720000000029</v>
      </c>
      <c r="AJ45" s="1382">
        <f t="shared" si="6"/>
        <v>13.645221999999997</v>
      </c>
      <c r="AK45" s="1382">
        <f t="shared" si="7"/>
        <v>-15.408522999999999</v>
      </c>
      <c r="AL45" s="1382">
        <f t="shared" si="7"/>
        <v>-3.3803779999999986</v>
      </c>
      <c r="AM45" s="1382"/>
    </row>
    <row r="46" spans="1:39" s="111" customFormat="1" ht="16.5" outlineLevel="1" x14ac:dyDescent="0.3">
      <c r="A46" s="108"/>
      <c r="B46" s="108"/>
      <c r="C46" s="98"/>
      <c r="D46" s="99" t="s">
        <v>275</v>
      </c>
      <c r="E46" s="98"/>
      <c r="F46" s="1387">
        <f>Ввод!G228/VLOOKUP(Баланс!$B$7,Баланс!$A$1:$B$3,2,0)</f>
        <v>0</v>
      </c>
      <c r="G46" s="1387">
        <f>Ввод!H228/VLOOKUP(Баланс!$B$7,Баланс!$A$1:$B$3,2,0)</f>
        <v>0</v>
      </c>
      <c r="H46" s="1387">
        <f>Ввод!I228/VLOOKUP(Баланс!$B$7,Баланс!$A$1:$B$3,2,0)</f>
        <v>0</v>
      </c>
      <c r="I46" s="1387">
        <f>Ввод!J228/VLOOKUP(Баланс!$B$7,Баланс!$A$1:$B$3,2,0)</f>
        <v>0</v>
      </c>
      <c r="J46" s="1387">
        <f>Ввод!K228/VLOOKUP(Баланс!$B$7,Баланс!$A$1:$B$3,2,0)</f>
        <v>0</v>
      </c>
      <c r="K46" s="1387">
        <f>Ввод!L228/VLOOKUP(Баланс!$B$7,Баланс!$A$1:$B$3,2,0)</f>
        <v>0</v>
      </c>
      <c r="L46" s="1387"/>
      <c r="M46" s="1387"/>
      <c r="N46" s="1387"/>
      <c r="O46" s="1387"/>
      <c r="P46" s="1402"/>
      <c r="Q46" s="171"/>
      <c r="R46" s="1681">
        <f t="shared" si="27"/>
        <v>0</v>
      </c>
      <c r="S46" s="1681">
        <f t="shared" si="28"/>
        <v>0</v>
      </c>
      <c r="T46" s="1681">
        <f t="shared" si="29"/>
        <v>0</v>
      </c>
      <c r="U46" s="1681">
        <f t="shared" si="30"/>
        <v>0</v>
      </c>
      <c r="V46" s="1681">
        <f t="shared" si="31"/>
        <v>0</v>
      </c>
      <c r="W46" s="1681">
        <f t="shared" si="32"/>
        <v>0</v>
      </c>
      <c r="X46" s="1681">
        <f t="shared" si="33"/>
        <v>0</v>
      </c>
      <c r="Y46" s="1686"/>
      <c r="Z46" s="1686"/>
      <c r="AA46" s="1686"/>
      <c r="AB46" s="110"/>
      <c r="AC46" s="1423"/>
      <c r="AD46" s="1387">
        <f t="shared" si="25"/>
        <v>0</v>
      </c>
      <c r="AE46" s="1387">
        <f t="shared" si="25"/>
        <v>0</v>
      </c>
      <c r="AF46" s="1387">
        <f t="shared" si="26"/>
        <v>0</v>
      </c>
      <c r="AG46" s="1387">
        <f t="shared" si="12"/>
        <v>0</v>
      </c>
      <c r="AH46" s="1387">
        <f t="shared" si="13"/>
        <v>0</v>
      </c>
      <c r="AI46" s="1671"/>
      <c r="AJ46" s="1671"/>
      <c r="AK46" s="1671"/>
      <c r="AL46" s="1671"/>
      <c r="AM46" s="1671"/>
    </row>
    <row r="47" spans="1:39" s="111" customFormat="1" ht="16.5" outlineLevel="1" x14ac:dyDescent="0.3">
      <c r="A47" s="108"/>
      <c r="B47" s="108"/>
      <c r="C47" s="98"/>
      <c r="D47" s="99" t="s">
        <v>274</v>
      </c>
      <c r="E47" s="98"/>
      <c r="F47" s="1387">
        <f>Ввод!G229/VLOOKUP(Баланс!$B$7,Баланс!$A$1:$B$3,2,0)</f>
        <v>0</v>
      </c>
      <c r="G47" s="1387">
        <f>Ввод!H229/VLOOKUP(Баланс!$B$7,Баланс!$A$1:$B$3,2,0)</f>
        <v>0</v>
      </c>
      <c r="H47" s="1387">
        <f>Ввод!I229/VLOOKUP(Баланс!$B$7,Баланс!$A$1:$B$3,2,0)</f>
        <v>0</v>
      </c>
      <c r="I47" s="1387">
        <f>Ввод!J229/VLOOKUP(Баланс!$B$7,Баланс!$A$1:$B$3,2,0)</f>
        <v>0</v>
      </c>
      <c r="J47" s="1387">
        <f>Ввод!K229/VLOOKUP(Баланс!$B$7,Баланс!$A$1:$B$3,2,0)</f>
        <v>0</v>
      </c>
      <c r="K47" s="1387">
        <f>Ввод!L229/VLOOKUP(Баланс!$B$7,Баланс!$A$1:$B$3,2,0)</f>
        <v>0</v>
      </c>
      <c r="L47" s="1387"/>
      <c r="M47" s="1387"/>
      <c r="N47" s="1387"/>
      <c r="O47" s="1387"/>
      <c r="P47" s="1402"/>
      <c r="Q47" s="171"/>
      <c r="R47" s="1681">
        <f t="shared" si="27"/>
        <v>0</v>
      </c>
      <c r="S47" s="1681">
        <f t="shared" si="28"/>
        <v>0</v>
      </c>
      <c r="T47" s="1681">
        <f t="shared" si="29"/>
        <v>0</v>
      </c>
      <c r="U47" s="1681">
        <f t="shared" si="30"/>
        <v>0</v>
      </c>
      <c r="V47" s="1681">
        <f t="shared" si="31"/>
        <v>0</v>
      </c>
      <c r="W47" s="1681">
        <f t="shared" si="32"/>
        <v>0</v>
      </c>
      <c r="X47" s="1681">
        <f t="shared" si="33"/>
        <v>0</v>
      </c>
      <c r="Y47" s="1686"/>
      <c r="Z47" s="1686"/>
      <c r="AA47" s="1686"/>
      <c r="AB47" s="110"/>
      <c r="AC47" s="1423"/>
      <c r="AD47" s="1387">
        <f t="shared" si="25"/>
        <v>0</v>
      </c>
      <c r="AE47" s="1387">
        <f t="shared" si="25"/>
        <v>0</v>
      </c>
      <c r="AF47" s="1387">
        <f t="shared" si="26"/>
        <v>0</v>
      </c>
      <c r="AG47" s="1387">
        <f t="shared" si="12"/>
        <v>0</v>
      </c>
      <c r="AH47" s="1387">
        <f t="shared" si="13"/>
        <v>0</v>
      </c>
      <c r="AI47" s="1671"/>
      <c r="AJ47" s="1671"/>
      <c r="AK47" s="1671"/>
      <c r="AL47" s="1671"/>
      <c r="AM47" s="1671"/>
    </row>
    <row r="48" spans="1:39" s="111" customFormat="1" ht="16.5" outlineLevel="1" x14ac:dyDescent="0.3">
      <c r="A48" s="108"/>
      <c r="B48" s="108"/>
      <c r="C48" s="98"/>
      <c r="D48" s="99" t="s">
        <v>280</v>
      </c>
      <c r="E48" s="98"/>
      <c r="F48" s="1387">
        <f>Ввод!G230/VLOOKUP(Баланс!$B$7,Баланс!$A$1:$B$3,2,0)</f>
        <v>3.6549999999999998E-3</v>
      </c>
      <c r="G48" s="1387">
        <f>Ввод!H230/VLOOKUP(Баланс!$B$7,Баланс!$A$1:$B$3,2,0)</f>
        <v>3.6549999999999998E-3</v>
      </c>
      <c r="H48" s="1387">
        <f>Ввод!I230/VLOOKUP(Баланс!$B$7,Баланс!$A$1:$B$3,2,0)</f>
        <v>3.6549999999999998E-3</v>
      </c>
      <c r="I48" s="1387">
        <f>Ввод!J230/VLOOKUP(Баланс!$B$7,Баланс!$A$1:$B$3,2,0)</f>
        <v>3.6549999999999998E-3</v>
      </c>
      <c r="J48" s="1387">
        <f>Ввод!K230/VLOOKUP(Баланс!$B$7,Баланс!$A$1:$B$3,2,0)</f>
        <v>3.6549999999999998E-3</v>
      </c>
      <c r="K48" s="1387">
        <f>Ввод!L230/VLOOKUP(Баланс!$B$7,Баланс!$A$1:$B$3,2,0)</f>
        <v>3.6549999999999998E-3</v>
      </c>
      <c r="L48" s="1387"/>
      <c r="M48" s="1387"/>
      <c r="N48" s="1387"/>
      <c r="O48" s="1387"/>
      <c r="P48" s="1402"/>
      <c r="Q48" s="171"/>
      <c r="R48" s="1681">
        <f t="shared" si="27"/>
        <v>5.1015216059349948E-5</v>
      </c>
      <c r="S48" s="1681">
        <f t="shared" si="28"/>
        <v>4.6306393633358642E-5</v>
      </c>
      <c r="T48" s="1681">
        <f t="shared" si="29"/>
        <v>4.6261004613342304E-5</v>
      </c>
      <c r="U48" s="1681">
        <f t="shared" si="30"/>
        <v>4.6733156120693875E-5</v>
      </c>
      <c r="V48" s="1681">
        <f t="shared" si="31"/>
        <v>4.8624307910137221E-5</v>
      </c>
      <c r="W48" s="1681">
        <f t="shared" si="32"/>
        <v>4.7857403739382427E-5</v>
      </c>
      <c r="X48" s="1681">
        <f t="shared" si="33"/>
        <v>0</v>
      </c>
      <c r="Y48" s="1686"/>
      <c r="Z48" s="1686"/>
      <c r="AA48" s="1686"/>
      <c r="AB48" s="110"/>
      <c r="AC48" s="1423"/>
      <c r="AD48" s="1387">
        <f t="shared" si="25"/>
        <v>0</v>
      </c>
      <c r="AE48" s="1387">
        <f t="shared" si="25"/>
        <v>0</v>
      </c>
      <c r="AF48" s="1387">
        <f t="shared" si="26"/>
        <v>0</v>
      </c>
      <c r="AG48" s="1387">
        <f t="shared" si="12"/>
        <v>0</v>
      </c>
      <c r="AH48" s="1387">
        <f t="shared" si="13"/>
        <v>0</v>
      </c>
      <c r="AI48" s="1671"/>
      <c r="AJ48" s="1671"/>
      <c r="AK48" s="1671"/>
      <c r="AL48" s="1671"/>
      <c r="AM48" s="1671"/>
    </row>
    <row r="49" spans="1:39" s="111" customFormat="1" ht="16.5" outlineLevel="1" x14ac:dyDescent="0.3">
      <c r="A49" s="108"/>
      <c r="B49" s="108"/>
      <c r="C49" s="98"/>
      <c r="D49" s="99" t="s">
        <v>276</v>
      </c>
      <c r="E49" s="98"/>
      <c r="F49" s="1387">
        <f>Ввод!G231/VLOOKUP(Баланс!$B$7,Баланс!$A$1:$B$3,2,0)</f>
        <v>0</v>
      </c>
      <c r="G49" s="1387">
        <f>Ввод!H231/VLOOKUP(Баланс!$B$7,Баланс!$A$1:$B$3,2,0)</f>
        <v>0</v>
      </c>
      <c r="H49" s="1387">
        <f>Ввод!I231/VLOOKUP(Баланс!$B$7,Баланс!$A$1:$B$3,2,0)</f>
        <v>0</v>
      </c>
      <c r="I49" s="1387">
        <f>Ввод!J231/VLOOKUP(Баланс!$B$7,Баланс!$A$1:$B$3,2,0)</f>
        <v>0</v>
      </c>
      <c r="J49" s="1387">
        <f>Ввод!K231/VLOOKUP(Баланс!$B$7,Баланс!$A$1:$B$3,2,0)</f>
        <v>0</v>
      </c>
      <c r="K49" s="1387">
        <f>Ввод!L231/VLOOKUP(Баланс!$B$7,Баланс!$A$1:$B$3,2,0)</f>
        <v>0</v>
      </c>
      <c r="L49" s="1387"/>
      <c r="M49" s="1387"/>
      <c r="N49" s="1387"/>
      <c r="O49" s="1387"/>
      <c r="P49" s="1402"/>
      <c r="Q49" s="171"/>
      <c r="R49" s="1681">
        <f t="shared" si="27"/>
        <v>0</v>
      </c>
      <c r="S49" s="1681">
        <f t="shared" si="28"/>
        <v>0</v>
      </c>
      <c r="T49" s="1681">
        <f t="shared" si="29"/>
        <v>0</v>
      </c>
      <c r="U49" s="1681">
        <f t="shared" si="30"/>
        <v>0</v>
      </c>
      <c r="V49" s="1681">
        <f t="shared" si="31"/>
        <v>0</v>
      </c>
      <c r="W49" s="1681">
        <f t="shared" si="32"/>
        <v>0</v>
      </c>
      <c r="X49" s="1681">
        <f t="shared" si="33"/>
        <v>0</v>
      </c>
      <c r="Y49" s="1686"/>
      <c r="Z49" s="1686"/>
      <c r="AA49" s="1686"/>
      <c r="AB49" s="110"/>
      <c r="AC49" s="1423"/>
      <c r="AD49" s="1387">
        <f t="shared" si="25"/>
        <v>0</v>
      </c>
      <c r="AE49" s="1387">
        <f t="shared" si="25"/>
        <v>0</v>
      </c>
      <c r="AF49" s="1387">
        <f t="shared" si="26"/>
        <v>0</v>
      </c>
      <c r="AG49" s="1387">
        <f t="shared" si="12"/>
        <v>0</v>
      </c>
      <c r="AH49" s="1387">
        <f t="shared" si="13"/>
        <v>0</v>
      </c>
      <c r="AI49" s="1671"/>
      <c r="AJ49" s="1671"/>
      <c r="AK49" s="1671"/>
      <c r="AL49" s="1671"/>
      <c r="AM49" s="1671"/>
    </row>
    <row r="50" spans="1:39" s="111" customFormat="1" ht="16.5" outlineLevel="1" x14ac:dyDescent="0.3">
      <c r="A50" s="108"/>
      <c r="B50" s="108"/>
      <c r="C50" s="98"/>
      <c r="D50" s="99" t="s">
        <v>277</v>
      </c>
      <c r="E50" s="98"/>
      <c r="F50" s="1387">
        <f>Ввод!G232/VLOOKUP(Баланс!$B$7,Баланс!$A$1:$B$3,2,0)</f>
        <v>0</v>
      </c>
      <c r="G50" s="1387">
        <f>Ввод!H232/VLOOKUP(Баланс!$B$7,Баланс!$A$1:$B$3,2,0)</f>
        <v>0</v>
      </c>
      <c r="H50" s="1387">
        <f>Ввод!I232/VLOOKUP(Баланс!$B$7,Баланс!$A$1:$B$3,2,0)</f>
        <v>0</v>
      </c>
      <c r="I50" s="1387">
        <f>Ввод!J232/VLOOKUP(Баланс!$B$7,Баланс!$A$1:$B$3,2,0)</f>
        <v>0</v>
      </c>
      <c r="J50" s="1387">
        <f>Ввод!K232/VLOOKUP(Баланс!$B$7,Баланс!$A$1:$B$3,2,0)</f>
        <v>0</v>
      </c>
      <c r="K50" s="1387">
        <f>Ввод!L232/VLOOKUP(Баланс!$B$7,Баланс!$A$1:$B$3,2,0)</f>
        <v>0</v>
      </c>
      <c r="L50" s="1387"/>
      <c r="M50" s="1387"/>
      <c r="N50" s="1387"/>
      <c r="O50" s="1387"/>
      <c r="P50" s="1402"/>
      <c r="Q50" s="171"/>
      <c r="R50" s="1681">
        <f t="shared" si="27"/>
        <v>0</v>
      </c>
      <c r="S50" s="1681">
        <f t="shared" si="28"/>
        <v>0</v>
      </c>
      <c r="T50" s="1681">
        <f t="shared" si="29"/>
        <v>0</v>
      </c>
      <c r="U50" s="1681">
        <f t="shared" si="30"/>
        <v>0</v>
      </c>
      <c r="V50" s="1681">
        <f t="shared" si="31"/>
        <v>0</v>
      </c>
      <c r="W50" s="1681">
        <f t="shared" si="32"/>
        <v>0</v>
      </c>
      <c r="X50" s="1681">
        <f t="shared" si="33"/>
        <v>0</v>
      </c>
      <c r="Y50" s="1686"/>
      <c r="Z50" s="1686"/>
      <c r="AA50" s="1686"/>
      <c r="AB50" s="110"/>
      <c r="AC50" s="1423"/>
      <c r="AD50" s="1387">
        <f t="shared" si="25"/>
        <v>0</v>
      </c>
      <c r="AE50" s="1387">
        <f t="shared" si="25"/>
        <v>0</v>
      </c>
      <c r="AF50" s="1387">
        <f t="shared" si="26"/>
        <v>0</v>
      </c>
      <c r="AG50" s="1387">
        <f t="shared" si="12"/>
        <v>0</v>
      </c>
      <c r="AH50" s="1387">
        <f t="shared" si="13"/>
        <v>0</v>
      </c>
      <c r="AI50" s="1671"/>
      <c r="AJ50" s="1671"/>
      <c r="AK50" s="1671"/>
      <c r="AL50" s="1671"/>
      <c r="AM50" s="1671"/>
    </row>
    <row r="51" spans="1:39" s="111" customFormat="1" ht="16.5" outlineLevel="1" x14ac:dyDescent="0.3">
      <c r="A51" s="108"/>
      <c r="B51" s="108"/>
      <c r="C51" s="98"/>
      <c r="D51" s="99" t="s">
        <v>279</v>
      </c>
      <c r="E51" s="98"/>
      <c r="F51" s="1387">
        <f>Ввод!G235/VLOOKUP(Баланс!$B$7,Баланс!$A$1:$B$3,2,0)</f>
        <v>22.159676000000001</v>
      </c>
      <c r="G51" s="1387">
        <f>Ввод!H235/VLOOKUP(Баланс!$B$7,Баланс!$A$1:$B$3,2,0)</f>
        <v>15.535883999999999</v>
      </c>
      <c r="H51" s="1387">
        <f>Ввод!I235/VLOOKUP(Баланс!$B$7,Баланс!$A$1:$B$3,2,0)</f>
        <v>16.040282999999999</v>
      </c>
      <c r="I51" s="1387">
        <f>Ввод!J235/VLOOKUP(Баланс!$B$7,Баланс!$A$1:$B$3,2,0)</f>
        <v>15.188958</v>
      </c>
      <c r="J51" s="1387">
        <f>Ввод!K235/VLOOKUP(Баланс!$B$7,Баланс!$A$1:$B$3,2,0)</f>
        <v>14.259828000000001</v>
      </c>
      <c r="K51" s="1387">
        <f>Ввод!L235/VLOOKUP(Баланс!$B$7,Баланс!$A$1:$B$3,2,0)</f>
        <v>12.391736999999999</v>
      </c>
      <c r="L51" s="1387"/>
      <c r="M51" s="1387"/>
      <c r="N51" s="1387"/>
      <c r="O51" s="1387"/>
      <c r="P51" s="1402"/>
      <c r="Q51" s="171"/>
      <c r="R51" s="1681">
        <f t="shared" si="27"/>
        <v>0.30929703391113317</v>
      </c>
      <c r="S51" s="1681">
        <f t="shared" si="28"/>
        <v>0.19682920928760558</v>
      </c>
      <c r="T51" s="1681">
        <f t="shared" si="29"/>
        <v>0.20302041200063367</v>
      </c>
      <c r="U51" s="1681">
        <f t="shared" si="30"/>
        <v>0.1942073722365697</v>
      </c>
      <c r="V51" s="1681">
        <f t="shared" si="31"/>
        <v>0.18970568191999898</v>
      </c>
      <c r="W51" s="1681">
        <f t="shared" si="32"/>
        <v>0.16225345024384227</v>
      </c>
      <c r="X51" s="1681">
        <f t="shared" si="33"/>
        <v>0</v>
      </c>
      <c r="Y51" s="1686"/>
      <c r="Z51" s="1686"/>
      <c r="AA51" s="1686"/>
      <c r="AB51" s="110"/>
      <c r="AC51" s="1423"/>
      <c r="AD51" s="1387">
        <f t="shared" si="25"/>
        <v>-6.6237920000000017</v>
      </c>
      <c r="AE51" s="1387">
        <f t="shared" si="25"/>
        <v>0.50439899999999938</v>
      </c>
      <c r="AF51" s="1387">
        <f t="shared" si="26"/>
        <v>-0.85132499999999922</v>
      </c>
      <c r="AG51" s="1387">
        <f t="shared" si="12"/>
        <v>-0.9291299999999989</v>
      </c>
      <c r="AH51" s="1387">
        <f t="shared" si="13"/>
        <v>-1.8680910000000015</v>
      </c>
      <c r="AI51" s="1671"/>
      <c r="AJ51" s="1671"/>
      <c r="AK51" s="1671"/>
      <c r="AL51" s="1671"/>
      <c r="AM51" s="1671"/>
    </row>
    <row r="52" spans="1:39" s="111" customFormat="1" ht="16.5" outlineLevel="2" x14ac:dyDescent="0.3">
      <c r="A52" s="108"/>
      <c r="B52" s="108"/>
      <c r="C52" s="98"/>
      <c r="D52" s="99"/>
      <c r="E52" s="98" t="s">
        <v>1068</v>
      </c>
      <c r="F52" s="1387">
        <f>Ввод!G236/VLOOKUP(Баланс!$B$7,Баланс!$A$1:$B$3,2,0)</f>
        <v>0</v>
      </c>
      <c r="G52" s="1387">
        <f>Ввод!H236/VLOOKUP(Баланс!$B$7,Баланс!$A$1:$B$3,2,0)</f>
        <v>0</v>
      </c>
      <c r="H52" s="1387">
        <f>Ввод!I236/VLOOKUP(Баланс!$B$7,Баланс!$A$1:$B$3,2,0)</f>
        <v>0</v>
      </c>
      <c r="I52" s="1387">
        <f>Ввод!J236/VLOOKUP(Баланс!$B$7,Баланс!$A$1:$B$3,2,0)</f>
        <v>0</v>
      </c>
      <c r="J52" s="1387">
        <f>Ввод!K236/VLOOKUP(Баланс!$B$7,Баланс!$A$1:$B$3,2,0)</f>
        <v>0</v>
      </c>
      <c r="K52" s="1387">
        <f>Ввод!L236/VLOOKUP(Баланс!$B$7,Баланс!$A$1:$B$3,2,0)</f>
        <v>0</v>
      </c>
      <c r="L52" s="1387"/>
      <c r="M52" s="1387"/>
      <c r="N52" s="1387"/>
      <c r="O52" s="1387"/>
      <c r="P52" s="1402"/>
      <c r="Q52" s="171"/>
      <c r="R52" s="1681">
        <f t="shared" si="27"/>
        <v>0</v>
      </c>
      <c r="S52" s="1681">
        <f t="shared" si="28"/>
        <v>0</v>
      </c>
      <c r="T52" s="1681">
        <f t="shared" si="29"/>
        <v>0</v>
      </c>
      <c r="U52" s="1681">
        <f t="shared" si="30"/>
        <v>0</v>
      </c>
      <c r="V52" s="1681">
        <f t="shared" si="31"/>
        <v>0</v>
      </c>
      <c r="W52" s="1681">
        <f t="shared" si="32"/>
        <v>0</v>
      </c>
      <c r="X52" s="1681">
        <f t="shared" si="33"/>
        <v>0</v>
      </c>
      <c r="Y52" s="1686"/>
      <c r="Z52" s="1686"/>
      <c r="AA52" s="1686"/>
      <c r="AB52" s="110"/>
      <c r="AC52" s="1423"/>
      <c r="AD52" s="1387">
        <f t="shared" si="25"/>
        <v>0</v>
      </c>
      <c r="AE52" s="1387">
        <f t="shared" si="25"/>
        <v>0</v>
      </c>
      <c r="AF52" s="1387">
        <f t="shared" si="26"/>
        <v>0</v>
      </c>
      <c r="AG52" s="1387">
        <f t="shared" si="12"/>
        <v>0</v>
      </c>
      <c r="AH52" s="1387">
        <f t="shared" si="13"/>
        <v>0</v>
      </c>
      <c r="AI52" s="1671"/>
      <c r="AJ52" s="1671"/>
      <c r="AK52" s="1671"/>
      <c r="AL52" s="1671"/>
      <c r="AM52" s="1671"/>
    </row>
    <row r="53" spans="1:39" s="111" customFormat="1" ht="16.5" outlineLevel="2" x14ac:dyDescent="0.3">
      <c r="A53" s="108"/>
      <c r="B53" s="108"/>
      <c r="C53" s="98"/>
      <c r="D53" s="99"/>
      <c r="E53" s="98" t="s">
        <v>787</v>
      </c>
      <c r="F53" s="1387">
        <f>Ввод!G237/VLOOKUP(Баланс!$B$7,Баланс!$A$1:$B$3,2,0)</f>
        <v>10.052175999999999</v>
      </c>
      <c r="G53" s="1387">
        <f>Ввод!H237/VLOOKUP(Баланс!$B$7,Баланс!$A$1:$B$3,2,0)</f>
        <v>3.4283839999999999</v>
      </c>
      <c r="H53" s="1387">
        <f>Ввод!I237/VLOOKUP(Баланс!$B$7,Баланс!$A$1:$B$3,2,0)</f>
        <v>3.9327830000000001</v>
      </c>
      <c r="I53" s="1387">
        <f>Ввод!J237/VLOOKUP(Баланс!$B$7,Баланс!$A$1:$B$3,2,0)</f>
        <v>3.081458</v>
      </c>
      <c r="J53" s="1387">
        <f>Ввод!K237/VLOOKUP(Баланс!$B$7,Баланс!$A$1:$B$3,2,0)</f>
        <v>2.5155530000000002</v>
      </c>
      <c r="K53" s="1387">
        <f>Ввод!L237/VLOOKUP(Баланс!$B$7,Баланс!$A$1:$B$3,2,0)</f>
        <v>1.1317619999999999</v>
      </c>
      <c r="L53" s="1387"/>
      <c r="M53" s="1387"/>
      <c r="N53" s="1387"/>
      <c r="O53" s="1387"/>
      <c r="P53" s="1402"/>
      <c r="Q53" s="171"/>
      <c r="R53" s="1681">
        <f t="shared" si="27"/>
        <v>0.1403047689484575</v>
      </c>
      <c r="S53" s="1681">
        <f t="shared" si="28"/>
        <v>4.3435321212122749E-2</v>
      </c>
      <c r="T53" s="1681">
        <f t="shared" si="29"/>
        <v>4.9776878934685138E-2</v>
      </c>
      <c r="U53" s="1681">
        <f t="shared" si="30"/>
        <v>3.9399796933888134E-2</v>
      </c>
      <c r="V53" s="1681">
        <f t="shared" si="31"/>
        <v>3.3465669941523786E-2</v>
      </c>
      <c r="W53" s="1681">
        <f t="shared" si="32"/>
        <v>1.4818930498191774E-2</v>
      </c>
      <c r="X53" s="1681">
        <f t="shared" si="33"/>
        <v>0</v>
      </c>
      <c r="Y53" s="1686"/>
      <c r="Z53" s="1686"/>
      <c r="AA53" s="1686"/>
      <c r="AB53" s="110"/>
      <c r="AC53" s="1423"/>
      <c r="AD53" s="1387">
        <f t="shared" si="25"/>
        <v>-6.6237919999999999</v>
      </c>
      <c r="AE53" s="1387">
        <f t="shared" si="25"/>
        <v>0.50439900000000026</v>
      </c>
      <c r="AF53" s="1387">
        <f t="shared" si="26"/>
        <v>-0.85132500000000011</v>
      </c>
      <c r="AG53" s="1387">
        <f>J53-I53</f>
        <v>-0.56590499999999988</v>
      </c>
      <c r="AH53" s="1387">
        <f>K53-J53</f>
        <v>-1.3837910000000002</v>
      </c>
      <c r="AI53" s="1671"/>
      <c r="AJ53" s="1671"/>
      <c r="AK53" s="1671"/>
      <c r="AL53" s="1671"/>
      <c r="AM53" s="1671"/>
    </row>
    <row r="54" spans="1:39" s="111" customFormat="1" ht="16.5" outlineLevel="2" x14ac:dyDescent="0.3">
      <c r="A54" s="108"/>
      <c r="B54" s="108"/>
      <c r="C54" s="98"/>
      <c r="D54" s="99"/>
      <c r="E54" s="98" t="s">
        <v>788</v>
      </c>
      <c r="F54" s="1387">
        <f>Ввод!G238/VLOOKUP(Баланс!$B$7,Баланс!$A$1:$B$3,2,0)</f>
        <v>0</v>
      </c>
      <c r="G54" s="1387">
        <f>Ввод!H238/VLOOKUP(Баланс!$B$7,Баланс!$A$1:$B$3,2,0)</f>
        <v>0</v>
      </c>
      <c r="H54" s="1387">
        <f>Ввод!I238/VLOOKUP(Баланс!$B$7,Баланс!$A$1:$B$3,2,0)</f>
        <v>0</v>
      </c>
      <c r="I54" s="1387">
        <f>Ввод!J238/VLOOKUP(Баланс!$B$7,Баланс!$A$1:$B$3,2,0)</f>
        <v>0</v>
      </c>
      <c r="J54" s="1387">
        <f>Ввод!K238/VLOOKUP(Баланс!$B$7,Баланс!$A$1:$B$3,2,0)</f>
        <v>0</v>
      </c>
      <c r="K54" s="1387">
        <f>Ввод!L238/VLOOKUP(Баланс!$B$7,Баланс!$A$1:$B$3,2,0)</f>
        <v>0</v>
      </c>
      <c r="L54" s="1387"/>
      <c r="M54" s="1387"/>
      <c r="N54" s="1387"/>
      <c r="O54" s="1387"/>
      <c r="P54" s="1402"/>
      <c r="Q54" s="171"/>
      <c r="R54" s="1681">
        <f t="shared" si="27"/>
        <v>0</v>
      </c>
      <c r="S54" s="1681">
        <f t="shared" si="28"/>
        <v>0</v>
      </c>
      <c r="T54" s="1681">
        <f t="shared" si="29"/>
        <v>0</v>
      </c>
      <c r="U54" s="1681">
        <f t="shared" si="30"/>
        <v>0</v>
      </c>
      <c r="V54" s="1681">
        <f t="shared" si="31"/>
        <v>0</v>
      </c>
      <c r="W54" s="1681">
        <f t="shared" si="32"/>
        <v>0</v>
      </c>
      <c r="X54" s="1681">
        <f t="shared" si="33"/>
        <v>0</v>
      </c>
      <c r="Y54" s="1686"/>
      <c r="Z54" s="1686"/>
      <c r="AA54" s="1686"/>
      <c r="AB54" s="110"/>
      <c r="AC54" s="1423"/>
      <c r="AD54" s="1387">
        <f t="shared" si="25"/>
        <v>0</v>
      </c>
      <c r="AE54" s="1387">
        <f t="shared" si="25"/>
        <v>0</v>
      </c>
      <c r="AF54" s="1387">
        <f t="shared" si="26"/>
        <v>0</v>
      </c>
      <c r="AG54" s="1387">
        <f t="shared" si="12"/>
        <v>0</v>
      </c>
      <c r="AH54" s="1387">
        <f t="shared" si="13"/>
        <v>0</v>
      </c>
      <c r="AI54" s="1671"/>
      <c r="AJ54" s="1671"/>
      <c r="AK54" s="1671"/>
      <c r="AL54" s="1671"/>
      <c r="AM54" s="1671"/>
    </row>
    <row r="55" spans="1:39" s="111" customFormat="1" ht="16.5" outlineLevel="1" x14ac:dyDescent="0.3">
      <c r="A55" s="108"/>
      <c r="B55" s="108"/>
      <c r="C55" s="98"/>
      <c r="D55" s="99" t="s">
        <v>229</v>
      </c>
      <c r="E55" s="98"/>
      <c r="F55" s="1387">
        <f>Ввод!G233/VLOOKUP(Баланс!$B$7,Баланс!$A$1:$B$3,2,0)</f>
        <v>8.2303010000000008</v>
      </c>
      <c r="G55" s="1387">
        <f>Ввод!H233/VLOOKUP(Баланс!$B$7,Баланс!$A$1:$B$3,2,0)</f>
        <v>6.9125100000000002</v>
      </c>
      <c r="H55" s="1387">
        <f>Ввод!I233/VLOOKUP(Баланс!$B$7,Баланс!$A$1:$B$3,2,0)</f>
        <v>5.9049759999999996</v>
      </c>
      <c r="I55" s="1387">
        <f>Ввод!J233/VLOOKUP(Баланс!$B$7,Баланс!$A$1:$B$3,2,0)</f>
        <v>1.1566240000000001</v>
      </c>
      <c r="J55" s="1387">
        <f>Ввод!K233/VLOOKUP(Баланс!$B$7,Баланс!$A$1:$B$3,2,0)</f>
        <v>0</v>
      </c>
      <c r="K55" s="1387">
        <f>Ввод!L233/VLOOKUP(Баланс!$B$7,Баланс!$A$1:$B$3,2,0)</f>
        <v>4.3446220000000002</v>
      </c>
      <c r="L55" s="1387"/>
      <c r="M55" s="1387"/>
      <c r="N55" s="1387"/>
      <c r="O55" s="1387"/>
      <c r="P55" s="1402"/>
      <c r="Q55" s="171"/>
      <c r="R55" s="1681">
        <f t="shared" si="27"/>
        <v>0.11487567270820356</v>
      </c>
      <c r="S55" s="1681">
        <f t="shared" si="28"/>
        <v>8.7576856102470027E-2</v>
      </c>
      <c r="T55" s="1681">
        <f t="shared" si="29"/>
        <v>7.4738747463112334E-2</v>
      </c>
      <c r="U55" s="1681">
        <f t="shared" si="30"/>
        <v>1.4788697664826661E-2</v>
      </c>
      <c r="V55" s="1681">
        <f t="shared" si="31"/>
        <v>0</v>
      </c>
      <c r="W55" s="1681">
        <f t="shared" si="32"/>
        <v>5.6887094158414003E-2</v>
      </c>
      <c r="X55" s="1681">
        <f t="shared" si="33"/>
        <v>0</v>
      </c>
      <c r="Y55" s="1686"/>
      <c r="Z55" s="1686"/>
      <c r="AA55" s="1686"/>
      <c r="AB55" s="110"/>
      <c r="AC55" s="1423"/>
      <c r="AD55" s="1387">
        <f t="shared" si="25"/>
        <v>-1.3177910000000006</v>
      </c>
      <c r="AE55" s="1387">
        <f t="shared" si="25"/>
        <v>-1.0075340000000006</v>
      </c>
      <c r="AF55" s="1387">
        <f t="shared" si="26"/>
        <v>-4.7483519999999997</v>
      </c>
      <c r="AG55" s="1387">
        <f t="shared" si="12"/>
        <v>-1.1566240000000001</v>
      </c>
      <c r="AH55" s="1387">
        <f t="shared" si="13"/>
        <v>4.3446220000000002</v>
      </c>
      <c r="AI55" s="1671"/>
      <c r="AJ55" s="1671"/>
      <c r="AK55" s="1671"/>
      <c r="AL55" s="1671"/>
      <c r="AM55" s="1671"/>
    </row>
    <row r="56" spans="1:39" s="111" customFormat="1" ht="16.5" outlineLevel="1" x14ac:dyDescent="0.3">
      <c r="A56" s="108"/>
      <c r="B56" s="108"/>
      <c r="C56" s="98"/>
      <c r="D56" s="99" t="s">
        <v>278</v>
      </c>
      <c r="E56" s="98"/>
      <c r="F56" s="1387">
        <f>Ввод!G234/VLOOKUP(Баланс!$B$7,Баланс!$A$1:$B$3,2,0)</f>
        <v>0</v>
      </c>
      <c r="G56" s="1387">
        <f>Ввод!H234/VLOOKUP(Баланс!$B$7,Баланс!$A$1:$B$3,2,0)</f>
        <v>0</v>
      </c>
      <c r="H56" s="1387">
        <f>Ввод!I234/VLOOKUP(Баланс!$B$7,Баланс!$A$1:$B$3,2,0)</f>
        <v>0</v>
      </c>
      <c r="I56" s="1387">
        <f>Ввод!J234/VLOOKUP(Баланс!$B$7,Баланс!$A$1:$B$3,2,0)</f>
        <v>0</v>
      </c>
      <c r="J56" s="1387">
        <f>Ввод!K234/VLOOKUP(Баланс!$B$7,Баланс!$A$1:$B$3,2,0)</f>
        <v>0</v>
      </c>
      <c r="K56" s="1387">
        <f>Ввод!L234/VLOOKUP(Баланс!$B$7,Баланс!$A$1:$B$3,2,0)</f>
        <v>0</v>
      </c>
      <c r="L56" s="1387"/>
      <c r="M56" s="1387"/>
      <c r="N56" s="1387"/>
      <c r="O56" s="1387"/>
      <c r="P56" s="1402"/>
      <c r="Q56" s="171"/>
      <c r="R56" s="1681">
        <f t="shared" si="27"/>
        <v>0</v>
      </c>
      <c r="S56" s="1681">
        <f t="shared" si="28"/>
        <v>0</v>
      </c>
      <c r="T56" s="1681">
        <f t="shared" si="29"/>
        <v>0</v>
      </c>
      <c r="U56" s="1681">
        <f t="shared" si="30"/>
        <v>0</v>
      </c>
      <c r="V56" s="1681">
        <f t="shared" si="31"/>
        <v>0</v>
      </c>
      <c r="W56" s="1681">
        <f t="shared" si="32"/>
        <v>0</v>
      </c>
      <c r="X56" s="1681">
        <f t="shared" si="33"/>
        <v>0</v>
      </c>
      <c r="Y56" s="1686"/>
      <c r="Z56" s="1686"/>
      <c r="AA56" s="1686"/>
      <c r="AB56" s="110"/>
      <c r="AC56" s="1423"/>
      <c r="AD56" s="1387">
        <f t="shared" si="25"/>
        <v>0</v>
      </c>
      <c r="AE56" s="1387">
        <f t="shared" si="25"/>
        <v>0</v>
      </c>
      <c r="AF56" s="1387">
        <f t="shared" si="26"/>
        <v>0</v>
      </c>
      <c r="AG56" s="1387">
        <f t="shared" si="12"/>
        <v>0</v>
      </c>
      <c r="AH56" s="1387">
        <f t="shared" si="13"/>
        <v>0</v>
      </c>
      <c r="AI56" s="1671"/>
      <c r="AJ56" s="1671"/>
      <c r="AK56" s="1671"/>
      <c r="AL56" s="1671"/>
      <c r="AM56" s="1671"/>
    </row>
    <row r="57" spans="1:39" s="111" customFormat="1" ht="16.5" outlineLevel="1" x14ac:dyDescent="0.3">
      <c r="A57" s="108"/>
      <c r="B57" s="108"/>
      <c r="C57" s="98"/>
      <c r="D57" s="99" t="s">
        <v>228</v>
      </c>
      <c r="E57" s="98"/>
      <c r="F57" s="1387">
        <f>Ввод!G239/VLOOKUP(Баланс!$B$7,Баланс!$A$1:$B$3,2,0)</f>
        <v>4.4130000000000003E-3</v>
      </c>
      <c r="G57" s="1387">
        <f>Ввод!H239/VLOOKUP(Баланс!$B$7,Баланс!$A$1:$B$3,2,0)</f>
        <v>4.3860000000000001E-3</v>
      </c>
      <c r="H57" s="1387">
        <f>Ввод!I239/VLOOKUP(Баланс!$B$7,Баланс!$A$1:$B$3,2,0)</f>
        <v>4.163E-3</v>
      </c>
      <c r="I57" s="1387">
        <f>Ввод!J239/VLOOKUP(Баланс!$B$7,Баланс!$A$1:$B$3,2,0)</f>
        <v>4.163E-3</v>
      </c>
      <c r="J57" s="1387">
        <f>Ввод!K239/VLOOKUP(Баланс!$B$7,Баланс!$A$1:$B$3,2,0)</f>
        <v>3.725E-3</v>
      </c>
      <c r="K57" s="1387">
        <f>Ввод!L239/VLOOKUP(Баланс!$B$7,Баланс!$A$1:$B$3,2,0)</f>
        <v>3.725E-3</v>
      </c>
      <c r="L57" s="1387"/>
      <c r="M57" s="1387"/>
      <c r="N57" s="1387"/>
      <c r="O57" s="1387"/>
      <c r="P57" s="1402"/>
      <c r="Q57" s="171"/>
      <c r="R57" s="1681">
        <f t="shared" si="27"/>
        <v>6.1595115860440866E-5</v>
      </c>
      <c r="S57" s="1681">
        <f t="shared" si="28"/>
        <v>5.5567672360030375E-5</v>
      </c>
      <c r="T57" s="1681">
        <f t="shared" si="29"/>
        <v>5.2690714693664573E-5</v>
      </c>
      <c r="U57" s="1681">
        <f t="shared" si="30"/>
        <v>5.322848944745516E-5</v>
      </c>
      <c r="V57" s="1681">
        <f t="shared" si="31"/>
        <v>4.955555320526981E-5</v>
      </c>
      <c r="W57" s="1681">
        <f t="shared" si="32"/>
        <v>4.8773961403337768E-5</v>
      </c>
      <c r="X57" s="1681">
        <f t="shared" si="33"/>
        <v>0</v>
      </c>
      <c r="Y57" s="1686"/>
      <c r="Z57" s="1686"/>
      <c r="AA57" s="1686"/>
      <c r="AB57" s="110"/>
      <c r="AC57" s="1423"/>
      <c r="AD57" s="1387">
        <f t="shared" si="25"/>
        <v>-2.7000000000000114E-5</v>
      </c>
      <c r="AE57" s="1387">
        <f t="shared" si="25"/>
        <v>-2.2300000000000011E-4</v>
      </c>
      <c r="AF57" s="1387">
        <f t="shared" si="26"/>
        <v>0</v>
      </c>
      <c r="AG57" s="1387">
        <f t="shared" si="12"/>
        <v>-4.3800000000000002E-4</v>
      </c>
      <c r="AH57" s="1387">
        <f t="shared" si="13"/>
        <v>0</v>
      </c>
      <c r="AI57" s="1671"/>
      <c r="AJ57" s="1671"/>
      <c r="AK57" s="1671"/>
      <c r="AL57" s="1671"/>
      <c r="AM57" s="1671"/>
    </row>
    <row r="58" spans="1:39" s="111" customFormat="1" ht="16.5" outlineLevel="1" x14ac:dyDescent="0.3">
      <c r="A58" s="108"/>
      <c r="B58" s="108"/>
      <c r="C58" s="98"/>
      <c r="D58" s="99" t="s">
        <v>1439</v>
      </c>
      <c r="E58" s="98"/>
      <c r="F58" s="1387">
        <f>Ввод!G240/VLOOKUP(Баланс!$B$7,Баланс!$A$1:$B$3,2,0)</f>
        <v>0</v>
      </c>
      <c r="G58" s="1387">
        <f>Ввод!H240/VLOOKUP(Баланс!$B$7,Баланс!$A$1:$B$3,2,0)</f>
        <v>0</v>
      </c>
      <c r="H58" s="1387">
        <f>Ввод!I240/VLOOKUP(Баланс!$B$7,Баланс!$A$1:$B$3,2,0)</f>
        <v>0</v>
      </c>
      <c r="I58" s="1387">
        <f>Ввод!J240/VLOOKUP(Баланс!$B$7,Баланс!$A$1:$B$3,2,0)</f>
        <v>0</v>
      </c>
      <c r="J58" s="1387">
        <f>Ввод!K240/VLOOKUP(Баланс!$B$7,Баланс!$A$1:$B$3,2,0)</f>
        <v>0</v>
      </c>
      <c r="K58" s="1387">
        <f>Ввод!L240/VLOOKUP(Баланс!$B$7,Баланс!$A$1:$B$3,2,0)</f>
        <v>0</v>
      </c>
      <c r="L58" s="1387"/>
      <c r="M58" s="1387"/>
      <c r="N58" s="1387"/>
      <c r="O58" s="1387"/>
      <c r="P58" s="1402"/>
      <c r="Q58" s="171"/>
      <c r="R58" s="1681">
        <f t="shared" si="27"/>
        <v>0</v>
      </c>
      <c r="S58" s="1681">
        <f t="shared" si="28"/>
        <v>0</v>
      </c>
      <c r="T58" s="1681">
        <f t="shared" si="29"/>
        <v>0</v>
      </c>
      <c r="U58" s="1681">
        <f t="shared" si="30"/>
        <v>0</v>
      </c>
      <c r="V58" s="1681">
        <f t="shared" si="31"/>
        <v>0</v>
      </c>
      <c r="W58" s="1681">
        <f t="shared" si="32"/>
        <v>0</v>
      </c>
      <c r="X58" s="1681">
        <f t="shared" si="33"/>
        <v>0</v>
      </c>
      <c r="Y58" s="1686"/>
      <c r="Z58" s="1686"/>
      <c r="AA58" s="1686"/>
      <c r="AB58" s="110"/>
      <c r="AC58" s="1423"/>
      <c r="AD58" s="1387">
        <f t="shared" ref="AD58:AH58" si="41">G58-F58</f>
        <v>0</v>
      </c>
      <c r="AE58" s="1387">
        <f t="shared" si="41"/>
        <v>0</v>
      </c>
      <c r="AF58" s="1387">
        <f t="shared" si="41"/>
        <v>0</v>
      </c>
      <c r="AG58" s="1387">
        <f t="shared" si="41"/>
        <v>0</v>
      </c>
      <c r="AH58" s="1387">
        <f t="shared" si="41"/>
        <v>0</v>
      </c>
      <c r="AI58" s="1671"/>
      <c r="AJ58" s="1671"/>
      <c r="AK58" s="1671"/>
      <c r="AL58" s="1671"/>
      <c r="AM58" s="1671"/>
    </row>
    <row r="59" spans="1:39" s="111" customFormat="1" ht="16.5" outlineLevel="1" x14ac:dyDescent="0.3">
      <c r="A59" s="108"/>
      <c r="B59" s="108"/>
      <c r="C59" s="98"/>
      <c r="D59" s="204" t="s">
        <v>265</v>
      </c>
      <c r="E59" s="98"/>
      <c r="F59" s="1387"/>
      <c r="G59" s="1387"/>
      <c r="H59" s="1387"/>
      <c r="I59" s="1387"/>
      <c r="J59" s="1387"/>
      <c r="K59" s="1387"/>
      <c r="L59" s="1387"/>
      <c r="M59" s="1387"/>
      <c r="N59" s="1387"/>
      <c r="O59" s="1387"/>
      <c r="P59" s="1402"/>
      <c r="Q59" s="171"/>
      <c r="R59" s="1681">
        <f t="shared" si="27"/>
        <v>0</v>
      </c>
      <c r="S59" s="1681">
        <f t="shared" si="28"/>
        <v>0</v>
      </c>
      <c r="T59" s="1681">
        <f t="shared" si="29"/>
        <v>0</v>
      </c>
      <c r="U59" s="1681">
        <f t="shared" si="30"/>
        <v>0</v>
      </c>
      <c r="V59" s="1681">
        <f t="shared" si="31"/>
        <v>0</v>
      </c>
      <c r="W59" s="1681">
        <f t="shared" si="32"/>
        <v>0</v>
      </c>
      <c r="X59" s="1681">
        <f t="shared" si="33"/>
        <v>0</v>
      </c>
      <c r="Y59" s="1686"/>
      <c r="Z59" s="1686"/>
      <c r="AA59" s="1686"/>
      <c r="AB59" s="110"/>
      <c r="AC59" s="1423"/>
      <c r="AD59" s="1387">
        <f t="shared" si="25"/>
        <v>0</v>
      </c>
      <c r="AE59" s="1387">
        <f t="shared" si="25"/>
        <v>0</v>
      </c>
      <c r="AF59" s="1387">
        <f t="shared" si="26"/>
        <v>0</v>
      </c>
      <c r="AG59" s="1387">
        <f t="shared" si="12"/>
        <v>0</v>
      </c>
      <c r="AH59" s="1387">
        <f t="shared" si="13"/>
        <v>0</v>
      </c>
      <c r="AI59" s="1671"/>
      <c r="AJ59" s="1671"/>
      <c r="AK59" s="1671"/>
      <c r="AL59" s="1671"/>
      <c r="AM59" s="1671"/>
    </row>
    <row r="60" spans="1:39" s="111" customFormat="1" ht="16.5" outlineLevel="1" x14ac:dyDescent="0.3">
      <c r="A60" s="108"/>
      <c r="B60" s="108"/>
      <c r="C60" s="205" t="s">
        <v>74</v>
      </c>
      <c r="D60" s="99" t="s">
        <v>281</v>
      </c>
      <c r="E60" s="98"/>
      <c r="F60" s="1387">
        <f>-(Ввод!G243+Ввод!G244+Ввод!G249)/VLOOKUP(Баланс!$B$7,Баланс!$A$1:$B$3,2,0)</f>
        <v>0</v>
      </c>
      <c r="G60" s="1387">
        <f>-(Ввод!H243+Ввод!H244+Ввод!H249)/VLOOKUP(Баланс!$B$7,Баланс!$A$1:$B$3,2,0)</f>
        <v>0</v>
      </c>
      <c r="H60" s="1387">
        <f>-(Ввод!I243+Ввод!I244+Ввод!I249)/VLOOKUP(Баланс!$B$7,Баланс!$A$1:$B$3,2,0)</f>
        <v>0</v>
      </c>
      <c r="I60" s="1387">
        <f>-(Ввод!J243+Ввод!J244+Ввод!J249)/VLOOKUP(Баланс!$B$7,Баланс!$A$1:$B$3,2,0)</f>
        <v>0</v>
      </c>
      <c r="J60" s="1387">
        <f>-(Ввод!K243+Ввод!K244+Ввод!K249)/VLOOKUP(Баланс!$B$7,Баланс!$A$1:$B$3,2,0)</f>
        <v>0</v>
      </c>
      <c r="K60" s="1387">
        <f>-(Ввод!L243+Ввод!L244+Ввод!L249)/VLOOKUP(Баланс!$B$7,Баланс!$A$1:$B$3,2,0)</f>
        <v>0</v>
      </c>
      <c r="L60" s="1387"/>
      <c r="M60" s="1387"/>
      <c r="N60" s="1387"/>
      <c r="O60" s="1387"/>
      <c r="P60" s="1402"/>
      <c r="Q60" s="171"/>
      <c r="R60" s="1681">
        <f t="shared" si="27"/>
        <v>0</v>
      </c>
      <c r="S60" s="1681">
        <f t="shared" si="28"/>
        <v>0</v>
      </c>
      <c r="T60" s="1681">
        <f t="shared" si="29"/>
        <v>0</v>
      </c>
      <c r="U60" s="1681">
        <f t="shared" si="30"/>
        <v>0</v>
      </c>
      <c r="V60" s="1681">
        <f t="shared" si="31"/>
        <v>0</v>
      </c>
      <c r="W60" s="1681">
        <f t="shared" si="32"/>
        <v>0</v>
      </c>
      <c r="X60" s="1681">
        <f t="shared" si="33"/>
        <v>0</v>
      </c>
      <c r="Y60" s="1686"/>
      <c r="Z60" s="1686"/>
      <c r="AA60" s="1686"/>
      <c r="AB60" s="110"/>
      <c r="AC60" s="1423"/>
      <c r="AD60" s="1387">
        <f t="shared" si="25"/>
        <v>0</v>
      </c>
      <c r="AE60" s="1387">
        <f t="shared" si="25"/>
        <v>0</v>
      </c>
      <c r="AF60" s="1387">
        <f t="shared" si="26"/>
        <v>0</v>
      </c>
      <c r="AG60" s="1387">
        <f t="shared" si="12"/>
        <v>0</v>
      </c>
      <c r="AH60" s="1387">
        <f t="shared" si="13"/>
        <v>0</v>
      </c>
      <c r="AI60" s="1671"/>
      <c r="AJ60" s="1671"/>
      <c r="AK60" s="1671"/>
      <c r="AL60" s="1671"/>
      <c r="AM60" s="1671"/>
    </row>
    <row r="61" spans="1:39" s="111" customFormat="1" ht="16.5" outlineLevel="1" x14ac:dyDescent="0.3">
      <c r="A61" s="108"/>
      <c r="B61" s="108"/>
      <c r="C61" s="205" t="s">
        <v>74</v>
      </c>
      <c r="D61" s="99" t="s">
        <v>282</v>
      </c>
      <c r="E61" s="98"/>
      <c r="F61" s="1387">
        <f>-Ввод!G245/VLOOKUP(Баланс!$B$7,Баланс!$A$1:$B$3,2,0)</f>
        <v>0</v>
      </c>
      <c r="G61" s="1387">
        <f>-Ввод!H245/VLOOKUP(Баланс!$B$7,Баланс!$A$1:$B$3,2,0)</f>
        <v>0</v>
      </c>
      <c r="H61" s="1387">
        <f>-Ввод!I245/VLOOKUP(Баланс!$B$7,Баланс!$A$1:$B$3,2,0)</f>
        <v>0</v>
      </c>
      <c r="I61" s="1387">
        <f>-Ввод!J245/VLOOKUP(Баланс!$B$7,Баланс!$A$1:$B$3,2,0)</f>
        <v>0</v>
      </c>
      <c r="J61" s="1387">
        <f>-Ввод!K245/VLOOKUP(Баланс!$B$7,Баланс!$A$1:$B$3,2,0)</f>
        <v>0</v>
      </c>
      <c r="K61" s="1387">
        <f>-Ввод!L245/VLOOKUP(Баланс!$B$7,Баланс!$A$1:$B$3,2,0)</f>
        <v>0</v>
      </c>
      <c r="L61" s="1387"/>
      <c r="M61" s="1387"/>
      <c r="N61" s="1387"/>
      <c r="O61" s="1387"/>
      <c r="P61" s="1402"/>
      <c r="Q61" s="171"/>
      <c r="R61" s="1681">
        <f t="shared" ref="R61:R69" si="42">F61/F$70</f>
        <v>0</v>
      </c>
      <c r="S61" s="1681">
        <f t="shared" ref="S61:S69" si="43">G61/G$70</f>
        <v>0</v>
      </c>
      <c r="T61" s="1681">
        <f t="shared" ref="T61:T69" si="44">H61/H$70</f>
        <v>0</v>
      </c>
      <c r="U61" s="1681">
        <f t="shared" ref="U61:U69" si="45">I61/I$70</f>
        <v>0</v>
      </c>
      <c r="V61" s="1681">
        <f t="shared" ref="V61:V69" si="46">J61/J$70</f>
        <v>0</v>
      </c>
      <c r="W61" s="1681">
        <f t="shared" ref="W61:W69" si="47">K61/K$70</f>
        <v>0</v>
      </c>
      <c r="X61" s="1681">
        <f t="shared" ref="X61:X69" si="48">L61/L$70</f>
        <v>0</v>
      </c>
      <c r="Y61" s="1686"/>
      <c r="Z61" s="1686"/>
      <c r="AA61" s="1686"/>
      <c r="AB61" s="110"/>
      <c r="AC61" s="1423"/>
      <c r="AD61" s="1387">
        <f t="shared" si="25"/>
        <v>0</v>
      </c>
      <c r="AE61" s="1387">
        <f t="shared" si="25"/>
        <v>0</v>
      </c>
      <c r="AF61" s="1387">
        <f t="shared" si="26"/>
        <v>0</v>
      </c>
      <c r="AG61" s="1387">
        <f t="shared" si="12"/>
        <v>0</v>
      </c>
      <c r="AH61" s="1387">
        <f t="shared" si="13"/>
        <v>0</v>
      </c>
      <c r="AI61" s="1671"/>
      <c r="AJ61" s="1671"/>
      <c r="AK61" s="1671"/>
      <c r="AL61" s="1671"/>
      <c r="AM61" s="1671"/>
    </row>
    <row r="62" spans="1:39" s="111" customFormat="1" ht="16.5" outlineLevel="1" x14ac:dyDescent="0.3">
      <c r="A62" s="108"/>
      <c r="B62" s="108"/>
      <c r="C62" s="205" t="s">
        <v>74</v>
      </c>
      <c r="D62" s="99" t="s">
        <v>273</v>
      </c>
      <c r="E62" s="98"/>
      <c r="F62" s="1387">
        <f>-Ввод!G246/VLOOKUP(Баланс!$B$7,Баланс!$A$1:$B$3,2,0)</f>
        <v>-4.4999999999999998E-2</v>
      </c>
      <c r="G62" s="1387">
        <f>-Ввод!H246/VLOOKUP(Баланс!$B$7,Баланс!$A$1:$B$3,2,0)</f>
        <v>-0.02</v>
      </c>
      <c r="H62" s="1387">
        <f>-Ввод!I246/VLOOKUP(Баланс!$B$7,Баланс!$A$1:$B$3,2,0)</f>
        <v>-1.8749999999999999E-2</v>
      </c>
      <c r="I62" s="1387">
        <f>-Ввод!J246/VLOOKUP(Баланс!$B$7,Баланс!$A$1:$B$3,2,0)</f>
        <v>0</v>
      </c>
      <c r="J62" s="1387">
        <f>-Ввод!K246/VLOOKUP(Баланс!$B$7,Баланс!$A$1:$B$3,2,0)</f>
        <v>0</v>
      </c>
      <c r="K62" s="1387">
        <f>-Ввод!L246/VLOOKUP(Баланс!$B$7,Баланс!$A$1:$B$3,2,0)</f>
        <v>0</v>
      </c>
      <c r="L62" s="1387"/>
      <c r="M62" s="1387"/>
      <c r="N62" s="1387"/>
      <c r="O62" s="1387"/>
      <c r="P62" s="1402"/>
      <c r="Q62" s="171"/>
      <c r="R62" s="1681">
        <f t="shared" si="42"/>
        <v>-6.2809431536819363E-4</v>
      </c>
      <c r="S62" s="1681">
        <f t="shared" si="43"/>
        <v>-2.5338655886926757E-4</v>
      </c>
      <c r="T62" s="1681">
        <f t="shared" si="44"/>
        <v>-2.3731705513000496E-4</v>
      </c>
      <c r="U62" s="1681">
        <f t="shared" si="45"/>
        <v>0</v>
      </c>
      <c r="V62" s="1681">
        <f t="shared" si="46"/>
        <v>0</v>
      </c>
      <c r="W62" s="1681">
        <f t="shared" si="47"/>
        <v>0</v>
      </c>
      <c r="X62" s="1681">
        <f t="shared" si="48"/>
        <v>0</v>
      </c>
      <c r="Y62" s="1686"/>
      <c r="Z62" s="1686"/>
      <c r="AA62" s="1686"/>
      <c r="AB62" s="110"/>
      <c r="AC62" s="1423"/>
      <c r="AD62" s="1387">
        <f t="shared" si="25"/>
        <v>2.4999999999999998E-2</v>
      </c>
      <c r="AE62" s="1387">
        <f t="shared" si="25"/>
        <v>1.2500000000000011E-3</v>
      </c>
      <c r="AF62" s="1387">
        <f t="shared" si="26"/>
        <v>1.8749999999999999E-2</v>
      </c>
      <c r="AG62" s="1387">
        <f t="shared" si="12"/>
        <v>0</v>
      </c>
      <c r="AH62" s="1387">
        <f t="shared" si="13"/>
        <v>0</v>
      </c>
      <c r="AI62" s="1671"/>
      <c r="AJ62" s="1671"/>
      <c r="AK62" s="1671"/>
      <c r="AL62" s="1671"/>
      <c r="AM62" s="1671"/>
    </row>
    <row r="63" spans="1:39" s="111" customFormat="1" ht="16.5" outlineLevel="1" x14ac:dyDescent="0.3">
      <c r="A63" s="108"/>
      <c r="B63" s="108"/>
      <c r="C63" s="205" t="s">
        <v>74</v>
      </c>
      <c r="D63" s="99" t="s">
        <v>1442</v>
      </c>
      <c r="E63" s="98"/>
      <c r="F63" s="1387">
        <f>-(Ввод!G247+Ввод!G248)/VLOOKUP(Баланс!$B$7,Баланс!$A$1:$B$3,2,0)</f>
        <v>0</v>
      </c>
      <c r="G63" s="1387">
        <f>-(Ввод!H247+Ввод!H248)/VLOOKUP(Баланс!$B$7,Баланс!$A$1:$B$3,2,0)</f>
        <v>0</v>
      </c>
      <c r="H63" s="1387">
        <f>-(Ввод!I247+Ввод!I248)/VLOOKUP(Баланс!$B$7,Баланс!$A$1:$B$3,2,0)</f>
        <v>0</v>
      </c>
      <c r="I63" s="1387">
        <f>-(Ввод!J247+Ввод!J248)/VLOOKUP(Баланс!$B$7,Баланс!$A$1:$B$3,2,0)</f>
        <v>0</v>
      </c>
      <c r="J63" s="1387">
        <f>-(Ввод!K247+Ввод!K248)/VLOOKUP(Баланс!$B$7,Баланс!$A$1:$B$3,2,0)</f>
        <v>0</v>
      </c>
      <c r="K63" s="1387">
        <f>-(Ввод!L247+Ввод!L248)/VLOOKUP(Баланс!$B$7,Баланс!$A$1:$B$3,2,0)</f>
        <v>0</v>
      </c>
      <c r="L63" s="1387"/>
      <c r="M63" s="1387"/>
      <c r="N63" s="1387"/>
      <c r="O63" s="1387"/>
      <c r="P63" s="1402"/>
      <c r="Q63" s="171"/>
      <c r="R63" s="1681">
        <f t="shared" si="42"/>
        <v>0</v>
      </c>
      <c r="S63" s="1681">
        <f t="shared" si="43"/>
        <v>0</v>
      </c>
      <c r="T63" s="1681">
        <f t="shared" si="44"/>
        <v>0</v>
      </c>
      <c r="U63" s="1681">
        <f t="shared" si="45"/>
        <v>0</v>
      </c>
      <c r="V63" s="1681">
        <f t="shared" si="46"/>
        <v>0</v>
      </c>
      <c r="W63" s="1681">
        <f t="shared" si="47"/>
        <v>0</v>
      </c>
      <c r="X63" s="1681">
        <f t="shared" si="48"/>
        <v>0</v>
      </c>
      <c r="Y63" s="1686"/>
      <c r="Z63" s="1686"/>
      <c r="AA63" s="1686"/>
      <c r="AB63" s="110"/>
      <c r="AC63" s="1423"/>
      <c r="AD63" s="1387">
        <f t="shared" si="25"/>
        <v>0</v>
      </c>
      <c r="AE63" s="1387">
        <f t="shared" si="25"/>
        <v>0</v>
      </c>
      <c r="AF63" s="1387">
        <f t="shared" si="26"/>
        <v>0</v>
      </c>
      <c r="AG63" s="1387">
        <f t="shared" si="12"/>
        <v>0</v>
      </c>
      <c r="AH63" s="1387">
        <f t="shared" si="13"/>
        <v>0</v>
      </c>
      <c r="AI63" s="1671"/>
      <c r="AJ63" s="1671"/>
      <c r="AK63" s="1671"/>
      <c r="AL63" s="1671"/>
      <c r="AM63" s="1671"/>
    </row>
    <row r="64" spans="1:39" s="111" customFormat="1" ht="16.5" outlineLevel="1" x14ac:dyDescent="0.3">
      <c r="A64" s="108"/>
      <c r="B64" s="108"/>
      <c r="C64" s="205" t="s">
        <v>74</v>
      </c>
      <c r="D64" s="99" t="s">
        <v>795</v>
      </c>
      <c r="E64" s="98"/>
      <c r="F64" s="1387">
        <f>-Ввод!G251/VLOOKUP(Баланс!$B$7,Баланс!$A$1:$B$3,2,0)</f>
        <v>-7.4184E-2</v>
      </c>
      <c r="G64" s="1387">
        <f>-Ввод!H251/VLOOKUP(Баланс!$B$7,Баланс!$A$1:$B$3,2,0)</f>
        <v>-5.0000000000000001E-3</v>
      </c>
      <c r="H64" s="1387">
        <f>-Ввод!I251/VLOOKUP(Баланс!$B$7,Баланс!$A$1:$B$3,2,0)</f>
        <v>0</v>
      </c>
      <c r="I64" s="1387">
        <f>-Ввод!J251/VLOOKUP(Баланс!$B$7,Баланс!$A$1:$B$3,2,0)</f>
        <v>0</v>
      </c>
      <c r="J64" s="1387">
        <f>-Ввод!K251/VLOOKUP(Баланс!$B$7,Баланс!$A$1:$B$3,2,0)</f>
        <v>0</v>
      </c>
      <c r="K64" s="1387">
        <f>-Ввод!L251/VLOOKUP(Баланс!$B$7,Баланс!$A$1:$B$3,2,0)</f>
        <v>0</v>
      </c>
      <c r="L64" s="1387"/>
      <c r="M64" s="1387"/>
      <c r="N64" s="1387"/>
      <c r="O64" s="1387"/>
      <c r="P64" s="1402"/>
      <c r="Q64" s="171"/>
      <c r="R64" s="1681">
        <f t="shared" si="42"/>
        <v>-1.0354344153616461E-3</v>
      </c>
      <c r="S64" s="1681">
        <f t="shared" si="43"/>
        <v>-6.3346639717316893E-5</v>
      </c>
      <c r="T64" s="1681">
        <f t="shared" si="44"/>
        <v>0</v>
      </c>
      <c r="U64" s="1681">
        <f t="shared" si="45"/>
        <v>0</v>
      </c>
      <c r="V64" s="1681">
        <f t="shared" si="46"/>
        <v>0</v>
      </c>
      <c r="W64" s="1681">
        <f t="shared" si="47"/>
        <v>0</v>
      </c>
      <c r="X64" s="1681">
        <f t="shared" si="48"/>
        <v>0</v>
      </c>
      <c r="Y64" s="1686"/>
      <c r="Z64" s="1686"/>
      <c r="AA64" s="1686"/>
      <c r="AB64" s="110"/>
      <c r="AC64" s="1423"/>
      <c r="AD64" s="1387">
        <f t="shared" si="25"/>
        <v>6.9183999999999996E-2</v>
      </c>
      <c r="AE64" s="1387">
        <f t="shared" si="25"/>
        <v>5.0000000000000001E-3</v>
      </c>
      <c r="AF64" s="1387">
        <f t="shared" si="26"/>
        <v>0</v>
      </c>
      <c r="AG64" s="1387">
        <f t="shared" si="12"/>
        <v>0</v>
      </c>
      <c r="AH64" s="1387">
        <f t="shared" si="13"/>
        <v>0</v>
      </c>
      <c r="AI64" s="1671"/>
      <c r="AJ64" s="1671"/>
      <c r="AK64" s="1671"/>
      <c r="AL64" s="1671"/>
      <c r="AM64" s="1671"/>
    </row>
    <row r="65" spans="1:39" s="103" customFormat="1" ht="16.5" x14ac:dyDescent="0.3">
      <c r="A65" s="113" t="s">
        <v>16</v>
      </c>
      <c r="B65" s="113" t="s">
        <v>1441</v>
      </c>
      <c r="C65" s="113"/>
      <c r="D65" s="113"/>
      <c r="E65" s="113"/>
      <c r="F65" s="1382">
        <f t="shared" ref="F65" si="49">SUM(F66:F69)</f>
        <v>0</v>
      </c>
      <c r="G65" s="1382">
        <f t="shared" ref="G65:K65" si="50">SUM(G66:G69)</f>
        <v>0</v>
      </c>
      <c r="H65" s="1382">
        <f t="shared" si="50"/>
        <v>0</v>
      </c>
      <c r="I65" s="1382">
        <f t="shared" si="50"/>
        <v>0</v>
      </c>
      <c r="J65" s="1382">
        <f t="shared" si="50"/>
        <v>0</v>
      </c>
      <c r="K65" s="1382">
        <f t="shared" si="50"/>
        <v>0</v>
      </c>
      <c r="L65" s="1382"/>
      <c r="M65" s="1382"/>
      <c r="N65" s="1382"/>
      <c r="O65" s="1382"/>
      <c r="P65" s="1402"/>
      <c r="Q65" s="143"/>
      <c r="R65" s="1692">
        <f t="shared" si="42"/>
        <v>0</v>
      </c>
      <c r="S65" s="1692">
        <f t="shared" si="43"/>
        <v>0</v>
      </c>
      <c r="T65" s="1692">
        <f t="shared" si="44"/>
        <v>0</v>
      </c>
      <c r="U65" s="1692">
        <f t="shared" si="45"/>
        <v>0</v>
      </c>
      <c r="V65" s="1692">
        <f t="shared" si="46"/>
        <v>0</v>
      </c>
      <c r="W65" s="1692">
        <f t="shared" si="47"/>
        <v>0</v>
      </c>
      <c r="X65" s="1692">
        <f t="shared" si="48"/>
        <v>0</v>
      </c>
      <c r="Y65" s="1686"/>
      <c r="Z65" s="1686"/>
      <c r="AA65" s="1686"/>
      <c r="AB65" s="104"/>
      <c r="AC65" s="1423"/>
      <c r="AD65" s="1382">
        <f t="shared" si="25"/>
        <v>0</v>
      </c>
      <c r="AE65" s="1382">
        <f t="shared" si="25"/>
        <v>0</v>
      </c>
      <c r="AF65" s="1382">
        <f t="shared" si="26"/>
        <v>0</v>
      </c>
      <c r="AG65" s="1382">
        <f t="shared" si="12"/>
        <v>0</v>
      </c>
      <c r="AH65" s="1382">
        <f t="shared" si="13"/>
        <v>0</v>
      </c>
      <c r="AI65" s="1671"/>
      <c r="AJ65" s="1671"/>
      <c r="AK65" s="1671"/>
      <c r="AL65" s="1671"/>
      <c r="AM65" s="1671"/>
    </row>
    <row r="66" spans="1:39" s="111" customFormat="1" ht="16.5" outlineLevel="1" x14ac:dyDescent="0.3">
      <c r="A66" s="108"/>
      <c r="B66" s="108"/>
      <c r="C66" s="205" t="s">
        <v>74</v>
      </c>
      <c r="D66" s="98" t="s">
        <v>284</v>
      </c>
      <c r="E66" s="98"/>
      <c r="F66" s="1387">
        <f>-Ввод!G253/VLOOKUP(Баланс!$B$7,Баланс!$A$1:$B$3,2,0)</f>
        <v>0</v>
      </c>
      <c r="G66" s="1387">
        <f>-Ввод!H253/VLOOKUP(Баланс!$B$7,Баланс!$A$1:$B$3,2,0)</f>
        <v>0</v>
      </c>
      <c r="H66" s="1387">
        <f>-Ввод!I253/VLOOKUP(Баланс!$B$7,Баланс!$A$1:$B$3,2,0)</f>
        <v>0</v>
      </c>
      <c r="I66" s="1387">
        <f>-Ввод!J253/VLOOKUP(Баланс!$B$7,Баланс!$A$1:$B$3,2,0)</f>
        <v>0</v>
      </c>
      <c r="J66" s="1387">
        <f>-Ввод!K253/VLOOKUP(Баланс!$B$7,Баланс!$A$1:$B$3,2,0)</f>
        <v>0</v>
      </c>
      <c r="K66" s="1387">
        <f>-Ввод!L253/VLOOKUP(Баланс!$B$7,Баланс!$A$1:$B$3,2,0)</f>
        <v>0</v>
      </c>
      <c r="L66" s="1387"/>
      <c r="M66" s="1387"/>
      <c r="N66" s="1387"/>
      <c r="O66" s="1387"/>
      <c r="P66" s="1402"/>
      <c r="Q66" s="171"/>
      <c r="R66" s="1681">
        <f t="shared" si="42"/>
        <v>0</v>
      </c>
      <c r="S66" s="1681">
        <f t="shared" si="43"/>
        <v>0</v>
      </c>
      <c r="T66" s="1681">
        <f t="shared" si="44"/>
        <v>0</v>
      </c>
      <c r="U66" s="1681">
        <f t="shared" si="45"/>
        <v>0</v>
      </c>
      <c r="V66" s="1681">
        <f t="shared" si="46"/>
        <v>0</v>
      </c>
      <c r="W66" s="1681">
        <f t="shared" si="47"/>
        <v>0</v>
      </c>
      <c r="X66" s="1681">
        <f t="shared" si="48"/>
        <v>0</v>
      </c>
      <c r="Y66" s="1686"/>
      <c r="Z66" s="1686"/>
      <c r="AA66" s="1686"/>
      <c r="AB66" s="110"/>
      <c r="AC66" s="1423"/>
      <c r="AD66" s="1387">
        <f t="shared" si="25"/>
        <v>0</v>
      </c>
      <c r="AE66" s="1387">
        <f t="shared" si="25"/>
        <v>0</v>
      </c>
      <c r="AF66" s="1387">
        <f t="shared" si="26"/>
        <v>0</v>
      </c>
      <c r="AG66" s="1387">
        <f t="shared" si="12"/>
        <v>0</v>
      </c>
      <c r="AH66" s="1387">
        <f t="shared" si="13"/>
        <v>0</v>
      </c>
      <c r="AI66" s="1671"/>
      <c r="AJ66" s="1671"/>
      <c r="AK66" s="1671"/>
      <c r="AL66" s="1671"/>
      <c r="AM66" s="1671"/>
    </row>
    <row r="67" spans="1:39" s="111" customFormat="1" ht="16.5" outlineLevel="1" x14ac:dyDescent="0.3">
      <c r="A67" s="108"/>
      <c r="B67" s="108"/>
      <c r="C67" s="205" t="s">
        <v>74</v>
      </c>
      <c r="D67" s="98" t="s">
        <v>285</v>
      </c>
      <c r="E67" s="98"/>
      <c r="F67" s="1387">
        <f>-Ввод!G254/VLOOKUP(Баланс!$B$7,Баланс!$A$1:$B$3,2,0)</f>
        <v>0</v>
      </c>
      <c r="G67" s="1387">
        <f>-Ввод!H254/VLOOKUP(Баланс!$B$7,Баланс!$A$1:$B$3,2,0)</f>
        <v>0</v>
      </c>
      <c r="H67" s="1387">
        <f>-Ввод!I254/VLOOKUP(Баланс!$B$7,Баланс!$A$1:$B$3,2,0)</f>
        <v>0</v>
      </c>
      <c r="I67" s="1387">
        <f>-Ввод!J254/VLOOKUP(Баланс!$B$7,Баланс!$A$1:$B$3,2,0)</f>
        <v>0</v>
      </c>
      <c r="J67" s="1387">
        <f>-Ввод!K254/VLOOKUP(Баланс!$B$7,Баланс!$A$1:$B$3,2,0)</f>
        <v>0</v>
      </c>
      <c r="K67" s="1387">
        <f>-Ввод!L254/VLOOKUP(Баланс!$B$7,Баланс!$A$1:$B$3,2,0)</f>
        <v>0</v>
      </c>
      <c r="L67" s="1387"/>
      <c r="M67" s="1387"/>
      <c r="N67" s="1387"/>
      <c r="O67" s="1387"/>
      <c r="P67" s="1402"/>
      <c r="Q67" s="171"/>
      <c r="R67" s="1681">
        <f t="shared" si="42"/>
        <v>0</v>
      </c>
      <c r="S67" s="1681">
        <f t="shared" si="43"/>
        <v>0</v>
      </c>
      <c r="T67" s="1681">
        <f t="shared" si="44"/>
        <v>0</v>
      </c>
      <c r="U67" s="1681">
        <f t="shared" si="45"/>
        <v>0</v>
      </c>
      <c r="V67" s="1681">
        <f t="shared" si="46"/>
        <v>0</v>
      </c>
      <c r="W67" s="1681">
        <f t="shared" si="47"/>
        <v>0</v>
      </c>
      <c r="X67" s="1681">
        <f t="shared" si="48"/>
        <v>0</v>
      </c>
      <c r="Y67" s="1686"/>
      <c r="Z67" s="1686"/>
      <c r="AA67" s="1686"/>
      <c r="AB67" s="110"/>
      <c r="AC67" s="1423"/>
      <c r="AD67" s="1387">
        <f t="shared" si="25"/>
        <v>0</v>
      </c>
      <c r="AE67" s="1387">
        <f t="shared" si="25"/>
        <v>0</v>
      </c>
      <c r="AF67" s="1387">
        <f t="shared" si="26"/>
        <v>0</v>
      </c>
      <c r="AG67" s="1387">
        <f t="shared" si="12"/>
        <v>0</v>
      </c>
      <c r="AH67" s="1387">
        <f t="shared" si="13"/>
        <v>0</v>
      </c>
      <c r="AI67" s="1671"/>
      <c r="AJ67" s="1671"/>
      <c r="AK67" s="1671"/>
      <c r="AL67" s="1671"/>
      <c r="AM67" s="1671"/>
    </row>
    <row r="68" spans="1:39" s="111" customFormat="1" ht="16.5" outlineLevel="1" x14ac:dyDescent="0.3">
      <c r="A68" s="108"/>
      <c r="B68" s="108"/>
      <c r="C68" s="205" t="s">
        <v>74</v>
      </c>
      <c r="D68" s="98" t="s">
        <v>1443</v>
      </c>
      <c r="E68" s="98"/>
      <c r="F68" s="1387">
        <f>-(Ввод!G256+Ввод!G255)/VLOOKUP(Баланс!$B$7,Баланс!$A$1:$B$3,2,0)</f>
        <v>0</v>
      </c>
      <c r="G68" s="1387">
        <f>-(Ввод!H256+Ввод!H255)/VLOOKUP(Баланс!$B$7,Баланс!$A$1:$B$3,2,0)</f>
        <v>0</v>
      </c>
      <c r="H68" s="1387">
        <f>-(Ввод!I256+Ввод!I255)/VLOOKUP(Баланс!$B$7,Баланс!$A$1:$B$3,2,0)</f>
        <v>0</v>
      </c>
      <c r="I68" s="1387">
        <f>-(Ввод!J256+Ввод!J255)/VLOOKUP(Баланс!$B$7,Баланс!$A$1:$B$3,2,0)</f>
        <v>0</v>
      </c>
      <c r="J68" s="1387">
        <f>-(Ввод!K256+Ввод!K255)/VLOOKUP(Баланс!$B$7,Баланс!$A$1:$B$3,2,0)</f>
        <v>0</v>
      </c>
      <c r="K68" s="1387">
        <f>-(Ввод!L256+Ввод!L255)/VLOOKUP(Баланс!$B$7,Баланс!$A$1:$B$3,2,0)</f>
        <v>0</v>
      </c>
      <c r="L68" s="1387"/>
      <c r="M68" s="1387"/>
      <c r="N68" s="1387"/>
      <c r="O68" s="1387"/>
      <c r="P68" s="1402"/>
      <c r="Q68" s="171"/>
      <c r="R68" s="1681">
        <f t="shared" si="42"/>
        <v>0</v>
      </c>
      <c r="S68" s="1681">
        <f t="shared" si="43"/>
        <v>0</v>
      </c>
      <c r="T68" s="1681">
        <f t="shared" si="44"/>
        <v>0</v>
      </c>
      <c r="U68" s="1681">
        <f t="shared" si="45"/>
        <v>0</v>
      </c>
      <c r="V68" s="1681">
        <f t="shared" si="46"/>
        <v>0</v>
      </c>
      <c r="W68" s="1681">
        <f t="shared" si="47"/>
        <v>0</v>
      </c>
      <c r="X68" s="1681">
        <f t="shared" si="48"/>
        <v>0</v>
      </c>
      <c r="Y68" s="1686"/>
      <c r="Z68" s="1686"/>
      <c r="AA68" s="1686"/>
      <c r="AB68" s="110"/>
      <c r="AC68" s="1423"/>
      <c r="AD68" s="1387">
        <f t="shared" si="25"/>
        <v>0</v>
      </c>
      <c r="AE68" s="1387">
        <f t="shared" si="25"/>
        <v>0</v>
      </c>
      <c r="AF68" s="1387">
        <f t="shared" si="26"/>
        <v>0</v>
      </c>
      <c r="AG68" s="1387">
        <f t="shared" si="12"/>
        <v>0</v>
      </c>
      <c r="AH68" s="1387">
        <f t="shared" si="13"/>
        <v>0</v>
      </c>
      <c r="AI68" s="1671"/>
      <c r="AJ68" s="1671"/>
      <c r="AK68" s="1671"/>
      <c r="AL68" s="1671"/>
      <c r="AM68" s="1671"/>
    </row>
    <row r="69" spans="1:39" s="111" customFormat="1" ht="17.25" outlineLevel="1" thickBot="1" x14ac:dyDescent="0.35">
      <c r="A69" s="108"/>
      <c r="B69" s="108"/>
      <c r="C69" s="205" t="s">
        <v>74</v>
      </c>
      <c r="D69" s="98" t="s">
        <v>640</v>
      </c>
      <c r="E69" s="98"/>
      <c r="F69" s="1387">
        <f>-Ввод!G257/VLOOKUP(Баланс!$B$7,Баланс!$A$1:$B$3,2,0)</f>
        <v>0</v>
      </c>
      <c r="G69" s="1387">
        <f>-Ввод!H257/VLOOKUP(Баланс!$B$7,Баланс!$A$1:$B$3,2,0)</f>
        <v>0</v>
      </c>
      <c r="H69" s="1387">
        <f>-Ввод!I257/VLOOKUP(Баланс!$B$7,Баланс!$A$1:$B$3,2,0)</f>
        <v>0</v>
      </c>
      <c r="I69" s="1387">
        <f>-Ввод!J257/VLOOKUP(Баланс!$B$7,Баланс!$A$1:$B$3,2,0)</f>
        <v>0</v>
      </c>
      <c r="J69" s="1387">
        <f>-Ввод!K257/VLOOKUP(Баланс!$B$7,Баланс!$A$1:$B$3,2,0)</f>
        <v>0</v>
      </c>
      <c r="K69" s="1387">
        <f>-Ввод!L257/VLOOKUP(Баланс!$B$7,Баланс!$A$1:$B$3,2,0)</f>
        <v>0</v>
      </c>
      <c r="L69" s="1387"/>
      <c r="M69" s="1387"/>
      <c r="N69" s="1387"/>
      <c r="O69" s="1387"/>
      <c r="P69" s="1402"/>
      <c r="Q69" s="171"/>
      <c r="R69" s="1681">
        <f t="shared" si="42"/>
        <v>0</v>
      </c>
      <c r="S69" s="1681">
        <f t="shared" si="43"/>
        <v>0</v>
      </c>
      <c r="T69" s="1681">
        <f t="shared" si="44"/>
        <v>0</v>
      </c>
      <c r="U69" s="1681">
        <f t="shared" si="45"/>
        <v>0</v>
      </c>
      <c r="V69" s="1681">
        <f t="shared" si="46"/>
        <v>0</v>
      </c>
      <c r="W69" s="1681">
        <f t="shared" si="47"/>
        <v>0</v>
      </c>
      <c r="X69" s="1681">
        <f t="shared" si="48"/>
        <v>0</v>
      </c>
      <c r="Y69" s="1686"/>
      <c r="Z69" s="1686"/>
      <c r="AA69" s="1686"/>
      <c r="AB69" s="110"/>
      <c r="AC69" s="1423"/>
      <c r="AD69" s="1387">
        <f t="shared" si="25"/>
        <v>0</v>
      </c>
      <c r="AE69" s="1387">
        <f t="shared" si="25"/>
        <v>0</v>
      </c>
      <c r="AF69" s="1387">
        <f t="shared" si="26"/>
        <v>0</v>
      </c>
      <c r="AG69" s="1387">
        <f t="shared" si="12"/>
        <v>0</v>
      </c>
      <c r="AH69" s="1387">
        <f t="shared" si="13"/>
        <v>0</v>
      </c>
      <c r="AI69" s="1671"/>
      <c r="AJ69" s="1671"/>
      <c r="AK69" s="1671"/>
      <c r="AL69" s="1671"/>
      <c r="AM69" s="1671"/>
    </row>
    <row r="70" spans="1:39" s="103" customFormat="1" ht="16.5" x14ac:dyDescent="0.3">
      <c r="A70" s="115"/>
      <c r="B70" s="115"/>
      <c r="C70" s="116" t="s">
        <v>3307</v>
      </c>
      <c r="D70" s="116"/>
      <c r="E70" s="116"/>
      <c r="F70" s="1388">
        <f t="shared" ref="F70:O70" si="51">F9+F45</f>
        <v>71.645290999999986</v>
      </c>
      <c r="G70" s="1388">
        <f t="shared" si="51"/>
        <v>78.930785</v>
      </c>
      <c r="H70" s="1388">
        <f t="shared" si="51"/>
        <v>79.008227999999988</v>
      </c>
      <c r="I70" s="1388">
        <f t="shared" si="51"/>
        <v>78.209997000000001</v>
      </c>
      <c r="J70" s="1388">
        <f t="shared" si="51"/>
        <v>75.168165000000002</v>
      </c>
      <c r="K70" s="1388">
        <f t="shared" si="51"/>
        <v>76.372718000000006</v>
      </c>
      <c r="L70" s="1400">
        <f t="shared" si="51"/>
        <v>82.745960999999994</v>
      </c>
      <c r="M70" s="1400">
        <f t="shared" si="51"/>
        <v>96.462362999999996</v>
      </c>
      <c r="N70" s="1400">
        <f t="shared" si="51"/>
        <v>100.77840399999999</v>
      </c>
      <c r="O70" s="1400">
        <f t="shared" si="51"/>
        <v>102.522199</v>
      </c>
      <c r="P70" s="1389"/>
      <c r="Q70" s="168"/>
      <c r="R70" s="1685">
        <f t="shared" ref="R70:AA70" si="52">R9+R45</f>
        <v>1</v>
      </c>
      <c r="S70" s="1685">
        <f t="shared" si="52"/>
        <v>1</v>
      </c>
      <c r="T70" s="1685">
        <f t="shared" si="52"/>
        <v>1</v>
      </c>
      <c r="U70" s="1685">
        <f t="shared" si="52"/>
        <v>0.99999999999999989</v>
      </c>
      <c r="V70" s="1685">
        <f t="shared" si="52"/>
        <v>1</v>
      </c>
      <c r="W70" s="1685">
        <f t="shared" si="52"/>
        <v>1</v>
      </c>
      <c r="X70" s="1685">
        <f t="shared" si="52"/>
        <v>1</v>
      </c>
      <c r="Y70" s="1685">
        <f t="shared" si="52"/>
        <v>1</v>
      </c>
      <c r="Z70" s="1685">
        <f t="shared" si="52"/>
        <v>1</v>
      </c>
      <c r="AA70" s="1685">
        <f t="shared" si="52"/>
        <v>1</v>
      </c>
      <c r="AB70" s="104"/>
      <c r="AC70" s="1430"/>
      <c r="AD70" s="1388">
        <f t="shared" si="25"/>
        <v>7.2854940000000141</v>
      </c>
      <c r="AE70" s="1388">
        <f t="shared" si="25"/>
        <v>7.744299999998816E-2</v>
      </c>
      <c r="AF70" s="1388">
        <f t="shared" si="26"/>
        <v>-0.79823099999998703</v>
      </c>
      <c r="AG70" s="1388">
        <f>J70-I70</f>
        <v>-3.0418319999999994</v>
      </c>
      <c r="AH70" s="1388">
        <f>K70-J70</f>
        <v>1.2045530000000042</v>
      </c>
      <c r="AI70" s="1388">
        <f t="shared" si="5"/>
        <v>6.373242999999988</v>
      </c>
      <c r="AJ70" s="1388">
        <f t="shared" si="6"/>
        <v>13.716402000000002</v>
      </c>
      <c r="AK70" s="1388">
        <f t="shared" si="7"/>
        <v>4.3160409999999985</v>
      </c>
      <c r="AL70" s="1388">
        <f t="shared" si="7"/>
        <v>1.7437950000000058</v>
      </c>
      <c r="AM70" s="1388"/>
    </row>
    <row r="71" spans="1:39" s="138" customFormat="1" ht="16.5" outlineLevel="1" x14ac:dyDescent="0.3">
      <c r="A71" s="137"/>
      <c r="B71" s="139"/>
      <c r="C71" s="152" t="s">
        <v>796</v>
      </c>
      <c r="D71" s="152"/>
      <c r="E71" s="152"/>
      <c r="F71" s="1390">
        <f>Ввод!G60/VLOOKUP(Баланс!$B$7,Баланс!$A$1:$B$3,2,0)</f>
        <v>49.870344000000003</v>
      </c>
      <c r="G71" s="1390">
        <f>Ввод!H60/VLOOKUP(Баланс!$B$7,Баланс!$A$1:$B$3,2,0)</f>
        <v>63.876246000000002</v>
      </c>
      <c r="H71" s="1390">
        <f>Ввод!I60/VLOOKUP(Баланс!$B$7,Баланс!$A$1:$B$3,2,0)</f>
        <v>65.479410000000001</v>
      </c>
      <c r="I71" s="1390">
        <f>Ввод!J60/VLOOKUP(Баланс!$B$7,Баланс!$A$1:$B$3,2,0)</f>
        <v>73.163478999999995</v>
      </c>
      <c r="J71" s="1390">
        <f>Ввод!K60/VLOOKUP(Баланс!$B$7,Баланс!$A$1:$B$3,2,0)</f>
        <v>72.727427000000006</v>
      </c>
      <c r="K71" s="1390">
        <f>Ввод!L60/VLOOKUP(Баланс!$B$7,Баланс!$A$1:$B$3,2,0)</f>
        <v>78.197316999999998</v>
      </c>
      <c r="L71" s="1390">
        <f>Ввод!M60/VLOOKUP(Баланс!$B$7,Баланс!$A$1:$B$3,2,0)</f>
        <v>76.648270999999994</v>
      </c>
      <c r="M71" s="1390">
        <f>Ввод!N60/VLOOKUP(Баланс!$B$7,Баланс!$A$1:$B$3,2,0)</f>
        <v>92.638407000000001</v>
      </c>
      <c r="N71" s="1390">
        <f>Ввод!O60/VLOOKUP(Баланс!$B$7,Баланс!$A$1:$B$3,2,0)</f>
        <v>105.09896000000001</v>
      </c>
      <c r="O71" s="1390">
        <f>Ввод!P60/VLOOKUP(Баланс!$B$7,Баланс!$A$1:$B$3,2,0)</f>
        <v>0</v>
      </c>
      <c r="P71" s="1390"/>
      <c r="Q71" s="136"/>
      <c r="R71" s="476"/>
      <c r="S71" s="476"/>
      <c r="T71" s="476"/>
      <c r="U71" s="476"/>
      <c r="V71" s="476"/>
      <c r="W71" s="476"/>
      <c r="X71" s="476"/>
      <c r="Y71" s="476"/>
      <c r="Z71" s="476"/>
      <c r="AA71" s="476"/>
      <c r="AB71" s="136"/>
      <c r="AC71" s="137"/>
      <c r="AD71" s="1676"/>
      <c r="AE71" s="1676"/>
      <c r="AF71" s="1676"/>
      <c r="AG71" s="1676"/>
      <c r="AH71" s="1676"/>
      <c r="AI71" s="1676"/>
      <c r="AJ71" s="1676"/>
      <c r="AK71" s="1676"/>
      <c r="AL71" s="1676"/>
      <c r="AM71" s="1676"/>
    </row>
    <row r="72" spans="1:39" s="474" customFormat="1" ht="16.5" x14ac:dyDescent="0.3">
      <c r="A72" s="471"/>
      <c r="B72" s="472"/>
      <c r="C72" s="472" t="s">
        <v>790</v>
      </c>
      <c r="D72" s="472"/>
      <c r="E72" s="472"/>
      <c r="F72" s="1391">
        <f>F70-Ввод!G172/VLOOKUP(Баланс!$B$7,Баланс!$A$1:$B$3,2,0)</f>
        <v>0</v>
      </c>
      <c r="G72" s="1391">
        <f>G70-Ввод!H172/VLOOKUP(Баланс!$B$7,Баланс!$A$1:$B$3,2,0)</f>
        <v>0</v>
      </c>
      <c r="H72" s="1391">
        <f>H70-Ввод!I172/VLOOKUP(Баланс!$B$7,Баланс!$A$1:$B$3,2,0)</f>
        <v>0</v>
      </c>
      <c r="I72" s="1391">
        <f>I70-Ввод!J172/VLOOKUP(Баланс!$B$7,Баланс!$A$1:$B$3,2,0)</f>
        <v>0</v>
      </c>
      <c r="J72" s="1391">
        <f>J70-Ввод!K172/VLOOKUP(Баланс!$B$7,Баланс!$A$1:$B$3,2,0)</f>
        <v>0</v>
      </c>
      <c r="K72" s="1391">
        <f>K70-Ввод!L172/VLOOKUP(Баланс!$B$7,Баланс!$A$1:$B$3,2,0)</f>
        <v>0</v>
      </c>
      <c r="L72" s="1391">
        <f>L70-Ввод!M172/VLOOKUP(Баланс!$B$7,Баланс!$A$1:$B$3,2,0)</f>
        <v>0</v>
      </c>
      <c r="M72" s="1391">
        <f>M70-Ввод!N172/VLOOKUP(Баланс!$B$7,Баланс!$A$1:$B$3,2,0)</f>
        <v>0</v>
      </c>
      <c r="N72" s="1391">
        <f>N70-Ввод!O172/VLOOKUP(Баланс!$B$7,Баланс!$A$1:$B$3,2,0)</f>
        <v>0</v>
      </c>
      <c r="O72" s="1391">
        <f>O70-Ввод!P172/VLOOKUP(Баланс!$B$7,Баланс!$A$1:$B$3,2,0)</f>
        <v>0</v>
      </c>
      <c r="P72" s="1391"/>
      <c r="Q72" s="473"/>
      <c r="R72" s="473"/>
      <c r="S72" s="473"/>
      <c r="T72" s="473"/>
      <c r="U72" s="473"/>
      <c r="V72" s="473"/>
      <c r="W72" s="473"/>
      <c r="X72" s="473"/>
      <c r="Y72" s="473"/>
      <c r="Z72" s="473"/>
      <c r="AA72" s="473"/>
      <c r="AB72" s="473"/>
      <c r="AC72" s="471"/>
      <c r="AD72" s="1677"/>
      <c r="AE72" s="1677"/>
      <c r="AF72" s="1677"/>
      <c r="AG72" s="1677"/>
      <c r="AH72" s="1677"/>
      <c r="AI72" s="1677"/>
      <c r="AJ72" s="1677"/>
      <c r="AK72" s="1677"/>
      <c r="AL72" s="1677"/>
      <c r="AM72" s="1677"/>
    </row>
    <row r="73" spans="1:39" s="103" customFormat="1" ht="16.5" x14ac:dyDescent="0.3">
      <c r="A73" s="101"/>
      <c r="B73" s="102"/>
      <c r="C73" s="102"/>
      <c r="D73" s="102"/>
      <c r="E73" s="102"/>
      <c r="F73" s="118"/>
      <c r="G73" s="118"/>
      <c r="H73" s="118"/>
      <c r="I73" s="118"/>
      <c r="J73" s="104"/>
      <c r="K73" s="104"/>
      <c r="L73" s="104"/>
      <c r="M73" s="104"/>
      <c r="N73" s="104"/>
      <c r="O73" s="104"/>
      <c r="P73" s="104"/>
      <c r="Q73" s="104"/>
      <c r="R73" s="104"/>
      <c r="S73" s="104"/>
      <c r="T73" s="104"/>
      <c r="U73" s="104"/>
      <c r="V73" s="104"/>
      <c r="W73" s="104"/>
      <c r="X73" s="104"/>
      <c r="Y73" s="104"/>
      <c r="Z73" s="104"/>
      <c r="AA73" s="104"/>
      <c r="AB73" s="104"/>
      <c r="AC73" s="101"/>
      <c r="AD73" s="1678"/>
      <c r="AE73" s="1678"/>
      <c r="AF73" s="1678"/>
      <c r="AG73" s="1678"/>
      <c r="AH73" s="1678"/>
      <c r="AI73" s="1678"/>
      <c r="AJ73" s="1678"/>
      <c r="AK73" s="1678"/>
      <c r="AL73" s="1678"/>
      <c r="AM73" s="1678"/>
    </row>
    <row r="74" spans="1:39" s="103" customFormat="1" ht="16.5" x14ac:dyDescent="0.3">
      <c r="A74" s="101"/>
      <c r="B74" s="102"/>
      <c r="C74" s="102"/>
      <c r="D74" s="102"/>
      <c r="E74" s="102"/>
      <c r="F74" s="118"/>
      <c r="G74" s="118"/>
      <c r="H74" s="118"/>
      <c r="I74" s="118"/>
      <c r="J74" s="104"/>
      <c r="K74" s="104"/>
      <c r="L74" s="104"/>
      <c r="M74" s="104"/>
      <c r="N74" s="104"/>
      <c r="O74" s="104"/>
      <c r="P74" s="104"/>
      <c r="Q74" s="104"/>
      <c r="R74" s="104"/>
      <c r="S74" s="104"/>
      <c r="T74" s="104"/>
      <c r="U74" s="104"/>
      <c r="V74" s="104"/>
      <c r="W74" s="104"/>
      <c r="X74" s="104"/>
      <c r="Y74" s="104"/>
      <c r="Z74" s="104"/>
      <c r="AA74" s="104"/>
      <c r="AB74" s="104"/>
      <c r="AC74" s="101"/>
      <c r="AD74" s="1678"/>
      <c r="AE74" s="1678"/>
      <c r="AF74" s="1678"/>
      <c r="AG74" s="1678"/>
      <c r="AH74" s="1678"/>
      <c r="AI74" s="1678"/>
      <c r="AJ74" s="1678"/>
      <c r="AK74" s="1678"/>
      <c r="AL74" s="1678"/>
      <c r="AM74" s="1678"/>
    </row>
    <row r="75" spans="1:39" s="103" customFormat="1" ht="16.5" x14ac:dyDescent="0.3">
      <c r="A75" s="101"/>
      <c r="B75" s="102"/>
      <c r="C75" s="102"/>
      <c r="D75" s="102"/>
      <c r="E75" s="102"/>
      <c r="F75" s="118"/>
      <c r="G75" s="118"/>
      <c r="H75" s="118"/>
      <c r="I75" s="118"/>
      <c r="J75" s="104"/>
      <c r="K75" s="104"/>
      <c r="L75" s="104"/>
      <c r="M75" s="104"/>
      <c r="N75" s="104"/>
      <c r="O75" s="104"/>
      <c r="P75" s="104"/>
      <c r="Q75" s="104"/>
      <c r="R75" s="104"/>
      <c r="S75" s="104"/>
      <c r="T75" s="104"/>
      <c r="U75" s="104"/>
      <c r="V75" s="104"/>
      <c r="W75" s="104"/>
      <c r="X75" s="104"/>
      <c r="Y75" s="104"/>
      <c r="Z75" s="104"/>
      <c r="AA75" s="104"/>
      <c r="AB75" s="104"/>
      <c r="AC75" s="101"/>
      <c r="AD75" s="1678"/>
      <c r="AE75" s="1678"/>
      <c r="AF75" s="1678"/>
      <c r="AG75" s="1678"/>
      <c r="AH75" s="1678"/>
      <c r="AI75" s="1678"/>
      <c r="AJ75" s="1678"/>
      <c r="AK75" s="1678"/>
      <c r="AL75" s="1678"/>
      <c r="AM75" s="1678"/>
    </row>
    <row r="76" spans="1:39" s="103" customFormat="1" ht="16.5" x14ac:dyDescent="0.3">
      <c r="A76" s="101"/>
      <c r="B76" s="102"/>
      <c r="C76" s="102"/>
      <c r="D76" s="338" t="s">
        <v>3296</v>
      </c>
      <c r="E76" s="102"/>
      <c r="F76" s="118"/>
      <c r="G76" s="118"/>
      <c r="H76" s="118"/>
      <c r="I76" s="118"/>
      <c r="J76" s="104"/>
      <c r="K76" s="104"/>
      <c r="L76" s="104"/>
      <c r="M76" s="104"/>
      <c r="N76" s="104"/>
      <c r="O76" s="104"/>
      <c r="P76" s="104"/>
      <c r="Q76" s="104"/>
      <c r="R76" s="104"/>
      <c r="S76" s="104"/>
      <c r="T76" s="104"/>
      <c r="U76" s="104"/>
      <c r="V76" s="104"/>
      <c r="W76" s="104"/>
      <c r="X76" s="104"/>
      <c r="Y76" s="104"/>
      <c r="Z76" s="104"/>
      <c r="AA76" s="104"/>
      <c r="AB76" s="104"/>
      <c r="AC76" s="101"/>
      <c r="AD76" s="1678"/>
      <c r="AE76" s="1678"/>
      <c r="AF76" s="1678"/>
      <c r="AG76" s="1678"/>
      <c r="AH76" s="1678"/>
      <c r="AI76" s="1678"/>
      <c r="AJ76" s="1678"/>
      <c r="AK76" s="1678"/>
      <c r="AL76" s="1678"/>
      <c r="AM76" s="1678"/>
    </row>
    <row r="77" spans="1:39" s="103" customFormat="1" ht="16.5" outlineLevel="1" x14ac:dyDescent="0.3">
      <c r="A77" s="102"/>
      <c r="B77" s="102"/>
      <c r="C77" s="102"/>
      <c r="D77" s="1401" t="s">
        <v>3298</v>
      </c>
      <c r="E77" s="113"/>
      <c r="F77" s="168" t="s">
        <v>348</v>
      </c>
      <c r="G77" s="168"/>
      <c r="H77" s="168"/>
      <c r="I77" s="168"/>
      <c r="J77" s="102"/>
      <c r="K77" s="102"/>
      <c r="L77" s="102"/>
      <c r="M77" s="168"/>
      <c r="N77" s="102"/>
      <c r="O77" s="102"/>
      <c r="P77" s="104"/>
      <c r="Q77" s="104"/>
      <c r="R77" s="102" t="s">
        <v>17</v>
      </c>
      <c r="S77" s="102"/>
      <c r="T77" s="102"/>
      <c r="U77" s="102"/>
      <c r="V77" s="102"/>
      <c r="W77" s="102"/>
      <c r="X77" s="102"/>
      <c r="Y77" s="102"/>
      <c r="Z77" s="102"/>
      <c r="AA77" s="102"/>
      <c r="AB77" s="104"/>
      <c r="AC77" s="224" t="s">
        <v>785</v>
      </c>
      <c r="AD77" s="224"/>
      <c r="AE77" s="224"/>
      <c r="AF77" s="224"/>
      <c r="AG77" s="224"/>
      <c r="AH77" s="224"/>
      <c r="AI77" s="224"/>
      <c r="AJ77" s="224"/>
      <c r="AK77" s="224"/>
      <c r="AL77" s="224"/>
      <c r="AM77" s="224"/>
    </row>
    <row r="78" spans="1:39" s="103" customFormat="1" ht="17.25" outlineLevel="1" thickBot="1" x14ac:dyDescent="0.35">
      <c r="A78" s="102"/>
      <c r="B78" s="102"/>
      <c r="C78" s="102"/>
      <c r="D78" s="102"/>
      <c r="E78" s="102" t="str">
        <f>E7</f>
        <v>млрд руб.</v>
      </c>
      <c r="F78" s="1282" t="str">
        <f>F8</f>
        <v>2016</v>
      </c>
      <c r="G78" s="1282" t="str">
        <f t="shared" ref="G78:O78" si="53">G8</f>
        <v>2017</v>
      </c>
      <c r="H78" s="1282" t="str">
        <f t="shared" si="53"/>
        <v>2018</v>
      </c>
      <c r="I78" s="1282" t="str">
        <f t="shared" si="53"/>
        <v>2019</v>
      </c>
      <c r="J78" s="1282" t="str">
        <f t="shared" si="53"/>
        <v>2020</v>
      </c>
      <c r="K78" s="1282" t="str">
        <f t="shared" si="53"/>
        <v>2021</v>
      </c>
      <c r="L78" s="1282" t="str">
        <f t="shared" si="53"/>
        <v>2022</v>
      </c>
      <c r="M78" s="1282" t="str">
        <f>M8</f>
        <v>2023</v>
      </c>
      <c r="N78" s="1282" t="str">
        <f t="shared" si="53"/>
        <v>2024</v>
      </c>
      <c r="O78" s="1282" t="str">
        <f t="shared" si="53"/>
        <v>2025</v>
      </c>
      <c r="P78" s="104"/>
      <c r="Q78" s="104"/>
      <c r="R78" s="467" t="str">
        <f>R8</f>
        <v>2016</v>
      </c>
      <c r="S78" s="467" t="str">
        <f t="shared" ref="S78:AA78" si="54">S8</f>
        <v>2017</v>
      </c>
      <c r="T78" s="467" t="str">
        <f t="shared" si="54"/>
        <v>2018</v>
      </c>
      <c r="U78" s="467" t="str">
        <f t="shared" si="54"/>
        <v>2019</v>
      </c>
      <c r="V78" s="467" t="str">
        <f t="shared" si="54"/>
        <v>2020</v>
      </c>
      <c r="W78" s="467" t="str">
        <f t="shared" si="54"/>
        <v>2021</v>
      </c>
      <c r="X78" s="467" t="str">
        <f t="shared" si="54"/>
        <v>2022</v>
      </c>
      <c r="Y78" s="467" t="str">
        <f t="shared" si="54"/>
        <v>2023</v>
      </c>
      <c r="Z78" s="467" t="str">
        <f t="shared" si="54"/>
        <v>2024</v>
      </c>
      <c r="AA78" s="467" t="str">
        <f t="shared" si="54"/>
        <v>2025</v>
      </c>
      <c r="AB78" s="104"/>
      <c r="AC78" s="1282" t="str">
        <f>AC8</f>
        <v>2016</v>
      </c>
      <c r="AD78" s="1282" t="str">
        <f t="shared" ref="AD78:AL78" si="55">AD8</f>
        <v>2017</v>
      </c>
      <c r="AE78" s="1282" t="str">
        <f t="shared" si="55"/>
        <v>2018</v>
      </c>
      <c r="AF78" s="1282" t="str">
        <f t="shared" si="55"/>
        <v>2019</v>
      </c>
      <c r="AG78" s="1282" t="str">
        <f t="shared" si="55"/>
        <v>2020</v>
      </c>
      <c r="AH78" s="1282" t="str">
        <f t="shared" si="55"/>
        <v>2021</v>
      </c>
      <c r="AI78" s="1282" t="str">
        <f t="shared" si="55"/>
        <v>2022</v>
      </c>
      <c r="AJ78" s="1282" t="str">
        <f t="shared" si="55"/>
        <v>2023</v>
      </c>
      <c r="AK78" s="1282" t="str">
        <f t="shared" si="55"/>
        <v>2024</v>
      </c>
      <c r="AL78" s="1282" t="str">
        <f t="shared" si="55"/>
        <v>2025</v>
      </c>
      <c r="AM78" s="467"/>
    </row>
    <row r="79" spans="1:39" s="103" customFormat="1" ht="16.5" outlineLevel="1" x14ac:dyDescent="0.3">
      <c r="A79" s="106" t="s">
        <v>2</v>
      </c>
      <c r="B79" s="106" t="s">
        <v>80</v>
      </c>
      <c r="C79" s="106"/>
      <c r="D79" s="106"/>
      <c r="E79" s="106"/>
      <c r="F79" s="1379">
        <f>F80+F97</f>
        <v>41.629936999999991</v>
      </c>
      <c r="G79" s="1379">
        <f t="shared" ref="G79:O79" si="56">G80+G97</f>
        <v>55.538669999999996</v>
      </c>
      <c r="H79" s="1379">
        <f t="shared" si="56"/>
        <v>55.345022999999991</v>
      </c>
      <c r="I79" s="1379">
        <f t="shared" si="56"/>
        <v>62.315229000000002</v>
      </c>
      <c r="J79" s="1379">
        <f t="shared" si="56"/>
        <v>60.769604000000008</v>
      </c>
      <c r="K79" s="1379">
        <f t="shared" si="56"/>
        <v>59.345585000000007</v>
      </c>
      <c r="L79" s="1379">
        <f t="shared" si="56"/>
        <v>60.312135000000005</v>
      </c>
      <c r="M79" s="1379">
        <f t="shared" si="56"/>
        <v>63.193879999999986</v>
      </c>
      <c r="N79" s="1379">
        <f t="shared" si="56"/>
        <v>82.575293999999985</v>
      </c>
      <c r="O79" s="1379">
        <f t="shared" si="56"/>
        <v>0</v>
      </c>
      <c r="P79" s="104"/>
      <c r="Q79" s="104"/>
      <c r="R79" s="1679">
        <f>F79/F$121</f>
        <v>0.59166356290359634</v>
      </c>
      <c r="S79" s="1679">
        <f t="shared" ref="S79:S120" si="57">G79/G$121</f>
        <v>0.71020263638032988</v>
      </c>
      <c r="T79" s="1679">
        <f t="shared" ref="T79:T120" si="58">H79/H$121</f>
        <v>0.68985795426145813</v>
      </c>
      <c r="U79" s="1679">
        <f t="shared" ref="U79:U120" si="59">I79/I$121</f>
        <v>0.79652207388916296</v>
      </c>
      <c r="V79" s="1679">
        <f t="shared" ref="V79:V120" si="60">J79/J$121</f>
        <v>0.80986388387608998</v>
      </c>
      <c r="W79" s="1679">
        <f t="shared" ref="W79:W120" si="61">K79/K$121</f>
        <v>0.77858502563211252</v>
      </c>
      <c r="X79" s="1679">
        <f t="shared" ref="X79:X120" si="62">L79/L$121</f>
        <v>0.80941857432709119</v>
      </c>
      <c r="Y79" s="1679">
        <f t="shared" ref="Y79:Y120" si="63">M79/M$121</f>
        <v>0.65787925534764491</v>
      </c>
      <c r="Z79" s="1679">
        <f t="shared" ref="Z79:Z120" si="64">N79/N$121</f>
        <v>0.81458694867173476</v>
      </c>
      <c r="AA79" s="1679">
        <f>O79/O$70</f>
        <v>0</v>
      </c>
      <c r="AB79" s="104"/>
      <c r="AC79" s="1427"/>
      <c r="AD79" s="1381">
        <f>G79-F79</f>
        <v>13.908733000000005</v>
      </c>
      <c r="AE79" s="1381">
        <f t="shared" ref="AE79:AE121" si="65">H79-G79</f>
        <v>-0.19364700000000568</v>
      </c>
      <c r="AF79" s="1381">
        <f t="shared" ref="AF79:AF121" si="66">I79-H79</f>
        <v>6.9702060000000117</v>
      </c>
      <c r="AG79" s="1381">
        <f t="shared" ref="AG79:AG121" si="67">J79-I79</f>
        <v>-1.545624999999994</v>
      </c>
      <c r="AH79" s="1381">
        <f t="shared" ref="AH79:AH121" si="68">K79-J79</f>
        <v>-1.4240190000000013</v>
      </c>
      <c r="AI79" s="1381">
        <f t="shared" ref="AI79:AI121" si="69">L79-K79</f>
        <v>0.96654999999999802</v>
      </c>
      <c r="AJ79" s="1381">
        <f t="shared" ref="AJ79:AJ121" si="70">M79-L79</f>
        <v>2.8817449999999809</v>
      </c>
      <c r="AK79" s="1381">
        <f t="shared" ref="AK79:AK121" si="71">N79-M79</f>
        <v>19.381413999999999</v>
      </c>
      <c r="AL79" s="1381">
        <f t="shared" ref="AL79:AL121" si="72">O79-N79</f>
        <v>-82.575293999999985</v>
      </c>
      <c r="AM79" s="1381"/>
    </row>
    <row r="80" spans="1:39" s="166" customFormat="1" ht="16.5" outlineLevel="1" x14ac:dyDescent="0.3">
      <c r="A80" s="1403"/>
      <c r="B80" s="1403" t="s">
        <v>74</v>
      </c>
      <c r="C80" s="164" t="s">
        <v>77</v>
      </c>
      <c r="D80" s="164"/>
      <c r="E80" s="164"/>
      <c r="F80" s="1404">
        <f>SUM(F81:F83,F86:F96)</f>
        <v>41.629936999999991</v>
      </c>
      <c r="G80" s="1404">
        <f t="shared" ref="G80:O80" si="73">SUM(G81:G83,G86:G96)</f>
        <v>55.538669999999996</v>
      </c>
      <c r="H80" s="1404">
        <f t="shared" si="73"/>
        <v>55.345022999999991</v>
      </c>
      <c r="I80" s="1404">
        <f t="shared" si="73"/>
        <v>62.315229000000002</v>
      </c>
      <c r="J80" s="1404">
        <f t="shared" si="73"/>
        <v>60.769604000000008</v>
      </c>
      <c r="K80" s="1404">
        <f t="shared" si="73"/>
        <v>59.345585000000007</v>
      </c>
      <c r="L80" s="1404">
        <f t="shared" si="73"/>
        <v>60.312135000000005</v>
      </c>
      <c r="M80" s="1404">
        <f t="shared" si="73"/>
        <v>63.193879999999986</v>
      </c>
      <c r="N80" s="1404">
        <f t="shared" si="73"/>
        <v>82.575293999999985</v>
      </c>
      <c r="O80" s="1404">
        <f t="shared" si="73"/>
        <v>0</v>
      </c>
      <c r="P80" s="165"/>
      <c r="Q80" s="165"/>
      <c r="R80" s="1680">
        <f t="shared" ref="R80:R120" si="74">F80/F$121</f>
        <v>0.59166356290359634</v>
      </c>
      <c r="S80" s="1680">
        <f t="shared" si="57"/>
        <v>0.71020263638032988</v>
      </c>
      <c r="T80" s="1680">
        <f t="shared" si="58"/>
        <v>0.68985795426145813</v>
      </c>
      <c r="U80" s="1680">
        <f t="shared" si="59"/>
        <v>0.79652207388916296</v>
      </c>
      <c r="V80" s="1680">
        <f t="shared" si="60"/>
        <v>0.80986388387608998</v>
      </c>
      <c r="W80" s="1680">
        <f t="shared" si="61"/>
        <v>0.77858502563211252</v>
      </c>
      <c r="X80" s="1680">
        <f t="shared" si="62"/>
        <v>0.80941857432709119</v>
      </c>
      <c r="Y80" s="1680">
        <f t="shared" si="63"/>
        <v>0.65787925534764491</v>
      </c>
      <c r="Z80" s="1680">
        <f t="shared" si="64"/>
        <v>0.81458694867173476</v>
      </c>
      <c r="AA80" s="1680">
        <f>O80/O$70</f>
        <v>0</v>
      </c>
      <c r="AB80" s="165"/>
      <c r="AC80" s="1428"/>
      <c r="AD80" s="1404">
        <f t="shared" ref="AD80:AD121" si="75">G80-F80</f>
        <v>13.908733000000005</v>
      </c>
      <c r="AE80" s="1404">
        <f t="shared" si="65"/>
        <v>-0.19364700000000568</v>
      </c>
      <c r="AF80" s="1404">
        <f t="shared" si="66"/>
        <v>6.9702060000000117</v>
      </c>
      <c r="AG80" s="1404">
        <f t="shared" si="67"/>
        <v>-1.545624999999994</v>
      </c>
      <c r="AH80" s="1404">
        <f t="shared" si="68"/>
        <v>-1.4240190000000013</v>
      </c>
      <c r="AI80" s="1404">
        <f t="shared" si="69"/>
        <v>0.96654999999999802</v>
      </c>
      <c r="AJ80" s="1404">
        <f t="shared" si="70"/>
        <v>2.8817449999999809</v>
      </c>
      <c r="AK80" s="1404">
        <f t="shared" si="71"/>
        <v>19.381413999999999</v>
      </c>
      <c r="AL80" s="1404">
        <f t="shared" si="72"/>
        <v>-82.575293999999985</v>
      </c>
      <c r="AM80" s="1404"/>
    </row>
    <row r="81" spans="1:39" s="111" customFormat="1" ht="16.5" outlineLevel="2" x14ac:dyDescent="0.3">
      <c r="A81" s="108"/>
      <c r="B81" s="108"/>
      <c r="C81" s="98"/>
      <c r="D81" s="99" t="s">
        <v>3299</v>
      </c>
      <c r="E81" s="98"/>
      <c r="F81" s="1383">
        <f>Ввод!G264/VLOOKUP(Баланс!$B$7,Баланс!$A$1:$B$3,2,0)</f>
        <v>38.011741000000001</v>
      </c>
      <c r="G81" s="1383">
        <f>Ввод!H264/VLOOKUP(Баланс!$B$7,Баланс!$A$1:$B$3,2,0)</f>
        <v>48.011741000000001</v>
      </c>
      <c r="H81" s="1383">
        <f>Ввод!I264/VLOOKUP(Баланс!$B$7,Баланс!$A$1:$B$3,2,0)</f>
        <v>48.011741000000001</v>
      </c>
      <c r="I81" s="1383">
        <f>Ввод!J264/VLOOKUP(Баланс!$B$7,Баланс!$A$1:$B$3,2,0)</f>
        <v>48.011741000000001</v>
      </c>
      <c r="J81" s="1383">
        <f>Ввод!K264/VLOOKUP(Баланс!$B$7,Баланс!$A$1:$B$3,2,0)</f>
        <v>48.011741000000001</v>
      </c>
      <c r="K81" s="1383">
        <f>Ввод!L264/VLOOKUP(Баланс!$B$7,Баланс!$A$1:$B$3,2,0)</f>
        <v>48.011741000000001</v>
      </c>
      <c r="L81" s="1383">
        <f>Ввод!M264/VLOOKUP(Баланс!$B$7,Баланс!$A$1:$B$3,2,0)</f>
        <v>48.011741000000001</v>
      </c>
      <c r="M81" s="1383">
        <f>Ввод!N264/VLOOKUP(Баланс!$B$7,Баланс!$A$1:$B$3,2,0)</f>
        <v>48.011741000000001</v>
      </c>
      <c r="N81" s="1383">
        <f>Ввод!O264/VLOOKUP(Баланс!$B$7,Баланс!$A$1:$B$3,2,0)</f>
        <v>48.011741000000001</v>
      </c>
      <c r="O81" s="1383">
        <f>Ввод!P264/VLOOKUP(Баланс!$B$7,Баланс!$A$1:$B$3,2,0)</f>
        <v>0</v>
      </c>
      <c r="P81" s="1410"/>
      <c r="Q81" s="171"/>
      <c r="R81" s="1681">
        <f t="shared" si="74"/>
        <v>0.5402401188411291</v>
      </c>
      <c r="S81" s="1681">
        <f t="shared" si="57"/>
        <v>0.6139517751399084</v>
      </c>
      <c r="T81" s="1681">
        <f t="shared" si="58"/>
        <v>0.59845094701272372</v>
      </c>
      <c r="U81" s="1681">
        <f t="shared" si="59"/>
        <v>0.61369286651180166</v>
      </c>
      <c r="V81" s="1681">
        <f t="shared" si="60"/>
        <v>0.6398424949076994</v>
      </c>
      <c r="W81" s="1681">
        <f t="shared" si="61"/>
        <v>0.62989054025042202</v>
      </c>
      <c r="X81" s="1681">
        <f t="shared" si="62"/>
        <v>0.64434122504835134</v>
      </c>
      <c r="Y81" s="1681">
        <f t="shared" si="63"/>
        <v>0.49982574921850026</v>
      </c>
      <c r="Z81" s="1681">
        <f t="shared" si="64"/>
        <v>0.47362516931041904</v>
      </c>
      <c r="AA81" s="1681"/>
      <c r="AB81" s="110"/>
      <c r="AC81" s="469"/>
      <c r="AD81" s="1387">
        <f t="shared" si="75"/>
        <v>10</v>
      </c>
      <c r="AE81" s="1387">
        <f t="shared" si="65"/>
        <v>0</v>
      </c>
      <c r="AF81" s="1387">
        <f t="shared" si="66"/>
        <v>0</v>
      </c>
      <c r="AG81" s="1387">
        <f t="shared" si="67"/>
        <v>0</v>
      </c>
      <c r="AH81" s="1387">
        <f t="shared" si="68"/>
        <v>0</v>
      </c>
      <c r="AI81" s="1387">
        <f t="shared" si="69"/>
        <v>0</v>
      </c>
      <c r="AJ81" s="1387">
        <f t="shared" si="70"/>
        <v>0</v>
      </c>
      <c r="AK81" s="1387">
        <f t="shared" si="71"/>
        <v>0</v>
      </c>
      <c r="AL81" s="1387">
        <f t="shared" si="72"/>
        <v>-48.011741000000001</v>
      </c>
      <c r="AM81" s="1387"/>
    </row>
    <row r="82" spans="1:39" s="111" customFormat="1" ht="16.5" outlineLevel="2" x14ac:dyDescent="0.3">
      <c r="A82" s="108"/>
      <c r="B82" s="108"/>
      <c r="C82" s="98"/>
      <c r="D82" s="99" t="s">
        <v>33</v>
      </c>
      <c r="E82" s="98"/>
      <c r="F82" s="1383">
        <f>Ввод!G270/VLOOKUP(Баланс!$B$7,Баланс!$A$1:$B$3,2,0)</f>
        <v>0</v>
      </c>
      <c r="G82" s="1383">
        <f>Ввод!H270/VLOOKUP(Баланс!$B$7,Баланс!$A$1:$B$3,2,0)</f>
        <v>6.4084000000000002E-2</v>
      </c>
      <c r="H82" s="1383">
        <f>Ввод!I270/VLOOKUP(Баланс!$B$7,Баланс!$A$1:$B$3,2,0)</f>
        <v>0.10907799999999999</v>
      </c>
      <c r="I82" s="1383">
        <f>Ввод!J270/VLOOKUP(Баланс!$B$7,Баланс!$A$1:$B$3,2,0)</f>
        <v>0.207894</v>
      </c>
      <c r="J82" s="1383">
        <f>Ввод!K270/VLOOKUP(Баланс!$B$7,Баланс!$A$1:$B$3,2,0)</f>
        <v>0.52053499999999997</v>
      </c>
      <c r="K82" s="1383">
        <f>Ввод!L270/VLOOKUP(Баланс!$B$7,Баланс!$A$1:$B$3,2,0)</f>
        <v>0.73840700000000004</v>
      </c>
      <c r="L82" s="1383">
        <f>Ввод!M270/VLOOKUP(Баланс!$B$7,Баланс!$A$1:$B$3,2,0)</f>
        <v>1.053596</v>
      </c>
      <c r="M82" s="1383">
        <f>Ввод!N270/VLOOKUP(Баланс!$B$7,Баланс!$A$1:$B$3,2,0)</f>
        <v>1.131454</v>
      </c>
      <c r="N82" s="1383">
        <f>Ввод!O270/VLOOKUP(Баланс!$B$7,Баланс!$A$1:$B$3,2,0)</f>
        <v>1.451972</v>
      </c>
      <c r="O82" s="1383">
        <f>Ввод!P270/VLOOKUP(Баланс!$B$7,Баланс!$A$1:$B$3,2,0)</f>
        <v>0</v>
      </c>
      <c r="P82" s="1410"/>
      <c r="Q82" s="171"/>
      <c r="R82" s="1681">
        <f t="shared" si="74"/>
        <v>0</v>
      </c>
      <c r="S82" s="1681">
        <f t="shared" si="57"/>
        <v>8.1947633513364769E-4</v>
      </c>
      <c r="T82" s="1681">
        <f t="shared" si="58"/>
        <v>1.3596222723573778E-3</v>
      </c>
      <c r="U82" s="1681">
        <f t="shared" si="59"/>
        <v>2.6573305223529489E-3</v>
      </c>
      <c r="V82" s="1681">
        <f t="shared" si="60"/>
        <v>6.9370617717607712E-3</v>
      </c>
      <c r="W82" s="1681">
        <f t="shared" si="61"/>
        <v>9.6875383909676045E-3</v>
      </c>
      <c r="X82" s="1681">
        <f t="shared" si="62"/>
        <v>1.4139777546205682E-2</v>
      </c>
      <c r="Y82" s="1681">
        <f t="shared" si="63"/>
        <v>1.177899054433933E-2</v>
      </c>
      <c r="Z82" s="1681">
        <f t="shared" si="64"/>
        <v>1.4323381531488053E-2</v>
      </c>
      <c r="AA82" s="1681"/>
      <c r="AB82" s="110"/>
      <c r="AC82" s="469"/>
      <c r="AD82" s="1387">
        <f t="shared" si="75"/>
        <v>6.4084000000000002E-2</v>
      </c>
      <c r="AE82" s="1387">
        <f t="shared" si="65"/>
        <v>4.4993999999999992E-2</v>
      </c>
      <c r="AF82" s="1387">
        <f t="shared" si="66"/>
        <v>9.8816000000000001E-2</v>
      </c>
      <c r="AG82" s="1387">
        <f t="shared" si="67"/>
        <v>0.31264099999999995</v>
      </c>
      <c r="AH82" s="1387">
        <f t="shared" si="68"/>
        <v>0.21787200000000007</v>
      </c>
      <c r="AI82" s="1387">
        <f t="shared" si="69"/>
        <v>0.31518899999999994</v>
      </c>
      <c r="AJ82" s="1387">
        <f t="shared" si="70"/>
        <v>7.7857999999999983E-2</v>
      </c>
      <c r="AK82" s="1387">
        <f t="shared" si="71"/>
        <v>0.32051800000000008</v>
      </c>
      <c r="AL82" s="1387">
        <f t="shared" si="72"/>
        <v>-1.451972</v>
      </c>
      <c r="AM82" s="1387"/>
    </row>
    <row r="83" spans="1:39" s="111" customFormat="1" ht="16.5" outlineLevel="2" x14ac:dyDescent="0.3">
      <c r="A83" s="108"/>
      <c r="B83" s="108"/>
      <c r="C83" s="98"/>
      <c r="D83" s="99" t="s">
        <v>262</v>
      </c>
      <c r="E83" s="98"/>
      <c r="F83" s="1383">
        <f>Ввод!G267/VLOOKUP(Баланс!$B$7,Баланс!$A$1:$B$3,2,0)</f>
        <v>4.7150670000000003</v>
      </c>
      <c r="G83" s="1383">
        <f>Ввод!H267/VLOOKUP(Баланс!$B$7,Баланс!$A$1:$B$3,2,0)</f>
        <v>8.3467020000000005</v>
      </c>
      <c r="H83" s="1383">
        <f>Ввод!I267/VLOOKUP(Баланс!$B$7,Баланс!$A$1:$B$3,2,0)</f>
        <v>8.7430610000000009</v>
      </c>
      <c r="I83" s="1383">
        <f>Ввод!J267/VLOOKUP(Баланс!$B$7,Баланс!$A$1:$B$3,2,0)</f>
        <v>17.195208000000001</v>
      </c>
      <c r="J83" s="1383">
        <f>Ввод!K267/VLOOKUP(Баланс!$B$7,Баланс!$A$1:$B$3,2,0)</f>
        <v>17.152868000000002</v>
      </c>
      <c r="K83" s="1383">
        <f>Ввод!L267/VLOOKUP(Баланс!$B$7,Баланс!$A$1:$B$3,2,0)</f>
        <v>16.934996000000002</v>
      </c>
      <c r="L83" s="1383">
        <f>Ввод!M267/VLOOKUP(Баланс!$B$7,Баланс!$A$1:$B$3,2,0)</f>
        <v>21.228176999999999</v>
      </c>
      <c r="M83" s="1383">
        <f>Ввод!N267/VLOOKUP(Баланс!$B$7,Баланс!$A$1:$B$3,2,0)</f>
        <v>23.797021999999998</v>
      </c>
      <c r="N83" s="1383">
        <f>Ввод!O267/VLOOKUP(Баланс!$B$7,Баланс!$A$1:$B$3,2,0)</f>
        <v>44.8675</v>
      </c>
      <c r="O83" s="1383">
        <f>Ввод!P267/VLOOKUP(Баланс!$B$7,Баланс!$A$1:$B$3,2,0)</f>
        <v>0</v>
      </c>
      <c r="P83" s="1410"/>
      <c r="Q83" s="171"/>
      <c r="R83" s="1681">
        <f t="shared" si="74"/>
        <v>6.7012672648271654E-2</v>
      </c>
      <c r="S83" s="1681">
        <f t="shared" si="57"/>
        <v>0.10673373643050819</v>
      </c>
      <c r="T83" s="1681">
        <f t="shared" si="58"/>
        <v>0.10897945015657758</v>
      </c>
      <c r="U83" s="1681">
        <f t="shared" si="59"/>
        <v>0.21979158155890796</v>
      </c>
      <c r="V83" s="1681">
        <f t="shared" si="60"/>
        <v>0.22859270727013295</v>
      </c>
      <c r="W83" s="1681">
        <f t="shared" si="61"/>
        <v>0.22217885786684421</v>
      </c>
      <c r="X83" s="1681">
        <f t="shared" si="62"/>
        <v>0.2848925968696539</v>
      </c>
      <c r="Y83" s="1681">
        <f t="shared" si="63"/>
        <v>0.24773865938998405</v>
      </c>
      <c r="Z83" s="1681">
        <f t="shared" si="64"/>
        <v>0.44260792967360263</v>
      </c>
      <c r="AA83" s="1681"/>
      <c r="AB83" s="110"/>
      <c r="AC83" s="469"/>
      <c r="AD83" s="1387">
        <f t="shared" si="75"/>
        <v>3.6316350000000002</v>
      </c>
      <c r="AE83" s="1387">
        <f t="shared" si="65"/>
        <v>0.39635900000000035</v>
      </c>
      <c r="AF83" s="1387">
        <f t="shared" si="66"/>
        <v>8.4521470000000001</v>
      </c>
      <c r="AG83" s="1387">
        <f t="shared" si="67"/>
        <v>-4.2339999999999378E-2</v>
      </c>
      <c r="AH83" s="1387">
        <f t="shared" si="68"/>
        <v>-0.21787199999999984</v>
      </c>
      <c r="AI83" s="1387">
        <f t="shared" si="69"/>
        <v>4.293180999999997</v>
      </c>
      <c r="AJ83" s="1387">
        <f t="shared" si="70"/>
        <v>2.5688449999999996</v>
      </c>
      <c r="AK83" s="1387">
        <f t="shared" si="71"/>
        <v>21.070478000000001</v>
      </c>
      <c r="AL83" s="1387">
        <f t="shared" si="72"/>
        <v>-44.8675</v>
      </c>
      <c r="AM83" s="1387"/>
    </row>
    <row r="84" spans="1:39" s="111" customFormat="1" ht="16.5" outlineLevel="3" x14ac:dyDescent="0.3">
      <c r="A84" s="108"/>
      <c r="B84" s="108"/>
      <c r="C84" s="201"/>
      <c r="D84" s="202" t="s">
        <v>74</v>
      </c>
      <c r="E84" s="201" t="s">
        <v>263</v>
      </c>
      <c r="F84" s="1384">
        <f>Ввод!G268/VLOOKUP(Баланс!$B$7,Баланс!$A$1:$B$3,2,0)</f>
        <v>0.80569500000000005</v>
      </c>
      <c r="G84" s="1384">
        <f>Ввод!H268/VLOOKUP(Баланс!$B$7,Баланс!$A$1:$B$3,2,0)</f>
        <v>0.41151199999999999</v>
      </c>
      <c r="H84" s="1384">
        <f>Ввод!I268/VLOOKUP(Баланс!$B$7,Баланс!$A$1:$B$3,2,0)</f>
        <v>0.58879400000000004</v>
      </c>
      <c r="I84" s="1384">
        <f>Ввод!J268/VLOOKUP(Баланс!$B$7,Баланс!$A$1:$B$3,2,0)</f>
        <v>6.0026400000000004</v>
      </c>
      <c r="J84" s="1384">
        <f>Ввод!K268/VLOOKUP(Баланс!$B$7,Баланс!$A$1:$B$3,2,0)</f>
        <v>16.107897000000001</v>
      </c>
      <c r="K84" s="1384">
        <f>Ввод!L268/VLOOKUP(Баланс!$B$7,Баланс!$A$1:$B$3,2,0)</f>
        <v>13.266615</v>
      </c>
      <c r="L84" s="1384">
        <f>Ввод!M268/VLOOKUP(Баланс!$B$7,Баланс!$A$1:$B$3,2,0)</f>
        <v>17.355948000000001</v>
      </c>
      <c r="M84" s="1384">
        <f>Ввод!N268/VLOOKUP(Баланс!$B$7,Баланс!$A$1:$B$3,2,0)</f>
        <v>18.975773</v>
      </c>
      <c r="N84" s="1384">
        <f>Ввод!O268/VLOOKUP(Баланс!$B$7,Баланс!$A$1:$B$3,2,0)</f>
        <v>44.8675</v>
      </c>
      <c r="O84" s="1384">
        <f>Ввод!P268/VLOOKUP(Баланс!$B$7,Баланс!$A$1:$B$3,2,0)</f>
        <v>0</v>
      </c>
      <c r="P84" s="1411"/>
      <c r="Q84" s="203"/>
      <c r="R84" s="1682">
        <f t="shared" si="74"/>
        <v>1.1450903092013163E-2</v>
      </c>
      <c r="S84" s="1682">
        <f t="shared" si="57"/>
        <v>5.2622237317195807E-3</v>
      </c>
      <c r="T84" s="1682">
        <f t="shared" si="58"/>
        <v>7.3391282956268905E-3</v>
      </c>
      <c r="U84" s="1682">
        <f t="shared" si="59"/>
        <v>7.6726593777101351E-2</v>
      </c>
      <c r="V84" s="1682">
        <f t="shared" si="60"/>
        <v>0.21466659591028467</v>
      </c>
      <c r="W84" s="1682">
        <f t="shared" si="61"/>
        <v>0.17405149481341142</v>
      </c>
      <c r="X84" s="1682">
        <f t="shared" si="62"/>
        <v>0.2329253754033932</v>
      </c>
      <c r="Y84" s="1682">
        <f t="shared" si="63"/>
        <v>0.19754709492257713</v>
      </c>
      <c r="Z84" s="1682">
        <f t="shared" si="64"/>
        <v>0.44260792967360263</v>
      </c>
      <c r="AA84" s="1682"/>
      <c r="AB84" s="110"/>
      <c r="AC84" s="478"/>
      <c r="AD84" s="1672">
        <f t="shared" si="75"/>
        <v>-0.39418300000000006</v>
      </c>
      <c r="AE84" s="1672">
        <f t="shared" si="65"/>
        <v>0.17728200000000005</v>
      </c>
      <c r="AF84" s="1672">
        <f t="shared" si="66"/>
        <v>5.4138460000000004</v>
      </c>
      <c r="AG84" s="1672">
        <f t="shared" si="67"/>
        <v>10.105257000000002</v>
      </c>
      <c r="AH84" s="1672">
        <f t="shared" si="68"/>
        <v>-2.8412820000000014</v>
      </c>
      <c r="AI84" s="1672">
        <f t="shared" si="69"/>
        <v>4.0893330000000017</v>
      </c>
      <c r="AJ84" s="1672">
        <f t="shared" si="70"/>
        <v>1.6198249999999987</v>
      </c>
      <c r="AK84" s="1672">
        <f t="shared" si="71"/>
        <v>25.891726999999999</v>
      </c>
      <c r="AL84" s="1672">
        <f t="shared" si="72"/>
        <v>-44.8675</v>
      </c>
      <c r="AM84" s="1672"/>
    </row>
    <row r="85" spans="1:39" s="111" customFormat="1" ht="16.5" outlineLevel="3" x14ac:dyDescent="0.3">
      <c r="A85" s="108"/>
      <c r="B85" s="108"/>
      <c r="C85" s="201"/>
      <c r="D85" s="202" t="s">
        <v>74</v>
      </c>
      <c r="E85" s="201" t="s">
        <v>264</v>
      </c>
      <c r="F85" s="1384">
        <f>Ввод!G269/VLOOKUP(Баланс!$B$7,Баланс!$A$1:$B$3,2,0)</f>
        <v>3.9093719999999998</v>
      </c>
      <c r="G85" s="1384">
        <f>Ввод!H269/VLOOKUP(Баланс!$B$7,Баланс!$A$1:$B$3,2,0)</f>
        <v>7.9351900000000004</v>
      </c>
      <c r="H85" s="1384">
        <f>Ввод!I269/VLOOKUP(Баланс!$B$7,Баланс!$A$1:$B$3,2,0)</f>
        <v>8.1542670000000008</v>
      </c>
      <c r="I85" s="1384">
        <f>Ввод!J269/VLOOKUP(Баланс!$B$7,Баланс!$A$1:$B$3,2,0)</f>
        <v>11.192568</v>
      </c>
      <c r="J85" s="1384">
        <f>Ввод!K269/VLOOKUP(Баланс!$B$7,Баланс!$A$1:$B$3,2,0)</f>
        <v>1.0449710000000001</v>
      </c>
      <c r="K85" s="1384">
        <f>Ввод!L269/VLOOKUP(Баланс!$B$7,Баланс!$A$1:$B$3,2,0)</f>
        <v>3.6683810000000001</v>
      </c>
      <c r="L85" s="1384">
        <f>Ввод!M269/VLOOKUP(Баланс!$B$7,Баланс!$A$1:$B$3,2,0)</f>
        <v>3.8722289999999999</v>
      </c>
      <c r="M85" s="1384">
        <f>Ввод!N269/VLOOKUP(Баланс!$B$7,Баланс!$A$1:$B$3,2,0)</f>
        <v>4.8212489999999999</v>
      </c>
      <c r="N85" s="1384">
        <f>Ввод!O269/VLOOKUP(Баланс!$B$7,Баланс!$A$1:$B$3,2,0)</f>
        <v>0</v>
      </c>
      <c r="O85" s="1384">
        <f>Ввод!P269/VLOOKUP(Баланс!$B$7,Баланс!$A$1:$B$3,2,0)</f>
        <v>0</v>
      </c>
      <c r="P85" s="1411"/>
      <c r="Q85" s="203"/>
      <c r="R85" s="1682">
        <f t="shared" si="74"/>
        <v>5.5561769556258488E-2</v>
      </c>
      <c r="S85" s="1682">
        <f t="shared" si="57"/>
        <v>0.10147151269878861</v>
      </c>
      <c r="T85" s="1682">
        <f t="shared" si="58"/>
        <v>0.10164032186095069</v>
      </c>
      <c r="U85" s="1682">
        <f t="shared" si="59"/>
        <v>0.1430649877818066</v>
      </c>
      <c r="V85" s="1682">
        <f t="shared" si="60"/>
        <v>1.3926111359848283E-2</v>
      </c>
      <c r="W85" s="1682">
        <f t="shared" si="61"/>
        <v>4.8127363053432771E-2</v>
      </c>
      <c r="X85" s="1682">
        <f t="shared" si="62"/>
        <v>5.1967221466260774E-2</v>
      </c>
      <c r="Y85" s="1682">
        <f t="shared" si="63"/>
        <v>5.0191564467406941E-2</v>
      </c>
      <c r="Z85" s="1682">
        <f t="shared" si="64"/>
        <v>0</v>
      </c>
      <c r="AA85" s="1682"/>
      <c r="AB85" s="110"/>
      <c r="AC85" s="478"/>
      <c r="AD85" s="1672">
        <f t="shared" si="75"/>
        <v>4.025818000000001</v>
      </c>
      <c r="AE85" s="1672">
        <f t="shared" si="65"/>
        <v>0.21907700000000041</v>
      </c>
      <c r="AF85" s="1672">
        <f t="shared" si="66"/>
        <v>3.0383009999999988</v>
      </c>
      <c r="AG85" s="1672">
        <f t="shared" si="67"/>
        <v>-10.147596999999999</v>
      </c>
      <c r="AH85" s="1672">
        <f t="shared" si="68"/>
        <v>2.6234099999999998</v>
      </c>
      <c r="AI85" s="1672">
        <f t="shared" si="69"/>
        <v>0.20384799999999981</v>
      </c>
      <c r="AJ85" s="1672">
        <f t="shared" si="70"/>
        <v>0.94901999999999997</v>
      </c>
      <c r="AK85" s="1672">
        <f t="shared" si="71"/>
        <v>-4.8212489999999999</v>
      </c>
      <c r="AL85" s="1672">
        <f t="shared" si="72"/>
        <v>0</v>
      </c>
      <c r="AM85" s="1672"/>
    </row>
    <row r="86" spans="1:39" s="111" customFormat="1" ht="16.5" outlineLevel="2" x14ac:dyDescent="0.3">
      <c r="A86" s="108"/>
      <c r="B86" s="108"/>
      <c r="C86" s="98"/>
      <c r="D86" s="99" t="s">
        <v>3072</v>
      </c>
      <c r="E86" s="98"/>
      <c r="F86" s="1383">
        <f>-Ввод!G271/VLOOKUP(Баланс!$B$7,Баланс!$A$1:$B$3,2,0)</f>
        <v>0</v>
      </c>
      <c r="G86" s="1383">
        <f>-Ввод!H271/VLOOKUP(Баланс!$B$7,Баланс!$A$1:$B$3,2,0)</f>
        <v>0</v>
      </c>
      <c r="H86" s="1383">
        <f>-Ввод!I271/VLOOKUP(Баланс!$B$7,Баланс!$A$1:$B$3,2,0)</f>
        <v>0</v>
      </c>
      <c r="I86" s="1383">
        <f>-Ввод!J271/VLOOKUP(Баланс!$B$7,Баланс!$A$1:$B$3,2,0)</f>
        <v>0</v>
      </c>
      <c r="J86" s="1383">
        <f>-Ввод!K271/VLOOKUP(Баланс!$B$7,Баланс!$A$1:$B$3,2,0)</f>
        <v>0</v>
      </c>
      <c r="K86" s="1383">
        <f>-Ввод!L271/VLOOKUP(Баланс!$B$7,Баланс!$A$1:$B$3,2,0)</f>
        <v>0</v>
      </c>
      <c r="L86" s="1383">
        <f>-Ввод!M271/VLOOKUP(Баланс!$B$7,Баланс!$A$1:$B$3,2,0)</f>
        <v>0</v>
      </c>
      <c r="M86" s="1383">
        <f>-Ввод!N271/VLOOKUP(Баланс!$B$7,Баланс!$A$1:$B$3,2,0)</f>
        <v>0</v>
      </c>
      <c r="N86" s="1383">
        <f>-Ввод!O271/VLOOKUP(Баланс!$B$7,Баланс!$A$1:$B$3,2,0)</f>
        <v>0</v>
      </c>
      <c r="O86" s="1383">
        <f>-Ввод!P271/VLOOKUP(Баланс!$B$7,Баланс!$A$1:$B$3,2,0)</f>
        <v>0</v>
      </c>
      <c r="P86" s="1410"/>
      <c r="Q86" s="171"/>
      <c r="R86" s="1681">
        <f t="shared" si="74"/>
        <v>0</v>
      </c>
      <c r="S86" s="1681">
        <f t="shared" si="57"/>
        <v>0</v>
      </c>
      <c r="T86" s="1681">
        <f t="shared" si="58"/>
        <v>0</v>
      </c>
      <c r="U86" s="1681">
        <f t="shared" si="59"/>
        <v>0</v>
      </c>
      <c r="V86" s="1681">
        <f t="shared" si="60"/>
        <v>0</v>
      </c>
      <c r="W86" s="1681">
        <f t="shared" si="61"/>
        <v>0</v>
      </c>
      <c r="X86" s="1681">
        <f t="shared" si="62"/>
        <v>0</v>
      </c>
      <c r="Y86" s="1681">
        <f t="shared" si="63"/>
        <v>0</v>
      </c>
      <c r="Z86" s="1681">
        <f t="shared" si="64"/>
        <v>0</v>
      </c>
      <c r="AA86" s="1681"/>
      <c r="AB86" s="110"/>
      <c r="AC86" s="469"/>
      <c r="AD86" s="1387">
        <f t="shared" si="75"/>
        <v>0</v>
      </c>
      <c r="AE86" s="1387">
        <f t="shared" si="65"/>
        <v>0</v>
      </c>
      <c r="AF86" s="1387">
        <f t="shared" si="66"/>
        <v>0</v>
      </c>
      <c r="AG86" s="1387">
        <f t="shared" si="67"/>
        <v>0</v>
      </c>
      <c r="AH86" s="1387">
        <f t="shared" si="68"/>
        <v>0</v>
      </c>
      <c r="AI86" s="1387">
        <f t="shared" si="69"/>
        <v>0</v>
      </c>
      <c r="AJ86" s="1387">
        <f t="shared" si="70"/>
        <v>0</v>
      </c>
      <c r="AK86" s="1387">
        <f t="shared" si="71"/>
        <v>0</v>
      </c>
      <c r="AL86" s="1387">
        <f t="shared" si="72"/>
        <v>0</v>
      </c>
      <c r="AM86" s="1387"/>
    </row>
    <row r="87" spans="1:39" s="111" customFormat="1" ht="16.5" outlineLevel="2" x14ac:dyDescent="0.3">
      <c r="A87" s="108"/>
      <c r="B87" s="108"/>
      <c r="C87" s="98"/>
      <c r="D87" s="99" t="s">
        <v>3073</v>
      </c>
      <c r="E87" s="98"/>
      <c r="F87" s="1383">
        <f>Ввод!G272/VLOOKUP(Баланс!$B$7,Баланс!$A$1:$B$3,2,0)</f>
        <v>0</v>
      </c>
      <c r="G87" s="1383">
        <f>Ввод!H272/VLOOKUP(Баланс!$B$7,Баланс!$A$1:$B$3,2,0)</f>
        <v>0</v>
      </c>
      <c r="H87" s="1383">
        <f>Ввод!I272/VLOOKUP(Баланс!$B$7,Баланс!$A$1:$B$3,2,0)</f>
        <v>9.5207E-2</v>
      </c>
      <c r="I87" s="1383">
        <f>Ввод!J272/VLOOKUP(Баланс!$B$7,Баланс!$A$1:$B$3,2,0)</f>
        <v>0</v>
      </c>
      <c r="J87" s="1383">
        <f>Ввод!K272/VLOOKUP(Баланс!$B$7,Баланс!$A$1:$B$3,2,0)</f>
        <v>0</v>
      </c>
      <c r="K87" s="1383">
        <f>Ввод!L272/VLOOKUP(Баланс!$B$7,Баланс!$A$1:$B$3,2,0)</f>
        <v>0</v>
      </c>
      <c r="L87" s="1383">
        <f>Ввод!M272/VLOOKUP(Баланс!$B$7,Баланс!$A$1:$B$3,2,0)</f>
        <v>0</v>
      </c>
      <c r="M87" s="1383">
        <f>Ввод!N272/VLOOKUP(Баланс!$B$7,Баланс!$A$1:$B$3,2,0)</f>
        <v>0</v>
      </c>
      <c r="N87" s="1383">
        <f>Ввод!O272/VLOOKUP(Баланс!$B$7,Баланс!$A$1:$B$3,2,0)</f>
        <v>0</v>
      </c>
      <c r="O87" s="1383">
        <f>Ввод!P272/VLOOKUP(Баланс!$B$7,Баланс!$A$1:$B$3,2,0)</f>
        <v>0</v>
      </c>
      <c r="P87" s="1410"/>
      <c r="Q87" s="171"/>
      <c r="R87" s="1681">
        <f t="shared" si="74"/>
        <v>0</v>
      </c>
      <c r="S87" s="1681">
        <f t="shared" si="57"/>
        <v>0</v>
      </c>
      <c r="T87" s="1681">
        <f t="shared" si="58"/>
        <v>1.1867247078634451E-3</v>
      </c>
      <c r="U87" s="1681">
        <f t="shared" si="59"/>
        <v>0</v>
      </c>
      <c r="V87" s="1681">
        <f t="shared" si="60"/>
        <v>0</v>
      </c>
      <c r="W87" s="1681">
        <f t="shared" si="61"/>
        <v>0</v>
      </c>
      <c r="X87" s="1681">
        <f t="shared" si="62"/>
        <v>0</v>
      </c>
      <c r="Y87" s="1681">
        <f t="shared" si="63"/>
        <v>0</v>
      </c>
      <c r="Z87" s="1681">
        <f t="shared" si="64"/>
        <v>0</v>
      </c>
      <c r="AA87" s="1681"/>
      <c r="AB87" s="110"/>
      <c r="AC87" s="469"/>
      <c r="AD87" s="1387">
        <f t="shared" si="75"/>
        <v>0</v>
      </c>
      <c r="AE87" s="1387">
        <f t="shared" si="65"/>
        <v>9.5207E-2</v>
      </c>
      <c r="AF87" s="1387">
        <f t="shared" si="66"/>
        <v>-9.5207E-2</v>
      </c>
      <c r="AG87" s="1387">
        <f t="shared" si="67"/>
        <v>0</v>
      </c>
      <c r="AH87" s="1387">
        <f t="shared" si="68"/>
        <v>0</v>
      </c>
      <c r="AI87" s="1387">
        <f t="shared" si="69"/>
        <v>0</v>
      </c>
      <c r="AJ87" s="1387">
        <f t="shared" si="70"/>
        <v>0</v>
      </c>
      <c r="AK87" s="1387">
        <f t="shared" si="71"/>
        <v>0</v>
      </c>
      <c r="AL87" s="1387">
        <f t="shared" si="72"/>
        <v>0</v>
      </c>
      <c r="AM87" s="1387"/>
    </row>
    <row r="88" spans="1:39" s="103" customFormat="1" ht="16.5" outlineLevel="1" x14ac:dyDescent="0.3">
      <c r="A88" s="108"/>
      <c r="B88" s="108"/>
      <c r="C88" s="201"/>
      <c r="D88" s="204" t="s">
        <v>265</v>
      </c>
      <c r="E88" s="201"/>
      <c r="F88" s="1385"/>
      <c r="G88" s="1385"/>
      <c r="H88" s="1385"/>
      <c r="I88" s="1385"/>
      <c r="J88" s="1385"/>
      <c r="K88" s="1385"/>
      <c r="L88" s="1385"/>
      <c r="M88" s="1385"/>
      <c r="N88" s="1385"/>
      <c r="O88" s="1385"/>
      <c r="P88" s="104"/>
      <c r="Q88" s="104"/>
      <c r="R88" s="1683">
        <f t="shared" si="74"/>
        <v>0</v>
      </c>
      <c r="S88" s="1683">
        <f t="shared" si="57"/>
        <v>0</v>
      </c>
      <c r="T88" s="1683">
        <f t="shared" si="58"/>
        <v>0</v>
      </c>
      <c r="U88" s="1683">
        <f t="shared" si="59"/>
        <v>0</v>
      </c>
      <c r="V88" s="1683">
        <f t="shared" si="60"/>
        <v>0</v>
      </c>
      <c r="W88" s="1683">
        <f t="shared" si="61"/>
        <v>0</v>
      </c>
      <c r="X88" s="1683">
        <f t="shared" si="62"/>
        <v>0</v>
      </c>
      <c r="Y88" s="1683">
        <f t="shared" si="63"/>
        <v>0</v>
      </c>
      <c r="Z88" s="1683">
        <f t="shared" si="64"/>
        <v>0</v>
      </c>
      <c r="AA88" s="1683"/>
      <c r="AB88" s="104"/>
      <c r="AC88" s="101"/>
      <c r="AD88" s="1678">
        <f t="shared" si="75"/>
        <v>0</v>
      </c>
      <c r="AE88" s="1678">
        <f t="shared" si="65"/>
        <v>0</v>
      </c>
      <c r="AF88" s="1678">
        <f t="shared" si="66"/>
        <v>0</v>
      </c>
      <c r="AG88" s="1678">
        <f t="shared" si="67"/>
        <v>0</v>
      </c>
      <c r="AH88" s="1678">
        <f t="shared" si="68"/>
        <v>0</v>
      </c>
      <c r="AI88" s="1678">
        <f t="shared" si="69"/>
        <v>0</v>
      </c>
      <c r="AJ88" s="1678">
        <f t="shared" si="70"/>
        <v>0</v>
      </c>
      <c r="AK88" s="1678">
        <f t="shared" si="71"/>
        <v>0</v>
      </c>
      <c r="AL88" s="1678">
        <f t="shared" si="72"/>
        <v>0</v>
      </c>
      <c r="AM88" s="1678"/>
    </row>
    <row r="89" spans="1:39" s="111" customFormat="1" ht="16.5" outlineLevel="2" x14ac:dyDescent="0.3">
      <c r="A89" s="108"/>
      <c r="B89" s="108"/>
      <c r="C89" s="205" t="s">
        <v>74</v>
      </c>
      <c r="D89" s="99" t="s">
        <v>3300</v>
      </c>
      <c r="E89" s="98"/>
      <c r="F89" s="1387">
        <f>-(Ввод!G276+Ввод!G277)/VLOOKUP(Баланс!$B$7,Баланс!$A$1:$B$3,2,0)</f>
        <v>-0.15629999999999999</v>
      </c>
      <c r="G89" s="1387">
        <f>-(Ввод!H276+Ввод!H277)/VLOOKUP(Баланс!$B$7,Баланс!$A$1:$B$3,2,0)</f>
        <v>-0.315083</v>
      </c>
      <c r="H89" s="1387">
        <f>-(Ввод!I276+Ввод!I277)/VLOOKUP(Баланс!$B$7,Баланс!$A$1:$B$3,2,0)</f>
        <v>-0.747255</v>
      </c>
      <c r="I89" s="1387">
        <f>-(Ввод!J276+Ввод!J277)/VLOOKUP(Баланс!$B$7,Баланс!$A$1:$B$3,2,0)</f>
        <v>-1.7831920000000001</v>
      </c>
      <c r="J89" s="1387">
        <f>-(Ввод!K276+Ввод!K277)/VLOOKUP(Баланс!$B$7,Баланс!$A$1:$B$3,2,0)</f>
        <v>-3.037328</v>
      </c>
      <c r="K89" s="1387">
        <f>-(Ввод!L276+Ввод!L277)/VLOOKUP(Баланс!$B$7,Баланс!$A$1:$B$3,2,0)</f>
        <v>-4.4097850000000003</v>
      </c>
      <c r="L89" s="1387">
        <f>-(Ввод!M276+Ввод!M277)/VLOOKUP(Баланс!$B$7,Баланс!$A$1:$B$3,2,0)</f>
        <v>-6.9734579999999999</v>
      </c>
      <c r="M89" s="1387">
        <f>-(Ввод!N276+Ввод!N277)/VLOOKUP(Баланс!$B$7,Баланс!$A$1:$B$3,2,0)</f>
        <v>-8.7374569999999991</v>
      </c>
      <c r="N89" s="1387">
        <f>-(Ввод!O276+Ввод!O277)/VLOOKUP(Баланс!$B$7,Баланс!$A$1:$B$3,2,0)</f>
        <v>-10.774027</v>
      </c>
      <c r="O89" s="1387">
        <f>-(Ввод!P276+Ввод!P277)/VLOOKUP(Баланс!$B$7,Баланс!$A$1:$B$3,2,0)</f>
        <v>0</v>
      </c>
      <c r="P89" s="1402"/>
      <c r="Q89" s="171"/>
      <c r="R89" s="1681">
        <f t="shared" si="74"/>
        <v>-2.2214065536979343E-3</v>
      </c>
      <c r="S89" s="1681">
        <f t="shared" si="57"/>
        <v>-4.0291346061874277E-3</v>
      </c>
      <c r="T89" s="1681">
        <f t="shared" si="58"/>
        <v>-9.3142938184639645E-3</v>
      </c>
      <c r="U89" s="1681">
        <f t="shared" si="59"/>
        <v>-2.2793012442954584E-2</v>
      </c>
      <c r="V89" s="1681">
        <f t="shared" si="60"/>
        <v>-4.0477839063845084E-2</v>
      </c>
      <c r="W89" s="1681">
        <f t="shared" si="61"/>
        <v>-5.7854220617373726E-2</v>
      </c>
      <c r="X89" s="1681">
        <f t="shared" si="62"/>
        <v>-9.3587242973405732E-2</v>
      </c>
      <c r="Y89" s="1681">
        <f t="shared" si="63"/>
        <v>-9.0961208661219539E-2</v>
      </c>
      <c r="Z89" s="1681">
        <f t="shared" si="64"/>
        <v>-0.10628338518342891</v>
      </c>
      <c r="AA89" s="1681"/>
      <c r="AB89" s="110"/>
      <c r="AC89" s="469"/>
      <c r="AD89" s="1387">
        <f t="shared" si="75"/>
        <v>-0.15878300000000001</v>
      </c>
      <c r="AE89" s="1387">
        <f t="shared" si="65"/>
        <v>-0.432172</v>
      </c>
      <c r="AF89" s="1387">
        <f t="shared" si="66"/>
        <v>-1.0359370000000001</v>
      </c>
      <c r="AG89" s="1387">
        <f t="shared" si="67"/>
        <v>-1.2541359999999999</v>
      </c>
      <c r="AH89" s="1387">
        <f t="shared" si="68"/>
        <v>-1.3724570000000003</v>
      </c>
      <c r="AI89" s="1387">
        <f t="shared" si="69"/>
        <v>-2.5636729999999996</v>
      </c>
      <c r="AJ89" s="1387">
        <f t="shared" si="70"/>
        <v>-1.7639989999999992</v>
      </c>
      <c r="AK89" s="1387">
        <f t="shared" si="71"/>
        <v>-2.0365700000000011</v>
      </c>
      <c r="AL89" s="1387">
        <f t="shared" si="72"/>
        <v>10.774027</v>
      </c>
      <c r="AM89" s="1387"/>
    </row>
    <row r="90" spans="1:39" s="111" customFormat="1" ht="16.5" outlineLevel="2" x14ac:dyDescent="0.3">
      <c r="A90" s="108"/>
      <c r="B90" s="108"/>
      <c r="C90" s="205" t="s">
        <v>74</v>
      </c>
      <c r="D90" s="99" t="s">
        <v>3079</v>
      </c>
      <c r="E90" s="98"/>
      <c r="F90" s="1387">
        <f>-Ввод!G278/VLOOKUP(Баланс!$B$7,Баланс!$A$1:$B$3,2,0)</f>
        <v>0</v>
      </c>
      <c r="G90" s="1387">
        <f>-Ввод!H278/VLOOKUP(Баланс!$B$7,Баланс!$A$1:$B$3,2,0)</f>
        <v>-8.5194000000000006E-2</v>
      </c>
      <c r="H90" s="1387">
        <f>-Ввод!I278/VLOOKUP(Баланс!$B$7,Баланс!$A$1:$B$3,2,0)</f>
        <v>-0.26433000000000001</v>
      </c>
      <c r="I90" s="1387">
        <f>-Ввод!J278/VLOOKUP(Баланс!$B$7,Баланс!$A$1:$B$3,2,0)</f>
        <v>-0.70871399999999996</v>
      </c>
      <c r="J90" s="1387">
        <f>-Ввод!K278/VLOOKUP(Баланс!$B$7,Баланс!$A$1:$B$3,2,0)</f>
        <v>-0.88307400000000003</v>
      </c>
      <c r="K90" s="1387">
        <f>-Ввод!L278/VLOOKUP(Баланс!$B$7,Баланс!$A$1:$B$3,2,0)</f>
        <v>-0.92184600000000005</v>
      </c>
      <c r="L90" s="1387">
        <f>-Ввод!M278/VLOOKUP(Баланс!$B$7,Баланс!$A$1:$B$3,2,0)</f>
        <v>-1.997406</v>
      </c>
      <c r="M90" s="1387">
        <f>-Ввод!N278/VLOOKUP(Баланс!$B$7,Баланс!$A$1:$B$3,2,0)</f>
        <v>0</v>
      </c>
      <c r="N90" s="1387">
        <f>-Ввод!O278/VLOOKUP(Баланс!$B$7,Баланс!$A$1:$B$3,2,0)</f>
        <v>0</v>
      </c>
      <c r="O90" s="1387">
        <f>-Ввод!P278/VLOOKUP(Баланс!$B$7,Баланс!$A$1:$B$3,2,0)</f>
        <v>0</v>
      </c>
      <c r="P90" s="1402"/>
      <c r="Q90" s="171"/>
      <c r="R90" s="1681">
        <f t="shared" si="74"/>
        <v>0</v>
      </c>
      <c r="S90" s="1681">
        <f t="shared" si="57"/>
        <v>-1.0894211799415763E-3</v>
      </c>
      <c r="T90" s="1681">
        <f t="shared" si="58"/>
        <v>-3.2947886398011117E-3</v>
      </c>
      <c r="U90" s="1681">
        <f t="shared" si="59"/>
        <v>-9.0588826220037513E-3</v>
      </c>
      <c r="V90" s="1681">
        <f t="shared" si="60"/>
        <v>-1.1768543684931602E-2</v>
      </c>
      <c r="W90" s="1681">
        <f t="shared" si="61"/>
        <v>-1.2094168277873751E-2</v>
      </c>
      <c r="X90" s="1681">
        <f t="shared" si="62"/>
        <v>-2.6806172868401652E-2</v>
      </c>
      <c r="Y90" s="1681">
        <f t="shared" si="63"/>
        <v>0</v>
      </c>
      <c r="Z90" s="1681">
        <f t="shared" si="64"/>
        <v>0</v>
      </c>
      <c r="AA90" s="1681"/>
      <c r="AB90" s="110"/>
      <c r="AC90" s="469"/>
      <c r="AD90" s="1387">
        <f t="shared" si="75"/>
        <v>-8.5194000000000006E-2</v>
      </c>
      <c r="AE90" s="1387">
        <f t="shared" si="65"/>
        <v>-0.17913600000000002</v>
      </c>
      <c r="AF90" s="1387">
        <f t="shared" si="66"/>
        <v>-0.44438399999999995</v>
      </c>
      <c r="AG90" s="1387">
        <f t="shared" si="67"/>
        <v>-0.17436000000000007</v>
      </c>
      <c r="AH90" s="1387">
        <f t="shared" si="68"/>
        <v>-3.8772000000000029E-2</v>
      </c>
      <c r="AI90" s="1387">
        <f t="shared" si="69"/>
        <v>-1.0755599999999998</v>
      </c>
      <c r="AJ90" s="1387">
        <f t="shared" si="70"/>
        <v>1.997406</v>
      </c>
      <c r="AK90" s="1387">
        <f t="shared" si="71"/>
        <v>0</v>
      </c>
      <c r="AL90" s="1387">
        <f t="shared" si="72"/>
        <v>0</v>
      </c>
      <c r="AM90" s="1387"/>
    </row>
    <row r="91" spans="1:39" s="111" customFormat="1" ht="16.5" outlineLevel="2" x14ac:dyDescent="0.3">
      <c r="A91" s="108"/>
      <c r="B91" s="108"/>
      <c r="C91" s="205" t="s">
        <v>74</v>
      </c>
      <c r="D91" s="99" t="s">
        <v>3081</v>
      </c>
      <c r="E91" s="98"/>
      <c r="F91" s="1387">
        <f>-Ввод!G280/VLOOKUP(Баланс!$B$7,Баланс!$A$1:$B$3,2,0)</f>
        <v>0</v>
      </c>
      <c r="G91" s="1387">
        <f>-Ввод!H280/VLOOKUP(Баланс!$B$7,Баланс!$A$1:$B$3,2,0)</f>
        <v>0</v>
      </c>
      <c r="H91" s="1387">
        <f>-Ввод!I280/VLOOKUP(Баланс!$B$7,Баланс!$A$1:$B$3,2,0)</f>
        <v>0</v>
      </c>
      <c r="I91" s="1387">
        <f>-Ввод!J280/VLOOKUP(Баланс!$B$7,Баланс!$A$1:$B$3,2,0)</f>
        <v>0</v>
      </c>
      <c r="J91" s="1387">
        <f>-Ввод!K280/VLOOKUP(Баланс!$B$7,Баланс!$A$1:$B$3,2,0)</f>
        <v>-0.36706499999999997</v>
      </c>
      <c r="K91" s="1387">
        <f>-Ввод!L280/VLOOKUP(Баланс!$B$7,Баланс!$A$1:$B$3,2,0)</f>
        <v>-0.36706499999999997</v>
      </c>
      <c r="L91" s="1387">
        <f>-Ввод!M280/VLOOKUP(Баланс!$B$7,Баланс!$A$1:$B$3,2,0)</f>
        <v>-0.36706499999999997</v>
      </c>
      <c r="M91" s="1387">
        <f>-Ввод!N280/VLOOKUP(Баланс!$B$7,Баланс!$A$1:$B$3,2,0)</f>
        <v>-0.36706499999999997</v>
      </c>
      <c r="N91" s="1387">
        <f>-Ввод!O280/VLOOKUP(Баланс!$B$7,Баланс!$A$1:$B$3,2,0)</f>
        <v>-0.36706499999999997</v>
      </c>
      <c r="O91" s="1387">
        <f>-Ввод!P280/VLOOKUP(Баланс!$B$7,Баланс!$A$1:$B$3,2,0)</f>
        <v>0</v>
      </c>
      <c r="P91" s="1402"/>
      <c r="Q91" s="171"/>
      <c r="R91" s="1681">
        <f t="shared" si="74"/>
        <v>0</v>
      </c>
      <c r="S91" s="1681">
        <f t="shared" si="57"/>
        <v>0</v>
      </c>
      <c r="T91" s="1681">
        <f t="shared" si="58"/>
        <v>0</v>
      </c>
      <c r="U91" s="1681">
        <f t="shared" si="59"/>
        <v>0</v>
      </c>
      <c r="V91" s="1681">
        <f t="shared" si="60"/>
        <v>-4.8917989746152853E-3</v>
      </c>
      <c r="W91" s="1681">
        <f t="shared" si="61"/>
        <v>-4.8157131222760939E-3</v>
      </c>
      <c r="X91" s="1681">
        <f t="shared" si="62"/>
        <v>-4.9261931945432484E-3</v>
      </c>
      <c r="Y91" s="1681">
        <f t="shared" si="63"/>
        <v>-3.8213265092155017E-3</v>
      </c>
      <c r="Z91" s="1681">
        <f t="shared" si="64"/>
        <v>-3.6210147591383729E-3</v>
      </c>
      <c r="AA91" s="1681"/>
      <c r="AB91" s="110"/>
      <c r="AC91" s="469"/>
      <c r="AD91" s="1387">
        <f t="shared" si="75"/>
        <v>0</v>
      </c>
      <c r="AE91" s="1387">
        <f t="shared" si="65"/>
        <v>0</v>
      </c>
      <c r="AF91" s="1387">
        <f t="shared" si="66"/>
        <v>0</v>
      </c>
      <c r="AG91" s="1387">
        <f t="shared" si="67"/>
        <v>-0.36706499999999997</v>
      </c>
      <c r="AH91" s="1387">
        <f t="shared" si="68"/>
        <v>0</v>
      </c>
      <c r="AI91" s="1387">
        <f t="shared" si="69"/>
        <v>0</v>
      </c>
      <c r="AJ91" s="1387">
        <f t="shared" si="70"/>
        <v>0</v>
      </c>
      <c r="AK91" s="1387">
        <f t="shared" si="71"/>
        <v>0</v>
      </c>
      <c r="AL91" s="1387">
        <f t="shared" si="72"/>
        <v>0.36706499999999997</v>
      </c>
      <c r="AM91" s="1387"/>
    </row>
    <row r="92" spans="1:39" s="111" customFormat="1" ht="16.5" outlineLevel="2" x14ac:dyDescent="0.3">
      <c r="A92" s="108"/>
      <c r="B92" s="108"/>
      <c r="C92" s="205" t="s">
        <v>74</v>
      </c>
      <c r="D92" s="99" t="s">
        <v>3085</v>
      </c>
      <c r="E92" s="98"/>
      <c r="F92" s="1387">
        <f>-Ввод!G284/VLOOKUP(Баланс!$B$7,Баланс!$A$1:$B$3,2,0)</f>
        <v>0</v>
      </c>
      <c r="G92" s="1387">
        <f>-Ввод!H284/VLOOKUP(Баланс!$B$7,Баланс!$A$1:$B$3,2,0)</f>
        <v>0</v>
      </c>
      <c r="H92" s="1387">
        <f>-Ввод!I284/VLOOKUP(Баланс!$B$7,Баланс!$A$1:$B$3,2,0)</f>
        <v>-0.37828099999999998</v>
      </c>
      <c r="I92" s="1387">
        <f>-Ввод!J284/VLOOKUP(Баланс!$B$7,Баланс!$A$1:$B$3,2,0)</f>
        <v>-0.37733</v>
      </c>
      <c r="J92" s="1387">
        <f>-Ввод!K284/VLOOKUP(Баланс!$B$7,Баланс!$A$1:$B$3,2,0)</f>
        <v>-0.39769500000000002</v>
      </c>
      <c r="K92" s="1387">
        <f>-Ввод!L284/VLOOKUP(Баланс!$B$7,Баланс!$A$1:$B$3,2,0)</f>
        <v>0</v>
      </c>
      <c r="L92" s="1387">
        <f>-Ввод!M284/VLOOKUP(Баланс!$B$7,Баланс!$A$1:$B$3,2,0)</f>
        <v>0</v>
      </c>
      <c r="M92" s="1387">
        <f>-Ввод!N284/VLOOKUP(Баланс!$B$7,Баланс!$A$1:$B$3,2,0)</f>
        <v>0</v>
      </c>
      <c r="N92" s="1387">
        <f>-Ввод!O284/VLOOKUP(Баланс!$B$7,Баланс!$A$1:$B$3,2,0)</f>
        <v>0</v>
      </c>
      <c r="O92" s="1387">
        <f>-Ввод!P284/VLOOKUP(Баланс!$B$7,Баланс!$A$1:$B$3,2,0)</f>
        <v>0</v>
      </c>
      <c r="P92" s="1402"/>
      <c r="Q92" s="171"/>
      <c r="R92" s="1681">
        <f t="shared" si="74"/>
        <v>0</v>
      </c>
      <c r="S92" s="1681">
        <f t="shared" si="57"/>
        <v>0</v>
      </c>
      <c r="T92" s="1681">
        <f t="shared" si="58"/>
        <v>-4.7151512936579442E-3</v>
      </c>
      <c r="U92" s="1681">
        <f t="shared" si="59"/>
        <v>-4.8230854473887575E-3</v>
      </c>
      <c r="V92" s="1681">
        <f t="shared" si="60"/>
        <v>-5.2999986193443286E-3</v>
      </c>
      <c r="W92" s="1681">
        <f t="shared" si="61"/>
        <v>0</v>
      </c>
      <c r="X92" s="1681">
        <f t="shared" si="62"/>
        <v>0</v>
      </c>
      <c r="Y92" s="1681">
        <f t="shared" si="63"/>
        <v>0</v>
      </c>
      <c r="Z92" s="1681">
        <f t="shared" si="64"/>
        <v>0</v>
      </c>
      <c r="AA92" s="1681"/>
      <c r="AB92" s="110"/>
      <c r="AC92" s="469"/>
      <c r="AD92" s="1387">
        <f t="shared" si="75"/>
        <v>0</v>
      </c>
      <c r="AE92" s="1387">
        <f t="shared" si="65"/>
        <v>-0.37828099999999998</v>
      </c>
      <c r="AF92" s="1387">
        <f t="shared" si="66"/>
        <v>9.5099999999997964E-4</v>
      </c>
      <c r="AG92" s="1387">
        <f t="shared" si="67"/>
        <v>-2.0365000000000022E-2</v>
      </c>
      <c r="AH92" s="1387">
        <f t="shared" si="68"/>
        <v>0.39769500000000002</v>
      </c>
      <c r="AI92" s="1387">
        <f t="shared" si="69"/>
        <v>0</v>
      </c>
      <c r="AJ92" s="1387">
        <f t="shared" si="70"/>
        <v>0</v>
      </c>
      <c r="AK92" s="1387">
        <f t="shared" si="71"/>
        <v>0</v>
      </c>
      <c r="AL92" s="1387">
        <f t="shared" si="72"/>
        <v>0</v>
      </c>
      <c r="AM92" s="1387"/>
    </row>
    <row r="93" spans="1:39" s="111" customFormat="1" ht="16.5" outlineLevel="2" x14ac:dyDescent="0.3">
      <c r="A93" s="108"/>
      <c r="B93" s="108"/>
      <c r="C93" s="205" t="s">
        <v>74</v>
      </c>
      <c r="D93" s="99" t="s">
        <v>223</v>
      </c>
      <c r="E93" s="98"/>
      <c r="F93" s="1387">
        <f>-Ввод!G296/VLOOKUP(Баланс!$B$7,Баланс!$A$1:$B$3,2,0)</f>
        <v>-0.65542999999999996</v>
      </c>
      <c r="G93" s="1387">
        <f>-Ввод!H296/VLOOKUP(Баланс!$B$7,Баланс!$A$1:$B$3,2,0)</f>
        <v>-0.18373100000000001</v>
      </c>
      <c r="H93" s="1387">
        <f>-Ввод!I296/VLOOKUP(Баланс!$B$7,Баланс!$A$1:$B$3,2,0)</f>
        <v>0</v>
      </c>
      <c r="I93" s="1387">
        <f>-Ввод!J296/VLOOKUP(Баланс!$B$7,Баланс!$A$1:$B$3,2,0)</f>
        <v>0</v>
      </c>
      <c r="J93" s="1387">
        <f>-Ввод!K296/VLOOKUP(Баланс!$B$7,Баланс!$A$1:$B$3,2,0)</f>
        <v>0</v>
      </c>
      <c r="K93" s="1387">
        <f>-Ввод!L296/VLOOKUP(Баланс!$B$7,Баланс!$A$1:$B$3,2,0)</f>
        <v>0</v>
      </c>
      <c r="L93" s="1387">
        <f>-Ввод!M296/VLOOKUP(Баланс!$B$7,Баланс!$A$1:$B$3,2,0)</f>
        <v>0</v>
      </c>
      <c r="M93" s="1387">
        <f>-Ввод!N296/VLOOKUP(Баланс!$B$7,Баланс!$A$1:$B$3,2,0)</f>
        <v>0</v>
      </c>
      <c r="N93" s="1387">
        <f>-Ввод!O296/VLOOKUP(Баланс!$B$7,Баланс!$A$1:$B$3,2,0)</f>
        <v>0</v>
      </c>
      <c r="O93" s="1387">
        <f>-Ввод!P296/VLOOKUP(Баланс!$B$7,Баланс!$A$1:$B$3,2,0)</f>
        <v>0</v>
      </c>
      <c r="P93" s="1402"/>
      <c r="Q93" s="171"/>
      <c r="R93" s="1681">
        <f t="shared" si="74"/>
        <v>-9.3152686979541717E-3</v>
      </c>
      <c r="S93" s="1681">
        <f t="shared" si="57"/>
        <v>-2.3494664273522284E-3</v>
      </c>
      <c r="T93" s="1681">
        <f t="shared" si="58"/>
        <v>0</v>
      </c>
      <c r="U93" s="1681">
        <f t="shared" si="59"/>
        <v>0</v>
      </c>
      <c r="V93" s="1681">
        <f t="shared" si="60"/>
        <v>0</v>
      </c>
      <c r="W93" s="1681">
        <f t="shared" si="61"/>
        <v>0</v>
      </c>
      <c r="X93" s="1681">
        <f t="shared" si="62"/>
        <v>0</v>
      </c>
      <c r="Y93" s="1681">
        <f t="shared" si="63"/>
        <v>0</v>
      </c>
      <c r="Z93" s="1681">
        <f t="shared" si="64"/>
        <v>0</v>
      </c>
      <c r="AA93" s="1681"/>
      <c r="AB93" s="110"/>
      <c r="AC93" s="469"/>
      <c r="AD93" s="1387">
        <f t="shared" si="75"/>
        <v>0.47169899999999998</v>
      </c>
      <c r="AE93" s="1387">
        <f t="shared" si="65"/>
        <v>0.18373100000000001</v>
      </c>
      <c r="AF93" s="1387">
        <f t="shared" si="66"/>
        <v>0</v>
      </c>
      <c r="AG93" s="1387">
        <f t="shared" si="67"/>
        <v>0</v>
      </c>
      <c r="AH93" s="1387">
        <f t="shared" si="68"/>
        <v>0</v>
      </c>
      <c r="AI93" s="1387">
        <f t="shared" si="69"/>
        <v>0</v>
      </c>
      <c r="AJ93" s="1387">
        <f t="shared" si="70"/>
        <v>0</v>
      </c>
      <c r="AK93" s="1387">
        <f t="shared" si="71"/>
        <v>0</v>
      </c>
      <c r="AL93" s="1387">
        <f t="shared" si="72"/>
        <v>0</v>
      </c>
      <c r="AM93" s="1387"/>
    </row>
    <row r="94" spans="1:39" s="111" customFormat="1" ht="16.5" outlineLevel="2" x14ac:dyDescent="0.3">
      <c r="A94" s="108"/>
      <c r="B94" s="108"/>
      <c r="C94" s="205" t="s">
        <v>74</v>
      </c>
      <c r="D94" s="99" t="s">
        <v>3301</v>
      </c>
      <c r="E94" s="98"/>
      <c r="F94" s="1387">
        <f>-Ввод!G294/VLOOKUP(Баланс!$B$7,Баланс!$A$1:$B$3,2,0)</f>
        <v>-0.28514099999999998</v>
      </c>
      <c r="G94" s="1387">
        <f>-Ввод!H294/VLOOKUP(Баланс!$B$7,Баланс!$A$1:$B$3,2,0)</f>
        <v>-0.29984899999999998</v>
      </c>
      <c r="H94" s="1387">
        <f>-Ввод!I294/VLOOKUP(Баланс!$B$7,Баланс!$A$1:$B$3,2,0)</f>
        <v>-0.22419800000000001</v>
      </c>
      <c r="I94" s="1387">
        <f>-Ввод!J294/VLOOKUP(Баланс!$B$7,Баланс!$A$1:$B$3,2,0)</f>
        <v>-0.22419800000000001</v>
      </c>
      <c r="J94" s="1387">
        <f>-Ввод!K294/VLOOKUP(Баланс!$B$7,Баланс!$A$1:$B$3,2,0)</f>
        <v>-0.22419800000000001</v>
      </c>
      <c r="K94" s="1387">
        <f>-Ввод!L294/VLOOKUP(Баланс!$B$7,Баланс!$A$1:$B$3,2,0)</f>
        <v>-0.22419800000000001</v>
      </c>
      <c r="L94" s="1387">
        <f>-Ввод!M294/VLOOKUP(Баланс!$B$7,Баланс!$A$1:$B$3,2,0)</f>
        <v>-0.22419800000000001</v>
      </c>
      <c r="M94" s="1387">
        <f>-Ввод!N294/VLOOKUP(Баланс!$B$7,Баланс!$A$1:$B$3,2,0)</f>
        <v>-0.22419800000000001</v>
      </c>
      <c r="N94" s="1387">
        <f>-Ввод!O294/VLOOKUP(Баланс!$B$7,Баланс!$A$1:$B$3,2,0)</f>
        <v>-0.22419800000000001</v>
      </c>
      <c r="O94" s="1387">
        <f>-Ввод!P294/VLOOKUP(Баланс!$B$7,Баланс!$A$1:$B$3,2,0)</f>
        <v>0</v>
      </c>
      <c r="P94" s="1402"/>
      <c r="Q94" s="171"/>
      <c r="R94" s="1681">
        <f t="shared" si="74"/>
        <v>-4.0525533341521603E-3</v>
      </c>
      <c r="S94" s="1681">
        <f t="shared" si="57"/>
        <v>-3.8343293117391094E-3</v>
      </c>
      <c r="T94" s="1681">
        <f t="shared" si="58"/>
        <v>-2.7945561361409211E-3</v>
      </c>
      <c r="U94" s="1681">
        <f t="shared" si="59"/>
        <v>-2.8657305571612767E-3</v>
      </c>
      <c r="V94" s="1681">
        <f t="shared" si="60"/>
        <v>-2.9878401550428339E-3</v>
      </c>
      <c r="W94" s="1681">
        <f t="shared" si="61"/>
        <v>-2.9413680154415588E-3</v>
      </c>
      <c r="X94" s="1681">
        <f t="shared" si="62"/>
        <v>-3.0088476477741202E-3</v>
      </c>
      <c r="Y94" s="1681">
        <f t="shared" si="63"/>
        <v>-2.3340110354108869E-3</v>
      </c>
      <c r="Z94" s="1681">
        <f t="shared" si="64"/>
        <v>-2.2116635118284364E-3</v>
      </c>
      <c r="AA94" s="1681"/>
      <c r="AB94" s="110"/>
      <c r="AC94" s="469"/>
      <c r="AD94" s="1387">
        <f t="shared" si="75"/>
        <v>-1.4707999999999999E-2</v>
      </c>
      <c r="AE94" s="1387">
        <f t="shared" si="65"/>
        <v>7.5650999999999968E-2</v>
      </c>
      <c r="AF94" s="1387">
        <f t="shared" si="66"/>
        <v>0</v>
      </c>
      <c r="AG94" s="1387">
        <f t="shared" si="67"/>
        <v>0</v>
      </c>
      <c r="AH94" s="1387">
        <f t="shared" si="68"/>
        <v>0</v>
      </c>
      <c r="AI94" s="1387">
        <f t="shared" si="69"/>
        <v>0</v>
      </c>
      <c r="AJ94" s="1387">
        <f t="shared" si="70"/>
        <v>0</v>
      </c>
      <c r="AK94" s="1387">
        <f t="shared" si="71"/>
        <v>0</v>
      </c>
      <c r="AL94" s="1387">
        <f t="shared" si="72"/>
        <v>0.22419800000000001</v>
      </c>
      <c r="AM94" s="1387"/>
    </row>
    <row r="95" spans="1:39" s="111" customFormat="1" ht="16.5" outlineLevel="2" x14ac:dyDescent="0.3">
      <c r="A95" s="108"/>
      <c r="B95" s="108"/>
      <c r="C95" s="205" t="s">
        <v>74</v>
      </c>
      <c r="D95" s="99" t="s">
        <v>522</v>
      </c>
      <c r="E95" s="98"/>
      <c r="F95" s="1387">
        <f>-(Ввод!G275-Ввод!G279+Ввод!G281+Ввод!G282+Ввод!G283+Ввод!G285+Ввод!G286+Ввод!G287+Ввод!G288+Ввод!G289+Ввод!G290)/VLOOKUP(Баланс!$B$7,Баланс!$A$1:$B$3,2,0)</f>
        <v>0</v>
      </c>
      <c r="G95" s="1387">
        <f>-(Ввод!H275-Ввод!H279+Ввод!H281+Ввод!H282+Ввод!H283+Ввод!H285+Ввод!H286+Ввод!H287+Ввод!H288+Ввод!H289+Ввод!H290)/VLOOKUP(Баланс!$B$7,Баланс!$A$1:$B$3,2,0)</f>
        <v>0</v>
      </c>
      <c r="H95" s="1387">
        <f>-(Ввод!I275-Ввод!I279+Ввод!I281+Ввод!I282+Ввод!I283+Ввод!I285+Ввод!I286+Ввод!I287+Ввод!I288+Ввод!I289+Ввод!I290)/VLOOKUP(Баланс!$B$7,Баланс!$A$1:$B$3,2,0)</f>
        <v>0</v>
      </c>
      <c r="I95" s="1387">
        <f>-(Ввод!J275-Ввод!J279+Ввод!J281+Ввод!J282+Ввод!J283+Ввод!J285+Ввод!J286+Ввод!J287+Ввод!J288+Ввод!J289+Ввод!J290)/VLOOKUP(Баланс!$B$7,Баланс!$A$1:$B$3,2,0)</f>
        <v>-6.1799999999999997E-3</v>
      </c>
      <c r="J95" s="1387">
        <f>-(Ввод!K275-Ввод!K279+Ввод!K281+Ввод!K282+Ввод!K283+Ввод!K285+Ввод!K286+Ввод!K287+Ввод!K288+Ввод!K289+Ввод!K290)/VLOOKUP(Баланс!$B$7,Баланс!$A$1:$B$3,2,0)</f>
        <v>-6.1799999999999997E-3</v>
      </c>
      <c r="K95" s="1387">
        <f>-(Ввод!L275-Ввод!L279+Ввод!L281+Ввод!L282+Ввод!L283+Ввод!L285+Ввод!L286+Ввод!L287+Ввод!L288+Ввод!L289+Ввод!L290)/VLOOKUP(Баланс!$B$7,Баланс!$A$1:$B$3,2,0)</f>
        <v>0</v>
      </c>
      <c r="L95" s="1387">
        <f>-(Ввод!M275-Ввод!M279+Ввод!M281+Ввод!M282+Ввод!M283+Ввод!M285+Ввод!M286+Ввод!M287+Ввод!M288+Ввод!M289+Ввод!M290)/VLOOKUP(Баланс!$B$7,Баланс!$A$1:$B$3,2,0)</f>
        <v>0</v>
      </c>
      <c r="M95" s="1387">
        <f>-(Ввод!N275-Ввод!N279+Ввод!N281+Ввод!N282+Ввод!N283+Ввод!N285+Ввод!N286+Ввод!N287+Ввод!N288+Ввод!N289+Ввод!N290)/VLOOKUP(Баланс!$B$7,Баланс!$A$1:$B$3,2,0)</f>
        <v>0</v>
      </c>
      <c r="N95" s="1387">
        <f>-(Ввод!O275-Ввод!O279+Ввод!O281+Ввод!O282+Ввод!O283+Ввод!O285+Ввод!O286+Ввод!O287+Ввод!O288+Ввод!O289+Ввод!O290)/VLOOKUP(Баланс!$B$7,Баланс!$A$1:$B$3,2,0)</f>
        <v>0</v>
      </c>
      <c r="O95" s="1387">
        <f>-(Ввод!P275-Ввод!P279+Ввод!P281+Ввод!P282+Ввод!P283+Ввод!P285+Ввод!P286+Ввод!P287+Ввод!P288+Ввод!P289+Ввод!P290)/VLOOKUP(Баланс!$B$7,Баланс!$A$1:$B$3,2,0)</f>
        <v>0</v>
      </c>
      <c r="P95" s="1402"/>
      <c r="Q95" s="171"/>
      <c r="R95" s="1681">
        <f t="shared" si="74"/>
        <v>0</v>
      </c>
      <c r="S95" s="1681">
        <f t="shared" si="57"/>
        <v>0</v>
      </c>
      <c r="T95" s="1681">
        <f t="shared" si="58"/>
        <v>0</v>
      </c>
      <c r="U95" s="1681">
        <f t="shared" si="59"/>
        <v>-7.8993634391282216E-5</v>
      </c>
      <c r="V95" s="1681">
        <f t="shared" si="60"/>
        <v>-8.2359575723979302E-5</v>
      </c>
      <c r="W95" s="1681">
        <f t="shared" si="61"/>
        <v>0</v>
      </c>
      <c r="X95" s="1681">
        <f t="shared" si="62"/>
        <v>0</v>
      </c>
      <c r="Y95" s="1681">
        <f t="shared" si="63"/>
        <v>0</v>
      </c>
      <c r="Z95" s="1681">
        <f t="shared" si="64"/>
        <v>0</v>
      </c>
      <c r="AA95" s="1681"/>
      <c r="AB95" s="110"/>
      <c r="AC95" s="469"/>
      <c r="AD95" s="1387">
        <f t="shared" si="75"/>
        <v>0</v>
      </c>
      <c r="AE95" s="1387">
        <f t="shared" si="65"/>
        <v>0</v>
      </c>
      <c r="AF95" s="1387">
        <f t="shared" si="66"/>
        <v>-6.1799999999999997E-3</v>
      </c>
      <c r="AG95" s="1387">
        <f t="shared" si="67"/>
        <v>0</v>
      </c>
      <c r="AH95" s="1387">
        <f t="shared" si="68"/>
        <v>6.1799999999999997E-3</v>
      </c>
      <c r="AI95" s="1387">
        <f t="shared" si="69"/>
        <v>0</v>
      </c>
      <c r="AJ95" s="1387">
        <f t="shared" si="70"/>
        <v>0</v>
      </c>
      <c r="AK95" s="1387">
        <f t="shared" si="71"/>
        <v>0</v>
      </c>
      <c r="AL95" s="1387">
        <f t="shared" si="72"/>
        <v>0</v>
      </c>
      <c r="AM95" s="1387"/>
    </row>
    <row r="96" spans="1:39" s="1407" customFormat="1" ht="16.5" outlineLevel="2" x14ac:dyDescent="0.3">
      <c r="A96" s="1403"/>
      <c r="B96" s="1403"/>
      <c r="C96" s="205"/>
      <c r="D96" s="1666" t="s">
        <v>3302</v>
      </c>
      <c r="E96" s="1667"/>
      <c r="F96" s="1668">
        <f>(Ввод!G298-(Ввод!G264+Ввод!G267+Ввод!G270-Ввод!G271+Ввод!G272-SUM(Ввод!G275:G290,Ввод!G294,Ввод!G296)))/VLOOKUP(Баланс!$B$7,Баланс!$A$1:$B$3,2,0)</f>
        <v>0</v>
      </c>
      <c r="G96" s="1668">
        <f>(Ввод!H298-(Ввод!H264+Ввод!H267+Ввод!H270-Ввод!H271+Ввод!H272-SUM(Ввод!H275:H290,Ввод!H294,Ввод!H296)))/VLOOKUP(Баланс!$B$7,Баланс!$A$1:$B$3,2,0)</f>
        <v>0</v>
      </c>
      <c r="H96" s="1668">
        <f>(Ввод!I298-(Ввод!I264+Ввод!I267+Ввод!I270-Ввод!I271+Ввод!I272-SUM(Ввод!I275:I290,Ввод!I294,Ввод!I296)))/VLOOKUP(Баланс!$B$7,Баланс!$A$1:$B$3,2,0)</f>
        <v>0</v>
      </c>
      <c r="I96" s="1668">
        <f>(Ввод!J298-(Ввод!J264+Ввод!J267+Ввод!J270-Ввод!J271+Ввод!J272-SUM(Ввод!J275:J290,Ввод!J294,Ввод!J296)))/VLOOKUP(Баланс!$B$7,Баланс!$A$1:$B$3,2,0)</f>
        <v>0</v>
      </c>
      <c r="J96" s="1668">
        <f>(Ввод!K298-(Ввод!K264+Ввод!K267+Ввод!K270-Ввод!K271+Ввод!K272-SUM(Ввод!K275:K290,Ввод!K294,Ввод!K296)))/VLOOKUP(Баланс!$B$7,Баланс!$A$1:$B$3,2,0)</f>
        <v>0</v>
      </c>
      <c r="K96" s="1668">
        <f>(Ввод!L298-(Ввод!L264+Ввод!L267+Ввод!L270-Ввод!L271+Ввод!L272-SUM(Ввод!L275:L290,Ввод!L294,Ввод!L296)))/VLOOKUP(Баланс!$B$7,Баланс!$A$1:$B$3,2,0)</f>
        <v>-0.41666500000000001</v>
      </c>
      <c r="L96" s="1668">
        <f>(Ввод!M298-(Ввод!M264+Ввод!M267+Ввод!M270-Ввод!M271+Ввод!M272-SUM(Ввод!M275:M290,Ввод!M294,Ввод!M296)))/VLOOKUP(Баланс!$B$7,Баланс!$A$1:$B$3,2,0)</f>
        <v>-0.41925200000000001</v>
      </c>
      <c r="M96" s="1668">
        <f>(Ввод!N298-(Ввод!N264+Ввод!N267+Ввод!N270-Ввод!N271+Ввод!N272-SUM(Ввод!N275:N290,Ввод!N294,Ввод!N296)))/VLOOKUP(Баланс!$B$7,Баланс!$A$1:$B$3,2,0)</f>
        <v>-0.41761700000000002</v>
      </c>
      <c r="N96" s="1668">
        <f>(Ввод!O298-(Ввод!O264+Ввод!O267+Ввод!O270-Ввод!O271+Ввод!O272-SUM(Ввод!O275:O290,Ввод!O294,Ввод!O296)))/VLOOKUP(Баланс!$B$7,Баланс!$A$1:$B$3,2,0)</f>
        <v>-0.390629</v>
      </c>
      <c r="O96" s="1668">
        <f>(Ввод!P298-(Ввод!P264+Ввод!P267+Ввод!P270-Ввод!P271+Ввод!P272-SUM(Ввод!P275:P290,Ввод!P294,Ввод!P296)))/VLOOKUP(Баланс!$B$7,Баланс!$A$1:$B$3,2,0)</f>
        <v>0</v>
      </c>
      <c r="P96" s="1389"/>
      <c r="Q96" s="1669"/>
      <c r="R96" s="1684">
        <f t="shared" si="74"/>
        <v>0</v>
      </c>
      <c r="S96" s="1684">
        <f t="shared" si="57"/>
        <v>0</v>
      </c>
      <c r="T96" s="1684">
        <f t="shared" si="58"/>
        <v>0</v>
      </c>
      <c r="U96" s="1684">
        <f t="shared" si="59"/>
        <v>0</v>
      </c>
      <c r="V96" s="1684">
        <f t="shared" si="60"/>
        <v>0</v>
      </c>
      <c r="W96" s="1684">
        <f t="shared" si="61"/>
        <v>-5.4664408431563038E-3</v>
      </c>
      <c r="X96" s="1684">
        <f t="shared" si="62"/>
        <v>-5.6265684529951E-3</v>
      </c>
      <c r="Y96" s="1684">
        <f t="shared" si="63"/>
        <v>-4.3475975993326806E-3</v>
      </c>
      <c r="Z96" s="1684">
        <f t="shared" si="64"/>
        <v>-3.8534683893791661E-3</v>
      </c>
      <c r="AA96" s="1684"/>
      <c r="AB96" s="1406"/>
      <c r="AC96" s="1670"/>
      <c r="AD96" s="1668">
        <f t="shared" si="75"/>
        <v>0</v>
      </c>
      <c r="AE96" s="1668">
        <f t="shared" si="65"/>
        <v>0</v>
      </c>
      <c r="AF96" s="1668">
        <f t="shared" si="66"/>
        <v>0</v>
      </c>
      <c r="AG96" s="1668">
        <f t="shared" si="67"/>
        <v>0</v>
      </c>
      <c r="AH96" s="1668">
        <f t="shared" si="68"/>
        <v>-0.41666500000000001</v>
      </c>
      <c r="AI96" s="1668">
        <f t="shared" si="69"/>
        <v>-2.587000000000006E-3</v>
      </c>
      <c r="AJ96" s="1668">
        <f t="shared" si="70"/>
        <v>1.6349999999999976E-3</v>
      </c>
      <c r="AK96" s="1668">
        <f t="shared" si="71"/>
        <v>2.6988000000000012E-2</v>
      </c>
      <c r="AL96" s="1668">
        <f t="shared" si="72"/>
        <v>0.390629</v>
      </c>
      <c r="AM96" s="1668"/>
    </row>
    <row r="97" spans="1:39" s="1407" customFormat="1" ht="16.5" outlineLevel="1" x14ac:dyDescent="0.3">
      <c r="A97" s="1403"/>
      <c r="B97" s="1403" t="s">
        <v>74</v>
      </c>
      <c r="C97" s="164" t="s">
        <v>78</v>
      </c>
      <c r="D97" s="164"/>
      <c r="E97" s="164"/>
      <c r="F97" s="1408">
        <f>IF(SUM(F98:F108)&gt;0,SUM(F98:F108),0)</f>
        <v>0</v>
      </c>
      <c r="G97" s="1408">
        <f t="shared" ref="G97:O97" si="76">IF(SUM(G98:G108)&gt;0,SUM(G98:G108),0)</f>
        <v>0</v>
      </c>
      <c r="H97" s="1408">
        <f t="shared" si="76"/>
        <v>0</v>
      </c>
      <c r="I97" s="1408">
        <f t="shared" si="76"/>
        <v>0</v>
      </c>
      <c r="J97" s="1408">
        <f t="shared" si="76"/>
        <v>0</v>
      </c>
      <c r="K97" s="1408">
        <f t="shared" si="76"/>
        <v>0</v>
      </c>
      <c r="L97" s="1408">
        <f t="shared" si="76"/>
        <v>0</v>
      </c>
      <c r="M97" s="1408">
        <f t="shared" si="76"/>
        <v>0</v>
      </c>
      <c r="N97" s="1408">
        <f t="shared" si="76"/>
        <v>0</v>
      </c>
      <c r="O97" s="1408">
        <f t="shared" si="76"/>
        <v>0</v>
      </c>
      <c r="P97" s="1408"/>
      <c r="Q97" s="180"/>
      <c r="R97" s="1680">
        <f t="shared" si="74"/>
        <v>0</v>
      </c>
      <c r="S97" s="1680">
        <f t="shared" si="57"/>
        <v>0</v>
      </c>
      <c r="T97" s="1680">
        <f t="shared" si="58"/>
        <v>0</v>
      </c>
      <c r="U97" s="1680">
        <f t="shared" si="59"/>
        <v>0</v>
      </c>
      <c r="V97" s="1680">
        <f t="shared" si="60"/>
        <v>0</v>
      </c>
      <c r="W97" s="1680">
        <f t="shared" si="61"/>
        <v>0</v>
      </c>
      <c r="X97" s="1680">
        <f t="shared" si="62"/>
        <v>0</v>
      </c>
      <c r="Y97" s="1680">
        <f t="shared" si="63"/>
        <v>0</v>
      </c>
      <c r="Z97" s="1680">
        <f t="shared" si="64"/>
        <v>0</v>
      </c>
      <c r="AA97" s="1680"/>
      <c r="AB97" s="1406"/>
      <c r="AC97" s="1409"/>
      <c r="AD97" s="1408">
        <f t="shared" si="75"/>
        <v>0</v>
      </c>
      <c r="AE97" s="1408">
        <f t="shared" si="65"/>
        <v>0</v>
      </c>
      <c r="AF97" s="1408">
        <f t="shared" si="66"/>
        <v>0</v>
      </c>
      <c r="AG97" s="1408">
        <f t="shared" si="67"/>
        <v>0</v>
      </c>
      <c r="AH97" s="1408">
        <f t="shared" si="68"/>
        <v>0</v>
      </c>
      <c r="AI97" s="1408">
        <f t="shared" si="69"/>
        <v>0</v>
      </c>
      <c r="AJ97" s="1408">
        <f t="shared" si="70"/>
        <v>0</v>
      </c>
      <c r="AK97" s="1408">
        <f t="shared" si="71"/>
        <v>0</v>
      </c>
      <c r="AL97" s="1408">
        <f t="shared" si="72"/>
        <v>0</v>
      </c>
      <c r="AM97" s="1408"/>
    </row>
    <row r="98" spans="1:39" s="111" customFormat="1" ht="16.5" outlineLevel="1" x14ac:dyDescent="0.3">
      <c r="A98" s="108"/>
      <c r="B98" s="108"/>
      <c r="C98" s="98"/>
      <c r="D98" s="99" t="s">
        <v>3303</v>
      </c>
      <c r="E98" s="98"/>
      <c r="F98" s="1387">
        <f>Ввод!G300/VLOOKUP(Баланс!$B$7,Баланс!$A$1:$B$3,2,0)</f>
        <v>0</v>
      </c>
      <c r="G98" s="1387">
        <f>Ввод!H300/VLOOKUP(Баланс!$B$7,Баланс!$A$1:$B$3,2,0)</f>
        <v>0</v>
      </c>
      <c r="H98" s="1387">
        <f>Ввод!I300/VLOOKUP(Баланс!$B$7,Баланс!$A$1:$B$3,2,0)</f>
        <v>0</v>
      </c>
      <c r="I98" s="1387">
        <f>Ввод!J300/VLOOKUP(Баланс!$B$7,Баланс!$A$1:$B$3,2,0)</f>
        <v>0</v>
      </c>
      <c r="J98" s="1387">
        <f>Ввод!K300/VLOOKUP(Баланс!$B$7,Баланс!$A$1:$B$3,2,0)</f>
        <v>0</v>
      </c>
      <c r="K98" s="1387">
        <f>Ввод!L300/VLOOKUP(Баланс!$B$7,Баланс!$A$1:$B$3,2,0)</f>
        <v>0</v>
      </c>
      <c r="L98" s="1387">
        <f>Ввод!M300/VLOOKUP(Баланс!$B$7,Баланс!$A$1:$B$3,2,0)</f>
        <v>0</v>
      </c>
      <c r="M98" s="1387">
        <f>Ввод!N300/VLOOKUP(Баланс!$B$7,Баланс!$A$1:$B$3,2,0)</f>
        <v>0</v>
      </c>
      <c r="N98" s="1387">
        <f>Ввод!O300/VLOOKUP(Баланс!$B$7,Баланс!$A$1:$B$3,2,0)</f>
        <v>0</v>
      </c>
      <c r="O98" s="1387">
        <f>Ввод!P300/VLOOKUP(Баланс!$B$7,Баланс!$A$1:$B$3,2,0)</f>
        <v>0</v>
      </c>
      <c r="P98" s="1402"/>
      <c r="Q98" s="171"/>
      <c r="R98" s="1681">
        <f t="shared" si="74"/>
        <v>0</v>
      </c>
      <c r="S98" s="1681">
        <f t="shared" si="57"/>
        <v>0</v>
      </c>
      <c r="T98" s="1681">
        <f t="shared" si="58"/>
        <v>0</v>
      </c>
      <c r="U98" s="1681">
        <f t="shared" si="59"/>
        <v>0</v>
      </c>
      <c r="V98" s="1681">
        <f t="shared" si="60"/>
        <v>0</v>
      </c>
      <c r="W98" s="1681">
        <f t="shared" si="61"/>
        <v>0</v>
      </c>
      <c r="X98" s="1681">
        <f t="shared" si="62"/>
        <v>0</v>
      </c>
      <c r="Y98" s="1681">
        <f t="shared" si="63"/>
        <v>0</v>
      </c>
      <c r="Z98" s="1681">
        <f t="shared" si="64"/>
        <v>0</v>
      </c>
      <c r="AA98" s="1681"/>
      <c r="AB98" s="110"/>
      <c r="AC98" s="469"/>
      <c r="AD98" s="1387">
        <f t="shared" si="75"/>
        <v>0</v>
      </c>
      <c r="AE98" s="1387">
        <f t="shared" si="65"/>
        <v>0</v>
      </c>
      <c r="AF98" s="1387">
        <f t="shared" si="66"/>
        <v>0</v>
      </c>
      <c r="AG98" s="1387">
        <f t="shared" si="67"/>
        <v>0</v>
      </c>
      <c r="AH98" s="1387">
        <f t="shared" si="68"/>
        <v>0</v>
      </c>
      <c r="AI98" s="1387">
        <f t="shared" si="69"/>
        <v>0</v>
      </c>
      <c r="AJ98" s="1387">
        <f t="shared" si="70"/>
        <v>0</v>
      </c>
      <c r="AK98" s="1387">
        <f t="shared" si="71"/>
        <v>0</v>
      </c>
      <c r="AL98" s="1387">
        <f t="shared" si="72"/>
        <v>0</v>
      </c>
      <c r="AM98" s="1387"/>
    </row>
    <row r="99" spans="1:39" s="111" customFormat="1" ht="16.5" outlineLevel="1" x14ac:dyDescent="0.3">
      <c r="A99" s="108"/>
      <c r="B99" s="108"/>
      <c r="C99" s="98"/>
      <c r="D99" s="99" t="s">
        <v>3102</v>
      </c>
      <c r="E99" s="98"/>
      <c r="F99" s="1387">
        <f>Ввод!G303/VLOOKUP(Баланс!$B$7,Баланс!$A$1:$B$3,2,0)</f>
        <v>0</v>
      </c>
      <c r="G99" s="1387">
        <f>Ввод!H303/VLOOKUP(Баланс!$B$7,Баланс!$A$1:$B$3,2,0)</f>
        <v>0</v>
      </c>
      <c r="H99" s="1387">
        <f>Ввод!I303/VLOOKUP(Баланс!$B$7,Баланс!$A$1:$B$3,2,0)</f>
        <v>0</v>
      </c>
      <c r="I99" s="1387">
        <f>Ввод!J303/VLOOKUP(Баланс!$B$7,Баланс!$A$1:$B$3,2,0)</f>
        <v>0</v>
      </c>
      <c r="J99" s="1387">
        <f>Ввод!K303/VLOOKUP(Баланс!$B$7,Баланс!$A$1:$B$3,2,0)</f>
        <v>0</v>
      </c>
      <c r="K99" s="1387">
        <f>Ввод!L303/VLOOKUP(Баланс!$B$7,Баланс!$A$1:$B$3,2,0)</f>
        <v>0</v>
      </c>
      <c r="L99" s="1387">
        <f>Ввод!M303/VLOOKUP(Баланс!$B$7,Баланс!$A$1:$B$3,2,0)</f>
        <v>0</v>
      </c>
      <c r="M99" s="1387">
        <f>Ввод!N303/VLOOKUP(Баланс!$B$7,Баланс!$A$1:$B$3,2,0)</f>
        <v>0</v>
      </c>
      <c r="N99" s="1387">
        <f>Ввод!O303/VLOOKUP(Баланс!$B$7,Баланс!$A$1:$B$3,2,0)</f>
        <v>0</v>
      </c>
      <c r="O99" s="1387">
        <f>Ввод!P303/VLOOKUP(Баланс!$B$7,Баланс!$A$1:$B$3,2,0)</f>
        <v>0</v>
      </c>
      <c r="P99" s="1402"/>
      <c r="Q99" s="171"/>
      <c r="R99" s="1681">
        <f t="shared" si="74"/>
        <v>0</v>
      </c>
      <c r="S99" s="1681">
        <f t="shared" si="57"/>
        <v>0</v>
      </c>
      <c r="T99" s="1681">
        <f t="shared" si="58"/>
        <v>0</v>
      </c>
      <c r="U99" s="1681">
        <f t="shared" si="59"/>
        <v>0</v>
      </c>
      <c r="V99" s="1681">
        <f t="shared" si="60"/>
        <v>0</v>
      </c>
      <c r="W99" s="1681">
        <f t="shared" si="61"/>
        <v>0</v>
      </c>
      <c r="X99" s="1681">
        <f t="shared" si="62"/>
        <v>0</v>
      </c>
      <c r="Y99" s="1681">
        <f t="shared" si="63"/>
        <v>0</v>
      </c>
      <c r="Z99" s="1681">
        <f t="shared" si="64"/>
        <v>0</v>
      </c>
      <c r="AA99" s="1681"/>
      <c r="AB99" s="110"/>
      <c r="AC99" s="469"/>
      <c r="AD99" s="1387">
        <f t="shared" si="75"/>
        <v>0</v>
      </c>
      <c r="AE99" s="1387">
        <f t="shared" si="65"/>
        <v>0</v>
      </c>
      <c r="AF99" s="1387">
        <f t="shared" si="66"/>
        <v>0</v>
      </c>
      <c r="AG99" s="1387">
        <f t="shared" si="67"/>
        <v>0</v>
      </c>
      <c r="AH99" s="1387">
        <f t="shared" si="68"/>
        <v>0</v>
      </c>
      <c r="AI99" s="1387">
        <f t="shared" si="69"/>
        <v>0</v>
      </c>
      <c r="AJ99" s="1387">
        <f t="shared" si="70"/>
        <v>0</v>
      </c>
      <c r="AK99" s="1387">
        <f t="shared" si="71"/>
        <v>0</v>
      </c>
      <c r="AL99" s="1387">
        <f t="shared" si="72"/>
        <v>0</v>
      </c>
      <c r="AM99" s="1387"/>
    </row>
    <row r="100" spans="1:39" s="111" customFormat="1" ht="16.5" outlineLevel="1" x14ac:dyDescent="0.3">
      <c r="A100" s="108"/>
      <c r="B100" s="108"/>
      <c r="C100" s="98"/>
      <c r="D100" s="99" t="s">
        <v>3304</v>
      </c>
      <c r="E100" s="98"/>
      <c r="F100" s="1387">
        <f>Ввод!G304/VLOOKUP(Баланс!$B$7,Баланс!$A$1:$B$3,2,0)</f>
        <v>0</v>
      </c>
      <c r="G100" s="1387">
        <f>Ввод!H304/VLOOKUP(Баланс!$B$7,Баланс!$A$1:$B$3,2,0)</f>
        <v>0</v>
      </c>
      <c r="H100" s="1387">
        <f>Ввод!I304/VLOOKUP(Баланс!$B$7,Баланс!$A$1:$B$3,2,0)</f>
        <v>0</v>
      </c>
      <c r="I100" s="1387">
        <f>Ввод!J304/VLOOKUP(Баланс!$B$7,Баланс!$A$1:$B$3,2,0)</f>
        <v>0</v>
      </c>
      <c r="J100" s="1387">
        <f>Ввод!K304/VLOOKUP(Баланс!$B$7,Баланс!$A$1:$B$3,2,0)</f>
        <v>0</v>
      </c>
      <c r="K100" s="1387">
        <f>Ввод!L304/VLOOKUP(Баланс!$B$7,Баланс!$A$1:$B$3,2,0)</f>
        <v>0</v>
      </c>
      <c r="L100" s="1387">
        <f>Ввод!M304/VLOOKUP(Баланс!$B$7,Баланс!$A$1:$B$3,2,0)</f>
        <v>0</v>
      </c>
      <c r="M100" s="1387">
        <f>Ввод!N304/VLOOKUP(Баланс!$B$7,Баланс!$A$1:$B$3,2,0)</f>
        <v>0</v>
      </c>
      <c r="N100" s="1387">
        <f>Ввод!O304/VLOOKUP(Баланс!$B$7,Баланс!$A$1:$B$3,2,0)</f>
        <v>0</v>
      </c>
      <c r="O100" s="1387">
        <f>Ввод!P304/VLOOKUP(Баланс!$B$7,Баланс!$A$1:$B$3,2,0)</f>
        <v>0</v>
      </c>
      <c r="P100" s="1402"/>
      <c r="Q100" s="171"/>
      <c r="R100" s="1681">
        <f t="shared" si="74"/>
        <v>0</v>
      </c>
      <c r="S100" s="1681">
        <f t="shared" si="57"/>
        <v>0</v>
      </c>
      <c r="T100" s="1681">
        <f t="shared" si="58"/>
        <v>0</v>
      </c>
      <c r="U100" s="1681">
        <f t="shared" si="59"/>
        <v>0</v>
      </c>
      <c r="V100" s="1681">
        <f t="shared" si="60"/>
        <v>0</v>
      </c>
      <c r="W100" s="1681">
        <f t="shared" si="61"/>
        <v>0</v>
      </c>
      <c r="X100" s="1681">
        <f t="shared" si="62"/>
        <v>0</v>
      </c>
      <c r="Y100" s="1681">
        <f t="shared" si="63"/>
        <v>0</v>
      </c>
      <c r="Z100" s="1681">
        <f t="shared" si="64"/>
        <v>0</v>
      </c>
      <c r="AA100" s="1681"/>
      <c r="AB100" s="110"/>
      <c r="AC100" s="469"/>
      <c r="AD100" s="1387">
        <f t="shared" si="75"/>
        <v>0</v>
      </c>
      <c r="AE100" s="1387">
        <f t="shared" si="65"/>
        <v>0</v>
      </c>
      <c r="AF100" s="1387">
        <f t="shared" si="66"/>
        <v>0</v>
      </c>
      <c r="AG100" s="1387">
        <f t="shared" si="67"/>
        <v>0</v>
      </c>
      <c r="AH100" s="1387">
        <f t="shared" si="68"/>
        <v>0</v>
      </c>
      <c r="AI100" s="1387">
        <f t="shared" si="69"/>
        <v>0</v>
      </c>
      <c r="AJ100" s="1387">
        <f t="shared" si="70"/>
        <v>0</v>
      </c>
      <c r="AK100" s="1387">
        <f t="shared" si="71"/>
        <v>0</v>
      </c>
      <c r="AL100" s="1387">
        <f t="shared" si="72"/>
        <v>0</v>
      </c>
      <c r="AM100" s="1387"/>
    </row>
    <row r="101" spans="1:39" s="111" customFormat="1" ht="16.5" outlineLevel="1" x14ac:dyDescent="0.3">
      <c r="A101" s="108"/>
      <c r="B101" s="108"/>
      <c r="C101" s="98"/>
      <c r="D101" s="204" t="s">
        <v>265</v>
      </c>
      <c r="E101" s="98"/>
      <c r="F101" s="1387"/>
      <c r="G101" s="1387"/>
      <c r="H101" s="1387"/>
      <c r="I101" s="1387"/>
      <c r="J101" s="1387"/>
      <c r="K101" s="1387"/>
      <c r="L101" s="1387"/>
      <c r="M101" s="1387"/>
      <c r="N101" s="1387"/>
      <c r="O101" s="1387"/>
      <c r="P101" s="1402"/>
      <c r="Q101" s="171"/>
      <c r="R101" s="1681">
        <f t="shared" si="74"/>
        <v>0</v>
      </c>
      <c r="S101" s="1681">
        <f t="shared" si="57"/>
        <v>0</v>
      </c>
      <c r="T101" s="1681">
        <f t="shared" si="58"/>
        <v>0</v>
      </c>
      <c r="U101" s="1681">
        <f t="shared" si="59"/>
        <v>0</v>
      </c>
      <c r="V101" s="1681">
        <f t="shared" si="60"/>
        <v>0</v>
      </c>
      <c r="W101" s="1681">
        <f t="shared" si="61"/>
        <v>0</v>
      </c>
      <c r="X101" s="1681">
        <f t="shared" si="62"/>
        <v>0</v>
      </c>
      <c r="Y101" s="1681">
        <f t="shared" si="63"/>
        <v>0</v>
      </c>
      <c r="Z101" s="1681">
        <f t="shared" si="64"/>
        <v>0</v>
      </c>
      <c r="AA101" s="1681"/>
      <c r="AB101" s="110"/>
      <c r="AC101" s="469"/>
      <c r="AD101" s="1387">
        <f t="shared" si="75"/>
        <v>0</v>
      </c>
      <c r="AE101" s="1387">
        <f t="shared" si="65"/>
        <v>0</v>
      </c>
      <c r="AF101" s="1387">
        <f t="shared" si="66"/>
        <v>0</v>
      </c>
      <c r="AG101" s="1387">
        <f t="shared" si="67"/>
        <v>0</v>
      </c>
      <c r="AH101" s="1387">
        <f t="shared" si="68"/>
        <v>0</v>
      </c>
      <c r="AI101" s="1387">
        <f t="shared" si="69"/>
        <v>0</v>
      </c>
      <c r="AJ101" s="1387">
        <f t="shared" si="70"/>
        <v>0</v>
      </c>
      <c r="AK101" s="1387">
        <f t="shared" si="71"/>
        <v>0</v>
      </c>
      <c r="AL101" s="1387">
        <f t="shared" si="72"/>
        <v>0</v>
      </c>
      <c r="AM101" s="1387"/>
    </row>
    <row r="102" spans="1:39" s="111" customFormat="1" ht="16.5" outlineLevel="1" x14ac:dyDescent="0.3">
      <c r="A102" s="108"/>
      <c r="B102" s="108"/>
      <c r="C102" s="205" t="s">
        <v>74</v>
      </c>
      <c r="D102" s="99" t="s">
        <v>3107</v>
      </c>
      <c r="E102" s="98"/>
      <c r="F102" s="1387">
        <f>-Ввод!G308/VLOOKUP(Баланс!$B$7,Баланс!$A$1:$B$3,2,0)</f>
        <v>0</v>
      </c>
      <c r="G102" s="1387">
        <f>-Ввод!H308/VLOOKUP(Баланс!$B$7,Баланс!$A$1:$B$3,2,0)</f>
        <v>0</v>
      </c>
      <c r="H102" s="1387">
        <f>-Ввод!I308/VLOOKUP(Баланс!$B$7,Баланс!$A$1:$B$3,2,0)</f>
        <v>0</v>
      </c>
      <c r="I102" s="1387">
        <f>-Ввод!J308/VLOOKUP(Баланс!$B$7,Баланс!$A$1:$B$3,2,0)</f>
        <v>0</v>
      </c>
      <c r="J102" s="1387">
        <f>-Ввод!K308/VLOOKUP(Баланс!$B$7,Баланс!$A$1:$B$3,2,0)</f>
        <v>0</v>
      </c>
      <c r="K102" s="1387">
        <f>-Ввод!L308/VLOOKUP(Баланс!$B$7,Баланс!$A$1:$B$3,2,0)</f>
        <v>0</v>
      </c>
      <c r="L102" s="1387">
        <f>-Ввод!M308/VLOOKUP(Баланс!$B$7,Баланс!$A$1:$B$3,2,0)</f>
        <v>0</v>
      </c>
      <c r="M102" s="1387">
        <f>-Ввод!N308/VLOOKUP(Баланс!$B$7,Баланс!$A$1:$B$3,2,0)</f>
        <v>0</v>
      </c>
      <c r="N102" s="1387">
        <f>-Ввод!O308/VLOOKUP(Баланс!$B$7,Баланс!$A$1:$B$3,2,0)</f>
        <v>0</v>
      </c>
      <c r="O102" s="1387">
        <f>-Ввод!P308/VLOOKUP(Баланс!$B$7,Баланс!$A$1:$B$3,2,0)</f>
        <v>0</v>
      </c>
      <c r="P102" s="1402"/>
      <c r="Q102" s="171"/>
      <c r="R102" s="1681">
        <f t="shared" si="74"/>
        <v>0</v>
      </c>
      <c r="S102" s="1681">
        <f t="shared" si="57"/>
        <v>0</v>
      </c>
      <c r="T102" s="1681">
        <f t="shared" si="58"/>
        <v>0</v>
      </c>
      <c r="U102" s="1681">
        <f t="shared" si="59"/>
        <v>0</v>
      </c>
      <c r="V102" s="1681">
        <f t="shared" si="60"/>
        <v>0</v>
      </c>
      <c r="W102" s="1681">
        <f t="shared" si="61"/>
        <v>0</v>
      </c>
      <c r="X102" s="1681">
        <f t="shared" si="62"/>
        <v>0</v>
      </c>
      <c r="Y102" s="1681">
        <f t="shared" si="63"/>
        <v>0</v>
      </c>
      <c r="Z102" s="1681">
        <f t="shared" si="64"/>
        <v>0</v>
      </c>
      <c r="AA102" s="1681"/>
      <c r="AB102" s="110"/>
      <c r="AC102" s="469"/>
      <c r="AD102" s="1387">
        <f t="shared" si="75"/>
        <v>0</v>
      </c>
      <c r="AE102" s="1387">
        <f t="shared" si="65"/>
        <v>0</v>
      </c>
      <c r="AF102" s="1387">
        <f t="shared" si="66"/>
        <v>0</v>
      </c>
      <c r="AG102" s="1387">
        <f t="shared" si="67"/>
        <v>0</v>
      </c>
      <c r="AH102" s="1387">
        <f t="shared" si="68"/>
        <v>0</v>
      </c>
      <c r="AI102" s="1387">
        <f t="shared" si="69"/>
        <v>0</v>
      </c>
      <c r="AJ102" s="1387">
        <f t="shared" si="70"/>
        <v>0</v>
      </c>
      <c r="AK102" s="1387">
        <f t="shared" si="71"/>
        <v>0</v>
      </c>
      <c r="AL102" s="1387">
        <f t="shared" si="72"/>
        <v>0</v>
      </c>
      <c r="AM102" s="1387"/>
    </row>
    <row r="103" spans="1:39" s="111" customFormat="1" ht="16.5" outlineLevel="1" x14ac:dyDescent="0.3">
      <c r="A103" s="108"/>
      <c r="B103" s="108"/>
      <c r="C103" s="205" t="s">
        <v>74</v>
      </c>
      <c r="D103" s="99" t="s">
        <v>3108</v>
      </c>
      <c r="E103" s="98"/>
      <c r="F103" s="1387">
        <f>-Ввод!G309/VLOOKUP(Баланс!$B$7,Баланс!$A$1:$B$3,2,0)</f>
        <v>0</v>
      </c>
      <c r="G103" s="1387">
        <f>-Ввод!H309/VLOOKUP(Баланс!$B$7,Баланс!$A$1:$B$3,2,0)</f>
        <v>0</v>
      </c>
      <c r="H103" s="1387">
        <f>-Ввод!I309/VLOOKUP(Баланс!$B$7,Баланс!$A$1:$B$3,2,0)</f>
        <v>0</v>
      </c>
      <c r="I103" s="1387">
        <f>-Ввод!J309/VLOOKUP(Баланс!$B$7,Баланс!$A$1:$B$3,2,0)</f>
        <v>0</v>
      </c>
      <c r="J103" s="1387">
        <f>-Ввод!K309/VLOOKUP(Баланс!$B$7,Баланс!$A$1:$B$3,2,0)</f>
        <v>0</v>
      </c>
      <c r="K103" s="1387">
        <f>-Ввод!L309/VLOOKUP(Баланс!$B$7,Баланс!$A$1:$B$3,2,0)</f>
        <v>0</v>
      </c>
      <c r="L103" s="1387">
        <f>-Ввод!M309/VLOOKUP(Баланс!$B$7,Баланс!$A$1:$B$3,2,0)</f>
        <v>0</v>
      </c>
      <c r="M103" s="1387">
        <f>-Ввод!N309/VLOOKUP(Баланс!$B$7,Баланс!$A$1:$B$3,2,0)</f>
        <v>0</v>
      </c>
      <c r="N103" s="1387">
        <f>-Ввод!O309/VLOOKUP(Баланс!$B$7,Баланс!$A$1:$B$3,2,0)</f>
        <v>0</v>
      </c>
      <c r="O103" s="1387">
        <f>-Ввод!P309/VLOOKUP(Баланс!$B$7,Баланс!$A$1:$B$3,2,0)</f>
        <v>0</v>
      </c>
      <c r="P103" s="1402"/>
      <c r="Q103" s="171"/>
      <c r="R103" s="1681">
        <f t="shared" si="74"/>
        <v>0</v>
      </c>
      <c r="S103" s="1681">
        <f t="shared" si="57"/>
        <v>0</v>
      </c>
      <c r="T103" s="1681">
        <f t="shared" si="58"/>
        <v>0</v>
      </c>
      <c r="U103" s="1681">
        <f t="shared" si="59"/>
        <v>0</v>
      </c>
      <c r="V103" s="1681">
        <f t="shared" si="60"/>
        <v>0</v>
      </c>
      <c r="W103" s="1681">
        <f t="shared" si="61"/>
        <v>0</v>
      </c>
      <c r="X103" s="1681">
        <f t="shared" si="62"/>
        <v>0</v>
      </c>
      <c r="Y103" s="1681">
        <f t="shared" si="63"/>
        <v>0</v>
      </c>
      <c r="Z103" s="1681">
        <f t="shared" si="64"/>
        <v>0</v>
      </c>
      <c r="AA103" s="1681"/>
      <c r="AB103" s="110"/>
      <c r="AC103" s="469"/>
      <c r="AD103" s="1387">
        <f t="shared" si="75"/>
        <v>0</v>
      </c>
      <c r="AE103" s="1387">
        <f t="shared" si="65"/>
        <v>0</v>
      </c>
      <c r="AF103" s="1387">
        <f t="shared" si="66"/>
        <v>0</v>
      </c>
      <c r="AG103" s="1387">
        <f t="shared" si="67"/>
        <v>0</v>
      </c>
      <c r="AH103" s="1387">
        <f t="shared" si="68"/>
        <v>0</v>
      </c>
      <c r="AI103" s="1387">
        <f t="shared" si="69"/>
        <v>0</v>
      </c>
      <c r="AJ103" s="1387">
        <f t="shared" si="70"/>
        <v>0</v>
      </c>
      <c r="AK103" s="1387">
        <f t="shared" si="71"/>
        <v>0</v>
      </c>
      <c r="AL103" s="1387">
        <f t="shared" si="72"/>
        <v>0</v>
      </c>
      <c r="AM103" s="1387"/>
    </row>
    <row r="104" spans="1:39" s="111" customFormat="1" ht="16.5" outlineLevel="1" x14ac:dyDescent="0.3">
      <c r="A104" s="108"/>
      <c r="B104" s="108"/>
      <c r="C104" s="205" t="s">
        <v>74</v>
      </c>
      <c r="D104" s="99" t="s">
        <v>3109</v>
      </c>
      <c r="E104" s="98"/>
      <c r="F104" s="1387">
        <f>-Ввод!G310/VLOOKUP(Баланс!$B$7,Баланс!$A$1:$B$3,2,0)</f>
        <v>0</v>
      </c>
      <c r="G104" s="1387">
        <f>-Ввод!H310/VLOOKUP(Баланс!$B$7,Баланс!$A$1:$B$3,2,0)</f>
        <v>0</v>
      </c>
      <c r="H104" s="1387">
        <f>-Ввод!I310/VLOOKUP(Баланс!$B$7,Баланс!$A$1:$B$3,2,0)</f>
        <v>0</v>
      </c>
      <c r="I104" s="1387">
        <f>-Ввод!J310/VLOOKUP(Баланс!$B$7,Баланс!$A$1:$B$3,2,0)</f>
        <v>0</v>
      </c>
      <c r="J104" s="1387">
        <f>-Ввод!K310/VLOOKUP(Баланс!$B$7,Баланс!$A$1:$B$3,2,0)</f>
        <v>0</v>
      </c>
      <c r="K104" s="1387">
        <f>-Ввод!L310/VLOOKUP(Баланс!$B$7,Баланс!$A$1:$B$3,2,0)</f>
        <v>0</v>
      </c>
      <c r="L104" s="1387">
        <f>-Ввод!M310/VLOOKUP(Баланс!$B$7,Баланс!$A$1:$B$3,2,0)</f>
        <v>0</v>
      </c>
      <c r="M104" s="1387">
        <f>-Ввод!N310/VLOOKUP(Баланс!$B$7,Баланс!$A$1:$B$3,2,0)</f>
        <v>0</v>
      </c>
      <c r="N104" s="1387">
        <f>-Ввод!O310/VLOOKUP(Баланс!$B$7,Баланс!$A$1:$B$3,2,0)</f>
        <v>0</v>
      </c>
      <c r="O104" s="1387">
        <f>-Ввод!P310/VLOOKUP(Баланс!$B$7,Баланс!$A$1:$B$3,2,0)</f>
        <v>0</v>
      </c>
      <c r="P104" s="1402"/>
      <c r="Q104" s="171"/>
      <c r="R104" s="1681">
        <f t="shared" si="74"/>
        <v>0</v>
      </c>
      <c r="S104" s="1681">
        <f t="shared" si="57"/>
        <v>0</v>
      </c>
      <c r="T104" s="1681">
        <f t="shared" si="58"/>
        <v>0</v>
      </c>
      <c r="U104" s="1681">
        <f t="shared" si="59"/>
        <v>0</v>
      </c>
      <c r="V104" s="1681">
        <f t="shared" si="60"/>
        <v>0</v>
      </c>
      <c r="W104" s="1681">
        <f t="shared" si="61"/>
        <v>0</v>
      </c>
      <c r="X104" s="1681">
        <f t="shared" si="62"/>
        <v>0</v>
      </c>
      <c r="Y104" s="1681">
        <f t="shared" si="63"/>
        <v>0</v>
      </c>
      <c r="Z104" s="1681">
        <f t="shared" si="64"/>
        <v>0</v>
      </c>
      <c r="AA104" s="1681"/>
      <c r="AB104" s="110"/>
      <c r="AC104" s="469"/>
      <c r="AD104" s="1387">
        <f t="shared" si="75"/>
        <v>0</v>
      </c>
      <c r="AE104" s="1387">
        <f t="shared" si="65"/>
        <v>0</v>
      </c>
      <c r="AF104" s="1387">
        <f t="shared" si="66"/>
        <v>0</v>
      </c>
      <c r="AG104" s="1387">
        <f t="shared" si="67"/>
        <v>0</v>
      </c>
      <c r="AH104" s="1387">
        <f t="shared" si="68"/>
        <v>0</v>
      </c>
      <c r="AI104" s="1387">
        <f t="shared" si="69"/>
        <v>0</v>
      </c>
      <c r="AJ104" s="1387">
        <f t="shared" si="70"/>
        <v>0</v>
      </c>
      <c r="AK104" s="1387">
        <f t="shared" si="71"/>
        <v>0</v>
      </c>
      <c r="AL104" s="1387">
        <f t="shared" si="72"/>
        <v>0</v>
      </c>
      <c r="AM104" s="1387"/>
    </row>
    <row r="105" spans="1:39" s="111" customFormat="1" ht="16.5" outlineLevel="1" x14ac:dyDescent="0.3">
      <c r="A105" s="108"/>
      <c r="B105" s="108"/>
      <c r="C105" s="205" t="s">
        <v>74</v>
      </c>
      <c r="D105" s="99" t="s">
        <v>3111</v>
      </c>
      <c r="E105" s="98"/>
      <c r="F105" s="1387">
        <f>-Ввод!G311/VLOOKUP(Баланс!$B$7,Баланс!$A$1:$B$3,2,0)</f>
        <v>0</v>
      </c>
      <c r="G105" s="1387">
        <f>-Ввод!H311/VLOOKUP(Баланс!$B$7,Баланс!$A$1:$B$3,2,0)</f>
        <v>0</v>
      </c>
      <c r="H105" s="1387">
        <f>-Ввод!I311/VLOOKUP(Баланс!$B$7,Баланс!$A$1:$B$3,2,0)</f>
        <v>0</v>
      </c>
      <c r="I105" s="1387">
        <f>-Ввод!J311/VLOOKUP(Баланс!$B$7,Баланс!$A$1:$B$3,2,0)</f>
        <v>0</v>
      </c>
      <c r="J105" s="1387">
        <f>-Ввод!K311/VLOOKUP(Баланс!$B$7,Баланс!$A$1:$B$3,2,0)</f>
        <v>0</v>
      </c>
      <c r="K105" s="1387">
        <f>-Ввод!L311/VLOOKUP(Баланс!$B$7,Баланс!$A$1:$B$3,2,0)</f>
        <v>0</v>
      </c>
      <c r="L105" s="1387">
        <f>-Ввод!M311/VLOOKUP(Баланс!$B$7,Баланс!$A$1:$B$3,2,0)</f>
        <v>0</v>
      </c>
      <c r="M105" s="1387">
        <f>-Ввод!N311/VLOOKUP(Баланс!$B$7,Баланс!$A$1:$B$3,2,0)</f>
        <v>0</v>
      </c>
      <c r="N105" s="1387">
        <f>-Ввод!O311/VLOOKUP(Баланс!$B$7,Баланс!$A$1:$B$3,2,0)</f>
        <v>0</v>
      </c>
      <c r="O105" s="1387">
        <f>-Ввод!P311/VLOOKUP(Баланс!$B$7,Баланс!$A$1:$B$3,2,0)</f>
        <v>0</v>
      </c>
      <c r="P105" s="1402"/>
      <c r="Q105" s="171"/>
      <c r="R105" s="1681">
        <f t="shared" si="74"/>
        <v>0</v>
      </c>
      <c r="S105" s="1681">
        <f t="shared" si="57"/>
        <v>0</v>
      </c>
      <c r="T105" s="1681">
        <f t="shared" si="58"/>
        <v>0</v>
      </c>
      <c r="U105" s="1681">
        <f t="shared" si="59"/>
        <v>0</v>
      </c>
      <c r="V105" s="1681">
        <f t="shared" si="60"/>
        <v>0</v>
      </c>
      <c r="W105" s="1681">
        <f t="shared" si="61"/>
        <v>0</v>
      </c>
      <c r="X105" s="1681">
        <f t="shared" si="62"/>
        <v>0</v>
      </c>
      <c r="Y105" s="1681">
        <f t="shared" si="63"/>
        <v>0</v>
      </c>
      <c r="Z105" s="1681">
        <f t="shared" si="64"/>
        <v>0</v>
      </c>
      <c r="AA105" s="1681"/>
      <c r="AB105" s="110"/>
      <c r="AC105" s="469"/>
      <c r="AD105" s="1387">
        <f t="shared" si="75"/>
        <v>0</v>
      </c>
      <c r="AE105" s="1387">
        <f t="shared" si="65"/>
        <v>0</v>
      </c>
      <c r="AF105" s="1387">
        <f t="shared" si="66"/>
        <v>0</v>
      </c>
      <c r="AG105" s="1387">
        <f t="shared" si="67"/>
        <v>0</v>
      </c>
      <c r="AH105" s="1387">
        <f t="shared" si="68"/>
        <v>0</v>
      </c>
      <c r="AI105" s="1387">
        <f t="shared" si="69"/>
        <v>0</v>
      </c>
      <c r="AJ105" s="1387">
        <f t="shared" si="70"/>
        <v>0</v>
      </c>
      <c r="AK105" s="1387">
        <f t="shared" si="71"/>
        <v>0</v>
      </c>
      <c r="AL105" s="1387">
        <f t="shared" si="72"/>
        <v>0</v>
      </c>
      <c r="AM105" s="1387"/>
    </row>
    <row r="106" spans="1:39" s="111" customFormat="1" ht="16.5" outlineLevel="1" x14ac:dyDescent="0.3">
      <c r="A106" s="108"/>
      <c r="B106" s="108"/>
      <c r="C106" s="205" t="s">
        <v>74</v>
      </c>
      <c r="D106" s="99" t="s">
        <v>3292</v>
      </c>
      <c r="E106" s="98"/>
      <c r="F106" s="1387">
        <f>-Ввод!G312/VLOOKUP(Баланс!$B$7,Баланс!$A$1:$B$3,2,0)</f>
        <v>-0.65542999999999996</v>
      </c>
      <c r="G106" s="1387">
        <f>-Ввод!H312/VLOOKUP(Баланс!$B$7,Баланс!$A$1:$B$3,2,0)</f>
        <v>-0.18373100000000001</v>
      </c>
      <c r="H106" s="1387">
        <f>-Ввод!I312/VLOOKUP(Баланс!$B$7,Баланс!$A$1:$B$3,2,0)</f>
        <v>0</v>
      </c>
      <c r="I106" s="1387">
        <f>-Ввод!J312/VLOOKUP(Баланс!$B$7,Баланс!$A$1:$B$3,2,0)</f>
        <v>0</v>
      </c>
      <c r="J106" s="1387">
        <f>-Ввод!K312/VLOOKUP(Баланс!$B$7,Баланс!$A$1:$B$3,2,0)</f>
        <v>0</v>
      </c>
      <c r="K106" s="1387">
        <f>-Ввод!L312/VLOOKUP(Баланс!$B$7,Баланс!$A$1:$B$3,2,0)</f>
        <v>0</v>
      </c>
      <c r="L106" s="1387">
        <f>-Ввод!M312/VLOOKUP(Баланс!$B$7,Баланс!$A$1:$B$3,2,0)</f>
        <v>0</v>
      </c>
      <c r="M106" s="1387">
        <f>-Ввод!N312/VLOOKUP(Баланс!$B$7,Баланс!$A$1:$B$3,2,0)</f>
        <v>0</v>
      </c>
      <c r="N106" s="1387">
        <f>-Ввод!O312/VLOOKUP(Баланс!$B$7,Баланс!$A$1:$B$3,2,0)</f>
        <v>0</v>
      </c>
      <c r="O106" s="1387">
        <f>-Ввод!P312/VLOOKUP(Баланс!$B$7,Баланс!$A$1:$B$3,2,0)</f>
        <v>0</v>
      </c>
      <c r="P106" s="1402"/>
      <c r="Q106" s="171"/>
      <c r="R106" s="1681">
        <f t="shared" si="74"/>
        <v>-9.3152686979541717E-3</v>
      </c>
      <c r="S106" s="1681">
        <f t="shared" si="57"/>
        <v>-2.3494664273522284E-3</v>
      </c>
      <c r="T106" s="1681">
        <f t="shared" si="58"/>
        <v>0</v>
      </c>
      <c r="U106" s="1681">
        <f t="shared" si="59"/>
        <v>0</v>
      </c>
      <c r="V106" s="1681">
        <f t="shared" si="60"/>
        <v>0</v>
      </c>
      <c r="W106" s="1681">
        <f t="shared" si="61"/>
        <v>0</v>
      </c>
      <c r="X106" s="1681">
        <f t="shared" si="62"/>
        <v>0</v>
      </c>
      <c r="Y106" s="1681">
        <f t="shared" si="63"/>
        <v>0</v>
      </c>
      <c r="Z106" s="1681">
        <f t="shared" si="64"/>
        <v>0</v>
      </c>
      <c r="AA106" s="1681"/>
      <c r="AB106" s="110"/>
      <c r="AC106" s="469"/>
      <c r="AD106" s="1387">
        <f t="shared" si="75"/>
        <v>0.47169899999999998</v>
      </c>
      <c r="AE106" s="1387">
        <f t="shared" si="65"/>
        <v>0.18373100000000001</v>
      </c>
      <c r="AF106" s="1387">
        <f t="shared" si="66"/>
        <v>0</v>
      </c>
      <c r="AG106" s="1387">
        <f t="shared" si="67"/>
        <v>0</v>
      </c>
      <c r="AH106" s="1387">
        <f t="shared" si="68"/>
        <v>0</v>
      </c>
      <c r="AI106" s="1387">
        <f t="shared" si="69"/>
        <v>0</v>
      </c>
      <c r="AJ106" s="1387">
        <f t="shared" si="70"/>
        <v>0</v>
      </c>
      <c r="AK106" s="1387">
        <f t="shared" si="71"/>
        <v>0</v>
      </c>
      <c r="AL106" s="1387">
        <f t="shared" si="72"/>
        <v>0</v>
      </c>
      <c r="AM106" s="1387"/>
    </row>
    <row r="107" spans="1:39" s="111" customFormat="1" ht="16.5" outlineLevel="1" x14ac:dyDescent="0.3">
      <c r="A107" s="108"/>
      <c r="B107" s="108"/>
      <c r="C107" s="205" t="s">
        <v>74</v>
      </c>
      <c r="D107" s="99" t="s">
        <v>235</v>
      </c>
      <c r="E107" s="98"/>
      <c r="F107" s="1387">
        <f>-Ввод!G319/VLOOKUP(Баланс!$B$7,Баланс!$A$1:$B$3,2,0)</f>
        <v>0</v>
      </c>
      <c r="G107" s="1387">
        <f>-Ввод!H319/VLOOKUP(Баланс!$B$7,Баланс!$A$1:$B$3,2,0)</f>
        <v>0</v>
      </c>
      <c r="H107" s="1387">
        <f>-Ввод!I319/VLOOKUP(Баланс!$B$7,Баланс!$A$1:$B$3,2,0)</f>
        <v>0</v>
      </c>
      <c r="I107" s="1387">
        <f>-Ввод!J319/VLOOKUP(Баланс!$B$7,Баланс!$A$1:$B$3,2,0)</f>
        <v>0</v>
      </c>
      <c r="J107" s="1387">
        <f>-Ввод!K319/VLOOKUP(Баланс!$B$7,Баланс!$A$1:$B$3,2,0)</f>
        <v>0</v>
      </c>
      <c r="K107" s="1387">
        <f>-Ввод!L319/VLOOKUP(Баланс!$B$7,Баланс!$A$1:$B$3,2,0)</f>
        <v>0</v>
      </c>
      <c r="L107" s="1387">
        <f>-Ввод!M319/VLOOKUP(Баланс!$B$7,Баланс!$A$1:$B$3,2,0)</f>
        <v>0</v>
      </c>
      <c r="M107" s="1387">
        <f>-Ввод!N319/VLOOKUP(Баланс!$B$7,Баланс!$A$1:$B$3,2,0)</f>
        <v>0</v>
      </c>
      <c r="N107" s="1387">
        <f>-Ввод!O319/VLOOKUP(Баланс!$B$7,Баланс!$A$1:$B$3,2,0)</f>
        <v>0</v>
      </c>
      <c r="O107" s="1387">
        <f>-Ввод!P319/VLOOKUP(Баланс!$B$7,Баланс!$A$1:$B$3,2,0)</f>
        <v>0</v>
      </c>
      <c r="P107" s="1402"/>
      <c r="Q107" s="171"/>
      <c r="R107" s="1681">
        <f t="shared" si="74"/>
        <v>0</v>
      </c>
      <c r="S107" s="1681">
        <f t="shared" si="57"/>
        <v>0</v>
      </c>
      <c r="T107" s="1681">
        <f t="shared" si="58"/>
        <v>0</v>
      </c>
      <c r="U107" s="1681">
        <f t="shared" si="59"/>
        <v>0</v>
      </c>
      <c r="V107" s="1681">
        <f t="shared" si="60"/>
        <v>0</v>
      </c>
      <c r="W107" s="1681">
        <f t="shared" si="61"/>
        <v>0</v>
      </c>
      <c r="X107" s="1681">
        <f t="shared" si="62"/>
        <v>0</v>
      </c>
      <c r="Y107" s="1681">
        <f t="shared" si="63"/>
        <v>0</v>
      </c>
      <c r="Z107" s="1681">
        <f t="shared" si="64"/>
        <v>0</v>
      </c>
      <c r="AA107" s="1681"/>
      <c r="AB107" s="110"/>
      <c r="AC107" s="469"/>
      <c r="AD107" s="1387">
        <f t="shared" si="75"/>
        <v>0</v>
      </c>
      <c r="AE107" s="1387">
        <f t="shared" si="65"/>
        <v>0</v>
      </c>
      <c r="AF107" s="1387">
        <f t="shared" si="66"/>
        <v>0</v>
      </c>
      <c r="AG107" s="1387">
        <f t="shared" si="67"/>
        <v>0</v>
      </c>
      <c r="AH107" s="1387">
        <f t="shared" si="68"/>
        <v>0</v>
      </c>
      <c r="AI107" s="1387">
        <f t="shared" si="69"/>
        <v>0</v>
      </c>
      <c r="AJ107" s="1387">
        <f t="shared" si="70"/>
        <v>0</v>
      </c>
      <c r="AK107" s="1387">
        <f t="shared" si="71"/>
        <v>0</v>
      </c>
      <c r="AL107" s="1387">
        <f t="shared" si="72"/>
        <v>0</v>
      </c>
      <c r="AM107" s="1387"/>
    </row>
    <row r="108" spans="1:39" s="103" customFormat="1" ht="17.25" outlineLevel="1" thickBot="1" x14ac:dyDescent="0.35">
      <c r="A108" s="108"/>
      <c r="B108" s="108"/>
      <c r="C108" s="205"/>
      <c r="D108" s="99" t="s">
        <v>3302</v>
      </c>
      <c r="E108" s="98"/>
      <c r="F108" s="1383">
        <f>((Ввод!G306-Ввод!G320)-(Ввод!G300+Ввод!G303+Ввод!G304-(Ввод!G308+Ввод!G309+Ввод!G310+Ввод!G311+Ввод!G312+Ввод!G319)))/VLOOKUP(Баланс!$B$7,Баланс!$A$1:$B$3,2,0)</f>
        <v>0</v>
      </c>
      <c r="G108" s="1383">
        <f>((Ввод!H306-Ввод!H320)-(Ввод!H300+Ввод!H303+Ввод!H304-(Ввод!H308+Ввод!H309+Ввод!H310+Ввод!H311+Ввод!H312+Ввод!H319)))/VLOOKUP(Баланс!$B$7,Баланс!$A$1:$B$3,2,0)</f>
        <v>0</v>
      </c>
      <c r="H108" s="1383">
        <f>((Ввод!I306-Ввод!I320)-(Ввод!I300+Ввод!I303+Ввод!I304-(Ввод!I308+Ввод!I309+Ввод!I310+Ввод!I311+Ввод!I312+Ввод!I319)))/VLOOKUP(Баланс!$B$7,Баланс!$A$1:$B$3,2,0)</f>
        <v>0</v>
      </c>
      <c r="I108" s="1383">
        <f>((Ввод!J306-Ввод!J320)-(Ввод!J300+Ввод!J303+Ввод!J304-(Ввод!J308+Ввод!J309+Ввод!J310+Ввод!J311+Ввод!J312+Ввод!J319)))/VLOOKUP(Баланс!$B$7,Баланс!$A$1:$B$3,2,0)</f>
        <v>0</v>
      </c>
      <c r="J108" s="1383">
        <f>((Ввод!K306-Ввод!K320)-(Ввод!K300+Ввод!K303+Ввод!K304-(Ввод!K308+Ввод!K309+Ввод!K310+Ввод!K311+Ввод!K312+Ввод!K319)))/VLOOKUP(Баланс!$B$7,Баланс!$A$1:$B$3,2,0)</f>
        <v>0</v>
      </c>
      <c r="K108" s="1383">
        <f>((Ввод!L306-Ввод!L320)-(Ввод!L300+Ввод!L303+Ввод!L304-(Ввод!L308+Ввод!L309+Ввод!L310+Ввод!L311+Ввод!L312+Ввод!L319)))/VLOOKUP(Баланс!$B$7,Баланс!$A$1:$B$3,2,0)</f>
        <v>0</v>
      </c>
      <c r="L108" s="1383">
        <f>((Ввод!M306-Ввод!M320)-(Ввод!M300+Ввод!M303+Ввод!M304-(Ввод!M308+Ввод!M309+Ввод!M310+Ввод!M311+Ввод!M312+Ввод!M319)))/VLOOKUP(Баланс!$B$7,Баланс!$A$1:$B$3,2,0)</f>
        <v>0</v>
      </c>
      <c r="M108" s="1383">
        <f>((Ввод!N306-Ввод!N320)-(Ввод!N300+Ввод!N303+Ввод!N304-(Ввод!N308+Ввод!N309+Ввод!N310+Ввод!N311+Ввод!N312+Ввод!N319)))/VLOOKUP(Баланс!$B$7,Баланс!$A$1:$B$3,2,0)</f>
        <v>0</v>
      </c>
      <c r="N108" s="1383">
        <f>((Ввод!O306-Ввод!O320)-(Ввод!O300+Ввод!O303+Ввод!O304-(Ввод!O308+Ввод!O309+Ввод!O310+Ввод!O311+Ввод!O312+Ввод!O319)))/VLOOKUP(Баланс!$B$7,Баланс!$A$1:$B$3,2,0)</f>
        <v>0</v>
      </c>
      <c r="O108" s="1383">
        <f>((Ввод!P306-Ввод!P320)-(Ввод!P300+Ввод!P303+Ввод!P304-(Ввод!P308+Ввод!P309+Ввод!P310+Ввод!P311+Ввод!P312+Ввод!P319)))/VLOOKUP(Баланс!$B$7,Баланс!$A$1:$B$3,2,0)</f>
        <v>0</v>
      </c>
      <c r="P108" s="104"/>
      <c r="Q108" s="104"/>
      <c r="R108" s="1681">
        <f t="shared" si="74"/>
        <v>0</v>
      </c>
      <c r="S108" s="1681">
        <f t="shared" si="57"/>
        <v>0</v>
      </c>
      <c r="T108" s="1681">
        <f t="shared" si="58"/>
        <v>0</v>
      </c>
      <c r="U108" s="1681">
        <f t="shared" si="59"/>
        <v>0</v>
      </c>
      <c r="V108" s="1681">
        <f t="shared" si="60"/>
        <v>0</v>
      </c>
      <c r="W108" s="1681">
        <f t="shared" si="61"/>
        <v>0</v>
      </c>
      <c r="X108" s="1681">
        <f t="shared" si="62"/>
        <v>0</v>
      </c>
      <c r="Y108" s="1681">
        <f t="shared" si="63"/>
        <v>0</v>
      </c>
      <c r="Z108" s="1681">
        <f t="shared" si="64"/>
        <v>0</v>
      </c>
      <c r="AA108" s="1681"/>
      <c r="AB108" s="104"/>
      <c r="AC108" s="1387"/>
      <c r="AD108" s="1387">
        <f t="shared" si="75"/>
        <v>0</v>
      </c>
      <c r="AE108" s="1387">
        <f t="shared" si="65"/>
        <v>0</v>
      </c>
      <c r="AF108" s="1387">
        <f t="shared" si="66"/>
        <v>0</v>
      </c>
      <c r="AG108" s="1387">
        <f t="shared" si="67"/>
        <v>0</v>
      </c>
      <c r="AH108" s="1387">
        <f t="shared" si="68"/>
        <v>0</v>
      </c>
      <c r="AI108" s="1387">
        <f t="shared" si="69"/>
        <v>0</v>
      </c>
      <c r="AJ108" s="1387">
        <f t="shared" si="70"/>
        <v>0</v>
      </c>
      <c r="AK108" s="1387">
        <f t="shared" si="71"/>
        <v>0</v>
      </c>
      <c r="AL108" s="1387">
        <f t="shared" si="72"/>
        <v>0</v>
      </c>
      <c r="AM108" s="1387"/>
    </row>
    <row r="109" spans="1:39" s="103" customFormat="1" ht="16.5" outlineLevel="1" x14ac:dyDescent="0.3">
      <c r="A109" s="106" t="s">
        <v>15</v>
      </c>
      <c r="B109" s="106" t="s">
        <v>79</v>
      </c>
      <c r="C109" s="106"/>
      <c r="D109" s="106"/>
      <c r="E109" s="106"/>
      <c r="F109" s="1379">
        <f>IF(SUM(F110:F120)&lt;0,0,SUM(F110:F120))</f>
        <v>28.730888999999998</v>
      </c>
      <c r="G109" s="1379">
        <f t="shared" ref="G109:O109" si="77">IF(SUM(G110:G120)&lt;0,0,SUM(G110:G120))</f>
        <v>22.662490000000002</v>
      </c>
      <c r="H109" s="1379">
        <f t="shared" si="77"/>
        <v>24.881671000000001</v>
      </c>
      <c r="I109" s="1379">
        <f t="shared" si="77"/>
        <v>15.918922999999999</v>
      </c>
      <c r="J109" s="1379">
        <f t="shared" si="77"/>
        <v>14.267208</v>
      </c>
      <c r="K109" s="1379">
        <f t="shared" si="77"/>
        <v>16.876770999999998</v>
      </c>
      <c r="L109" s="1379">
        <f t="shared" si="77"/>
        <v>14.200777</v>
      </c>
      <c r="M109" s="1379">
        <f t="shared" si="77"/>
        <v>32.863078000000002</v>
      </c>
      <c r="N109" s="1379">
        <f t="shared" si="77"/>
        <v>18.795461</v>
      </c>
      <c r="O109" s="1379">
        <f t="shared" si="77"/>
        <v>0</v>
      </c>
      <c r="P109" s="104"/>
      <c r="Q109" s="104"/>
      <c r="R109" s="1679">
        <f t="shared" si="74"/>
        <v>0.40833643709640366</v>
      </c>
      <c r="S109" s="1679">
        <f t="shared" si="57"/>
        <v>0.28979736361967012</v>
      </c>
      <c r="T109" s="1679">
        <f t="shared" si="58"/>
        <v>0.31014204573854187</v>
      </c>
      <c r="U109" s="1679">
        <f t="shared" si="59"/>
        <v>0.20347792611083712</v>
      </c>
      <c r="V109" s="1679">
        <f t="shared" si="60"/>
        <v>0.19013611612390993</v>
      </c>
      <c r="W109" s="1679">
        <f t="shared" si="61"/>
        <v>0.22141497436788751</v>
      </c>
      <c r="X109" s="1679">
        <f t="shared" si="62"/>
        <v>0.19058142567290889</v>
      </c>
      <c r="Y109" s="1679">
        <f t="shared" si="63"/>
        <v>0.3421207446523552</v>
      </c>
      <c r="Z109" s="1679">
        <f t="shared" si="64"/>
        <v>0.18541305132826524</v>
      </c>
      <c r="AA109" s="1679"/>
      <c r="AB109" s="104"/>
      <c r="AC109" s="105"/>
      <c r="AD109" s="1693">
        <f t="shared" si="75"/>
        <v>-6.0683989999999959</v>
      </c>
      <c r="AE109" s="1693">
        <f t="shared" si="65"/>
        <v>2.219180999999999</v>
      </c>
      <c r="AF109" s="1693">
        <f t="shared" si="66"/>
        <v>-8.9627480000000013</v>
      </c>
      <c r="AG109" s="1693">
        <f t="shared" si="67"/>
        <v>-1.6517149999999994</v>
      </c>
      <c r="AH109" s="1693">
        <f t="shared" si="68"/>
        <v>2.6095629999999979</v>
      </c>
      <c r="AI109" s="1693">
        <f t="shared" si="69"/>
        <v>-2.6759939999999975</v>
      </c>
      <c r="AJ109" s="1693">
        <f t="shared" si="70"/>
        <v>18.662300999999999</v>
      </c>
      <c r="AK109" s="1693">
        <f t="shared" si="71"/>
        <v>-14.067617000000002</v>
      </c>
      <c r="AL109" s="1693">
        <f t="shared" si="72"/>
        <v>-18.795461</v>
      </c>
      <c r="AM109" s="1693"/>
    </row>
    <row r="110" spans="1:39" s="111" customFormat="1" ht="16.5" outlineLevel="1" x14ac:dyDescent="0.3">
      <c r="A110" s="108"/>
      <c r="B110" s="108"/>
      <c r="C110" s="98"/>
      <c r="D110" s="99" t="s">
        <v>3123</v>
      </c>
      <c r="E110" s="98"/>
      <c r="F110" s="1387">
        <f>Ввод!G324/VLOOKUP(Баланс!$B$7,Баланс!$A$1:$B$3,2,0)</f>
        <v>18.797896999999999</v>
      </c>
      <c r="G110" s="1387">
        <f>Ввод!H324/VLOOKUP(Баланс!$B$7,Баланс!$A$1:$B$3,2,0)</f>
        <v>19.234106000000001</v>
      </c>
      <c r="H110" s="1387">
        <f>Ввод!I324/VLOOKUP(Баланс!$B$7,Баланс!$A$1:$B$3,2,0)</f>
        <v>20.835352</v>
      </c>
      <c r="I110" s="1387">
        <f>Ввод!J324/VLOOKUP(Баланс!$B$7,Баланс!$A$1:$B$3,2,0)</f>
        <v>12.837465</v>
      </c>
      <c r="J110" s="1387">
        <f>Ввод!K324/VLOOKUP(Баланс!$B$7,Баланс!$A$1:$B$3,2,0)</f>
        <v>11.751655</v>
      </c>
      <c r="K110" s="1387">
        <f>Ввод!L324/VLOOKUP(Баланс!$B$7,Баланс!$A$1:$B$3,2,0)</f>
        <v>15.745009</v>
      </c>
      <c r="L110" s="1387">
        <f>Ввод!M324/VLOOKUP(Баланс!$B$7,Баланс!$A$1:$B$3,2,0)</f>
        <v>14.200777</v>
      </c>
      <c r="M110" s="1387">
        <f>Ввод!N324/VLOOKUP(Баланс!$B$7,Баланс!$A$1:$B$3,2,0)</f>
        <v>32.863078000000002</v>
      </c>
      <c r="N110" s="1387">
        <f>Ввод!O324/VLOOKUP(Баланс!$B$7,Баланс!$A$1:$B$3,2,0)</f>
        <v>18.795461</v>
      </c>
      <c r="O110" s="1387">
        <f>Ввод!P324/VLOOKUP(Баланс!$B$7,Баланс!$A$1:$B$3,2,0)</f>
        <v>0</v>
      </c>
      <c r="P110" s="1402"/>
      <c r="Q110" s="171"/>
      <c r="R110" s="1681">
        <f t="shared" si="74"/>
        <v>0.26716424562724722</v>
      </c>
      <c r="S110" s="1681">
        <f t="shared" si="57"/>
        <v>0.24595678631877071</v>
      </c>
      <c r="T110" s="1681">
        <f t="shared" si="58"/>
        <v>0.2597059776637437</v>
      </c>
      <c r="U110" s="1681">
        <f t="shared" si="59"/>
        <v>0.16409029396778022</v>
      </c>
      <c r="V110" s="1681">
        <f t="shared" si="60"/>
        <v>0.15661186405413915</v>
      </c>
      <c r="W110" s="1681">
        <f t="shared" si="61"/>
        <v>0.20656681092355633</v>
      </c>
      <c r="X110" s="1681">
        <f t="shared" si="62"/>
        <v>0.19058142567290889</v>
      </c>
      <c r="Y110" s="1681">
        <f t="shared" si="63"/>
        <v>0.3421207446523552</v>
      </c>
      <c r="Z110" s="1681">
        <f t="shared" si="64"/>
        <v>0.18541305132826524</v>
      </c>
      <c r="AA110" s="1681"/>
      <c r="AB110" s="110"/>
      <c r="AC110" s="469"/>
      <c r="AD110" s="1387">
        <f t="shared" si="75"/>
        <v>0.43620900000000162</v>
      </c>
      <c r="AE110" s="1387">
        <f t="shared" si="65"/>
        <v>1.6012459999999997</v>
      </c>
      <c r="AF110" s="1387">
        <f t="shared" si="66"/>
        <v>-7.9978870000000004</v>
      </c>
      <c r="AG110" s="1387">
        <f t="shared" si="67"/>
        <v>-1.0858100000000004</v>
      </c>
      <c r="AH110" s="1387">
        <f t="shared" si="68"/>
        <v>3.9933540000000001</v>
      </c>
      <c r="AI110" s="1387">
        <f t="shared" si="69"/>
        <v>-1.5442319999999992</v>
      </c>
      <c r="AJ110" s="1387">
        <f t="shared" si="70"/>
        <v>18.662300999999999</v>
      </c>
      <c r="AK110" s="1387">
        <f t="shared" si="71"/>
        <v>-14.067617000000002</v>
      </c>
      <c r="AL110" s="1387">
        <f t="shared" si="72"/>
        <v>-18.795461</v>
      </c>
      <c r="AM110" s="1387"/>
    </row>
    <row r="111" spans="1:39" s="111" customFormat="1" ht="16.5" outlineLevel="1" x14ac:dyDescent="0.3">
      <c r="A111" s="108"/>
      <c r="B111" s="108"/>
      <c r="C111" s="98"/>
      <c r="D111" s="99" t="s">
        <v>3125</v>
      </c>
      <c r="E111" s="98"/>
      <c r="F111" s="1387">
        <f>Ввод!G325/VLOOKUP(Баланс!$B$7,Баланс!$A$1:$B$3,2,0)</f>
        <v>10.052175999999999</v>
      </c>
      <c r="G111" s="1387">
        <f>Ввод!H325/VLOOKUP(Баланс!$B$7,Баланс!$A$1:$B$3,2,0)</f>
        <v>3.4283839999999999</v>
      </c>
      <c r="H111" s="1387">
        <f>Ввод!I325/VLOOKUP(Баланс!$B$7,Баланс!$A$1:$B$3,2,0)</f>
        <v>3.9327830000000001</v>
      </c>
      <c r="I111" s="1387">
        <f>Ввод!J325/VLOOKUP(Баланс!$B$7,Баланс!$A$1:$B$3,2,0)</f>
        <v>3.081458</v>
      </c>
      <c r="J111" s="1387">
        <f>Ввод!K325/VLOOKUP(Баланс!$B$7,Баланс!$A$1:$B$3,2,0)</f>
        <v>2.5155530000000002</v>
      </c>
      <c r="K111" s="1387">
        <f>Ввод!L325/VLOOKUP(Баланс!$B$7,Баланс!$A$1:$B$3,2,0)</f>
        <v>1.1317619999999999</v>
      </c>
      <c r="L111" s="1387">
        <f>Ввод!M325/VLOOKUP(Баланс!$B$7,Баланс!$A$1:$B$3,2,0)</f>
        <v>0</v>
      </c>
      <c r="M111" s="1387">
        <f>Ввод!N325/VLOOKUP(Баланс!$B$7,Баланс!$A$1:$B$3,2,0)</f>
        <v>0</v>
      </c>
      <c r="N111" s="1387">
        <f>Ввод!O325/VLOOKUP(Баланс!$B$7,Баланс!$A$1:$B$3,2,0)</f>
        <v>0</v>
      </c>
      <c r="O111" s="1387">
        <f>Ввод!P325/VLOOKUP(Баланс!$B$7,Баланс!$A$1:$B$3,2,0)</f>
        <v>0</v>
      </c>
      <c r="P111" s="1402"/>
      <c r="Q111" s="171"/>
      <c r="R111" s="1681">
        <f t="shared" si="74"/>
        <v>0.14286608858173441</v>
      </c>
      <c r="S111" s="1681">
        <f t="shared" si="57"/>
        <v>4.3840577300899373E-2</v>
      </c>
      <c r="T111" s="1681">
        <f t="shared" si="58"/>
        <v>4.9020878262788697E-2</v>
      </c>
      <c r="U111" s="1681">
        <f t="shared" si="59"/>
        <v>3.9387632143056912E-2</v>
      </c>
      <c r="V111" s="1681">
        <f t="shared" si="60"/>
        <v>3.3524252069770763E-2</v>
      </c>
      <c r="W111" s="1681">
        <f t="shared" si="61"/>
        <v>1.4848163444331212E-2</v>
      </c>
      <c r="X111" s="1681">
        <f t="shared" si="62"/>
        <v>0</v>
      </c>
      <c r="Y111" s="1681">
        <f t="shared" si="63"/>
        <v>0</v>
      </c>
      <c r="Z111" s="1681">
        <f t="shared" si="64"/>
        <v>0</v>
      </c>
      <c r="AA111" s="1681"/>
      <c r="AB111" s="110"/>
      <c r="AC111" s="469"/>
      <c r="AD111" s="1387">
        <f t="shared" si="75"/>
        <v>-6.6237919999999999</v>
      </c>
      <c r="AE111" s="1387">
        <f t="shared" si="65"/>
        <v>0.50439900000000026</v>
      </c>
      <c r="AF111" s="1387">
        <f t="shared" si="66"/>
        <v>-0.85132500000000011</v>
      </c>
      <c r="AG111" s="1387">
        <f t="shared" si="67"/>
        <v>-0.56590499999999988</v>
      </c>
      <c r="AH111" s="1387">
        <f t="shared" si="68"/>
        <v>-1.3837910000000002</v>
      </c>
      <c r="AI111" s="1387">
        <f t="shared" si="69"/>
        <v>-1.1317619999999999</v>
      </c>
      <c r="AJ111" s="1387">
        <f t="shared" si="70"/>
        <v>0</v>
      </c>
      <c r="AK111" s="1387">
        <f t="shared" si="71"/>
        <v>0</v>
      </c>
      <c r="AL111" s="1387">
        <f t="shared" si="72"/>
        <v>0</v>
      </c>
      <c r="AM111" s="1387"/>
    </row>
    <row r="112" spans="1:39" s="111" customFormat="1" ht="16.5" outlineLevel="1" x14ac:dyDescent="0.3">
      <c r="A112" s="108"/>
      <c r="B112" s="108"/>
      <c r="C112" s="98"/>
      <c r="D112" s="99" t="s">
        <v>3127</v>
      </c>
      <c r="E112" s="98"/>
      <c r="F112" s="1387">
        <f>Ввод!G326/VLOOKUP(Баланс!$B$7,Баланс!$A$1:$B$3,2,0)</f>
        <v>0</v>
      </c>
      <c r="G112" s="1387">
        <f>Ввод!H326/VLOOKUP(Баланс!$B$7,Баланс!$A$1:$B$3,2,0)</f>
        <v>0</v>
      </c>
      <c r="H112" s="1387">
        <f>Ввод!I326/VLOOKUP(Баланс!$B$7,Баланс!$A$1:$B$3,2,0)</f>
        <v>0.113536</v>
      </c>
      <c r="I112" s="1387">
        <f>Ввод!J326/VLOOKUP(Баланс!$B$7,Баланс!$A$1:$B$3,2,0)</f>
        <v>0</v>
      </c>
      <c r="J112" s="1387">
        <f>Ввод!K326/VLOOKUP(Баланс!$B$7,Баланс!$A$1:$B$3,2,0)</f>
        <v>0</v>
      </c>
      <c r="K112" s="1387">
        <f>Ввод!L326/VLOOKUP(Баланс!$B$7,Баланс!$A$1:$B$3,2,0)</f>
        <v>0</v>
      </c>
      <c r="L112" s="1387">
        <f>Ввод!M326/VLOOKUP(Баланс!$B$7,Баланс!$A$1:$B$3,2,0)</f>
        <v>0</v>
      </c>
      <c r="M112" s="1387">
        <f>Ввод!N326/VLOOKUP(Баланс!$B$7,Баланс!$A$1:$B$3,2,0)</f>
        <v>0</v>
      </c>
      <c r="N112" s="1387">
        <f>Ввод!O326/VLOOKUP(Баланс!$B$7,Баланс!$A$1:$B$3,2,0)</f>
        <v>0</v>
      </c>
      <c r="O112" s="1387">
        <f>Ввод!P326/VLOOKUP(Баланс!$B$7,Баланс!$A$1:$B$3,2,0)</f>
        <v>0</v>
      </c>
      <c r="P112" s="1402"/>
      <c r="Q112" s="171"/>
      <c r="R112" s="1681">
        <f t="shared" si="74"/>
        <v>0</v>
      </c>
      <c r="S112" s="1681">
        <f t="shared" si="57"/>
        <v>0</v>
      </c>
      <c r="T112" s="1681">
        <f t="shared" si="58"/>
        <v>1.4151898120094541E-3</v>
      </c>
      <c r="U112" s="1681">
        <f t="shared" si="59"/>
        <v>0</v>
      </c>
      <c r="V112" s="1681">
        <f t="shared" si="60"/>
        <v>0</v>
      </c>
      <c r="W112" s="1681">
        <f t="shared" si="61"/>
        <v>0</v>
      </c>
      <c r="X112" s="1681">
        <f t="shared" si="62"/>
        <v>0</v>
      </c>
      <c r="Y112" s="1681">
        <f t="shared" si="63"/>
        <v>0</v>
      </c>
      <c r="Z112" s="1681">
        <f t="shared" si="64"/>
        <v>0</v>
      </c>
      <c r="AA112" s="1681"/>
      <c r="AB112" s="110"/>
      <c r="AC112" s="469"/>
      <c r="AD112" s="1387">
        <f t="shared" si="75"/>
        <v>0</v>
      </c>
      <c r="AE112" s="1387">
        <f t="shared" si="65"/>
        <v>0.113536</v>
      </c>
      <c r="AF112" s="1387">
        <f t="shared" si="66"/>
        <v>-0.113536</v>
      </c>
      <c r="AG112" s="1387">
        <f t="shared" si="67"/>
        <v>0</v>
      </c>
      <c r="AH112" s="1387">
        <f t="shared" si="68"/>
        <v>0</v>
      </c>
      <c r="AI112" s="1387">
        <f t="shared" si="69"/>
        <v>0</v>
      </c>
      <c r="AJ112" s="1387">
        <f t="shared" si="70"/>
        <v>0</v>
      </c>
      <c r="AK112" s="1387">
        <f t="shared" si="71"/>
        <v>0</v>
      </c>
      <c r="AL112" s="1387">
        <f t="shared" si="72"/>
        <v>0</v>
      </c>
      <c r="AM112" s="1387"/>
    </row>
    <row r="113" spans="1:39" s="111" customFormat="1" ht="16.5" outlineLevel="1" x14ac:dyDescent="0.3">
      <c r="A113" s="108"/>
      <c r="B113" s="108"/>
      <c r="C113" s="98"/>
      <c r="D113" s="99" t="s">
        <v>3131</v>
      </c>
      <c r="E113" s="98"/>
      <c r="F113" s="1387">
        <f>Ввод!G328/VLOOKUP(Баланс!$B$7,Баланс!$A$1:$B$3,2,0)</f>
        <v>0</v>
      </c>
      <c r="G113" s="1387">
        <f>Ввод!H328/VLOOKUP(Баланс!$B$7,Баланс!$A$1:$B$3,2,0)</f>
        <v>0</v>
      </c>
      <c r="H113" s="1387">
        <f>Ввод!I328/VLOOKUP(Баланс!$B$7,Баланс!$A$1:$B$3,2,0)</f>
        <v>0</v>
      </c>
      <c r="I113" s="1387">
        <f>Ввод!J328/VLOOKUP(Баланс!$B$7,Баланс!$A$1:$B$3,2,0)</f>
        <v>0</v>
      </c>
      <c r="J113" s="1387">
        <f>Ввод!K328/VLOOKUP(Баланс!$B$7,Баланс!$A$1:$B$3,2,0)</f>
        <v>0</v>
      </c>
      <c r="K113" s="1387">
        <f>Ввод!L328/VLOOKUP(Баланс!$B$7,Баланс!$A$1:$B$3,2,0)</f>
        <v>0</v>
      </c>
      <c r="L113" s="1387">
        <f>Ввод!M328/VLOOKUP(Баланс!$B$7,Баланс!$A$1:$B$3,2,0)</f>
        <v>0</v>
      </c>
      <c r="M113" s="1387">
        <f>Ввод!N328/VLOOKUP(Баланс!$B$7,Баланс!$A$1:$B$3,2,0)</f>
        <v>0</v>
      </c>
      <c r="N113" s="1387">
        <f>Ввод!O328/VLOOKUP(Баланс!$B$7,Баланс!$A$1:$B$3,2,0)</f>
        <v>0</v>
      </c>
      <c r="O113" s="1387">
        <f>Ввод!P328/VLOOKUP(Баланс!$B$7,Баланс!$A$1:$B$3,2,0)</f>
        <v>0</v>
      </c>
      <c r="P113" s="1402"/>
      <c r="Q113" s="171"/>
      <c r="R113" s="1681">
        <f t="shared" si="74"/>
        <v>0</v>
      </c>
      <c r="S113" s="1681">
        <f t="shared" si="57"/>
        <v>0</v>
      </c>
      <c r="T113" s="1681">
        <f t="shared" si="58"/>
        <v>0</v>
      </c>
      <c r="U113" s="1681">
        <f t="shared" si="59"/>
        <v>0</v>
      </c>
      <c r="V113" s="1681">
        <f t="shared" si="60"/>
        <v>0</v>
      </c>
      <c r="W113" s="1681">
        <f t="shared" si="61"/>
        <v>0</v>
      </c>
      <c r="X113" s="1681">
        <f t="shared" si="62"/>
        <v>0</v>
      </c>
      <c r="Y113" s="1681">
        <f t="shared" si="63"/>
        <v>0</v>
      </c>
      <c r="Z113" s="1681">
        <f t="shared" si="64"/>
        <v>0</v>
      </c>
      <c r="AA113" s="1681"/>
      <c r="AB113" s="110"/>
      <c r="AC113" s="469"/>
      <c r="AD113" s="1387">
        <f t="shared" si="75"/>
        <v>0</v>
      </c>
      <c r="AE113" s="1387">
        <f t="shared" si="65"/>
        <v>0</v>
      </c>
      <c r="AF113" s="1387">
        <f t="shared" si="66"/>
        <v>0</v>
      </c>
      <c r="AG113" s="1387">
        <f t="shared" si="67"/>
        <v>0</v>
      </c>
      <c r="AH113" s="1387">
        <f t="shared" si="68"/>
        <v>0</v>
      </c>
      <c r="AI113" s="1387">
        <f t="shared" si="69"/>
        <v>0</v>
      </c>
      <c r="AJ113" s="1387">
        <f t="shared" si="70"/>
        <v>0</v>
      </c>
      <c r="AK113" s="1387">
        <f t="shared" si="71"/>
        <v>0</v>
      </c>
      <c r="AL113" s="1387">
        <f t="shared" si="72"/>
        <v>0</v>
      </c>
      <c r="AM113" s="1387"/>
    </row>
    <row r="114" spans="1:39" s="111" customFormat="1" ht="16.5" outlineLevel="1" x14ac:dyDescent="0.3">
      <c r="A114" s="108"/>
      <c r="B114" s="108"/>
      <c r="C114" s="98"/>
      <c r="D114" s="204" t="s">
        <v>265</v>
      </c>
      <c r="E114" s="98"/>
      <c r="F114" s="1387"/>
      <c r="G114" s="1387"/>
      <c r="H114" s="1387"/>
      <c r="I114" s="1387"/>
      <c r="J114" s="1387"/>
      <c r="K114" s="1387"/>
      <c r="L114" s="1387"/>
      <c r="M114" s="1387"/>
      <c r="N114" s="1387"/>
      <c r="O114" s="1387"/>
      <c r="P114" s="1402"/>
      <c r="Q114" s="171"/>
      <c r="R114" s="1681">
        <f t="shared" si="74"/>
        <v>0</v>
      </c>
      <c r="S114" s="1681">
        <f t="shared" si="57"/>
        <v>0</v>
      </c>
      <c r="T114" s="1681">
        <f t="shared" si="58"/>
        <v>0</v>
      </c>
      <c r="U114" s="1681">
        <f t="shared" si="59"/>
        <v>0</v>
      </c>
      <c r="V114" s="1681">
        <f t="shared" si="60"/>
        <v>0</v>
      </c>
      <c r="W114" s="1681">
        <f t="shared" si="61"/>
        <v>0</v>
      </c>
      <c r="X114" s="1681">
        <f t="shared" si="62"/>
        <v>0</v>
      </c>
      <c r="Y114" s="1681">
        <f t="shared" si="63"/>
        <v>0</v>
      </c>
      <c r="Z114" s="1681">
        <f t="shared" si="64"/>
        <v>0</v>
      </c>
      <c r="AA114" s="1681"/>
      <c r="AB114" s="110"/>
      <c r="AC114" s="469"/>
      <c r="AD114" s="1387">
        <f t="shared" si="75"/>
        <v>0</v>
      </c>
      <c r="AE114" s="1387">
        <f t="shared" si="65"/>
        <v>0</v>
      </c>
      <c r="AF114" s="1387">
        <f t="shared" si="66"/>
        <v>0</v>
      </c>
      <c r="AG114" s="1387">
        <f t="shared" si="67"/>
        <v>0</v>
      </c>
      <c r="AH114" s="1387">
        <f t="shared" si="68"/>
        <v>0</v>
      </c>
      <c r="AI114" s="1387">
        <f t="shared" si="69"/>
        <v>0</v>
      </c>
      <c r="AJ114" s="1387">
        <f t="shared" si="70"/>
        <v>0</v>
      </c>
      <c r="AK114" s="1387">
        <f t="shared" si="71"/>
        <v>0</v>
      </c>
      <c r="AL114" s="1387">
        <f t="shared" si="72"/>
        <v>0</v>
      </c>
      <c r="AM114" s="1387"/>
    </row>
    <row r="115" spans="1:39" s="111" customFormat="1" ht="16.5" outlineLevel="1" x14ac:dyDescent="0.3">
      <c r="A115" s="108"/>
      <c r="B115" s="108"/>
      <c r="C115" s="205" t="s">
        <v>74</v>
      </c>
      <c r="D115" s="99" t="s">
        <v>3136</v>
      </c>
      <c r="E115" s="98"/>
      <c r="F115" s="1387">
        <f>-Ввод!G331/VLOOKUP(Баланс!$B$7,Баланс!$A$1:$B$3,2,0)</f>
        <v>0</v>
      </c>
      <c r="G115" s="1387">
        <f>-Ввод!H331/VLOOKUP(Баланс!$B$7,Баланс!$A$1:$B$3,2,0)</f>
        <v>0</v>
      </c>
      <c r="H115" s="1387">
        <f>-Ввод!I331/VLOOKUP(Баланс!$B$7,Баланс!$A$1:$B$3,2,0)</f>
        <v>0</v>
      </c>
      <c r="I115" s="1387">
        <f>-Ввод!J331/VLOOKUP(Баланс!$B$7,Баланс!$A$1:$B$3,2,0)</f>
        <v>0</v>
      </c>
      <c r="J115" s="1387">
        <f>-Ввод!K331/VLOOKUP(Баланс!$B$7,Баланс!$A$1:$B$3,2,0)</f>
        <v>0</v>
      </c>
      <c r="K115" s="1387">
        <f>-Ввод!L331/VLOOKUP(Баланс!$B$7,Баланс!$A$1:$B$3,2,0)</f>
        <v>0</v>
      </c>
      <c r="L115" s="1387">
        <f>-Ввод!M331/VLOOKUP(Баланс!$B$7,Баланс!$A$1:$B$3,2,0)</f>
        <v>0</v>
      </c>
      <c r="M115" s="1387">
        <f>-Ввод!N331/VLOOKUP(Баланс!$B$7,Баланс!$A$1:$B$3,2,0)</f>
        <v>0</v>
      </c>
      <c r="N115" s="1387">
        <f>-Ввод!O331/VLOOKUP(Баланс!$B$7,Баланс!$A$1:$B$3,2,0)</f>
        <v>0</v>
      </c>
      <c r="O115" s="1387">
        <f>-Ввод!P331/VLOOKUP(Баланс!$B$7,Баланс!$A$1:$B$3,2,0)</f>
        <v>0</v>
      </c>
      <c r="P115" s="1402"/>
      <c r="Q115" s="171"/>
      <c r="R115" s="1681">
        <f t="shared" si="74"/>
        <v>0</v>
      </c>
      <c r="S115" s="1681">
        <f t="shared" si="57"/>
        <v>0</v>
      </c>
      <c r="T115" s="1681">
        <f t="shared" si="58"/>
        <v>0</v>
      </c>
      <c r="U115" s="1681">
        <f t="shared" si="59"/>
        <v>0</v>
      </c>
      <c r="V115" s="1681">
        <f t="shared" si="60"/>
        <v>0</v>
      </c>
      <c r="W115" s="1681">
        <f t="shared" si="61"/>
        <v>0</v>
      </c>
      <c r="X115" s="1681">
        <f t="shared" si="62"/>
        <v>0</v>
      </c>
      <c r="Y115" s="1681">
        <f t="shared" si="63"/>
        <v>0</v>
      </c>
      <c r="Z115" s="1681">
        <f t="shared" si="64"/>
        <v>0</v>
      </c>
      <c r="AA115" s="1681"/>
      <c r="AB115" s="110"/>
      <c r="AC115" s="469"/>
      <c r="AD115" s="1387">
        <f t="shared" si="75"/>
        <v>0</v>
      </c>
      <c r="AE115" s="1387">
        <f t="shared" si="65"/>
        <v>0</v>
      </c>
      <c r="AF115" s="1387">
        <f t="shared" si="66"/>
        <v>0</v>
      </c>
      <c r="AG115" s="1387">
        <f t="shared" si="67"/>
        <v>0</v>
      </c>
      <c r="AH115" s="1387">
        <f t="shared" si="68"/>
        <v>0</v>
      </c>
      <c r="AI115" s="1387">
        <f t="shared" si="69"/>
        <v>0</v>
      </c>
      <c r="AJ115" s="1387">
        <f t="shared" si="70"/>
        <v>0</v>
      </c>
      <c r="AK115" s="1387">
        <f t="shared" si="71"/>
        <v>0</v>
      </c>
      <c r="AL115" s="1387">
        <f t="shared" si="72"/>
        <v>0</v>
      </c>
      <c r="AM115" s="1387"/>
    </row>
    <row r="116" spans="1:39" s="111" customFormat="1" ht="16.5" outlineLevel="1" x14ac:dyDescent="0.3">
      <c r="A116" s="108"/>
      <c r="B116" s="108"/>
      <c r="C116" s="205" t="s">
        <v>74</v>
      </c>
      <c r="D116" s="99" t="s">
        <v>3138</v>
      </c>
      <c r="E116" s="98"/>
      <c r="F116" s="1387">
        <f>-Ввод!G332/VLOOKUP(Баланс!$B$7,Баланс!$A$1:$B$3,2,0)</f>
        <v>0</v>
      </c>
      <c r="G116" s="1387">
        <f>-Ввод!H332/VLOOKUP(Баланс!$B$7,Баланс!$A$1:$B$3,2,0)</f>
        <v>0</v>
      </c>
      <c r="H116" s="1387">
        <f>-Ввод!I332/VLOOKUP(Баланс!$B$7,Баланс!$A$1:$B$3,2,0)</f>
        <v>0</v>
      </c>
      <c r="I116" s="1387">
        <f>-Ввод!J332/VLOOKUP(Баланс!$B$7,Баланс!$A$1:$B$3,2,0)</f>
        <v>0</v>
      </c>
      <c r="J116" s="1387">
        <f>-Ввод!K332/VLOOKUP(Баланс!$B$7,Баланс!$A$1:$B$3,2,0)</f>
        <v>0</v>
      </c>
      <c r="K116" s="1387">
        <f>-Ввод!L332/VLOOKUP(Баланс!$B$7,Баланс!$A$1:$B$3,2,0)</f>
        <v>0</v>
      </c>
      <c r="L116" s="1387">
        <f>-Ввод!M332/VLOOKUP(Баланс!$B$7,Баланс!$A$1:$B$3,2,0)</f>
        <v>0</v>
      </c>
      <c r="M116" s="1387">
        <f>-Ввод!N332/VLOOKUP(Баланс!$B$7,Баланс!$A$1:$B$3,2,0)</f>
        <v>0</v>
      </c>
      <c r="N116" s="1387">
        <f>-Ввод!O332/VLOOKUP(Баланс!$B$7,Баланс!$A$1:$B$3,2,0)</f>
        <v>0</v>
      </c>
      <c r="O116" s="1387">
        <f>-Ввод!P332/VLOOKUP(Баланс!$B$7,Баланс!$A$1:$B$3,2,0)</f>
        <v>0</v>
      </c>
      <c r="P116" s="1402"/>
      <c r="Q116" s="171"/>
      <c r="R116" s="1681">
        <f t="shared" si="74"/>
        <v>0</v>
      </c>
      <c r="S116" s="1681">
        <f t="shared" si="57"/>
        <v>0</v>
      </c>
      <c r="T116" s="1681">
        <f t="shared" si="58"/>
        <v>0</v>
      </c>
      <c r="U116" s="1681">
        <f t="shared" si="59"/>
        <v>0</v>
      </c>
      <c r="V116" s="1681">
        <f t="shared" si="60"/>
        <v>0</v>
      </c>
      <c r="W116" s="1681">
        <f t="shared" si="61"/>
        <v>0</v>
      </c>
      <c r="X116" s="1681">
        <f t="shared" si="62"/>
        <v>0</v>
      </c>
      <c r="Y116" s="1681">
        <f t="shared" si="63"/>
        <v>0</v>
      </c>
      <c r="Z116" s="1681">
        <f t="shared" si="64"/>
        <v>0</v>
      </c>
      <c r="AA116" s="1681"/>
      <c r="AB116" s="110"/>
      <c r="AC116" s="469"/>
      <c r="AD116" s="1387">
        <f t="shared" si="75"/>
        <v>0</v>
      </c>
      <c r="AE116" s="1387">
        <f t="shared" si="65"/>
        <v>0</v>
      </c>
      <c r="AF116" s="1387">
        <f t="shared" si="66"/>
        <v>0</v>
      </c>
      <c r="AG116" s="1387">
        <f t="shared" si="67"/>
        <v>0</v>
      </c>
      <c r="AH116" s="1387">
        <f t="shared" si="68"/>
        <v>0</v>
      </c>
      <c r="AI116" s="1387">
        <f t="shared" si="69"/>
        <v>0</v>
      </c>
      <c r="AJ116" s="1387">
        <f t="shared" si="70"/>
        <v>0</v>
      </c>
      <c r="AK116" s="1387">
        <f t="shared" si="71"/>
        <v>0</v>
      </c>
      <c r="AL116" s="1387">
        <f t="shared" si="72"/>
        <v>0</v>
      </c>
      <c r="AM116" s="1387"/>
    </row>
    <row r="117" spans="1:39" s="111" customFormat="1" ht="16.5" outlineLevel="1" x14ac:dyDescent="0.3">
      <c r="A117" s="108"/>
      <c r="B117" s="108"/>
      <c r="C117" s="205" t="s">
        <v>74</v>
      </c>
      <c r="D117" s="99" t="s">
        <v>3140</v>
      </c>
      <c r="E117" s="98"/>
      <c r="F117" s="1387">
        <f>-Ввод!G333/VLOOKUP(Баланс!$B$7,Баланс!$A$1:$B$3,2,0)</f>
        <v>0</v>
      </c>
      <c r="G117" s="1387">
        <f>-Ввод!H333/VLOOKUP(Баланс!$B$7,Баланс!$A$1:$B$3,2,0)</f>
        <v>0</v>
      </c>
      <c r="H117" s="1387">
        <f>-Ввод!I333/VLOOKUP(Баланс!$B$7,Баланс!$A$1:$B$3,2,0)</f>
        <v>0</v>
      </c>
      <c r="I117" s="1387">
        <f>-Ввод!J333/VLOOKUP(Баланс!$B$7,Баланс!$A$1:$B$3,2,0)</f>
        <v>0</v>
      </c>
      <c r="J117" s="1387">
        <f>-Ввод!K333/VLOOKUP(Баланс!$B$7,Баланс!$A$1:$B$3,2,0)</f>
        <v>0</v>
      </c>
      <c r="K117" s="1387">
        <f>-Ввод!L333/VLOOKUP(Баланс!$B$7,Баланс!$A$1:$B$3,2,0)</f>
        <v>0</v>
      </c>
      <c r="L117" s="1387">
        <f>-Ввод!M333/VLOOKUP(Баланс!$B$7,Баланс!$A$1:$B$3,2,0)</f>
        <v>0</v>
      </c>
      <c r="M117" s="1387">
        <f>-Ввод!N333/VLOOKUP(Баланс!$B$7,Баланс!$A$1:$B$3,2,0)</f>
        <v>0</v>
      </c>
      <c r="N117" s="1387">
        <f>-Ввод!O333/VLOOKUP(Баланс!$B$7,Баланс!$A$1:$B$3,2,0)</f>
        <v>0</v>
      </c>
      <c r="O117" s="1387">
        <f>-Ввод!P333/VLOOKUP(Баланс!$B$7,Баланс!$A$1:$B$3,2,0)</f>
        <v>0</v>
      </c>
      <c r="P117" s="1402"/>
      <c r="Q117" s="171"/>
      <c r="R117" s="1681">
        <f t="shared" si="74"/>
        <v>0</v>
      </c>
      <c r="S117" s="1681">
        <f t="shared" si="57"/>
        <v>0</v>
      </c>
      <c r="T117" s="1681">
        <f t="shared" si="58"/>
        <v>0</v>
      </c>
      <c r="U117" s="1681">
        <f t="shared" si="59"/>
        <v>0</v>
      </c>
      <c r="V117" s="1681">
        <f t="shared" si="60"/>
        <v>0</v>
      </c>
      <c r="W117" s="1681">
        <f t="shared" si="61"/>
        <v>0</v>
      </c>
      <c r="X117" s="1681">
        <f t="shared" si="62"/>
        <v>0</v>
      </c>
      <c r="Y117" s="1681">
        <f t="shared" si="63"/>
        <v>0</v>
      </c>
      <c r="Z117" s="1681">
        <f t="shared" si="64"/>
        <v>0</v>
      </c>
      <c r="AA117" s="1681"/>
      <c r="AB117" s="110"/>
      <c r="AC117" s="469"/>
      <c r="AD117" s="1387">
        <f t="shared" si="75"/>
        <v>0</v>
      </c>
      <c r="AE117" s="1387">
        <f t="shared" si="65"/>
        <v>0</v>
      </c>
      <c r="AF117" s="1387">
        <f t="shared" si="66"/>
        <v>0</v>
      </c>
      <c r="AG117" s="1387">
        <f t="shared" si="67"/>
        <v>0</v>
      </c>
      <c r="AH117" s="1387">
        <f t="shared" si="68"/>
        <v>0</v>
      </c>
      <c r="AI117" s="1387">
        <f t="shared" si="69"/>
        <v>0</v>
      </c>
      <c r="AJ117" s="1387">
        <f t="shared" si="70"/>
        <v>0</v>
      </c>
      <c r="AK117" s="1387">
        <f t="shared" si="71"/>
        <v>0</v>
      </c>
      <c r="AL117" s="1387">
        <f t="shared" si="72"/>
        <v>0</v>
      </c>
      <c r="AM117" s="1387"/>
    </row>
    <row r="118" spans="1:39" s="111" customFormat="1" ht="16.5" outlineLevel="1" x14ac:dyDescent="0.3">
      <c r="A118" s="108"/>
      <c r="B118" s="108"/>
      <c r="C118" s="205" t="s">
        <v>74</v>
      </c>
      <c r="D118" s="99" t="s">
        <v>3144</v>
      </c>
      <c r="E118" s="98"/>
      <c r="F118" s="1387">
        <f>-Ввод!G335/VLOOKUP(Баланс!$B$7,Баланс!$A$1:$B$3,2,0)</f>
        <v>-4.4999999999999998E-2</v>
      </c>
      <c r="G118" s="1387">
        <f>-Ввод!H335/VLOOKUP(Баланс!$B$7,Баланс!$A$1:$B$3,2,0)</f>
        <v>0</v>
      </c>
      <c r="H118" s="1387">
        <f>-Ввод!I335/VLOOKUP(Баланс!$B$7,Баланс!$A$1:$B$3,2,0)</f>
        <v>0</v>
      </c>
      <c r="I118" s="1387">
        <f>-Ввод!J335/VLOOKUP(Баланс!$B$7,Баланс!$A$1:$B$3,2,0)</f>
        <v>0</v>
      </c>
      <c r="J118" s="1387">
        <f>-Ввод!K335/VLOOKUP(Баланс!$B$7,Баланс!$A$1:$B$3,2,0)</f>
        <v>0</v>
      </c>
      <c r="K118" s="1387">
        <f>-Ввод!L335/VLOOKUP(Баланс!$B$7,Баланс!$A$1:$B$3,2,0)</f>
        <v>0</v>
      </c>
      <c r="L118" s="1387">
        <f>-Ввод!M335/VLOOKUP(Баланс!$B$7,Баланс!$A$1:$B$3,2,0)</f>
        <v>0</v>
      </c>
      <c r="M118" s="1387">
        <f>-Ввод!N335/VLOOKUP(Баланс!$B$7,Баланс!$A$1:$B$3,2,0)</f>
        <v>0</v>
      </c>
      <c r="N118" s="1387">
        <f>-Ввод!O335/VLOOKUP(Баланс!$B$7,Баланс!$A$1:$B$3,2,0)</f>
        <v>0</v>
      </c>
      <c r="O118" s="1387">
        <f>-Ввод!P335/VLOOKUP(Баланс!$B$7,Баланс!$A$1:$B$3,2,0)</f>
        <v>0</v>
      </c>
      <c r="P118" s="1402"/>
      <c r="Q118" s="171"/>
      <c r="R118" s="1681">
        <f t="shared" si="74"/>
        <v>-6.3956042812800414E-4</v>
      </c>
      <c r="S118" s="1681">
        <f t="shared" si="57"/>
        <v>0</v>
      </c>
      <c r="T118" s="1681">
        <f t="shared" si="58"/>
        <v>0</v>
      </c>
      <c r="U118" s="1681">
        <f t="shared" si="59"/>
        <v>0</v>
      </c>
      <c r="V118" s="1681">
        <f t="shared" si="60"/>
        <v>0</v>
      </c>
      <c r="W118" s="1681">
        <f t="shared" si="61"/>
        <v>0</v>
      </c>
      <c r="X118" s="1681">
        <f t="shared" si="62"/>
        <v>0</v>
      </c>
      <c r="Y118" s="1681">
        <f t="shared" si="63"/>
        <v>0</v>
      </c>
      <c r="Z118" s="1681">
        <f t="shared" si="64"/>
        <v>0</v>
      </c>
      <c r="AA118" s="1681"/>
      <c r="AB118" s="110"/>
      <c r="AC118" s="469"/>
      <c r="AD118" s="1387">
        <f t="shared" si="75"/>
        <v>4.4999999999999998E-2</v>
      </c>
      <c r="AE118" s="1387">
        <f t="shared" si="65"/>
        <v>0</v>
      </c>
      <c r="AF118" s="1387">
        <f t="shared" si="66"/>
        <v>0</v>
      </c>
      <c r="AG118" s="1387">
        <f t="shared" si="67"/>
        <v>0</v>
      </c>
      <c r="AH118" s="1387">
        <f t="shared" si="68"/>
        <v>0</v>
      </c>
      <c r="AI118" s="1387">
        <f t="shared" si="69"/>
        <v>0</v>
      </c>
      <c r="AJ118" s="1387">
        <f t="shared" si="70"/>
        <v>0</v>
      </c>
      <c r="AK118" s="1387">
        <f t="shared" si="71"/>
        <v>0</v>
      </c>
      <c r="AL118" s="1387">
        <f t="shared" si="72"/>
        <v>0</v>
      </c>
      <c r="AM118" s="1387"/>
    </row>
    <row r="119" spans="1:39" s="111" customFormat="1" ht="16.5" outlineLevel="1" x14ac:dyDescent="0.3">
      <c r="A119" s="108"/>
      <c r="B119" s="108"/>
      <c r="C119" s="205" t="s">
        <v>74</v>
      </c>
      <c r="D119" s="99" t="s">
        <v>3305</v>
      </c>
      <c r="E119" s="98"/>
      <c r="F119" s="1387">
        <f>-Ввод!G336/VLOOKUP(Баланс!$B$7,Баланс!$A$1:$B$3,2,0)</f>
        <v>-7.4184E-2</v>
      </c>
      <c r="G119" s="1387">
        <f>-Ввод!H336/VLOOKUP(Баланс!$B$7,Баланс!$A$1:$B$3,2,0)</f>
        <v>0</v>
      </c>
      <c r="H119" s="1387">
        <f>-Ввод!I336/VLOOKUP(Баланс!$B$7,Баланс!$A$1:$B$3,2,0)</f>
        <v>0</v>
      </c>
      <c r="I119" s="1387">
        <f>-Ввод!J336/VLOOKUP(Баланс!$B$7,Баланс!$A$1:$B$3,2,0)</f>
        <v>0</v>
      </c>
      <c r="J119" s="1387">
        <f>-Ввод!K336/VLOOKUP(Баланс!$B$7,Баланс!$A$1:$B$3,2,0)</f>
        <v>0</v>
      </c>
      <c r="K119" s="1387">
        <f>-Ввод!L336/VLOOKUP(Баланс!$B$7,Баланс!$A$1:$B$3,2,0)</f>
        <v>0</v>
      </c>
      <c r="L119" s="1387">
        <f>-Ввод!M336/VLOOKUP(Баланс!$B$7,Баланс!$A$1:$B$3,2,0)</f>
        <v>0</v>
      </c>
      <c r="M119" s="1387">
        <f>-Ввод!N336/VLOOKUP(Баланс!$B$7,Баланс!$A$1:$B$3,2,0)</f>
        <v>0</v>
      </c>
      <c r="N119" s="1387">
        <f>-Ввод!O336/VLOOKUP(Баланс!$B$7,Баланс!$A$1:$B$3,2,0)</f>
        <v>0</v>
      </c>
      <c r="O119" s="1387">
        <f>-Ввод!P336/VLOOKUP(Баланс!$B$7,Баланс!$A$1:$B$3,2,0)</f>
        <v>0</v>
      </c>
      <c r="P119" s="1402"/>
      <c r="Q119" s="171"/>
      <c r="R119" s="1681">
        <f t="shared" si="74"/>
        <v>-1.0543366844499526E-3</v>
      </c>
      <c r="S119" s="1681">
        <f t="shared" si="57"/>
        <v>0</v>
      </c>
      <c r="T119" s="1681">
        <f t="shared" si="58"/>
        <v>0</v>
      </c>
      <c r="U119" s="1681">
        <f t="shared" si="59"/>
        <v>0</v>
      </c>
      <c r="V119" s="1681">
        <f t="shared" si="60"/>
        <v>0</v>
      </c>
      <c r="W119" s="1681">
        <f t="shared" si="61"/>
        <v>0</v>
      </c>
      <c r="X119" s="1681">
        <f t="shared" si="62"/>
        <v>0</v>
      </c>
      <c r="Y119" s="1681">
        <f t="shared" si="63"/>
        <v>0</v>
      </c>
      <c r="Z119" s="1681">
        <f t="shared" si="64"/>
        <v>0</v>
      </c>
      <c r="AA119" s="1681"/>
      <c r="AB119" s="110"/>
      <c r="AC119" s="469"/>
      <c r="AD119" s="1387">
        <f t="shared" si="75"/>
        <v>7.4184E-2</v>
      </c>
      <c r="AE119" s="1387">
        <f t="shared" si="65"/>
        <v>0</v>
      </c>
      <c r="AF119" s="1387">
        <f t="shared" si="66"/>
        <v>0</v>
      </c>
      <c r="AG119" s="1387">
        <f t="shared" si="67"/>
        <v>0</v>
      </c>
      <c r="AH119" s="1387">
        <f t="shared" si="68"/>
        <v>0</v>
      </c>
      <c r="AI119" s="1387">
        <f t="shared" si="69"/>
        <v>0</v>
      </c>
      <c r="AJ119" s="1387">
        <f t="shared" si="70"/>
        <v>0</v>
      </c>
      <c r="AK119" s="1387">
        <f t="shared" si="71"/>
        <v>0</v>
      </c>
      <c r="AL119" s="1387">
        <f t="shared" si="72"/>
        <v>0</v>
      </c>
      <c r="AM119" s="1387"/>
    </row>
    <row r="120" spans="1:39" s="103" customFormat="1" ht="17.25" outlineLevel="1" thickBot="1" x14ac:dyDescent="0.35">
      <c r="A120" s="108"/>
      <c r="B120" s="108"/>
      <c r="C120" s="205"/>
      <c r="D120" s="99" t="s">
        <v>3302</v>
      </c>
      <c r="E120" s="98"/>
      <c r="F120" s="1383">
        <f>((Ввод!G329-Ввод!G344)-(Ввод!G324+Ввод!G325+Ввод!G326+Ввод!G328-(Ввод!G331+Ввод!G332+Ввод!G333+Ввод!G335+Ввод!G336)))/VLOOKUP(Баланс!$B$7,Баланс!$A$1:$B$3,2,0)</f>
        <v>0</v>
      </c>
      <c r="G120" s="1383">
        <f>((Ввод!H329-Ввод!H344)-(Ввод!H324+Ввод!H325+Ввод!H326+Ввод!H328-(Ввод!H331+Ввод!H332+Ввод!H333+Ввод!H335+Ввод!H336)))/VLOOKUP(Баланс!$B$7,Баланс!$A$1:$B$3,2,0)</f>
        <v>0</v>
      </c>
      <c r="H120" s="1383">
        <f>((Ввод!I329-Ввод!I344)-(Ввод!I324+Ввод!I325+Ввод!I326+Ввод!I328-(Ввод!I331+Ввод!I332+Ввод!I333+Ввод!I335+Ввод!I336)))/VLOOKUP(Баланс!$B$7,Баланс!$A$1:$B$3,2,0)</f>
        <v>0</v>
      </c>
      <c r="I120" s="1383">
        <f>((Ввод!J329-Ввод!J344)-(Ввод!J324+Ввод!J325+Ввод!J326+Ввод!J328-(Ввод!J331+Ввод!J332+Ввод!J333+Ввод!J335+Ввод!J336)))/VLOOKUP(Баланс!$B$7,Баланс!$A$1:$B$3,2,0)</f>
        <v>0</v>
      </c>
      <c r="J120" s="1383">
        <f>((Ввод!K329-Ввод!K344)-(Ввод!K324+Ввод!K325+Ввод!K326+Ввод!K328-(Ввод!K331+Ввод!K332+Ввод!K333+Ввод!K335+Ввод!K336)))/VLOOKUP(Баланс!$B$7,Баланс!$A$1:$B$3,2,0)</f>
        <v>0</v>
      </c>
      <c r="K120" s="1383">
        <f>((Ввод!L329-Ввод!L344)-(Ввод!L324+Ввод!L325+Ввод!L326+Ввод!L328-(Ввод!L331+Ввод!L332+Ввод!L333+Ввод!L335+Ввод!L336)))/VLOOKUP(Баланс!$B$7,Баланс!$A$1:$B$3,2,0)</f>
        <v>0</v>
      </c>
      <c r="L120" s="1383">
        <f>((Ввод!M329-Ввод!M344)-(Ввод!M324+Ввод!M325+Ввод!M326+Ввод!M328-(Ввод!M331+Ввод!M332+Ввод!M333+Ввод!M335+Ввод!M336)))/VLOOKUP(Баланс!$B$7,Баланс!$A$1:$B$3,2,0)</f>
        <v>0</v>
      </c>
      <c r="M120" s="1383">
        <f>((Ввод!N329-Ввод!N344)-(Ввод!N324+Ввод!N325+Ввод!N326+Ввод!N328-(Ввод!N331+Ввод!N332+Ввод!N333+Ввод!N335+Ввод!N336)))/VLOOKUP(Баланс!$B$7,Баланс!$A$1:$B$3,2,0)</f>
        <v>0</v>
      </c>
      <c r="N120" s="1383">
        <f>((Ввод!O329-Ввод!O344)-(Ввод!O324+Ввод!O325+Ввод!O326+Ввод!O328-(Ввод!O331+Ввод!O332+Ввод!O333+Ввод!O335+Ввод!O336)))/VLOOKUP(Баланс!$B$7,Баланс!$A$1:$B$3,2,0)</f>
        <v>0</v>
      </c>
      <c r="O120" s="1383">
        <f>((Ввод!P329-Ввод!P344)-(Ввод!P324+Ввод!P325+Ввод!P326+Ввод!P328-(Ввод!P331+Ввод!P332+Ввод!P333+Ввод!P335+Ввод!P336)))/VLOOKUP(Баланс!$B$7,Баланс!$A$1:$B$3,2,0)</f>
        <v>0</v>
      </c>
      <c r="P120" s="104"/>
      <c r="Q120" s="104"/>
      <c r="R120" s="1681">
        <f t="shared" si="74"/>
        <v>0</v>
      </c>
      <c r="S120" s="1681">
        <f t="shared" si="57"/>
        <v>0</v>
      </c>
      <c r="T120" s="1681">
        <f t="shared" si="58"/>
        <v>0</v>
      </c>
      <c r="U120" s="1681">
        <f t="shared" si="59"/>
        <v>0</v>
      </c>
      <c r="V120" s="1681">
        <f t="shared" si="60"/>
        <v>0</v>
      </c>
      <c r="W120" s="1681">
        <f t="shared" si="61"/>
        <v>0</v>
      </c>
      <c r="X120" s="1681">
        <f t="shared" si="62"/>
        <v>0</v>
      </c>
      <c r="Y120" s="1681">
        <f t="shared" si="63"/>
        <v>0</v>
      </c>
      <c r="Z120" s="1681">
        <f t="shared" si="64"/>
        <v>0</v>
      </c>
      <c r="AA120" s="1681"/>
      <c r="AB120" s="104"/>
      <c r="AC120" s="1387"/>
      <c r="AD120" s="1387">
        <f t="shared" si="75"/>
        <v>0</v>
      </c>
      <c r="AE120" s="1387">
        <f t="shared" si="65"/>
        <v>0</v>
      </c>
      <c r="AF120" s="1387">
        <f t="shared" si="66"/>
        <v>0</v>
      </c>
      <c r="AG120" s="1387">
        <f t="shared" si="67"/>
        <v>0</v>
      </c>
      <c r="AH120" s="1387">
        <f t="shared" si="68"/>
        <v>0</v>
      </c>
      <c r="AI120" s="1387">
        <f t="shared" si="69"/>
        <v>0</v>
      </c>
      <c r="AJ120" s="1387">
        <f t="shared" si="70"/>
        <v>0</v>
      </c>
      <c r="AK120" s="1387">
        <f t="shared" si="71"/>
        <v>0</v>
      </c>
      <c r="AL120" s="1387">
        <f t="shared" si="72"/>
        <v>0</v>
      </c>
      <c r="AM120" s="1387"/>
    </row>
    <row r="121" spans="1:39" s="103" customFormat="1" ht="16.5" outlineLevel="1" x14ac:dyDescent="0.3">
      <c r="A121" s="115"/>
      <c r="B121" s="115"/>
      <c r="C121" s="116" t="s">
        <v>3306</v>
      </c>
      <c r="D121" s="116"/>
      <c r="E121" s="116"/>
      <c r="F121" s="1388">
        <f>F79+F109</f>
        <v>70.360825999999989</v>
      </c>
      <c r="G121" s="1388">
        <f t="shared" ref="G121:O121" si="78">G79+G109</f>
        <v>78.201160000000002</v>
      </c>
      <c r="H121" s="1388">
        <f t="shared" si="78"/>
        <v>80.226693999999995</v>
      </c>
      <c r="I121" s="1388">
        <f t="shared" si="78"/>
        <v>78.234151999999995</v>
      </c>
      <c r="J121" s="1388">
        <f t="shared" si="78"/>
        <v>75.036812000000012</v>
      </c>
      <c r="K121" s="1388">
        <f t="shared" si="78"/>
        <v>76.222356000000005</v>
      </c>
      <c r="L121" s="1388">
        <f t="shared" si="78"/>
        <v>74.512912</v>
      </c>
      <c r="M121" s="1388">
        <f t="shared" si="78"/>
        <v>96.05695799999998</v>
      </c>
      <c r="N121" s="1388">
        <f t="shared" si="78"/>
        <v>101.37075499999999</v>
      </c>
      <c r="O121" s="1388">
        <f t="shared" si="78"/>
        <v>0</v>
      </c>
      <c r="P121" s="1389"/>
      <c r="Q121" s="168"/>
      <c r="R121" s="1685">
        <f>R79+R109</f>
        <v>1</v>
      </c>
      <c r="S121" s="1685">
        <f t="shared" ref="S121:AA121" si="79">S79+S109</f>
        <v>1</v>
      </c>
      <c r="T121" s="1685">
        <f t="shared" si="79"/>
        <v>1</v>
      </c>
      <c r="U121" s="1685">
        <f t="shared" si="79"/>
        <v>1</v>
      </c>
      <c r="V121" s="1685">
        <f t="shared" si="79"/>
        <v>0.99999999999999989</v>
      </c>
      <c r="W121" s="1685">
        <f t="shared" si="79"/>
        <v>1</v>
      </c>
      <c r="X121" s="1685">
        <f t="shared" si="79"/>
        <v>1</v>
      </c>
      <c r="Y121" s="1685">
        <f t="shared" si="79"/>
        <v>1</v>
      </c>
      <c r="Z121" s="1685">
        <f t="shared" si="79"/>
        <v>1</v>
      </c>
      <c r="AA121" s="1685">
        <f t="shared" si="79"/>
        <v>0</v>
      </c>
      <c r="AB121" s="104"/>
      <c r="AC121" s="470"/>
      <c r="AD121" s="1388">
        <f t="shared" si="75"/>
        <v>7.8403340000000128</v>
      </c>
      <c r="AE121" s="1388">
        <f t="shared" si="65"/>
        <v>2.0255339999999933</v>
      </c>
      <c r="AF121" s="1388">
        <f t="shared" si="66"/>
        <v>-1.9925420000000003</v>
      </c>
      <c r="AG121" s="1388">
        <f t="shared" si="67"/>
        <v>-3.1973399999999828</v>
      </c>
      <c r="AH121" s="1388">
        <f t="shared" si="68"/>
        <v>1.185543999999993</v>
      </c>
      <c r="AI121" s="1388">
        <f t="shared" si="69"/>
        <v>-1.7094440000000048</v>
      </c>
      <c r="AJ121" s="1388">
        <f t="shared" si="70"/>
        <v>21.54404599999998</v>
      </c>
      <c r="AK121" s="1388">
        <f t="shared" si="71"/>
        <v>5.3137970000000081</v>
      </c>
      <c r="AL121" s="1388">
        <f t="shared" si="72"/>
        <v>-101.37075499999999</v>
      </c>
      <c r="AM121" s="1388"/>
    </row>
    <row r="122" spans="1:39" s="138" customFormat="1" ht="16.5" hidden="1" outlineLevel="2" x14ac:dyDescent="0.3">
      <c r="A122" s="137"/>
      <c r="B122" s="139"/>
      <c r="C122" s="152" t="s">
        <v>796</v>
      </c>
      <c r="D122" s="152"/>
      <c r="E122" s="152"/>
      <c r="F122" s="1390">
        <f>Ввод!G60</f>
        <v>49870344</v>
      </c>
      <c r="G122" s="1390">
        <f>Ввод!H60</f>
        <v>63876246</v>
      </c>
      <c r="H122" s="1390">
        <f>Ввод!I60</f>
        <v>65479410</v>
      </c>
      <c r="I122" s="1390">
        <f>Ввод!J60</f>
        <v>73163479</v>
      </c>
      <c r="J122" s="1390">
        <f>Ввод!K60</f>
        <v>72727427</v>
      </c>
      <c r="K122" s="1390">
        <f>Ввод!L60</f>
        <v>78197317</v>
      </c>
      <c r="L122" s="1390">
        <f>Ввод!M60</f>
        <v>76648271</v>
      </c>
      <c r="M122" s="1390">
        <f>Ввод!N60</f>
        <v>92638407</v>
      </c>
      <c r="N122" s="1390">
        <f>Ввод!O60</f>
        <v>105098960</v>
      </c>
      <c r="O122" s="1390">
        <f>Ввод!P60</f>
        <v>0</v>
      </c>
      <c r="P122" s="1390"/>
      <c r="Q122" s="136"/>
      <c r="R122" s="476"/>
      <c r="S122" s="476"/>
      <c r="T122" s="476"/>
      <c r="U122" s="476"/>
      <c r="V122" s="476"/>
      <c r="W122" s="476"/>
      <c r="X122" s="476"/>
      <c r="Y122" s="476"/>
      <c r="Z122" s="476"/>
      <c r="AA122" s="476"/>
      <c r="AB122" s="136"/>
      <c r="AC122" s="137"/>
      <c r="AD122" s="1676"/>
      <c r="AE122" s="1676"/>
      <c r="AF122" s="1676"/>
      <c r="AG122" s="1676"/>
      <c r="AH122" s="1676"/>
      <c r="AI122" s="1676"/>
      <c r="AJ122" s="1676"/>
      <c r="AK122" s="1676"/>
      <c r="AL122" s="1676"/>
      <c r="AM122" s="1676"/>
    </row>
    <row r="123" spans="1:39" s="474" customFormat="1" ht="16.5" outlineLevel="1" collapsed="1" x14ac:dyDescent="0.3">
      <c r="A123" s="471"/>
      <c r="B123" s="472"/>
      <c r="C123" s="472" t="s">
        <v>790</v>
      </c>
      <c r="D123" s="472"/>
      <c r="E123" s="472"/>
      <c r="F123" s="1391">
        <f>F121-Ввод!G346/VLOOKUP(Баланс!$B$7,Баланс!$A$1:$B$3,2,0)</f>
        <v>0</v>
      </c>
      <c r="G123" s="1391">
        <f>G121-Ввод!H346/VLOOKUP(Баланс!$B$7,Баланс!$A$1:$B$3,2,0)</f>
        <v>0</v>
      </c>
      <c r="H123" s="1391">
        <f>H121-Ввод!I346/VLOOKUP(Баланс!$B$7,Баланс!$A$1:$B$3,2,0)</f>
        <v>0</v>
      </c>
      <c r="I123" s="1391">
        <f>I121-Ввод!J346/VLOOKUP(Баланс!$B$7,Баланс!$A$1:$B$3,2,0)</f>
        <v>0</v>
      </c>
      <c r="J123" s="1391">
        <f>J121-Ввод!K346/VLOOKUP(Баланс!$B$7,Баланс!$A$1:$B$3,2,0)</f>
        <v>0</v>
      </c>
      <c r="K123" s="1391">
        <f>K121-Ввод!L346/VLOOKUP(Баланс!$B$7,Баланс!$A$1:$B$3,2,0)</f>
        <v>0</v>
      </c>
      <c r="L123" s="1391">
        <f>L121-Ввод!M346/VLOOKUP(Баланс!$B$7,Баланс!$A$1:$B$3,2,0)</f>
        <v>0</v>
      </c>
      <c r="M123" s="1391">
        <f>M121-Ввод!N346/VLOOKUP(Баланс!$B$7,Баланс!$A$1:$B$3,2,0)</f>
        <v>0</v>
      </c>
      <c r="N123" s="1391">
        <f>N121-Ввод!O346/VLOOKUP(Баланс!$B$7,Баланс!$A$1:$B$3,2,0)</f>
        <v>0</v>
      </c>
      <c r="O123" s="1391">
        <f>O121-Ввод!P346/VLOOKUP(Баланс!$B$7,Баланс!$A$1:$B$3,2,0)</f>
        <v>0</v>
      </c>
      <c r="P123" s="1391"/>
      <c r="Q123" s="473"/>
      <c r="R123" s="473"/>
      <c r="S123" s="473"/>
      <c r="T123" s="473"/>
      <c r="U123" s="473"/>
      <c r="V123" s="473"/>
      <c r="W123" s="473"/>
      <c r="X123" s="473"/>
      <c r="Y123" s="473"/>
      <c r="Z123" s="473"/>
      <c r="AA123" s="473"/>
      <c r="AB123" s="473"/>
      <c r="AC123" s="471"/>
      <c r="AD123" s="1677"/>
      <c r="AE123" s="1677"/>
      <c r="AF123" s="1677"/>
      <c r="AG123" s="1677"/>
      <c r="AH123" s="1677"/>
      <c r="AI123" s="1677"/>
      <c r="AJ123" s="1677"/>
      <c r="AK123" s="1677"/>
      <c r="AL123" s="1677"/>
      <c r="AM123" s="1677"/>
    </row>
    <row r="124" spans="1:39" s="103" customFormat="1" ht="16.5" outlineLevel="1" x14ac:dyDescent="0.3">
      <c r="A124" s="101"/>
      <c r="B124" s="102"/>
      <c r="C124" s="102"/>
      <c r="D124" s="102"/>
      <c r="E124" s="102"/>
      <c r="F124" s="118"/>
      <c r="G124" s="118"/>
      <c r="H124" s="118"/>
      <c r="I124" s="118"/>
      <c r="J124" s="104"/>
      <c r="K124" s="104"/>
      <c r="L124" s="104"/>
      <c r="M124" s="104"/>
      <c r="N124" s="104"/>
      <c r="O124" s="104"/>
      <c r="P124" s="104"/>
      <c r="Q124" s="104"/>
      <c r="R124" s="104"/>
      <c r="S124" s="104"/>
      <c r="T124" s="104"/>
      <c r="U124" s="104"/>
      <c r="V124" s="104"/>
      <c r="W124" s="104"/>
      <c r="X124" s="104"/>
      <c r="Y124" s="104"/>
      <c r="Z124" s="104"/>
      <c r="AA124" s="104"/>
      <c r="AB124" s="104"/>
      <c r="AC124" s="101"/>
      <c r="AD124" s="101"/>
      <c r="AE124" s="101"/>
      <c r="AF124" s="101"/>
      <c r="AG124" s="101"/>
      <c r="AH124" s="101"/>
      <c r="AI124" s="101"/>
      <c r="AJ124" s="101"/>
      <c r="AK124" s="101"/>
      <c r="AL124" s="101"/>
      <c r="AM124" s="101"/>
    </row>
    <row r="125" spans="1:39" s="103" customFormat="1" ht="16.5" outlineLevel="1" x14ac:dyDescent="0.3">
      <c r="A125" s="101"/>
      <c r="B125" s="102"/>
      <c r="C125" s="102"/>
      <c r="D125" s="102"/>
      <c r="E125" s="102"/>
      <c r="F125" s="118"/>
      <c r="G125" s="118"/>
      <c r="H125" s="118"/>
      <c r="I125" s="118"/>
      <c r="J125" s="104"/>
      <c r="K125" s="104"/>
      <c r="L125" s="104"/>
      <c r="M125" s="104"/>
      <c r="N125" s="104"/>
      <c r="O125" s="104"/>
      <c r="P125" s="104"/>
      <c r="Q125" s="104"/>
      <c r="R125" s="104"/>
      <c r="S125" s="104"/>
      <c r="T125" s="104"/>
      <c r="U125" s="104"/>
      <c r="V125" s="104"/>
      <c r="W125" s="104"/>
      <c r="X125" s="104"/>
      <c r="Y125" s="104"/>
      <c r="Z125" s="104"/>
      <c r="AA125" s="104"/>
      <c r="AB125" s="104"/>
      <c r="AC125" s="101"/>
      <c r="AD125" s="101"/>
      <c r="AE125" s="101"/>
      <c r="AF125" s="101"/>
      <c r="AG125" s="101"/>
      <c r="AH125" s="101"/>
      <c r="AI125" s="101"/>
      <c r="AJ125" s="101"/>
      <c r="AK125" s="101"/>
      <c r="AL125" s="101"/>
      <c r="AM125" s="101"/>
    </row>
    <row r="126" spans="1:39" s="103" customFormat="1" ht="16.5" x14ac:dyDescent="0.3">
      <c r="A126" s="101"/>
      <c r="B126" s="102"/>
      <c r="C126" s="102"/>
      <c r="D126" s="102"/>
      <c r="E126" s="102"/>
      <c r="F126" s="118"/>
      <c r="G126" s="118"/>
      <c r="H126" s="118"/>
      <c r="I126" s="118"/>
      <c r="J126" s="104"/>
      <c r="K126" s="104"/>
      <c r="L126" s="104"/>
      <c r="M126" s="104"/>
      <c r="N126" s="104"/>
      <c r="O126" s="104"/>
      <c r="P126" s="104"/>
      <c r="Q126" s="104"/>
      <c r="R126" s="104"/>
      <c r="S126" s="104"/>
      <c r="T126" s="104"/>
      <c r="U126" s="104"/>
      <c r="V126" s="104"/>
      <c r="W126" s="104"/>
      <c r="X126" s="104"/>
      <c r="Y126" s="104"/>
      <c r="Z126" s="104"/>
      <c r="AA126" s="104"/>
      <c r="AB126" s="104"/>
      <c r="AC126" s="101"/>
      <c r="AD126" s="101"/>
      <c r="AE126" s="101"/>
      <c r="AF126" s="101"/>
      <c r="AG126" s="101"/>
      <c r="AH126" s="101"/>
      <c r="AI126" s="101"/>
      <c r="AJ126" s="101"/>
      <c r="AK126" s="101"/>
      <c r="AL126" s="101"/>
      <c r="AM126" s="101"/>
    </row>
    <row r="127" spans="1:39" s="103" customFormat="1" ht="16.5" x14ac:dyDescent="0.3">
      <c r="A127" s="101"/>
      <c r="B127" s="102"/>
      <c r="C127" s="102"/>
      <c r="D127" s="102"/>
      <c r="E127" s="102"/>
      <c r="F127" s="118"/>
      <c r="G127" s="118"/>
      <c r="H127" s="118"/>
      <c r="I127" s="118"/>
      <c r="J127" s="104"/>
      <c r="K127" s="104"/>
      <c r="L127" s="104"/>
      <c r="M127" s="104"/>
      <c r="N127" s="104"/>
      <c r="O127" s="104"/>
      <c r="P127" s="104"/>
      <c r="Q127" s="104"/>
      <c r="R127" s="104"/>
      <c r="S127" s="104"/>
      <c r="T127" s="104"/>
      <c r="U127" s="104"/>
      <c r="V127" s="104"/>
      <c r="W127" s="104"/>
      <c r="X127" s="104"/>
      <c r="Y127" s="104"/>
      <c r="Z127" s="104"/>
      <c r="AA127" s="104"/>
      <c r="AB127" s="104"/>
      <c r="AC127" s="101"/>
      <c r="AD127" s="101"/>
      <c r="AE127" s="101"/>
      <c r="AF127" s="101"/>
      <c r="AG127" s="101"/>
      <c r="AH127" s="101"/>
      <c r="AI127" s="101"/>
      <c r="AJ127" s="101"/>
      <c r="AK127" s="101"/>
      <c r="AL127" s="101"/>
      <c r="AM127" s="101"/>
    </row>
    <row r="128" spans="1:39" s="103" customFormat="1" ht="16.5" x14ac:dyDescent="0.3">
      <c r="A128" s="101"/>
      <c r="B128" s="102"/>
      <c r="C128" s="102"/>
      <c r="D128" s="102"/>
      <c r="E128" s="102"/>
      <c r="F128" s="118"/>
      <c r="G128" s="118"/>
      <c r="H128" s="118"/>
      <c r="I128" s="118"/>
      <c r="J128" s="104"/>
      <c r="K128" s="104"/>
      <c r="L128" s="104"/>
      <c r="M128" s="104"/>
      <c r="N128" s="104"/>
      <c r="O128" s="104"/>
      <c r="P128" s="104"/>
      <c r="Q128" s="104"/>
      <c r="R128" s="104"/>
      <c r="S128" s="104"/>
      <c r="T128" s="104"/>
      <c r="U128" s="104"/>
      <c r="V128" s="104"/>
      <c r="W128" s="104"/>
      <c r="X128" s="104"/>
      <c r="Y128" s="104"/>
      <c r="Z128" s="104"/>
      <c r="AA128" s="104"/>
      <c r="AB128" s="104"/>
      <c r="AC128" s="101"/>
      <c r="AD128" s="101"/>
      <c r="AE128" s="101"/>
      <c r="AF128" s="101"/>
      <c r="AG128" s="101"/>
      <c r="AH128" s="101"/>
      <c r="AI128" s="101"/>
      <c r="AJ128" s="101"/>
      <c r="AK128" s="101"/>
      <c r="AL128" s="101"/>
      <c r="AM128" s="101"/>
    </row>
    <row r="129" spans="1:39" ht="15" x14ac:dyDescent="0.2">
      <c r="A129" s="507"/>
      <c r="B129" s="785"/>
      <c r="C129" s="786" t="s">
        <v>3309</v>
      </c>
      <c r="D129" s="785"/>
      <c r="E129" s="785"/>
      <c r="F129" s="787"/>
      <c r="G129" s="787"/>
      <c r="H129" s="787"/>
      <c r="I129" s="787"/>
      <c r="J129" s="788"/>
      <c r="K129" s="788"/>
      <c r="L129" s="788"/>
      <c r="M129" s="788"/>
      <c r="N129" s="788"/>
      <c r="O129" s="788"/>
      <c r="P129" s="8"/>
      <c r="Q129" s="788"/>
      <c r="R129" s="788"/>
      <c r="S129" s="788"/>
      <c r="T129" s="788"/>
      <c r="U129" s="788"/>
      <c r="V129" s="788"/>
      <c r="W129" s="788"/>
      <c r="X129" s="788"/>
      <c r="Y129" s="788"/>
      <c r="Z129" s="788"/>
      <c r="AA129" s="788"/>
      <c r="AB129" s="8"/>
      <c r="AC129" s="4"/>
      <c r="AD129" s="4"/>
      <c r="AE129" s="4"/>
      <c r="AF129" s="4"/>
      <c r="AG129" s="4"/>
      <c r="AH129" s="4"/>
      <c r="AI129" s="4"/>
      <c r="AJ129" s="4"/>
      <c r="AK129" s="4"/>
      <c r="AL129" s="4"/>
      <c r="AM129" s="4"/>
    </row>
    <row r="130" spans="1:39" s="103" customFormat="1" ht="16.5" x14ac:dyDescent="0.3">
      <c r="A130" s="101"/>
      <c r="B130" s="102"/>
      <c r="C130" s="102" t="s">
        <v>3310</v>
      </c>
      <c r="D130" s="102"/>
      <c r="E130" s="102"/>
      <c r="F130" s="1950">
        <f t="shared" ref="F130:O130" si="80">F132/F71</f>
        <v>8.8699605922108731</v>
      </c>
      <c r="G130" s="1950">
        <f t="shared" si="80"/>
        <v>6.8317161437445781</v>
      </c>
      <c r="H130" s="1950">
        <f t="shared" si="80"/>
        <v>7.6104456958301849</v>
      </c>
      <c r="I130" s="1950">
        <f t="shared" si="80"/>
        <v>7.6697375202729221</v>
      </c>
      <c r="J130" s="1950">
        <f t="shared" si="80"/>
        <v>8.1678338902323588</v>
      </c>
      <c r="K130" s="1950">
        <f t="shared" si="80"/>
        <v>8.3580162091750534</v>
      </c>
      <c r="L130" s="1950">
        <f t="shared" si="80"/>
        <v>10.584279833265906</v>
      </c>
      <c r="M130" s="1950">
        <f t="shared" si="80"/>
        <v>9.0425220394819608</v>
      </c>
      <c r="N130" s="1950">
        <f t="shared" si="80"/>
        <v>8.8631384839583554</v>
      </c>
      <c r="O130" s="1950" t="e">
        <f t="shared" si="80"/>
        <v>#DIV/0!</v>
      </c>
      <c r="P130" s="189"/>
      <c r="Q130" s="104"/>
      <c r="R130" s="104"/>
      <c r="S130" s="104"/>
      <c r="T130" s="104"/>
      <c r="U130" s="104"/>
      <c r="V130" s="104"/>
      <c r="W130" s="104"/>
      <c r="X130" s="104"/>
      <c r="Y130" s="104"/>
      <c r="Z130" s="104"/>
      <c r="AA130" s="104"/>
      <c r="AB130" s="104"/>
      <c r="AC130" s="101"/>
      <c r="AD130" s="101"/>
      <c r="AE130" s="101"/>
      <c r="AF130" s="101"/>
      <c r="AG130" s="101"/>
      <c r="AH130" s="101"/>
      <c r="AI130" s="101"/>
      <c r="AJ130" s="101"/>
      <c r="AK130" s="101"/>
      <c r="AL130" s="101"/>
      <c r="AM130" s="101"/>
    </row>
    <row r="131" spans="1:39" s="103" customFormat="1" ht="16.5" x14ac:dyDescent="0.3">
      <c r="A131" s="101"/>
      <c r="B131" s="102"/>
      <c r="C131" s="102"/>
      <c r="D131" s="102"/>
      <c r="E131" s="102"/>
      <c r="F131" s="1678"/>
      <c r="G131" s="1678"/>
      <c r="H131" s="1678"/>
      <c r="I131" s="1678"/>
      <c r="J131" s="1678"/>
      <c r="K131" s="1678"/>
      <c r="L131" s="1678"/>
      <c r="M131" s="1678"/>
      <c r="N131" s="1678"/>
      <c r="O131" s="1678"/>
      <c r="P131" s="104"/>
      <c r="Q131" s="104"/>
      <c r="R131" s="104"/>
      <c r="S131" s="104"/>
      <c r="T131" s="104"/>
      <c r="U131" s="104"/>
      <c r="V131" s="104"/>
      <c r="W131" s="104"/>
      <c r="X131" s="104"/>
      <c r="Y131" s="104"/>
      <c r="Z131" s="104"/>
      <c r="AA131" s="104"/>
      <c r="AB131" s="104"/>
      <c r="AC131" s="101"/>
      <c r="AD131" s="101"/>
      <c r="AE131" s="101"/>
      <c r="AF131" s="101"/>
      <c r="AG131" s="101"/>
      <c r="AH131" s="101"/>
      <c r="AI131" s="101"/>
      <c r="AJ131" s="101"/>
      <c r="AK131" s="101"/>
      <c r="AL131" s="101"/>
      <c r="AM131" s="101"/>
    </row>
    <row r="132" spans="1:39" s="103" customFormat="1" ht="16.5" x14ac:dyDescent="0.3">
      <c r="A132" s="101"/>
      <c r="B132" s="102"/>
      <c r="C132" s="102" t="s">
        <v>797</v>
      </c>
      <c r="D132" s="102"/>
      <c r="E132" s="102"/>
      <c r="F132" s="1678">
        <f>Ввод!G24/VLOOKUP(Баланс!$B$7,Баланс!$A$1:$B$3,2,0)</f>
        <v>442.34798599999999</v>
      </c>
      <c r="G132" s="1678">
        <f>Ввод!H24/VLOOKUP(Баланс!$B$7,Баланс!$A$1:$B$3,2,0)</f>
        <v>436.38438100000002</v>
      </c>
      <c r="H132" s="1678">
        <f>Ввод!I24/VLOOKUP(Баланс!$B$7,Баланс!$A$1:$B$3,2,0)</f>
        <v>498.327494</v>
      </c>
      <c r="I132" s="1678">
        <f>Ввод!J24/VLOOKUP(Баланс!$B$7,Баланс!$A$1:$B$3,2,0)</f>
        <v>561.14467999999999</v>
      </c>
      <c r="J132" s="1678">
        <f>Ввод!K24/VLOOKUP(Баланс!$B$7,Баланс!$A$1:$B$3,2,0)</f>
        <v>594.02554299999997</v>
      </c>
      <c r="K132" s="1678">
        <f>Ввод!L24/VLOOKUP(Баланс!$B$7,Баланс!$A$1:$B$3,2,0)</f>
        <v>653.57444299999997</v>
      </c>
      <c r="L132" s="1678">
        <f>Ввод!M24/VLOOKUP(Баланс!$B$7,Баланс!$A$1:$B$3,2,0)</f>
        <v>811.266749</v>
      </c>
      <c r="M132" s="1678">
        <f>Ввод!N24/VLOOKUP(Баланс!$B$7,Баланс!$A$1:$B$3,2,0)</f>
        <v>837.68483700000002</v>
      </c>
      <c r="N132" s="1678">
        <f>Ввод!O24/VLOOKUP(Баланс!$B$7,Баланс!$A$1:$B$3,2,0)</f>
        <v>931.50663699999996</v>
      </c>
      <c r="O132" s="1678">
        <f>Ввод!P24/VLOOKUP(Баланс!$B$7,Баланс!$A$1:$B$3,2,0)</f>
        <v>0</v>
      </c>
      <c r="P132" s="104"/>
      <c r="Q132" s="287"/>
      <c r="R132" s="104"/>
      <c r="S132" s="104"/>
      <c r="T132" s="104"/>
      <c r="U132" s="104"/>
      <c r="V132" s="104"/>
      <c r="W132" s="104"/>
      <c r="X132" s="104"/>
      <c r="Y132" s="104"/>
      <c r="Z132" s="104"/>
      <c r="AA132" s="104"/>
      <c r="AB132" s="104"/>
      <c r="AC132" s="101"/>
      <c r="AD132" s="101"/>
      <c r="AE132" s="101"/>
      <c r="AF132" s="101"/>
      <c r="AG132" s="101"/>
      <c r="AH132" s="101"/>
      <c r="AI132" s="101"/>
      <c r="AJ132" s="101"/>
      <c r="AK132" s="101"/>
      <c r="AL132" s="101"/>
      <c r="AM132" s="101"/>
    </row>
    <row r="133" spans="1:39" s="103" customFormat="1" ht="16.5" x14ac:dyDescent="0.3">
      <c r="A133" s="101"/>
      <c r="B133" s="102"/>
      <c r="C133" s="102" t="s">
        <v>3312</v>
      </c>
      <c r="D133" s="102"/>
      <c r="E133" s="102"/>
      <c r="F133" s="1678">
        <f>Ввод!G350/VLOOKUP(Баланс!$B$7,Баланс!$A$1:$B$3,2,0)</f>
        <v>537.90493800000002</v>
      </c>
      <c r="G133" s="1678">
        <f>Ввод!H350/VLOOKUP(Баланс!$B$7,Баланс!$A$1:$B$3,2,0)</f>
        <v>548.30931599999997</v>
      </c>
      <c r="H133" s="1678">
        <f>Ввод!I350/VLOOKUP(Баланс!$B$7,Баланс!$A$1:$B$3,2,0)</f>
        <v>526.12903100000005</v>
      </c>
      <c r="I133" s="1678">
        <f>Ввод!J350/VLOOKUP(Баланс!$B$7,Баланс!$A$1:$B$3,2,0)</f>
        <v>517.56732099999999</v>
      </c>
      <c r="J133" s="1678">
        <f>Ввод!K350/VLOOKUP(Баланс!$B$7,Баланс!$A$1:$B$3,2,0)</f>
        <v>524.30846599999995</v>
      </c>
      <c r="K133" s="1678">
        <f>Ввод!L350/VLOOKUP(Баланс!$B$7,Баланс!$A$1:$B$3,2,0)</f>
        <v>633.24259300000006</v>
      </c>
      <c r="L133" s="1678">
        <f>Ввод!M350/VLOOKUP(Баланс!$B$7,Баланс!$A$1:$B$3,2,0)</f>
        <v>626.38096700000006</v>
      </c>
      <c r="M133" s="1678">
        <f>Ввод!N350/VLOOKUP(Баланс!$B$7,Баланс!$A$1:$B$3,2,0)</f>
        <v>686.52613899999994</v>
      </c>
      <c r="N133" s="1678">
        <f>Ввод!O350/VLOOKUP(Баланс!$B$7,Баланс!$A$1:$B$3,2,0)</f>
        <v>758.76818000000003</v>
      </c>
      <c r="O133" s="1678">
        <f>Ввод!P350/VLOOKUP(Баланс!$B$7,Баланс!$A$1:$B$3,2,0)</f>
        <v>0</v>
      </c>
      <c r="P133" s="104"/>
      <c r="Q133" s="288">
        <f>N133/M133-1</f>
        <v>0.10522839101979198</v>
      </c>
      <c r="R133" s="104"/>
      <c r="S133" s="104"/>
      <c r="T133" s="104"/>
      <c r="U133" s="104"/>
      <c r="V133" s="104"/>
      <c r="W133" s="104"/>
      <c r="X133" s="104"/>
      <c r="Y133" s="104"/>
      <c r="Z133" s="104"/>
      <c r="AA133" s="104"/>
      <c r="AB133" s="104"/>
      <c r="AC133" s="101"/>
      <c r="AD133" s="101"/>
      <c r="AE133" s="101"/>
      <c r="AF133" s="101"/>
      <c r="AG133" s="101"/>
      <c r="AH133" s="101"/>
      <c r="AI133" s="101"/>
      <c r="AJ133" s="101"/>
      <c r="AK133" s="101"/>
      <c r="AL133" s="101"/>
      <c r="AM133" s="101"/>
    </row>
    <row r="134" spans="1:39" s="103" customFormat="1" ht="16.5" x14ac:dyDescent="0.3">
      <c r="A134" s="107"/>
      <c r="B134" s="108"/>
      <c r="C134" s="1431"/>
      <c r="D134" s="1431" t="s">
        <v>86</v>
      </c>
      <c r="E134" s="1431"/>
      <c r="F134" s="1432">
        <f t="shared" ref="F134:O134" si="81">F133/F132</f>
        <v>1.2160221251691197</v>
      </c>
      <c r="G134" s="1432">
        <f t="shared" si="81"/>
        <v>1.2564824495861138</v>
      </c>
      <c r="H134" s="1432">
        <f t="shared" si="81"/>
        <v>1.0557896911864952</v>
      </c>
      <c r="I134" s="1432">
        <f t="shared" si="81"/>
        <v>0.92234202594596459</v>
      </c>
      <c r="J134" s="1432">
        <f t="shared" si="81"/>
        <v>0.88263623034136085</v>
      </c>
      <c r="K134" s="1432">
        <f t="shared" si="81"/>
        <v>0.96889130195074058</v>
      </c>
      <c r="L134" s="1432">
        <f t="shared" si="81"/>
        <v>0.77210235446245323</v>
      </c>
      <c r="M134" s="1432">
        <f t="shared" si="81"/>
        <v>0.81955182746133426</v>
      </c>
      <c r="N134" s="1432">
        <f t="shared" si="81"/>
        <v>0.81456014360099516</v>
      </c>
      <c r="O134" s="1432" t="e">
        <f t="shared" si="81"/>
        <v>#DIV/0!</v>
      </c>
      <c r="P134" s="119"/>
      <c r="Q134" s="107"/>
      <c r="R134" s="101"/>
      <c r="S134" s="101"/>
      <c r="T134" s="101"/>
      <c r="U134" s="107"/>
      <c r="V134" s="101"/>
      <c r="W134" s="101"/>
      <c r="X134" s="101"/>
      <c r="Y134" s="101"/>
      <c r="Z134" s="101"/>
      <c r="AA134" s="101"/>
      <c r="AB134" s="101"/>
      <c r="AC134" s="101"/>
      <c r="AD134" s="101"/>
      <c r="AE134" s="101"/>
      <c r="AF134" s="101"/>
      <c r="AG134" s="101"/>
      <c r="AH134" s="101"/>
      <c r="AI134" s="101"/>
      <c r="AJ134" s="101"/>
      <c r="AK134" s="101"/>
      <c r="AL134" s="101"/>
      <c r="AM134" s="101"/>
    </row>
    <row r="135" spans="1:39" x14ac:dyDescent="0.2">
      <c r="A135" s="4"/>
      <c r="B135" s="6"/>
      <c r="C135" s="6"/>
      <c r="D135" s="6"/>
      <c r="E135" s="6"/>
      <c r="F135" s="141"/>
      <c r="G135" s="141"/>
      <c r="H135" s="141"/>
      <c r="I135" s="141"/>
      <c r="J135" s="8"/>
      <c r="K135" s="8"/>
      <c r="L135" s="8"/>
      <c r="M135" s="8"/>
      <c r="N135" s="8"/>
      <c r="O135" s="8"/>
      <c r="P135" s="8"/>
      <c r="Q135" s="8"/>
      <c r="R135" s="8"/>
      <c r="S135" s="8"/>
      <c r="T135" s="8"/>
      <c r="U135" s="8"/>
      <c r="V135" s="8"/>
      <c r="W135" s="8"/>
      <c r="X135" s="8"/>
      <c r="Y135" s="8"/>
      <c r="Z135" s="8"/>
      <c r="AA135" s="8"/>
      <c r="AB135" s="8"/>
      <c r="AC135" s="4"/>
      <c r="AD135" s="4"/>
      <c r="AE135" s="4"/>
      <c r="AF135" s="4"/>
      <c r="AG135" s="4"/>
      <c r="AH135" s="4"/>
      <c r="AI135" s="4"/>
      <c r="AJ135" s="4"/>
      <c r="AK135" s="4"/>
      <c r="AL135" s="4"/>
      <c r="AM135" s="4"/>
    </row>
    <row r="136" spans="1:39" ht="15" x14ac:dyDescent="0.2">
      <c r="A136" s="507"/>
      <c r="B136" s="785"/>
      <c r="C136" s="786" t="s">
        <v>1081</v>
      </c>
      <c r="D136" s="785"/>
      <c r="E136" s="785"/>
      <c r="F136" s="787"/>
      <c r="G136" s="787"/>
      <c r="H136" s="787"/>
      <c r="I136" s="787"/>
      <c r="J136" s="788"/>
      <c r="K136" s="788"/>
      <c r="L136" s="788"/>
      <c r="M136" s="788"/>
      <c r="N136" s="788"/>
      <c r="O136" s="788"/>
      <c r="P136" s="8"/>
      <c r="Q136" s="788"/>
      <c r="R136" s="788"/>
      <c r="S136" s="788"/>
      <c r="T136" s="788"/>
      <c r="U136" s="788"/>
      <c r="V136" s="788"/>
      <c r="W136" s="788"/>
      <c r="X136" s="788"/>
      <c r="Y136" s="788"/>
      <c r="Z136" s="788"/>
      <c r="AA136" s="788"/>
      <c r="AB136" s="8"/>
      <c r="AC136" s="4"/>
      <c r="AD136" s="4"/>
      <c r="AE136" s="4"/>
      <c r="AF136" s="4"/>
      <c r="AG136" s="4"/>
      <c r="AH136" s="4"/>
      <c r="AI136" s="4"/>
      <c r="AJ136" s="4"/>
      <c r="AK136" s="4"/>
      <c r="AL136" s="4"/>
      <c r="AM136" s="4"/>
    </row>
    <row r="137" spans="1:39" x14ac:dyDescent="0.2">
      <c r="A137" s="4"/>
      <c r="B137" s="6"/>
      <c r="C137" s="6"/>
      <c r="D137" s="6"/>
      <c r="E137" s="6"/>
      <c r="F137" s="141"/>
      <c r="G137" s="141"/>
      <c r="H137" s="141"/>
      <c r="I137" s="141"/>
      <c r="J137" s="8"/>
      <c r="K137" s="8"/>
      <c r="L137" s="8"/>
      <c r="M137" s="8"/>
      <c r="N137" s="8"/>
      <c r="O137" s="8"/>
      <c r="P137" s="8"/>
      <c r="Q137" s="8"/>
      <c r="R137" s="8"/>
      <c r="S137" s="8"/>
      <c r="T137" s="8"/>
      <c r="U137" s="8"/>
      <c r="V137" s="8"/>
      <c r="W137" s="8"/>
      <c r="X137" s="8"/>
      <c r="Y137" s="8"/>
      <c r="Z137" s="8"/>
      <c r="AA137" s="8"/>
      <c r="AB137" s="8"/>
      <c r="AC137" s="4"/>
      <c r="AD137" s="4"/>
      <c r="AE137" s="4"/>
      <c r="AF137" s="4"/>
      <c r="AG137" s="4"/>
      <c r="AH137" s="4"/>
      <c r="AI137" s="4"/>
      <c r="AJ137" s="4"/>
      <c r="AK137" s="4"/>
      <c r="AL137" s="4"/>
      <c r="AM137" s="4"/>
    </row>
    <row r="138" spans="1:39" ht="15.75" x14ac:dyDescent="0.2">
      <c r="A138" s="4"/>
      <c r="B138" s="6"/>
      <c r="C138" s="789" t="s">
        <v>3311</v>
      </c>
      <c r="D138" s="6"/>
      <c r="E138" s="6"/>
      <c r="F138" s="141"/>
      <c r="G138" s="141"/>
      <c r="H138" s="141"/>
      <c r="I138" s="141"/>
      <c r="J138" s="8"/>
      <c r="K138" s="8"/>
      <c r="L138" s="8"/>
      <c r="M138" s="8"/>
      <c r="N138" s="8"/>
      <c r="O138" s="8"/>
      <c r="P138" s="8"/>
      <c r="Q138" s="8"/>
      <c r="R138" s="8"/>
      <c r="S138" s="8"/>
      <c r="T138" s="8"/>
      <c r="U138" s="8"/>
      <c r="V138" s="8"/>
      <c r="W138" s="8"/>
      <c r="X138" s="8"/>
      <c r="Y138" s="8"/>
      <c r="Z138" s="8"/>
      <c r="AA138" s="8"/>
      <c r="AB138" s="8"/>
      <c r="AC138" s="4"/>
      <c r="AD138" s="4"/>
      <c r="AE138" s="4"/>
      <c r="AF138" s="4"/>
      <c r="AG138" s="4"/>
      <c r="AH138" s="4"/>
      <c r="AI138" s="4"/>
      <c r="AJ138" s="4"/>
      <c r="AK138" s="4"/>
      <c r="AL138" s="4"/>
      <c r="AM138" s="4"/>
    </row>
    <row r="139" spans="1:39" ht="17.25" thickBot="1" x14ac:dyDescent="0.35">
      <c r="A139" s="4"/>
      <c r="B139" s="6"/>
      <c r="C139" s="154" t="str">
        <f>E7</f>
        <v>млрд руб.</v>
      </c>
      <c r="D139" s="691"/>
      <c r="E139" s="691"/>
      <c r="F139" s="702"/>
      <c r="G139" s="1437" t="str">
        <f>G8</f>
        <v>2017</v>
      </c>
      <c r="H139" s="1437" t="str">
        <f>H8</f>
        <v>2018</v>
      </c>
      <c r="I139" s="1437" t="str">
        <f>I8</f>
        <v>2019</v>
      </c>
      <c r="J139" s="1437" t="str">
        <f>J8</f>
        <v>2020</v>
      </c>
      <c r="K139" s="1437" t="str">
        <f>K8</f>
        <v>2021</v>
      </c>
      <c r="L139" s="1437" t="str">
        <f t="shared" ref="L139:O139" si="82">L8</f>
        <v>2022</v>
      </c>
      <c r="M139" s="1437" t="str">
        <f t="shared" si="82"/>
        <v>2023</v>
      </c>
      <c r="N139" s="1437" t="str">
        <f t="shared" si="82"/>
        <v>2024</v>
      </c>
      <c r="O139" s="1437" t="str">
        <f t="shared" si="82"/>
        <v>2025</v>
      </c>
      <c r="P139" s="168"/>
      <c r="Q139" s="168"/>
      <c r="R139" s="700"/>
      <c r="S139" s="700" t="str">
        <f t="shared" ref="S139:AA139" si="83">S8</f>
        <v>2017</v>
      </c>
      <c r="T139" s="700" t="str">
        <f t="shared" si="83"/>
        <v>2018</v>
      </c>
      <c r="U139" s="700" t="str">
        <f t="shared" si="83"/>
        <v>2019</v>
      </c>
      <c r="V139" s="700" t="str">
        <f t="shared" si="83"/>
        <v>2020</v>
      </c>
      <c r="W139" s="700" t="str">
        <f t="shared" si="83"/>
        <v>2021</v>
      </c>
      <c r="X139" s="700" t="str">
        <f t="shared" si="83"/>
        <v>2022</v>
      </c>
      <c r="Y139" s="700" t="str">
        <f t="shared" si="83"/>
        <v>2023</v>
      </c>
      <c r="Z139" s="700" t="str">
        <f t="shared" si="83"/>
        <v>2024</v>
      </c>
      <c r="AA139" s="700" t="str">
        <f t="shared" si="83"/>
        <v>2025</v>
      </c>
      <c r="AB139" s="104"/>
      <c r="AC139" s="4"/>
      <c r="AD139" s="4"/>
      <c r="AE139" s="4"/>
      <c r="AF139" s="4"/>
      <c r="AG139" s="4"/>
      <c r="AH139" s="4"/>
      <c r="AI139" s="4"/>
      <c r="AJ139" s="4"/>
      <c r="AK139" s="4"/>
      <c r="AL139" s="4"/>
      <c r="AM139" s="4"/>
    </row>
    <row r="140" spans="1:39" ht="16.5" x14ac:dyDescent="0.3">
      <c r="A140" s="4"/>
      <c r="B140" s="6"/>
      <c r="C140" s="247" t="s">
        <v>318</v>
      </c>
      <c r="D140" s="248"/>
      <c r="E140" s="247"/>
      <c r="F140" s="249"/>
      <c r="G140" s="249">
        <f>Ввод!H383/VLOOKUP(Баланс!$B$7,Баланс!$A$1:$B$3,2,0)</f>
        <v>548.30931599999997</v>
      </c>
      <c r="H140" s="249">
        <f>Ввод!I383/VLOOKUP(Баланс!$B$7,Баланс!$A$1:$B$3,2,0)</f>
        <v>526.12903100000005</v>
      </c>
      <c r="I140" s="249">
        <f>Ввод!J383/VLOOKUP(Баланс!$B$7,Баланс!$A$1:$B$3,2,0)</f>
        <v>538.99242700000002</v>
      </c>
      <c r="J140" s="249">
        <f>Ввод!K383/VLOOKUP(Баланс!$B$7,Баланс!$A$1:$B$3,2,0)</f>
        <v>538.24858900000004</v>
      </c>
      <c r="K140" s="249"/>
      <c r="L140" s="249"/>
      <c r="M140" s="249"/>
      <c r="N140" s="249"/>
      <c r="O140" s="249"/>
      <c r="P140" s="289" t="s">
        <v>326</v>
      </c>
      <c r="Q140" s="251"/>
      <c r="R140" s="255"/>
      <c r="S140" s="255">
        <f t="shared" ref="S140:V141" si="84">G140/G$140</f>
        <v>1</v>
      </c>
      <c r="T140" s="255">
        <f t="shared" si="84"/>
        <v>1</v>
      </c>
      <c r="U140" s="255">
        <f t="shared" si="84"/>
        <v>1</v>
      </c>
      <c r="V140" s="255">
        <f t="shared" si="84"/>
        <v>1</v>
      </c>
      <c r="W140" s="255"/>
      <c r="X140" s="255"/>
      <c r="Y140" s="255"/>
      <c r="Z140" s="256"/>
      <c r="AA140" s="256"/>
      <c r="AB140" s="267"/>
      <c r="AC140" s="4"/>
      <c r="AD140" s="4"/>
      <c r="AE140" s="4"/>
      <c r="AF140" s="4"/>
      <c r="AG140" s="4"/>
      <c r="AH140" s="4"/>
      <c r="AI140" s="4"/>
      <c r="AJ140" s="4"/>
      <c r="AK140" s="4"/>
      <c r="AL140" s="4"/>
      <c r="AM140" s="4"/>
    </row>
    <row r="141" spans="1:39" ht="16.5" x14ac:dyDescent="0.3">
      <c r="A141" s="4"/>
      <c r="B141" s="6"/>
      <c r="C141" s="102"/>
      <c r="D141" s="102" t="s">
        <v>1401</v>
      </c>
      <c r="E141" s="102"/>
      <c r="F141" s="843"/>
      <c r="G141" s="843">
        <f>Ввод!H367/VLOOKUP(Баланс!$B$7,Баланс!$A$1:$B$3,2,0)</f>
        <v>337.07747499999999</v>
      </c>
      <c r="H141" s="843">
        <f>Ввод!I367/VLOOKUP(Баланс!$B$7,Баланс!$A$1:$B$3,2,0)</f>
        <v>370.48127799999997</v>
      </c>
      <c r="I141" s="843">
        <f>Ввод!J367/VLOOKUP(Баланс!$B$7,Баланс!$A$1:$B$3,2,0)</f>
        <v>357.49718300000001</v>
      </c>
      <c r="J141" s="843">
        <f>Ввод!K367/VLOOKUP(Баланс!$B$7,Баланс!$A$1:$B$3,2,0)</f>
        <v>398.445427</v>
      </c>
      <c r="K141" s="843"/>
      <c r="L141" s="270"/>
      <c r="M141" s="270"/>
      <c r="N141" s="270"/>
      <c r="O141" s="270"/>
      <c r="P141" s="290">
        <f>J141-I141</f>
        <v>40.948243999999988</v>
      </c>
      <c r="Q141" s="251"/>
      <c r="R141" s="1167"/>
      <c r="S141" s="1167">
        <f t="shared" si="84"/>
        <v>0.6147578842158502</v>
      </c>
      <c r="T141" s="1167">
        <f t="shared" si="84"/>
        <v>0.7041642946328881</v>
      </c>
      <c r="U141" s="1167">
        <f t="shared" si="84"/>
        <v>0.66326939877394597</v>
      </c>
      <c r="V141" s="1167">
        <f t="shared" si="84"/>
        <v>0.74026283606291066</v>
      </c>
      <c r="W141" s="1167"/>
      <c r="X141" s="1167"/>
      <c r="Y141" s="1167"/>
      <c r="Z141" s="136"/>
      <c r="AA141" s="136"/>
      <c r="AB141" s="267"/>
      <c r="AC141" s="4"/>
      <c r="AD141" s="4"/>
      <c r="AE141" s="4"/>
      <c r="AF141" s="4"/>
      <c r="AG141" s="4"/>
      <c r="AH141" s="4"/>
      <c r="AI141" s="4"/>
      <c r="AJ141" s="4"/>
      <c r="AK141" s="4"/>
      <c r="AL141" s="4"/>
      <c r="AM141" s="4"/>
    </row>
    <row r="142" spans="1:39" ht="16.5" outlineLevel="1" x14ac:dyDescent="0.3">
      <c r="A142" s="4"/>
      <c r="B142" s="6"/>
      <c r="C142" s="102"/>
      <c r="D142" s="1175"/>
      <c r="E142" s="1175" t="s">
        <v>1415</v>
      </c>
      <c r="F142" s="1176"/>
      <c r="G142" s="1176"/>
      <c r="H142" s="1176"/>
      <c r="I142" s="1176"/>
      <c r="J142" s="1176"/>
      <c r="K142" s="1176"/>
      <c r="L142" s="1177"/>
      <c r="M142" s="1177"/>
      <c r="N142" s="1177"/>
      <c r="O142" s="1177"/>
      <c r="P142" s="290"/>
      <c r="Q142" s="251"/>
      <c r="R142" s="1178"/>
      <c r="S142" s="1178"/>
      <c r="T142" s="1178"/>
      <c r="U142" s="1178"/>
      <c r="V142" s="1178"/>
      <c r="W142" s="1178"/>
      <c r="X142" s="1178"/>
      <c r="Y142" s="1178"/>
      <c r="Z142" s="1179"/>
      <c r="AA142" s="1179"/>
      <c r="AB142" s="267"/>
      <c r="AC142" s="4"/>
      <c r="AD142" s="4"/>
      <c r="AE142" s="4"/>
      <c r="AF142" s="4"/>
      <c r="AG142" s="4"/>
      <c r="AH142" s="4"/>
      <c r="AI142" s="4"/>
      <c r="AJ142" s="4"/>
      <c r="AK142" s="4"/>
      <c r="AL142" s="4"/>
      <c r="AM142" s="4"/>
    </row>
    <row r="143" spans="1:39" ht="16.5" outlineLevel="1" x14ac:dyDescent="0.3">
      <c r="A143" s="4"/>
      <c r="B143" s="6"/>
      <c r="C143" s="102"/>
      <c r="D143" s="1175"/>
      <c r="E143" s="1175" t="s">
        <v>1416</v>
      </c>
      <c r="F143" s="1176"/>
      <c r="G143" s="1176"/>
      <c r="H143" s="1176"/>
      <c r="I143" s="1176"/>
      <c r="J143" s="1176"/>
      <c r="K143" s="1176"/>
      <c r="L143" s="1177"/>
      <c r="M143" s="1177"/>
      <c r="N143" s="1177"/>
      <c r="O143" s="1177"/>
      <c r="P143" s="290"/>
      <c r="Q143" s="251"/>
      <c r="R143" s="1178"/>
      <c r="S143" s="1178"/>
      <c r="T143" s="1178"/>
      <c r="U143" s="1178"/>
      <c r="V143" s="1178"/>
      <c r="W143" s="1178"/>
      <c r="X143" s="1178"/>
      <c r="Y143" s="1178"/>
      <c r="Z143" s="1179"/>
      <c r="AA143" s="1179"/>
      <c r="AB143" s="267"/>
      <c r="AC143" s="4"/>
      <c r="AD143" s="4"/>
      <c r="AE143" s="4"/>
      <c r="AF143" s="4"/>
      <c r="AG143" s="4"/>
      <c r="AH143" s="4"/>
      <c r="AI143" s="4"/>
      <c r="AJ143" s="4"/>
      <c r="AK143" s="4"/>
      <c r="AL143" s="4"/>
      <c r="AM143" s="4"/>
    </row>
    <row r="144" spans="1:39" ht="16.5" outlineLevel="1" x14ac:dyDescent="0.3">
      <c r="A144" s="4"/>
      <c r="B144" s="6"/>
      <c r="C144" s="102"/>
      <c r="D144" s="1175"/>
      <c r="E144" s="1175" t="s">
        <v>1418</v>
      </c>
      <c r="F144" s="1176"/>
      <c r="G144" s="1176"/>
      <c r="H144" s="1176"/>
      <c r="I144" s="1176"/>
      <c r="J144" s="1176"/>
      <c r="K144" s="1176"/>
      <c r="L144" s="1177"/>
      <c r="M144" s="1177"/>
      <c r="N144" s="1177"/>
      <c r="O144" s="1177"/>
      <c r="P144" s="290"/>
      <c r="Q144" s="251"/>
      <c r="R144" s="1178"/>
      <c r="S144" s="1178"/>
      <c r="T144" s="1178"/>
      <c r="U144" s="1178"/>
      <c r="V144" s="1178"/>
      <c r="W144" s="1178"/>
      <c r="X144" s="1178"/>
      <c r="Y144" s="1178"/>
      <c r="Z144" s="1179"/>
      <c r="AA144" s="1179"/>
      <c r="AB144" s="267"/>
      <c r="AC144" s="4"/>
      <c r="AD144" s="4"/>
      <c r="AE144" s="4"/>
      <c r="AF144" s="4"/>
      <c r="AG144" s="4"/>
      <c r="AH144" s="4"/>
      <c r="AI144" s="4"/>
      <c r="AJ144" s="4"/>
      <c r="AK144" s="4"/>
      <c r="AL144" s="4"/>
      <c r="AM144" s="4"/>
    </row>
    <row r="145" spans="1:39" ht="16.5" x14ac:dyDescent="0.3">
      <c r="A145" s="4"/>
      <c r="B145" s="6"/>
      <c r="C145" s="102"/>
      <c r="D145" s="102" t="s">
        <v>1402</v>
      </c>
      <c r="E145" s="102"/>
      <c r="F145" s="843"/>
      <c r="G145" s="843">
        <f>Ввод!H371/VLOOKUP(Баланс!$B$7,Баланс!$A$1:$B$3,2,0)</f>
        <v>1.8446739999999999</v>
      </c>
      <c r="H145" s="843">
        <f>Ввод!I371/VLOOKUP(Баланс!$B$7,Баланс!$A$1:$B$3,2,0)</f>
        <v>8.6007630000000006</v>
      </c>
      <c r="I145" s="843">
        <f>Ввод!J371/VLOOKUP(Баланс!$B$7,Баланс!$A$1:$B$3,2,0)</f>
        <v>19.047395999999999</v>
      </c>
      <c r="J145" s="843">
        <f>Ввод!K371/VLOOKUP(Баланс!$B$7,Баланс!$A$1:$B$3,2,0)</f>
        <v>13.70035</v>
      </c>
      <c r="K145" s="843"/>
      <c r="L145" s="270"/>
      <c r="M145" s="270"/>
      <c r="N145" s="270"/>
      <c r="O145" s="270"/>
      <c r="P145" s="290">
        <f t="shared" ref="P145:P154" si="85">J145-I145</f>
        <v>-5.3470459999999989</v>
      </c>
      <c r="Q145" s="251"/>
      <c r="R145" s="1167"/>
      <c r="S145" s="1167">
        <f t="shared" ref="S145:S154" si="86">G145/G$140</f>
        <v>3.3642944706049824E-3</v>
      </c>
      <c r="T145" s="1167">
        <f t="shared" ref="T145:T154" si="87">H145/H$140</f>
        <v>1.6347250376305505E-2</v>
      </c>
      <c r="U145" s="1167">
        <f t="shared" ref="U145:U154" si="88">I145/I$140</f>
        <v>3.5338893546272399E-2</v>
      </c>
      <c r="V145" s="1167">
        <f t="shared" ref="V145:V154" si="89">J145/J$140</f>
        <v>2.5453573460273389E-2</v>
      </c>
      <c r="W145" s="1167"/>
      <c r="X145" s="1167"/>
      <c r="Y145" s="1167"/>
      <c r="Z145" s="1168"/>
      <c r="AA145" s="1168"/>
      <c r="AB145" s="268"/>
      <c r="AC145" s="4"/>
      <c r="AD145" s="4"/>
      <c r="AE145" s="4"/>
      <c r="AF145" s="4"/>
      <c r="AG145" s="4"/>
      <c r="AH145" s="4"/>
      <c r="AI145" s="4"/>
      <c r="AJ145" s="4"/>
      <c r="AK145" s="4"/>
      <c r="AL145" s="4"/>
      <c r="AM145" s="4"/>
    </row>
    <row r="146" spans="1:39" ht="16.5" x14ac:dyDescent="0.3">
      <c r="A146" s="4"/>
      <c r="B146" s="6"/>
      <c r="C146" s="102"/>
      <c r="D146" s="102" t="s">
        <v>1403</v>
      </c>
      <c r="E146" s="102"/>
      <c r="F146" s="844"/>
      <c r="G146" s="844">
        <f>Ввод!H372/VLOOKUP(Баланс!$B$7,Баланс!$A$1:$B$3,2,0)</f>
        <v>0</v>
      </c>
      <c r="H146" s="844">
        <f>Ввод!I372/VLOOKUP(Баланс!$B$7,Баланс!$A$1:$B$3,2,0)</f>
        <v>0</v>
      </c>
      <c r="I146" s="844">
        <f>Ввод!J372/VLOOKUP(Баланс!$B$7,Баланс!$A$1:$B$3,2,0)</f>
        <v>1.038813</v>
      </c>
      <c r="J146" s="844">
        <f>Ввод!K372/VLOOKUP(Баланс!$B$7,Баланс!$A$1:$B$3,2,0)</f>
        <v>0.92659899999999995</v>
      </c>
      <c r="K146" s="844"/>
      <c r="L146" s="177"/>
      <c r="M146" s="177"/>
      <c r="N146" s="177"/>
      <c r="O146" s="177"/>
      <c r="P146" s="290">
        <f t="shared" si="85"/>
        <v>-0.11221400000000004</v>
      </c>
      <c r="Q146" s="251"/>
      <c r="R146" s="1167"/>
      <c r="S146" s="1167">
        <f t="shared" si="86"/>
        <v>0</v>
      </c>
      <c r="T146" s="1167">
        <f t="shared" si="87"/>
        <v>0</v>
      </c>
      <c r="U146" s="1167">
        <f t="shared" si="88"/>
        <v>1.9273239250910661E-3</v>
      </c>
      <c r="V146" s="1167">
        <f t="shared" si="89"/>
        <v>1.7215075319036272E-3</v>
      </c>
      <c r="W146" s="1167"/>
      <c r="X146" s="1167"/>
      <c r="Y146" s="1167"/>
      <c r="Z146" s="1168"/>
      <c r="AA146" s="1168"/>
      <c r="AB146" s="267"/>
      <c r="AC146" s="4"/>
      <c r="AD146" s="4"/>
      <c r="AE146" s="4"/>
      <c r="AF146" s="4"/>
      <c r="AG146" s="4"/>
      <c r="AH146" s="4"/>
      <c r="AI146" s="4"/>
      <c r="AJ146" s="4"/>
      <c r="AK146" s="4"/>
      <c r="AL146" s="4"/>
      <c r="AM146" s="4"/>
    </row>
    <row r="147" spans="1:39" ht="16.5" x14ac:dyDescent="0.3">
      <c r="A147" s="4"/>
      <c r="B147" s="6"/>
      <c r="C147" s="102"/>
      <c r="D147" s="102" t="s">
        <v>1413</v>
      </c>
      <c r="E147" s="102"/>
      <c r="F147" s="844"/>
      <c r="G147" s="844">
        <f>Ввод!H373/VLOOKUP(Баланс!$B$7,Баланс!$A$1:$B$3,2,0)</f>
        <v>0</v>
      </c>
      <c r="H147" s="844">
        <f>Ввод!I373/VLOOKUP(Баланс!$B$7,Баланс!$A$1:$B$3,2,0)</f>
        <v>0</v>
      </c>
      <c r="I147" s="844">
        <f>Ввод!J373/VLOOKUP(Баланс!$B$7,Баланс!$A$1:$B$3,2,0)</f>
        <v>0</v>
      </c>
      <c r="J147" s="844">
        <f>Ввод!K373/VLOOKUP(Баланс!$B$7,Баланс!$A$1:$B$3,2,0)</f>
        <v>0</v>
      </c>
      <c r="K147" s="844"/>
      <c r="L147" s="177"/>
      <c r="M147" s="177"/>
      <c r="N147" s="177"/>
      <c r="O147" s="177"/>
      <c r="P147" s="290">
        <f t="shared" si="85"/>
        <v>0</v>
      </c>
      <c r="Q147" s="251"/>
      <c r="R147" s="1167"/>
      <c r="S147" s="1167">
        <f t="shared" si="86"/>
        <v>0</v>
      </c>
      <c r="T147" s="1167">
        <f t="shared" si="87"/>
        <v>0</v>
      </c>
      <c r="U147" s="1167">
        <f t="shared" si="88"/>
        <v>0</v>
      </c>
      <c r="V147" s="1167">
        <f t="shared" si="89"/>
        <v>0</v>
      </c>
      <c r="W147" s="1167"/>
      <c r="X147" s="1167"/>
      <c r="Y147" s="1167"/>
      <c r="Z147" s="1168"/>
      <c r="AA147" s="1168"/>
      <c r="AB147" s="267"/>
      <c r="AC147" s="4"/>
      <c r="AD147" s="4"/>
      <c r="AE147" s="4"/>
      <c r="AF147" s="4"/>
      <c r="AG147" s="4"/>
      <c r="AH147" s="4"/>
      <c r="AI147" s="4"/>
      <c r="AJ147" s="4"/>
      <c r="AK147" s="4"/>
      <c r="AL147" s="4"/>
      <c r="AM147" s="4"/>
    </row>
    <row r="148" spans="1:39" ht="16.5" x14ac:dyDescent="0.3">
      <c r="A148" s="4"/>
      <c r="B148" s="6"/>
      <c r="C148" s="102"/>
      <c r="D148" s="102" t="s">
        <v>1414</v>
      </c>
      <c r="E148" s="102"/>
      <c r="F148" s="844"/>
      <c r="G148" s="844">
        <f>Ввод!H374/VLOOKUP(Баланс!$B$7,Баланс!$A$1:$B$3,2,0)</f>
        <v>19.782402000000001</v>
      </c>
      <c r="H148" s="844">
        <f>Ввод!I374/VLOOKUP(Баланс!$B$7,Баланс!$A$1:$B$3,2,0)</f>
        <v>16.697697000000002</v>
      </c>
      <c r="I148" s="844">
        <f>Ввод!J374/VLOOKUP(Баланс!$B$7,Баланс!$A$1:$B$3,2,0)</f>
        <v>20.114049999999999</v>
      </c>
      <c r="J148" s="844">
        <f>Ввод!K374/VLOOKUP(Баланс!$B$7,Баланс!$A$1:$B$3,2,0)</f>
        <v>15.94276</v>
      </c>
      <c r="K148" s="844"/>
      <c r="L148" s="177"/>
      <c r="M148" s="177"/>
      <c r="N148" s="177"/>
      <c r="O148" s="177"/>
      <c r="P148" s="290">
        <f t="shared" si="85"/>
        <v>-4.1712899999999991</v>
      </c>
      <c r="Q148" s="251"/>
      <c r="R148" s="188"/>
      <c r="S148" s="188">
        <f t="shared" si="86"/>
        <v>3.6078909153533338E-2</v>
      </c>
      <c r="T148" s="188">
        <f t="shared" si="87"/>
        <v>3.1736885851486117E-2</v>
      </c>
      <c r="U148" s="188">
        <f t="shared" si="88"/>
        <v>3.7317871258328458E-2</v>
      </c>
      <c r="V148" s="188">
        <f t="shared" si="89"/>
        <v>2.9619696782893005E-2</v>
      </c>
      <c r="W148" s="188"/>
      <c r="X148" s="188"/>
      <c r="Y148" s="188"/>
      <c r="Z148" s="118"/>
      <c r="AA148" s="118"/>
      <c r="AB148" s="267"/>
      <c r="AC148" s="4"/>
      <c r="AD148" s="4"/>
      <c r="AE148" s="4"/>
      <c r="AF148" s="4"/>
      <c r="AG148" s="4"/>
      <c r="AH148" s="4"/>
      <c r="AI148" s="4"/>
      <c r="AJ148" s="4"/>
      <c r="AK148" s="4"/>
      <c r="AL148" s="4"/>
      <c r="AM148" s="4"/>
    </row>
    <row r="149" spans="1:39" ht="16.5" x14ac:dyDescent="0.3">
      <c r="A149" s="4"/>
      <c r="B149" s="6"/>
      <c r="C149" s="102"/>
      <c r="D149" s="102" t="s">
        <v>1405</v>
      </c>
      <c r="E149" s="102"/>
      <c r="F149" s="844"/>
      <c r="G149" s="844">
        <f>Ввод!H375/VLOOKUP(Баланс!$B$7,Баланс!$A$1:$B$3,2,0)</f>
        <v>0</v>
      </c>
      <c r="H149" s="844">
        <f>Ввод!I375/VLOOKUP(Баланс!$B$7,Баланс!$A$1:$B$3,2,0)</f>
        <v>0</v>
      </c>
      <c r="I149" s="844">
        <f>Ввод!J375/VLOOKUP(Баланс!$B$7,Баланс!$A$1:$B$3,2,0)</f>
        <v>0</v>
      </c>
      <c r="J149" s="844">
        <f>Ввод!K375/VLOOKUP(Баланс!$B$7,Баланс!$A$1:$B$3,2,0)</f>
        <v>0</v>
      </c>
      <c r="K149" s="844"/>
      <c r="L149" s="177"/>
      <c r="M149" s="177"/>
      <c r="N149" s="177"/>
      <c r="O149" s="177"/>
      <c r="P149" s="290">
        <f t="shared" si="85"/>
        <v>0</v>
      </c>
      <c r="Q149" s="251"/>
      <c r="R149" s="188"/>
      <c r="S149" s="188">
        <f t="shared" si="86"/>
        <v>0</v>
      </c>
      <c r="T149" s="188">
        <f t="shared" si="87"/>
        <v>0</v>
      </c>
      <c r="U149" s="188">
        <f t="shared" si="88"/>
        <v>0</v>
      </c>
      <c r="V149" s="188">
        <f t="shared" si="89"/>
        <v>0</v>
      </c>
      <c r="W149" s="188"/>
      <c r="X149" s="188"/>
      <c r="Y149" s="188"/>
      <c r="Z149" s="118"/>
      <c r="AA149" s="118"/>
      <c r="AB149" s="267"/>
      <c r="AC149" s="4"/>
      <c r="AD149" s="4"/>
      <c r="AE149" s="4"/>
      <c r="AF149" s="4"/>
      <c r="AG149" s="4"/>
      <c r="AH149" s="4"/>
      <c r="AI149" s="4"/>
      <c r="AJ149" s="4"/>
      <c r="AK149" s="4"/>
      <c r="AL149" s="4"/>
      <c r="AM149" s="4"/>
    </row>
    <row r="150" spans="1:39" ht="16.5" x14ac:dyDescent="0.3">
      <c r="A150" s="4"/>
      <c r="B150" s="6"/>
      <c r="C150" s="102"/>
      <c r="D150" s="102" t="s">
        <v>1406</v>
      </c>
      <c r="E150" s="102"/>
      <c r="F150" s="843"/>
      <c r="G150" s="843">
        <f>Ввод!H375/VLOOKUP(Баланс!$B$7,Баланс!$A$1:$B$3,2,0)</f>
        <v>0</v>
      </c>
      <c r="H150" s="843">
        <f>Ввод!I375/VLOOKUP(Баланс!$B$7,Баланс!$A$1:$B$3,2,0)</f>
        <v>0</v>
      </c>
      <c r="I150" s="843">
        <f>Ввод!J375/VLOOKUP(Баланс!$B$7,Баланс!$A$1:$B$3,2,0)</f>
        <v>0</v>
      </c>
      <c r="J150" s="843">
        <f>Ввод!K375/VLOOKUP(Баланс!$B$7,Баланс!$A$1:$B$3,2,0)</f>
        <v>0</v>
      </c>
      <c r="K150" s="843"/>
      <c r="L150" s="177"/>
      <c r="M150" s="177"/>
      <c r="N150" s="177"/>
      <c r="O150" s="177"/>
      <c r="P150" s="290">
        <f t="shared" si="85"/>
        <v>0</v>
      </c>
      <c r="Q150" s="251"/>
      <c r="R150" s="188"/>
      <c r="S150" s="188">
        <f t="shared" si="86"/>
        <v>0</v>
      </c>
      <c r="T150" s="188">
        <f t="shared" si="87"/>
        <v>0</v>
      </c>
      <c r="U150" s="188">
        <f t="shared" si="88"/>
        <v>0</v>
      </c>
      <c r="V150" s="188">
        <f t="shared" si="89"/>
        <v>0</v>
      </c>
      <c r="W150" s="188"/>
      <c r="X150" s="188"/>
      <c r="Y150" s="188"/>
      <c r="Z150" s="118"/>
      <c r="AA150" s="118"/>
      <c r="AB150" s="267"/>
      <c r="AC150" s="4"/>
      <c r="AD150" s="4"/>
      <c r="AE150" s="4"/>
      <c r="AF150" s="4"/>
      <c r="AG150" s="4"/>
      <c r="AH150" s="4"/>
      <c r="AI150" s="4"/>
      <c r="AJ150" s="4"/>
      <c r="AK150" s="4"/>
      <c r="AL150" s="4"/>
      <c r="AM150" s="4"/>
    </row>
    <row r="151" spans="1:39" ht="16.5" x14ac:dyDescent="0.3">
      <c r="A151" s="4"/>
      <c r="B151" s="6"/>
      <c r="C151" s="102"/>
      <c r="D151" s="102" t="s">
        <v>1407</v>
      </c>
      <c r="E151" s="102"/>
      <c r="F151" s="844"/>
      <c r="G151" s="844">
        <f>Ввод!H376/VLOOKUP(Баланс!$B$7,Баланс!$A$1:$B$3,2,0)</f>
        <v>16.254162999999998</v>
      </c>
      <c r="H151" s="844">
        <f>Ввод!I376/VLOOKUP(Баланс!$B$7,Баланс!$A$1:$B$3,2,0)</f>
        <v>16.771799999999999</v>
      </c>
      <c r="I151" s="844">
        <f>Ввод!J376/VLOOKUP(Баланс!$B$7,Баланс!$A$1:$B$3,2,0)</f>
        <v>18.759685000000001</v>
      </c>
      <c r="J151" s="844">
        <f>Ввод!K376/VLOOKUP(Баланс!$B$7,Баланс!$A$1:$B$3,2,0)</f>
        <v>12.451435999999999</v>
      </c>
      <c r="K151" s="844"/>
      <c r="L151" s="177"/>
      <c r="M151" s="177"/>
      <c r="N151" s="177"/>
      <c r="O151" s="177"/>
      <c r="P151" s="290">
        <f t="shared" si="85"/>
        <v>-6.3082490000000018</v>
      </c>
      <c r="Q151" s="251"/>
      <c r="R151" s="188"/>
      <c r="S151" s="188">
        <f t="shared" si="86"/>
        <v>2.964414888766909E-2</v>
      </c>
      <c r="T151" s="188">
        <f t="shared" si="87"/>
        <v>3.1877731529321364E-2</v>
      </c>
      <c r="U151" s="188">
        <f t="shared" si="88"/>
        <v>3.4805099404485694E-2</v>
      </c>
      <c r="V151" s="188">
        <f t="shared" si="89"/>
        <v>2.3133244107770432E-2</v>
      </c>
      <c r="W151" s="188"/>
      <c r="X151" s="188"/>
      <c r="Y151" s="188"/>
      <c r="Z151" s="118"/>
      <c r="AA151" s="118"/>
      <c r="AB151" s="267"/>
      <c r="AC151" s="4"/>
      <c r="AD151" s="4"/>
      <c r="AE151" s="4"/>
      <c r="AF151" s="4"/>
      <c r="AG151" s="4"/>
      <c r="AH151" s="4"/>
      <c r="AI151" s="4"/>
      <c r="AJ151" s="4"/>
      <c r="AK151" s="4"/>
      <c r="AL151" s="4"/>
      <c r="AM151" s="4"/>
    </row>
    <row r="152" spans="1:39" ht="16.5" x14ac:dyDescent="0.3">
      <c r="A152" s="4"/>
      <c r="B152" s="6"/>
      <c r="C152" s="102"/>
      <c r="D152" s="102" t="s">
        <v>1408</v>
      </c>
      <c r="E152" s="102"/>
      <c r="F152" s="844"/>
      <c r="G152" s="844">
        <f>Ввод!H377/VLOOKUP(Баланс!$B$7,Баланс!$A$1:$B$3,2,0)</f>
        <v>120.16442600000001</v>
      </c>
      <c r="H152" s="844">
        <f>Ввод!I377/VLOOKUP(Баланс!$B$7,Баланс!$A$1:$B$3,2,0)</f>
        <v>73.390020000000007</v>
      </c>
      <c r="I152" s="844">
        <f>Ввод!J377/VLOOKUP(Баланс!$B$7,Баланс!$A$1:$B$3,2,0)</f>
        <v>64.483557000000005</v>
      </c>
      <c r="J152" s="844">
        <f>Ввод!K377/VLOOKUP(Баланс!$B$7,Баланс!$A$1:$B$3,2,0)</f>
        <v>44.385815000000001</v>
      </c>
      <c r="K152" s="844"/>
      <c r="L152" s="177"/>
      <c r="M152" s="177"/>
      <c r="N152" s="177"/>
      <c r="O152" s="177"/>
      <c r="P152" s="290">
        <f t="shared" si="85"/>
        <v>-20.097742000000004</v>
      </c>
      <c r="Q152" s="251"/>
      <c r="R152" s="188"/>
      <c r="S152" s="188">
        <f t="shared" si="86"/>
        <v>0.21915444894611277</v>
      </c>
      <c r="T152" s="188">
        <f t="shared" si="87"/>
        <v>0.13949053497487007</v>
      </c>
      <c r="U152" s="188">
        <f t="shared" si="88"/>
        <v>0.11963722265804674</v>
      </c>
      <c r="V152" s="188">
        <f t="shared" si="89"/>
        <v>8.2463411715511248E-2</v>
      </c>
      <c r="W152" s="188"/>
      <c r="X152" s="188"/>
      <c r="Y152" s="188"/>
      <c r="Z152" s="118"/>
      <c r="AA152" s="118"/>
      <c r="AB152" s="267"/>
      <c r="AC152" s="4"/>
      <c r="AD152" s="4"/>
      <c r="AE152" s="4"/>
      <c r="AF152" s="4"/>
      <c r="AG152" s="4"/>
      <c r="AH152" s="4"/>
      <c r="AI152" s="4"/>
      <c r="AJ152" s="4"/>
      <c r="AK152" s="4"/>
      <c r="AL152" s="4"/>
      <c r="AM152" s="4"/>
    </row>
    <row r="153" spans="1:39" ht="16.5" x14ac:dyDescent="0.3">
      <c r="A153" s="4"/>
      <c r="B153" s="6"/>
      <c r="C153" s="102"/>
      <c r="D153" s="102" t="s">
        <v>1410</v>
      </c>
      <c r="E153" s="102"/>
      <c r="F153" s="844"/>
      <c r="G153" s="844">
        <f>Ввод!H379/VLOOKUP(Баланс!$B$7,Баланс!$A$1:$B$3,2,0)</f>
        <v>40.821024000000001</v>
      </c>
      <c r="H153" s="844">
        <f>Ввод!I379/VLOOKUP(Баланс!$B$7,Баланс!$A$1:$B$3,2,0)</f>
        <v>33.176786999999997</v>
      </c>
      <c r="I153" s="844">
        <f>Ввод!J379/VLOOKUP(Баланс!$B$7,Баланс!$A$1:$B$3,2,0)</f>
        <v>34.158124999999998</v>
      </c>
      <c r="J153" s="844">
        <f>Ввод!K379/VLOOKUP(Баланс!$B$7,Баланс!$A$1:$B$3,2,0)</f>
        <v>36.072187</v>
      </c>
      <c r="K153" s="844"/>
      <c r="L153" s="177"/>
      <c r="M153" s="177"/>
      <c r="N153" s="177"/>
      <c r="O153" s="177"/>
      <c r="P153" s="290">
        <f t="shared" si="85"/>
        <v>1.9140620000000013</v>
      </c>
      <c r="Q153" s="251"/>
      <c r="R153" s="188"/>
      <c r="S153" s="188">
        <f t="shared" si="86"/>
        <v>7.4448897381127116E-2</v>
      </c>
      <c r="T153" s="188">
        <f t="shared" si="87"/>
        <v>6.3058270966233745E-2</v>
      </c>
      <c r="U153" s="188">
        <f t="shared" si="88"/>
        <v>6.3374035123502759E-2</v>
      </c>
      <c r="V153" s="188">
        <f t="shared" si="89"/>
        <v>6.7017708429143688E-2</v>
      </c>
      <c r="W153" s="188"/>
      <c r="X153" s="188"/>
      <c r="Y153" s="188"/>
      <c r="Z153" s="118"/>
      <c r="AA153" s="118"/>
      <c r="AB153" s="267"/>
      <c r="AC153" s="4"/>
      <c r="AD153" s="4"/>
      <c r="AE153" s="4"/>
      <c r="AF153" s="4"/>
      <c r="AG153" s="4"/>
      <c r="AH153" s="4"/>
      <c r="AI153" s="4"/>
      <c r="AJ153" s="4"/>
      <c r="AK153" s="4"/>
      <c r="AL153" s="4"/>
      <c r="AM153" s="4"/>
    </row>
    <row r="154" spans="1:39" ht="16.5" x14ac:dyDescent="0.3">
      <c r="A154" s="4"/>
      <c r="B154" s="6"/>
      <c r="C154" s="102"/>
      <c r="D154" s="102" t="s">
        <v>317</v>
      </c>
      <c r="E154" s="102"/>
      <c r="F154" s="844"/>
      <c r="G154" s="844">
        <f t="shared" ref="G154" si="90">G140-SUM(G141:G153)</f>
        <v>12.365151999999966</v>
      </c>
      <c r="H154" s="844">
        <f t="shared" ref="H154:J154" si="91">H140-SUM(H141:H153)</f>
        <v>7.0106860000000779</v>
      </c>
      <c r="I154" s="844">
        <f t="shared" si="91"/>
        <v>23.893617999999947</v>
      </c>
      <c r="J154" s="844">
        <f t="shared" si="91"/>
        <v>16.324015000000031</v>
      </c>
      <c r="K154" s="844"/>
      <c r="L154" s="177"/>
      <c r="M154" s="177"/>
      <c r="N154" s="177"/>
      <c r="O154" s="177"/>
      <c r="P154" s="290">
        <f t="shared" si="85"/>
        <v>-7.5696029999999155</v>
      </c>
      <c r="Q154" s="251"/>
      <c r="R154" s="188"/>
      <c r="S154" s="188">
        <f t="shared" si="86"/>
        <v>2.2551416945102511E-2</v>
      </c>
      <c r="T154" s="188">
        <f t="shared" si="87"/>
        <v>1.3325031668895072E-2</v>
      </c>
      <c r="U154" s="188">
        <f t="shared" si="88"/>
        <v>4.433015531032674E-2</v>
      </c>
      <c r="V154" s="188">
        <f t="shared" si="89"/>
        <v>3.0328021909593952E-2</v>
      </c>
      <c r="W154" s="188"/>
      <c r="X154" s="188"/>
      <c r="Y154" s="188"/>
      <c r="Z154" s="118"/>
      <c r="AA154" s="118"/>
      <c r="AB154" s="269"/>
      <c r="AC154" s="4"/>
      <c r="AD154" s="4"/>
      <c r="AE154" s="4"/>
      <c r="AF154" s="4"/>
      <c r="AG154" s="4"/>
      <c r="AH154" s="4"/>
      <c r="AI154" s="4"/>
      <c r="AJ154" s="4"/>
      <c r="AK154" s="4"/>
      <c r="AL154" s="4"/>
      <c r="AM154" s="4"/>
    </row>
    <row r="155" spans="1:39" s="474" customFormat="1" ht="16.5" outlineLevel="1" x14ac:dyDescent="0.3">
      <c r="A155" s="471"/>
      <c r="B155" s="472"/>
      <c r="C155" s="1951" t="s">
        <v>458</v>
      </c>
      <c r="D155" s="1951"/>
      <c r="E155" s="1951"/>
      <c r="F155" s="1952"/>
      <c r="G155" s="1952">
        <f>Ввод!H362/VLOOKUP(Баланс!$B$7,Баланс!$A$1:$B$3,2,0)-G140</f>
        <v>0</v>
      </c>
      <c r="H155" s="1952">
        <f>Ввод!I362/VLOOKUP(Баланс!$B$7,Баланс!$A$1:$B$3,2,0)-H140</f>
        <v>0</v>
      </c>
      <c r="I155" s="1952">
        <f>Ввод!J362/VLOOKUP(Баланс!$B$7,Баланс!$A$1:$B$3,2,0)-I140</f>
        <v>0</v>
      </c>
      <c r="J155" s="1952">
        <f>Ввод!K362/VLOOKUP(Баланс!$B$7,Баланс!$A$1:$B$3,2,0)-J140</f>
        <v>0</v>
      </c>
      <c r="K155" s="1952">
        <f>Ввод!L362/VLOOKUP(Баланс!$B$7,Баланс!$A$1:$B$3,2,0)-K140</f>
        <v>0</v>
      </c>
      <c r="L155" s="1952">
        <f>Ввод!M362/VLOOKUP(Баланс!$B$7,Баланс!$A$1:$B$3,2,0)-L140</f>
        <v>0</v>
      </c>
      <c r="M155" s="1952">
        <f>Ввод!N362/VLOOKUP(Баланс!$B$7,Баланс!$A$1:$B$3,2,0)-M140</f>
        <v>0</v>
      </c>
      <c r="N155" s="1952">
        <f>Ввод!O362/VLOOKUP(Баланс!$B$7,Баланс!$A$1:$B$3,2,0)-N140</f>
        <v>0</v>
      </c>
      <c r="O155" s="1953"/>
      <c r="P155" s="475"/>
      <c r="Q155" s="473"/>
      <c r="R155" s="473"/>
      <c r="S155" s="473"/>
      <c r="T155" s="473"/>
      <c r="U155" s="473"/>
      <c r="V155" s="473"/>
      <c r="W155" s="473"/>
      <c r="X155" s="473"/>
      <c r="Y155" s="473"/>
      <c r="Z155" s="473"/>
      <c r="AA155" s="473"/>
      <c r="AB155" s="473"/>
      <c r="AC155" s="471"/>
      <c r="AD155" s="471"/>
      <c r="AE155" s="471"/>
      <c r="AF155" s="471"/>
      <c r="AG155" s="471"/>
      <c r="AH155" s="471"/>
      <c r="AI155" s="471"/>
      <c r="AJ155" s="471"/>
      <c r="AK155" s="471"/>
      <c r="AL155" s="471"/>
      <c r="AM155" s="471"/>
    </row>
    <row r="156" spans="1:39" ht="16.5" x14ac:dyDescent="0.3">
      <c r="A156" s="4"/>
      <c r="B156" s="6"/>
      <c r="C156" s="6"/>
      <c r="D156" s="6"/>
      <c r="E156" s="6"/>
      <c r="F156" s="141"/>
      <c r="G156" s="141"/>
      <c r="H156" s="141"/>
      <c r="I156" s="141"/>
      <c r="J156" s="8"/>
      <c r="K156" s="8"/>
      <c r="L156" s="8"/>
      <c r="M156" s="8"/>
      <c r="N156" s="8"/>
      <c r="O156" s="8"/>
      <c r="P156" s="8"/>
      <c r="Q156" s="8"/>
      <c r="R156" s="104"/>
      <c r="S156" s="104"/>
      <c r="T156" s="104"/>
      <c r="U156" s="104"/>
      <c r="V156" s="104"/>
      <c r="W156" s="104"/>
      <c r="X156" s="104"/>
      <c r="Y156" s="104"/>
      <c r="Z156" s="104"/>
      <c r="AA156" s="104"/>
      <c r="AB156" s="104"/>
      <c r="AC156" s="4"/>
      <c r="AD156" s="4"/>
      <c r="AE156" s="4"/>
      <c r="AF156" s="4"/>
      <c r="AG156" s="4"/>
      <c r="AH156" s="4"/>
      <c r="AI156" s="4"/>
      <c r="AJ156" s="4"/>
      <c r="AK156" s="4"/>
      <c r="AL156" s="4"/>
      <c r="AM156" s="4"/>
    </row>
    <row r="157" spans="1:39" s="103" customFormat="1" ht="16.5" x14ac:dyDescent="0.3">
      <c r="A157" s="101"/>
      <c r="B157" s="102"/>
      <c r="C157" s="789" t="s">
        <v>1082</v>
      </c>
      <c r="D157" s="102"/>
      <c r="E157" s="102"/>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1"/>
      <c r="AD157" s="101"/>
      <c r="AE157" s="101"/>
      <c r="AF157" s="101"/>
      <c r="AG157" s="101"/>
      <c r="AH157" s="101"/>
      <c r="AI157" s="101"/>
      <c r="AJ157" s="101"/>
      <c r="AK157" s="101"/>
      <c r="AL157" s="101"/>
      <c r="AM157" s="101"/>
    </row>
    <row r="158" spans="1:39" s="103" customFormat="1" ht="16.5" x14ac:dyDescent="0.3">
      <c r="A158" s="101"/>
      <c r="B158" s="102"/>
      <c r="C158" s="102" t="s">
        <v>74</v>
      </c>
      <c r="D158" s="102" t="s">
        <v>1455</v>
      </c>
      <c r="E158" s="102"/>
      <c r="F158" s="1954"/>
      <c r="G158" s="1954">
        <f>Ввод!H393</f>
        <v>0.10532999999999999</v>
      </c>
      <c r="H158" s="1954">
        <f>Ввод!I393</f>
        <v>0.10917</v>
      </c>
      <c r="I158" s="1954">
        <f>Ввод!J393</f>
        <v>0.11928</v>
      </c>
      <c r="J158" s="1954">
        <f>Ввод!K393</f>
        <v>0.11613</v>
      </c>
      <c r="K158" s="1954">
        <f>Ввод!L393</f>
        <v>9.4149999999999998E-2</v>
      </c>
      <c r="L158" s="1954">
        <f>Ввод!M393</f>
        <v>9.6500000000000002E-2</v>
      </c>
      <c r="M158" s="1954">
        <f>Ввод!N393</f>
        <v>9.1810000000000003E-2</v>
      </c>
      <c r="N158" s="1954">
        <f>Ввод!O393</f>
        <v>0.10932</v>
      </c>
      <c r="O158" s="1954">
        <f>Ввод!P393</f>
        <v>0</v>
      </c>
      <c r="P158" s="151"/>
      <c r="Q158" s="151"/>
      <c r="R158" s="104"/>
      <c r="S158"/>
      <c r="T158" s="104"/>
      <c r="U158" s="104"/>
      <c r="V158" s="104"/>
      <c r="W158" s="104"/>
      <c r="X158" s="104"/>
      <c r="Y158" s="104"/>
      <c r="Z158" s="104"/>
      <c r="AA158" s="104"/>
      <c r="AB158" s="104"/>
      <c r="AC158" s="101"/>
      <c r="AD158" s="101"/>
      <c r="AE158" s="101"/>
      <c r="AF158" s="101"/>
      <c r="AG158" s="101"/>
      <c r="AH158" s="101"/>
      <c r="AI158" s="101"/>
      <c r="AJ158" s="101"/>
      <c r="AK158" s="101"/>
      <c r="AL158" s="101"/>
      <c r="AM158" s="101"/>
    </row>
    <row r="159" spans="1:39" s="103" customFormat="1" ht="16.5" x14ac:dyDescent="0.3">
      <c r="A159" s="101"/>
      <c r="B159" s="102"/>
      <c r="C159" s="102" t="s">
        <v>74</v>
      </c>
      <c r="D159" s="102" t="s">
        <v>1456</v>
      </c>
      <c r="E159" s="102"/>
      <c r="F159" s="1954"/>
      <c r="G159" s="1954">
        <f>Ввод!H394</f>
        <v>0.10532999999999999</v>
      </c>
      <c r="H159" s="1954">
        <f>Ввод!I394</f>
        <v>0.10917</v>
      </c>
      <c r="I159" s="1954">
        <f>Ввод!J394</f>
        <v>0.11928</v>
      </c>
      <c r="J159" s="1954">
        <f>Ввод!K394</f>
        <v>0.11613</v>
      </c>
      <c r="K159" s="1954">
        <f>Ввод!L394</f>
        <v>9.4149999999999998E-2</v>
      </c>
      <c r="L159" s="1954">
        <f>Ввод!M394</f>
        <v>9.6500000000000002E-2</v>
      </c>
      <c r="M159" s="1954">
        <f>Ввод!N394</f>
        <v>9.1810000000000003E-2</v>
      </c>
      <c r="N159" s="1954">
        <f>Ввод!O394</f>
        <v>0.10932</v>
      </c>
      <c r="O159" s="1954">
        <f>Ввод!P394</f>
        <v>0</v>
      </c>
      <c r="P159" s="151"/>
      <c r="Q159" s="286"/>
      <c r="R159" s="104"/>
      <c r="S159" s="104"/>
      <c r="T159" s="104"/>
      <c r="U159" s="104"/>
      <c r="V159" s="104"/>
      <c r="W159" s="104"/>
      <c r="X159" s="104"/>
      <c r="Y159" s="104"/>
      <c r="Z159" s="104"/>
      <c r="AA159" s="104"/>
      <c r="AB159" s="104"/>
      <c r="AC159" s="101"/>
      <c r="AD159" s="101"/>
      <c r="AE159" s="101"/>
      <c r="AF159" s="101"/>
      <c r="AG159" s="101"/>
      <c r="AH159" s="101"/>
      <c r="AI159" s="101"/>
      <c r="AJ159" s="101"/>
      <c r="AK159" s="101"/>
      <c r="AL159" s="101"/>
      <c r="AM159" s="101"/>
    </row>
    <row r="160" spans="1:39" s="103" customFormat="1" ht="16.5" x14ac:dyDescent="0.3">
      <c r="A160" s="101"/>
      <c r="B160" s="102"/>
      <c r="C160" s="102" t="s">
        <v>74</v>
      </c>
      <c r="D160" s="102" t="s">
        <v>1457</v>
      </c>
      <c r="E160" s="102"/>
      <c r="F160" s="1954"/>
      <c r="G160" s="1954">
        <f>Ввод!H395</f>
        <v>0.14717</v>
      </c>
      <c r="H160" s="1954">
        <f>Ввод!I395</f>
        <v>0.15112999999999999</v>
      </c>
      <c r="I160" s="1954">
        <f>Ввод!J395</f>
        <v>0.15112999999999999</v>
      </c>
      <c r="J160" s="1954">
        <f>Ввод!K395</f>
        <v>0.14334</v>
      </c>
      <c r="K160" s="1954">
        <f>Ввод!L395</f>
        <v>0.12059</v>
      </c>
      <c r="L160" s="1954">
        <f>Ввод!M395</f>
        <v>0.11899999999999999</v>
      </c>
      <c r="M160" s="1954">
        <f>Ввод!N395</f>
        <v>0.14049</v>
      </c>
      <c r="N160" s="1954">
        <f>Ввод!O395</f>
        <v>0.13297999999999999</v>
      </c>
      <c r="O160" s="1954">
        <f>Ввод!P395</f>
        <v>0</v>
      </c>
      <c r="P160" s="101"/>
      <c r="Q160" s="1861">
        <f>N160/M160-1</f>
        <v>-5.3455761975941485E-2</v>
      </c>
      <c r="R160" s="104"/>
      <c r="S160" s="104"/>
      <c r="T160" s="104"/>
      <c r="U160" s="104"/>
      <c r="V160" s="104"/>
      <c r="W160" s="104"/>
      <c r="X160" s="104"/>
      <c r="Y160" s="104"/>
      <c r="Z160" s="104"/>
      <c r="AA160" s="104"/>
      <c r="AB160" s="104"/>
      <c r="AC160" s="101"/>
      <c r="AD160" s="101"/>
      <c r="AE160" s="101"/>
      <c r="AF160" s="101"/>
      <c r="AG160" s="101"/>
      <c r="AH160" s="101"/>
      <c r="AI160" s="101"/>
      <c r="AJ160" s="101"/>
      <c r="AK160" s="101"/>
      <c r="AL160" s="101"/>
      <c r="AM160" s="101"/>
    </row>
    <row r="161" spans="1:39" s="103" customFormat="1" ht="16.5" x14ac:dyDescent="0.3">
      <c r="A161" s="101"/>
      <c r="B161" s="102"/>
      <c r="D161" s="102" t="s">
        <v>1458</v>
      </c>
      <c r="F161" s="1955">
        <f>Ввод!G396</f>
        <v>0</v>
      </c>
      <c r="G161" s="1955">
        <f>Ввод!H396</f>
        <v>0</v>
      </c>
      <c r="H161" s="1955">
        <f>Ввод!I396</f>
        <v>0.10551000000000001</v>
      </c>
      <c r="I161" s="1955">
        <f>Ввод!J396</f>
        <v>9.8100000000000007E-2</v>
      </c>
      <c r="J161" s="1955">
        <f>Ввод!K396</f>
        <v>8.7919999999999998E-2</v>
      </c>
      <c r="K161" s="1955">
        <f>Ввод!L396</f>
        <v>7.7810000000000004E-2</v>
      </c>
      <c r="L161" s="1955">
        <f>Ввод!M396</f>
        <v>7.9000000000000001E-2</v>
      </c>
      <c r="M161" s="1955">
        <f>Ввод!N396</f>
        <v>0</v>
      </c>
      <c r="N161" s="1955">
        <f>Ввод!O396</f>
        <v>0</v>
      </c>
      <c r="O161" s="1955">
        <f>Ввод!P396</f>
        <v>0</v>
      </c>
      <c r="P161" s="104"/>
      <c r="Q161" s="104"/>
      <c r="R161" s="104"/>
      <c r="S161" s="104"/>
      <c r="T161" s="104"/>
      <c r="U161" s="104"/>
      <c r="V161" s="104"/>
      <c r="W161" s="104"/>
      <c r="X161" s="104"/>
      <c r="Y161" s="104"/>
      <c r="Z161" s="104"/>
      <c r="AA161" s="104"/>
      <c r="AB161" s="104"/>
      <c r="AC161" s="101"/>
      <c r="AD161" s="101"/>
      <c r="AE161" s="101"/>
      <c r="AF161" s="101"/>
      <c r="AG161" s="101"/>
      <c r="AH161" s="101"/>
      <c r="AI161" s="101"/>
      <c r="AJ161" s="101"/>
      <c r="AK161" s="101"/>
      <c r="AL161" s="101"/>
      <c r="AM161" s="101"/>
    </row>
    <row r="162" spans="1:39" s="103" customFormat="1" ht="16.5" x14ac:dyDescent="0.3">
      <c r="A162" s="101"/>
      <c r="B162" s="102"/>
      <c r="C162" s="102"/>
      <c r="D162" s="102"/>
      <c r="E162" s="272"/>
      <c r="F162" s="104"/>
      <c r="G162" s="104"/>
      <c r="H162" s="104"/>
      <c r="I162" s="104"/>
      <c r="J162" s="104"/>
      <c r="K162" s="151"/>
      <c r="L162" s="151"/>
      <c r="M162" s="151"/>
      <c r="N162" s="104"/>
      <c r="O162" s="104"/>
      <c r="P162" s="104"/>
      <c r="Q162" s="104"/>
      <c r="R162" s="104"/>
      <c r="S162" s="104"/>
      <c r="T162" s="104"/>
      <c r="U162" s="104"/>
      <c r="V162" s="104"/>
      <c r="W162" s="104"/>
      <c r="X162" s="104"/>
      <c r="Y162" s="104"/>
      <c r="Z162" s="104"/>
      <c r="AA162" s="104"/>
      <c r="AB162" s="104"/>
      <c r="AC162" s="101"/>
      <c r="AD162" s="101"/>
      <c r="AE162" s="101"/>
      <c r="AF162" s="101"/>
      <c r="AG162" s="101"/>
      <c r="AH162" s="101"/>
      <c r="AI162" s="101"/>
      <c r="AJ162" s="101"/>
      <c r="AK162" s="101"/>
      <c r="AL162" s="101"/>
      <c r="AM162" s="101"/>
    </row>
    <row r="163" spans="1:39" s="103" customFormat="1" ht="16.5" x14ac:dyDescent="0.3">
      <c r="A163" s="101"/>
      <c r="B163" s="102"/>
      <c r="C163" s="1200" t="s">
        <v>1450</v>
      </c>
      <c r="D163" s="1200"/>
      <c r="E163" s="1196"/>
      <c r="F163" s="256"/>
      <c r="G163" s="256"/>
      <c r="H163" s="256"/>
      <c r="I163" s="256"/>
      <c r="J163" s="256"/>
      <c r="K163" s="1197"/>
      <c r="L163" s="1197"/>
      <c r="M163" s="1197"/>
      <c r="N163" s="256"/>
      <c r="O163" s="256"/>
      <c r="P163" s="104"/>
      <c r="Q163" s="104"/>
      <c r="R163" s="104"/>
      <c r="S163" s="104"/>
      <c r="T163" s="104"/>
      <c r="U163" s="104"/>
      <c r="V163" s="104"/>
      <c r="W163" s="104"/>
      <c r="X163" s="104"/>
      <c r="Y163" s="104"/>
      <c r="Z163" s="104"/>
      <c r="AA163" s="104"/>
      <c r="AB163" s="104"/>
      <c r="AC163" s="101"/>
      <c r="AD163" s="101"/>
      <c r="AE163" s="101"/>
      <c r="AF163" s="101"/>
      <c r="AG163" s="101"/>
      <c r="AH163" s="101"/>
      <c r="AI163" s="101"/>
      <c r="AJ163" s="101"/>
      <c r="AK163" s="101"/>
      <c r="AL163" s="101"/>
      <c r="AM163" s="101"/>
    </row>
    <row r="164" spans="1:39" s="103" customFormat="1" ht="16.5" x14ac:dyDescent="0.3">
      <c r="A164" s="101"/>
      <c r="B164" s="102"/>
      <c r="C164" s="102"/>
      <c r="D164" s="102" t="s">
        <v>1451</v>
      </c>
      <c r="E164" s="272"/>
      <c r="F164" s="1956"/>
      <c r="G164" s="1956">
        <f>Ввод!H409</f>
        <v>1.8749999999999999E-2</v>
      </c>
      <c r="H164" s="1956">
        <f>Ввод!I409</f>
        <v>2.2499999999999999E-2</v>
      </c>
      <c r="I164" s="1956">
        <f>Ввод!J409</f>
        <v>2.5000000000000001E-2</v>
      </c>
      <c r="J164" s="1956">
        <f>Ввод!K409</f>
        <v>2.5000000000000001E-2</v>
      </c>
      <c r="K164" s="1956">
        <f>Ввод!L409</f>
        <v>2.5000000000000001E-2</v>
      </c>
      <c r="L164" s="1956">
        <f>Ввод!M409</f>
        <v>2.5000000000000001E-2</v>
      </c>
      <c r="M164" s="1956">
        <f>Ввод!N409</f>
        <v>0</v>
      </c>
      <c r="N164" s="1956">
        <f>Ввод!O409</f>
        <v>2.5000000000000001E-3</v>
      </c>
      <c r="O164" s="1956">
        <f>Ввод!P409</f>
        <v>5.0000000000000001E-3</v>
      </c>
      <c r="P164" s="104"/>
      <c r="Q164" s="104"/>
      <c r="R164" s="104"/>
      <c r="S164" s="104"/>
      <c r="T164" s="104"/>
      <c r="U164" s="104"/>
      <c r="V164" s="104"/>
      <c r="W164" s="104"/>
      <c r="X164" s="104"/>
      <c r="Y164" s="104"/>
      <c r="Z164" s="104"/>
      <c r="AA164" s="104"/>
      <c r="AB164" s="104"/>
      <c r="AC164" s="101"/>
      <c r="AD164" s="101"/>
      <c r="AE164" s="101"/>
      <c r="AF164" s="101"/>
      <c r="AG164" s="101"/>
      <c r="AH164" s="101"/>
      <c r="AI164" s="101"/>
      <c r="AJ164" s="101"/>
      <c r="AK164" s="101"/>
      <c r="AL164" s="101"/>
      <c r="AM164" s="101"/>
    </row>
    <row r="165" spans="1:39" s="103" customFormat="1" ht="16.5" x14ac:dyDescent="0.3">
      <c r="A165" s="101"/>
      <c r="B165" s="102"/>
      <c r="C165" s="102"/>
      <c r="D165" s="102" t="s">
        <v>1452</v>
      </c>
      <c r="E165" s="272"/>
      <c r="F165" s="1956"/>
      <c r="G165" s="1956">
        <f>Ввод!H410</f>
        <v>0</v>
      </c>
      <c r="H165" s="1956">
        <f>Ввод!I410</f>
        <v>0</v>
      </c>
      <c r="I165" s="1956">
        <f>Ввод!J410</f>
        <v>0</v>
      </c>
      <c r="J165" s="1956">
        <f>Ввод!K410</f>
        <v>0</v>
      </c>
      <c r="K165" s="1956">
        <f>Ввод!L410</f>
        <v>0</v>
      </c>
      <c r="L165" s="1956">
        <f>Ввод!M410</f>
        <v>0</v>
      </c>
      <c r="M165" s="1956">
        <f>Ввод!N410</f>
        <v>0</v>
      </c>
      <c r="N165" s="1956">
        <f>Ввод!O410</f>
        <v>0</v>
      </c>
      <c r="O165" s="1956">
        <f>Ввод!P410</f>
        <v>5.0000000000000001E-3</v>
      </c>
      <c r="P165" s="104"/>
      <c r="Q165" s="104"/>
      <c r="R165" s="104"/>
      <c r="S165" s="104"/>
      <c r="T165" s="104"/>
      <c r="U165" s="104"/>
      <c r="V165" s="104"/>
      <c r="W165" s="104"/>
      <c r="X165" s="104"/>
      <c r="Y165" s="104"/>
      <c r="Z165" s="104"/>
      <c r="AA165" s="104"/>
      <c r="AB165" s="104"/>
      <c r="AC165" s="101"/>
      <c r="AD165" s="101"/>
      <c r="AE165" s="101"/>
      <c r="AF165" s="101"/>
      <c r="AG165" s="101"/>
      <c r="AH165" s="101"/>
      <c r="AI165" s="101"/>
      <c r="AJ165" s="101"/>
      <c r="AK165" s="101"/>
      <c r="AL165" s="101"/>
      <c r="AM165" s="101"/>
    </row>
    <row r="166" spans="1:39" s="103" customFormat="1" ht="16.5" x14ac:dyDescent="0.3">
      <c r="A166" s="101"/>
      <c r="B166" s="102"/>
      <c r="C166" s="102"/>
      <c r="D166" s="102" t="s">
        <v>1453</v>
      </c>
      <c r="E166" s="272"/>
      <c r="F166" s="1956"/>
      <c r="G166" s="1956">
        <f>Ввод!H411</f>
        <v>0</v>
      </c>
      <c r="H166" s="1956">
        <f>Ввод!I411</f>
        <v>0</v>
      </c>
      <c r="I166" s="1956">
        <f>Ввод!J411</f>
        <v>0</v>
      </c>
      <c r="J166" s="1956">
        <f>Ввод!K411</f>
        <v>0</v>
      </c>
      <c r="K166" s="1956">
        <f>Ввод!L411</f>
        <v>0</v>
      </c>
      <c r="L166" s="1956">
        <f>Ввод!M411</f>
        <v>0</v>
      </c>
      <c r="M166" s="1956">
        <f>Ввод!N411</f>
        <v>0</v>
      </c>
      <c r="N166" s="1956">
        <f>Ввод!O411</f>
        <v>0</v>
      </c>
      <c r="O166" s="1956">
        <f>Ввод!P411</f>
        <v>0</v>
      </c>
      <c r="P166" s="104"/>
      <c r="Q166" s="104"/>
      <c r="R166" s="104"/>
      <c r="S166" s="104"/>
      <c r="T166" s="104"/>
      <c r="U166" s="104"/>
      <c r="V166" s="104"/>
      <c r="W166" s="104"/>
      <c r="X166" s="104"/>
      <c r="Y166" s="104"/>
      <c r="Z166" s="104"/>
      <c r="AA166" s="104"/>
      <c r="AB166" s="104"/>
      <c r="AC166" s="101"/>
      <c r="AD166" s="101"/>
      <c r="AE166" s="101"/>
      <c r="AF166" s="101"/>
      <c r="AG166" s="101"/>
      <c r="AH166" s="101"/>
      <c r="AI166" s="101"/>
      <c r="AJ166" s="101"/>
      <c r="AK166" s="101"/>
      <c r="AL166" s="101"/>
      <c r="AM166" s="101"/>
    </row>
    <row r="167" spans="1:39" s="103" customFormat="1" ht="16.5" x14ac:dyDescent="0.3">
      <c r="A167" s="101"/>
      <c r="B167" s="102"/>
      <c r="C167" s="1198"/>
      <c r="D167" s="1198" t="s">
        <v>1454</v>
      </c>
      <c r="E167" s="1199"/>
      <c r="F167" s="1957"/>
      <c r="G167" s="1957">
        <f>SUM(G164:G166)</f>
        <v>1.8749999999999999E-2</v>
      </c>
      <c r="H167" s="1957">
        <f t="shared" ref="H167:N167" si="92">SUM(H164:H166)</f>
        <v>2.2499999999999999E-2</v>
      </c>
      <c r="I167" s="1957">
        <f t="shared" si="92"/>
        <v>2.5000000000000001E-2</v>
      </c>
      <c r="J167" s="1957">
        <f t="shared" si="92"/>
        <v>2.5000000000000001E-2</v>
      </c>
      <c r="K167" s="1957">
        <f t="shared" si="92"/>
        <v>2.5000000000000001E-2</v>
      </c>
      <c r="L167" s="1957">
        <f t="shared" si="92"/>
        <v>2.5000000000000001E-2</v>
      </c>
      <c r="M167" s="1957">
        <f t="shared" si="92"/>
        <v>0</v>
      </c>
      <c r="N167" s="1957">
        <f t="shared" si="92"/>
        <v>2.5000000000000001E-3</v>
      </c>
      <c r="O167" s="1957">
        <f t="shared" ref="O167" si="93">SUM(O164:O166)</f>
        <v>0.01</v>
      </c>
      <c r="P167" s="104"/>
      <c r="Q167" s="104"/>
      <c r="R167" s="104"/>
      <c r="S167" s="104"/>
      <c r="T167" s="104"/>
      <c r="U167" s="104"/>
      <c r="V167" s="104"/>
      <c r="W167" s="104"/>
      <c r="X167" s="104"/>
      <c r="Y167" s="104"/>
      <c r="Z167" s="104"/>
      <c r="AA167" s="104"/>
      <c r="AB167" s="104"/>
      <c r="AC167" s="101"/>
      <c r="AD167" s="101"/>
      <c r="AE167" s="101"/>
      <c r="AF167" s="101"/>
      <c r="AG167" s="101"/>
      <c r="AH167" s="101"/>
      <c r="AI167" s="101"/>
      <c r="AJ167" s="101"/>
      <c r="AK167" s="101"/>
      <c r="AL167" s="101"/>
      <c r="AM167" s="101"/>
    </row>
    <row r="168" spans="1:39" s="103" customFormat="1" ht="16.5" x14ac:dyDescent="0.3">
      <c r="A168" s="101"/>
      <c r="B168" s="102"/>
      <c r="C168" s="102"/>
      <c r="D168" s="102"/>
      <c r="E168" s="272"/>
      <c r="F168" s="104"/>
      <c r="G168" s="104"/>
      <c r="H168" s="104"/>
      <c r="I168" s="104"/>
      <c r="J168" s="104"/>
      <c r="K168" s="151"/>
      <c r="L168" s="151"/>
      <c r="M168" s="151"/>
      <c r="N168" s="104"/>
      <c r="O168" s="104"/>
      <c r="P168" s="104"/>
      <c r="Q168" s="104"/>
      <c r="R168" s="104"/>
      <c r="S168" s="104"/>
      <c r="T168" s="104"/>
      <c r="U168" s="104"/>
      <c r="V168" s="104"/>
      <c r="W168" s="104"/>
      <c r="X168" s="104"/>
      <c r="Y168" s="104"/>
      <c r="Z168" s="104"/>
      <c r="AA168" s="104"/>
      <c r="AB168" s="104"/>
      <c r="AC168" s="101"/>
      <c r="AD168" s="101"/>
      <c r="AE168" s="101"/>
      <c r="AF168" s="101"/>
      <c r="AG168" s="101"/>
      <c r="AH168" s="101"/>
      <c r="AI168" s="101"/>
      <c r="AJ168" s="101"/>
      <c r="AK168" s="101"/>
      <c r="AL168" s="101"/>
      <c r="AM168" s="101"/>
    </row>
    <row r="169" spans="1:39" s="103" customFormat="1" ht="16.5" x14ac:dyDescent="0.3">
      <c r="A169" s="101"/>
      <c r="B169" s="102"/>
      <c r="C169" s="102"/>
      <c r="D169" s="102"/>
      <c r="E169" s="272"/>
      <c r="F169" s="104"/>
      <c r="G169" s="104"/>
      <c r="H169" s="104"/>
      <c r="I169" s="104"/>
      <c r="J169" s="104"/>
      <c r="K169" s="151"/>
      <c r="L169" s="151"/>
      <c r="M169" s="151"/>
      <c r="N169" s="104"/>
      <c r="O169" s="104"/>
      <c r="P169" s="104"/>
      <c r="Q169" s="104"/>
      <c r="R169" s="104"/>
      <c r="S169" s="104"/>
      <c r="T169" s="104"/>
      <c r="U169" s="104"/>
      <c r="V169" s="104"/>
      <c r="W169" s="104"/>
      <c r="X169" s="104"/>
      <c r="Y169" s="104"/>
      <c r="Z169" s="104"/>
      <c r="AA169" s="104"/>
      <c r="AB169" s="104"/>
      <c r="AC169" s="101"/>
      <c r="AD169" s="101"/>
      <c r="AE169" s="101"/>
      <c r="AF169" s="101"/>
      <c r="AG169" s="101"/>
      <c r="AH169" s="101"/>
      <c r="AI169" s="101"/>
      <c r="AJ169" s="101"/>
      <c r="AK169" s="101"/>
      <c r="AL169" s="101"/>
      <c r="AM169" s="101"/>
    </row>
    <row r="170" spans="1:39" s="103" customFormat="1" ht="16.5" x14ac:dyDescent="0.3">
      <c r="A170" s="101"/>
      <c r="B170" s="102"/>
      <c r="C170" s="1200" t="s">
        <v>1459</v>
      </c>
      <c r="D170" s="1200"/>
      <c r="E170" s="1196"/>
      <c r="F170" s="256"/>
      <c r="G170" s="256"/>
      <c r="H170" s="256"/>
      <c r="I170" s="256"/>
      <c r="J170" s="256"/>
      <c r="K170" s="1197"/>
      <c r="L170" s="1197"/>
      <c r="M170" s="1197"/>
      <c r="N170" s="256"/>
      <c r="O170" s="256"/>
      <c r="P170" s="104"/>
      <c r="Q170" s="104"/>
      <c r="R170" s="104"/>
      <c r="S170" s="104"/>
      <c r="T170" s="104"/>
      <c r="U170" s="104"/>
      <c r="V170" s="104"/>
      <c r="W170" s="104"/>
      <c r="X170" s="104"/>
      <c r="Y170" s="104"/>
      <c r="Z170" s="104"/>
      <c r="AA170" s="104"/>
      <c r="AB170" s="104"/>
      <c r="AC170" s="101"/>
      <c r="AD170" s="101"/>
      <c r="AE170" s="101"/>
      <c r="AF170" s="101"/>
      <c r="AG170" s="101"/>
      <c r="AH170" s="101"/>
      <c r="AI170" s="101"/>
      <c r="AJ170" s="101"/>
      <c r="AK170" s="101"/>
      <c r="AL170" s="101"/>
      <c r="AM170" s="101"/>
    </row>
    <row r="171" spans="1:39" s="103" customFormat="1" ht="16.5" x14ac:dyDescent="0.3">
      <c r="A171" s="101"/>
      <c r="B171" s="102"/>
      <c r="C171" s="792"/>
      <c r="D171" s="792" t="s">
        <v>1460</v>
      </c>
      <c r="E171" s="1201"/>
      <c r="F171" s="1202"/>
      <c r="G171" s="1958">
        <f>G158-0.045-G167</f>
        <v>4.1579999999999992E-2</v>
      </c>
      <c r="H171" s="1958">
        <f t="shared" ref="H171:N171" si="94">H158-0.045-H167</f>
        <v>4.1670000000000006E-2</v>
      </c>
      <c r="I171" s="1958">
        <f t="shared" si="94"/>
        <v>4.9279999999999997E-2</v>
      </c>
      <c r="J171" s="1958">
        <f t="shared" si="94"/>
        <v>4.6129999999999997E-2</v>
      </c>
      <c r="K171" s="1958">
        <f t="shared" si="94"/>
        <v>2.4149999999999998E-2</v>
      </c>
      <c r="L171" s="1958">
        <f t="shared" si="94"/>
        <v>2.6500000000000003E-2</v>
      </c>
      <c r="M171" s="1958">
        <f t="shared" si="94"/>
        <v>4.6810000000000004E-2</v>
      </c>
      <c r="N171" s="1958">
        <f t="shared" si="94"/>
        <v>6.182E-2</v>
      </c>
      <c r="O171" s="1958"/>
      <c r="P171" s="104"/>
      <c r="Q171" s="104"/>
      <c r="R171" s="104"/>
      <c r="S171" s="104"/>
      <c r="T171" s="104"/>
      <c r="U171" s="104"/>
      <c r="V171" s="104"/>
      <c r="W171" s="104"/>
      <c r="X171" s="104"/>
      <c r="Y171" s="104"/>
      <c r="Z171" s="104"/>
      <c r="AA171" s="104"/>
      <c r="AB171" s="104"/>
      <c r="AC171" s="101"/>
      <c r="AD171" s="101"/>
      <c r="AE171" s="101"/>
      <c r="AF171" s="101"/>
      <c r="AG171" s="101"/>
      <c r="AH171" s="101"/>
      <c r="AI171" s="101"/>
      <c r="AJ171" s="101"/>
      <c r="AK171" s="101"/>
      <c r="AL171" s="101"/>
      <c r="AM171" s="101"/>
    </row>
    <row r="172" spans="1:39" s="103" customFormat="1" ht="16.5" x14ac:dyDescent="0.3">
      <c r="A172" s="101"/>
      <c r="B172" s="102"/>
      <c r="C172" s="102"/>
      <c r="D172" s="102" t="s">
        <v>1461</v>
      </c>
      <c r="E172" s="272"/>
      <c r="F172" s="151"/>
      <c r="G172" s="1954">
        <f>G159-0.06-G167</f>
        <v>2.6579999999999996E-2</v>
      </c>
      <c r="H172" s="1954">
        <f t="shared" ref="H172:N172" si="95">H159-0.06-H167</f>
        <v>2.6670000000000006E-2</v>
      </c>
      <c r="I172" s="1954">
        <f t="shared" si="95"/>
        <v>3.4279999999999998E-2</v>
      </c>
      <c r="J172" s="1954">
        <f t="shared" si="95"/>
        <v>3.1129999999999998E-2</v>
      </c>
      <c r="K172" s="1954">
        <f t="shared" si="95"/>
        <v>9.1499999999999984E-3</v>
      </c>
      <c r="L172" s="1954">
        <f t="shared" si="95"/>
        <v>1.1500000000000003E-2</v>
      </c>
      <c r="M172" s="1954">
        <f t="shared" si="95"/>
        <v>3.1810000000000005E-2</v>
      </c>
      <c r="N172" s="1954">
        <f t="shared" si="95"/>
        <v>4.6820000000000001E-2</v>
      </c>
      <c r="O172" s="1954"/>
      <c r="P172" s="104"/>
      <c r="Q172" s="104"/>
      <c r="R172" s="104"/>
      <c r="S172" s="104"/>
      <c r="T172" s="104"/>
      <c r="U172" s="104"/>
      <c r="V172" s="104"/>
      <c r="W172" s="104"/>
      <c r="X172" s="104"/>
      <c r="Y172" s="104"/>
      <c r="Z172" s="104"/>
      <c r="AA172" s="104"/>
      <c r="AB172" s="104"/>
      <c r="AC172" s="101"/>
      <c r="AD172" s="101"/>
      <c r="AE172" s="101"/>
      <c r="AF172" s="101"/>
      <c r="AG172" s="101"/>
      <c r="AH172" s="101"/>
      <c r="AI172" s="101"/>
      <c r="AJ172" s="101"/>
      <c r="AK172" s="101"/>
      <c r="AL172" s="101"/>
      <c r="AM172" s="101"/>
    </row>
    <row r="173" spans="1:39" s="103" customFormat="1" ht="16.5" x14ac:dyDescent="0.3">
      <c r="A173" s="101"/>
      <c r="B173" s="102"/>
      <c r="C173" s="247"/>
      <c r="D173" s="247" t="s">
        <v>1462</v>
      </c>
      <c r="E173" s="1196"/>
      <c r="F173" s="1197"/>
      <c r="G173" s="1959">
        <f>G160-0.08-G167</f>
        <v>4.8419999999999991E-2</v>
      </c>
      <c r="H173" s="1959">
        <f t="shared" ref="H173:N173" si="96">H160-0.08-H167</f>
        <v>4.8629999999999986E-2</v>
      </c>
      <c r="I173" s="1959">
        <f t="shared" si="96"/>
        <v>4.6129999999999984E-2</v>
      </c>
      <c r="J173" s="1959">
        <f t="shared" si="96"/>
        <v>3.8339999999999992E-2</v>
      </c>
      <c r="K173" s="1959">
        <f t="shared" si="96"/>
        <v>1.559E-2</v>
      </c>
      <c r="L173" s="1959">
        <f t="shared" si="96"/>
        <v>1.3999999999999992E-2</v>
      </c>
      <c r="M173" s="1959">
        <f t="shared" si="96"/>
        <v>6.0490000000000002E-2</v>
      </c>
      <c r="N173" s="1959">
        <f t="shared" si="96"/>
        <v>5.0479999999999983E-2</v>
      </c>
      <c r="O173" s="1959"/>
      <c r="P173" s="104"/>
      <c r="Q173" s="104"/>
      <c r="R173" s="104"/>
      <c r="S173" s="104"/>
      <c r="T173" s="104"/>
      <c r="U173" s="104"/>
      <c r="V173" s="104"/>
      <c r="W173" s="104"/>
      <c r="X173" s="104"/>
      <c r="Y173" s="104"/>
      <c r="Z173" s="104"/>
      <c r="AA173" s="104"/>
      <c r="AB173" s="104"/>
      <c r="AC173" s="101"/>
      <c r="AD173" s="101"/>
      <c r="AE173" s="101"/>
      <c r="AF173" s="101"/>
      <c r="AG173" s="101"/>
      <c r="AH173" s="101"/>
      <c r="AI173" s="101"/>
      <c r="AJ173" s="101"/>
      <c r="AK173" s="101"/>
      <c r="AL173" s="101"/>
      <c r="AM173" s="101"/>
    </row>
    <row r="174" spans="1:39" s="103" customFormat="1" ht="16.5" x14ac:dyDescent="0.3">
      <c r="A174" s="101"/>
      <c r="B174" s="102"/>
      <c r="C174" s="102"/>
      <c r="D174" s="102"/>
      <c r="E174" s="272"/>
      <c r="F174" s="104"/>
      <c r="G174" s="104"/>
      <c r="H174" s="104"/>
      <c r="I174" s="104"/>
      <c r="J174" s="104"/>
      <c r="K174" s="151"/>
      <c r="L174" s="151"/>
      <c r="M174" s="151"/>
      <c r="N174" s="104"/>
      <c r="O174" s="104"/>
      <c r="P174" s="104"/>
      <c r="Q174" s="104"/>
      <c r="R174" s="104"/>
      <c r="S174" s="104"/>
      <c r="T174" s="104"/>
      <c r="U174" s="104"/>
      <c r="V174" s="104"/>
      <c r="W174" s="104"/>
      <c r="X174" s="104"/>
      <c r="Y174" s="104"/>
      <c r="Z174" s="104"/>
      <c r="AA174" s="104"/>
      <c r="AB174" s="104"/>
      <c r="AC174" s="101"/>
      <c r="AD174" s="101"/>
      <c r="AE174" s="101"/>
      <c r="AF174" s="101"/>
      <c r="AG174" s="101"/>
      <c r="AH174" s="101"/>
      <c r="AI174" s="101"/>
      <c r="AJ174" s="101"/>
      <c r="AK174" s="101"/>
      <c r="AL174" s="101"/>
      <c r="AM174" s="101"/>
    </row>
    <row r="175" spans="1:39" s="103" customFormat="1" ht="16.5" x14ac:dyDescent="0.3">
      <c r="A175" s="101"/>
      <c r="B175" s="102"/>
      <c r="C175" s="102"/>
      <c r="D175" s="102"/>
      <c r="E175" s="102"/>
      <c r="F175" s="104"/>
      <c r="G175" s="104"/>
      <c r="H175" s="104"/>
      <c r="I175" s="104"/>
      <c r="J175" s="104"/>
      <c r="K175" s="104"/>
      <c r="L175" s="104"/>
      <c r="M175" s="104"/>
      <c r="N175" s="104"/>
      <c r="O175" s="104"/>
      <c r="P175" s="104"/>
      <c r="Q175" s="271"/>
      <c r="R175" s="104"/>
      <c r="S175" s="104"/>
      <c r="T175" s="104"/>
      <c r="U175" s="104"/>
      <c r="V175" s="104"/>
      <c r="W175" s="104"/>
      <c r="X175" s="104"/>
      <c r="Y175" s="104"/>
      <c r="Z175" s="104"/>
      <c r="AA175" s="104"/>
      <c r="AB175" s="104"/>
      <c r="AC175" s="101"/>
      <c r="AD175" s="101"/>
      <c r="AE175" s="101"/>
      <c r="AF175" s="101"/>
      <c r="AG175" s="101"/>
      <c r="AH175" s="101"/>
      <c r="AI175" s="101"/>
      <c r="AJ175" s="101"/>
      <c r="AK175" s="101"/>
      <c r="AL175" s="101"/>
      <c r="AM175" s="101"/>
    </row>
    <row r="176" spans="1:39" ht="15" x14ac:dyDescent="0.2">
      <c r="A176" s="507"/>
      <c r="B176" s="785"/>
      <c r="C176" s="786" t="s">
        <v>1084</v>
      </c>
      <c r="D176" s="785"/>
      <c r="E176" s="785"/>
      <c r="F176" s="787"/>
      <c r="G176" s="787"/>
      <c r="H176" s="787"/>
      <c r="I176" s="787"/>
      <c r="J176" s="788"/>
      <c r="K176" s="788"/>
      <c r="L176" s="788"/>
      <c r="M176" s="788"/>
      <c r="N176" s="788"/>
      <c r="O176" s="788"/>
      <c r="P176" s="788"/>
      <c r="Q176" s="788"/>
      <c r="R176" s="788"/>
      <c r="S176" s="788"/>
      <c r="T176" s="788"/>
      <c r="U176" s="788"/>
      <c r="V176" s="788"/>
      <c r="W176" s="788"/>
      <c r="X176" s="788"/>
      <c r="Y176" s="788"/>
      <c r="Z176" s="788"/>
      <c r="AA176" s="788"/>
      <c r="AB176" s="8"/>
      <c r="AC176" s="4"/>
      <c r="AD176" s="4"/>
      <c r="AE176" s="4"/>
      <c r="AF176" s="4"/>
      <c r="AG176" s="4"/>
      <c r="AH176" s="4"/>
      <c r="AI176" s="4"/>
      <c r="AJ176" s="4"/>
      <c r="AK176" s="4"/>
      <c r="AL176" s="4"/>
      <c r="AM176" s="4"/>
    </row>
    <row r="177" spans="1:39" s="103" customFormat="1" ht="16.5" x14ac:dyDescent="0.3">
      <c r="A177" s="102"/>
      <c r="B177" s="102"/>
      <c r="C177" s="102"/>
      <c r="D177" s="102"/>
      <c r="E177" s="102" t="str">
        <f>E7</f>
        <v>млрд руб.</v>
      </c>
      <c r="F177" s="168" t="s">
        <v>348</v>
      </c>
      <c r="G177" s="168"/>
      <c r="H177" s="168"/>
      <c r="I177" s="168"/>
      <c r="J177" s="102"/>
      <c r="K177" s="102"/>
      <c r="L177" s="104"/>
      <c r="M177" s="104"/>
      <c r="N177" s="104"/>
      <c r="O177" s="104"/>
      <c r="P177" s="104"/>
      <c r="Q177" s="271"/>
      <c r="R177" s="104"/>
      <c r="S177" s="104"/>
      <c r="T177" s="104"/>
      <c r="U177" s="104"/>
      <c r="V177" s="104"/>
      <c r="W177" s="104"/>
      <c r="X177" s="104"/>
      <c r="Y177" s="104"/>
      <c r="Z177" s="104"/>
      <c r="AA177" s="104"/>
      <c r="AB177" s="104"/>
      <c r="AC177" s="101"/>
      <c r="AD177" s="101"/>
      <c r="AE177" s="101"/>
      <c r="AF177" s="101"/>
      <c r="AG177" s="101"/>
      <c r="AH177" s="101"/>
      <c r="AI177" s="101"/>
      <c r="AJ177" s="101"/>
      <c r="AK177" s="101"/>
      <c r="AL177" s="101"/>
      <c r="AM177" s="101"/>
    </row>
    <row r="178" spans="1:39" s="103" customFormat="1" ht="17.25" thickBot="1" x14ac:dyDescent="0.35">
      <c r="A178" s="154"/>
      <c r="B178" s="154"/>
      <c r="C178" s="154"/>
      <c r="D178" s="154"/>
      <c r="E178" s="154"/>
      <c r="F178" s="1437" t="str">
        <f t="shared" ref="F178:O178" si="97">F8</f>
        <v>2016</v>
      </c>
      <c r="G178" s="1437" t="str">
        <f t="shared" si="97"/>
        <v>2017</v>
      </c>
      <c r="H178" s="1437" t="str">
        <f t="shared" si="97"/>
        <v>2018</v>
      </c>
      <c r="I178" s="1437" t="str">
        <f t="shared" si="97"/>
        <v>2019</v>
      </c>
      <c r="J178" s="1437" t="str">
        <f t="shared" si="97"/>
        <v>2020</v>
      </c>
      <c r="K178" s="1437" t="str">
        <f t="shared" si="97"/>
        <v>2021</v>
      </c>
      <c r="L178" s="1437" t="str">
        <f t="shared" si="97"/>
        <v>2022</v>
      </c>
      <c r="M178" s="1437" t="str">
        <f t="shared" si="97"/>
        <v>2023</v>
      </c>
      <c r="N178" s="1437" t="str">
        <f t="shared" si="97"/>
        <v>2024</v>
      </c>
      <c r="O178" s="1437" t="str">
        <f t="shared" si="97"/>
        <v>2025</v>
      </c>
      <c r="P178" s="104"/>
      <c r="Q178" s="271"/>
      <c r="R178" s="104"/>
      <c r="S178" s="104"/>
      <c r="T178" s="104"/>
      <c r="U178" s="104"/>
      <c r="V178" s="104"/>
      <c r="W178" s="104"/>
      <c r="X178" s="104"/>
      <c r="Y178" s="104"/>
      <c r="Z178" s="104"/>
      <c r="AA178" s="104"/>
      <c r="AB178" s="104"/>
      <c r="AC178" s="101"/>
      <c r="AD178" s="101"/>
      <c r="AE178" s="101"/>
      <c r="AF178" s="101"/>
      <c r="AG178" s="101"/>
      <c r="AH178" s="101"/>
      <c r="AI178" s="101"/>
      <c r="AJ178" s="101"/>
      <c r="AK178" s="101"/>
      <c r="AL178" s="101"/>
      <c r="AM178" s="101"/>
    </row>
    <row r="179" spans="1:39" s="103" customFormat="1" ht="16.5" x14ac:dyDescent="0.3">
      <c r="A179" s="101"/>
      <c r="B179" s="102"/>
      <c r="C179" s="102" t="s">
        <v>1271</v>
      </c>
      <c r="D179" s="102"/>
      <c r="E179" s="102"/>
      <c r="F179" s="790">
        <f>Ввод!G107/VLOOKUP(Баланс!$B$7,Баланс!$A$1:$B$3,2,0)</f>
        <v>0.65068199999999998</v>
      </c>
      <c r="G179" s="790">
        <f>Ввод!H107/VLOOKUP(Баланс!$B$7,Баланс!$A$1:$B$3,2,0)</f>
        <v>0.79659000000000002</v>
      </c>
      <c r="H179" s="790">
        <f>Ввод!I107/VLOOKUP(Баланс!$B$7,Баланс!$A$1:$B$3,2,0)</f>
        <v>2.7106150000000002</v>
      </c>
      <c r="I179" s="790">
        <f>Ввод!J107/VLOOKUP(Баланс!$B$7,Баланс!$A$1:$B$3,2,0)</f>
        <v>6.252821</v>
      </c>
      <c r="J179" s="790">
        <f>Ввод!K107/VLOOKUP(Баланс!$B$7,Баланс!$A$1:$B$3,2,0)</f>
        <v>4.3574380000000001</v>
      </c>
      <c r="K179" s="790">
        <f>Ввод!L107/VLOOKUP(Баланс!$B$7,Баланс!$A$1:$B$3,2,0)</f>
        <v>6.3037789999999996</v>
      </c>
      <c r="L179" s="790">
        <f>Ввод!M107/VLOOKUP(Баланс!$B$7,Баланс!$A$1:$B$3,2,0)</f>
        <v>1.557148</v>
      </c>
      <c r="M179" s="790">
        <f>Ввод!N107/VLOOKUP(Баланс!$B$7,Баланс!$A$1:$B$3,2,0)</f>
        <v>6.4103579999999996</v>
      </c>
      <c r="N179" s="790">
        <f>Ввод!O107/VLOOKUP(Баланс!$B$7,Баланс!$A$1:$B$3,2,0)</f>
        <v>15.401554000000001</v>
      </c>
      <c r="O179" s="790">
        <f>Ввод!P107/VLOOKUP(Баланс!$B$7,Баланс!$A$1:$B$3,2,0)</f>
        <v>0</v>
      </c>
      <c r="P179" s="104"/>
      <c r="Q179" s="271"/>
      <c r="R179" s="104"/>
      <c r="S179" s="104"/>
      <c r="T179" s="104"/>
      <c r="U179" s="104"/>
      <c r="V179" s="104"/>
      <c r="W179" s="104"/>
      <c r="X179" s="104"/>
      <c r="Y179" s="104"/>
      <c r="Z179" s="104"/>
      <c r="AA179" s="104"/>
      <c r="AB179" s="104"/>
      <c r="AC179" s="101"/>
      <c r="AD179" s="101"/>
      <c r="AE179" s="101"/>
      <c r="AF179" s="101"/>
      <c r="AG179" s="101"/>
      <c r="AH179" s="101"/>
      <c r="AI179" s="101"/>
      <c r="AJ179" s="101"/>
      <c r="AK179" s="101"/>
      <c r="AL179" s="101"/>
      <c r="AM179" s="101"/>
    </row>
    <row r="180" spans="1:39" s="103" customFormat="1" ht="16.5" x14ac:dyDescent="0.3">
      <c r="A180" s="101"/>
      <c r="B180" s="102"/>
      <c r="C180" s="102" t="s">
        <v>1449</v>
      </c>
      <c r="D180" s="102"/>
      <c r="E180" s="102"/>
      <c r="F180" s="790">
        <f t="shared" ref="F180:O180" si="98">F181</f>
        <v>0</v>
      </c>
      <c r="G180" s="790">
        <f t="shared" si="98"/>
        <v>0</v>
      </c>
      <c r="H180" s="790">
        <f t="shared" si="98"/>
        <v>0</v>
      </c>
      <c r="I180" s="790">
        <f t="shared" si="98"/>
        <v>-5.1339999999999997E-3</v>
      </c>
      <c r="J180" s="790">
        <f t="shared" si="98"/>
        <v>0</v>
      </c>
      <c r="K180" s="790">
        <f t="shared" si="98"/>
        <v>-0.180005</v>
      </c>
      <c r="L180" s="790">
        <f t="shared" si="98"/>
        <v>0</v>
      </c>
      <c r="M180" s="790">
        <f t="shared" si="98"/>
        <v>-9.7583558669127972E-5</v>
      </c>
      <c r="N180" s="790">
        <f t="shared" si="98"/>
        <v>0</v>
      </c>
      <c r="O180" s="790">
        <f t="shared" si="98"/>
        <v>0</v>
      </c>
      <c r="P180" s="104"/>
      <c r="Q180" s="271"/>
      <c r="R180" s="104"/>
      <c r="S180" s="104"/>
      <c r="T180" s="104"/>
      <c r="U180" s="104"/>
      <c r="V180" s="104"/>
      <c r="W180" s="104"/>
      <c r="X180" s="104"/>
      <c r="Y180" s="104"/>
      <c r="Z180" s="104"/>
      <c r="AA180" s="104"/>
      <c r="AB180" s="104"/>
      <c r="AC180" s="101"/>
      <c r="AD180" s="101"/>
      <c r="AE180" s="101"/>
      <c r="AF180" s="101"/>
      <c r="AG180" s="101"/>
      <c r="AH180" s="101"/>
      <c r="AI180" s="101"/>
      <c r="AJ180" s="101"/>
      <c r="AK180" s="101"/>
      <c r="AL180" s="101"/>
      <c r="AM180" s="101"/>
    </row>
    <row r="181" spans="1:39" s="103" customFormat="1" ht="16.5" x14ac:dyDescent="0.3">
      <c r="A181" s="101"/>
      <c r="B181" s="102"/>
      <c r="C181" s="102" t="s">
        <v>74</v>
      </c>
      <c r="D181" s="102" t="s">
        <v>1085</v>
      </c>
      <c r="E181" s="102"/>
      <c r="F181" s="791">
        <f>IF(Ввод!G106&gt;0,-ОФР!F52,0)</f>
        <v>0</v>
      </c>
      <c r="G181" s="791">
        <f>IF(Ввод!H106&gt;0,-ОФР!G52,0)</f>
        <v>0</v>
      </c>
      <c r="H181" s="791">
        <f>IF(Ввод!I106&gt;0,-ОФР!H52,0)</f>
        <v>0</v>
      </c>
      <c r="I181" s="791">
        <f>IF(Ввод!J106&gt;0,-ОФР!I52,0)</f>
        <v>-5.1339999999999997E-3</v>
      </c>
      <c r="J181" s="791">
        <f>IF(Ввод!K106&gt;0,-ОФР!J52,0)</f>
        <v>0</v>
      </c>
      <c r="K181" s="791">
        <f>IF(Ввод!L106&gt;0,-ОФР!K52,0)</f>
        <v>-0.180005</v>
      </c>
      <c r="L181" s="791">
        <f>IF(Ввод!M106&gt;0,-ОФР!Q52,0)</f>
        <v>0</v>
      </c>
      <c r="M181" s="791">
        <f>IF(Ввод!N106&gt;0,-ОФР!R52,0)</f>
        <v>-9.7583558669127972E-5</v>
      </c>
      <c r="N181" s="791">
        <f>IF(Ввод!O106&gt;0,-ОФР!S52,0)</f>
        <v>0</v>
      </c>
      <c r="O181" s="791">
        <f>IF(Ввод!P106&gt;0,-ОФР!T52,0)</f>
        <v>0</v>
      </c>
      <c r="P181" s="104"/>
      <c r="Q181" s="271"/>
      <c r="R181" s="104"/>
      <c r="S181" s="104"/>
      <c r="T181" s="104"/>
      <c r="U181" s="104"/>
      <c r="V181" s="104"/>
      <c r="W181" s="104"/>
      <c r="X181" s="104"/>
      <c r="Y181" s="104"/>
      <c r="Z181" s="104"/>
      <c r="AA181" s="104"/>
      <c r="AB181" s="104"/>
      <c r="AC181" s="101"/>
      <c r="AD181" s="101"/>
      <c r="AE181" s="101"/>
      <c r="AF181" s="101"/>
      <c r="AG181" s="101"/>
      <c r="AH181" s="101"/>
      <c r="AI181" s="101"/>
      <c r="AJ181" s="101"/>
      <c r="AK181" s="101"/>
      <c r="AL181" s="101"/>
      <c r="AM181" s="101"/>
    </row>
    <row r="182" spans="1:39" s="103" customFormat="1" ht="16.5" x14ac:dyDescent="0.3">
      <c r="A182" s="101"/>
      <c r="B182" s="102"/>
      <c r="C182" s="792" t="s">
        <v>1272</v>
      </c>
      <c r="D182" s="792"/>
      <c r="E182" s="792"/>
      <c r="F182" s="790">
        <f t="shared" ref="F182:K182" si="99">SUM(F179:F180)</f>
        <v>0.65068199999999998</v>
      </c>
      <c r="G182" s="790">
        <f t="shared" si="99"/>
        <v>0.79659000000000002</v>
      </c>
      <c r="H182" s="790">
        <f t="shared" si="99"/>
        <v>2.7106150000000002</v>
      </c>
      <c r="I182" s="790">
        <f t="shared" si="99"/>
        <v>6.247687</v>
      </c>
      <c r="J182" s="790">
        <f t="shared" si="99"/>
        <v>4.3574380000000001</v>
      </c>
      <c r="K182" s="790">
        <f t="shared" si="99"/>
        <v>6.1237739999999992</v>
      </c>
      <c r="L182" s="790">
        <f t="shared" ref="L182:O182" si="100">SUM(L179:L180)</f>
        <v>1.557148</v>
      </c>
      <c r="M182" s="790">
        <f t="shared" si="100"/>
        <v>6.4102604164413304</v>
      </c>
      <c r="N182" s="790">
        <f t="shared" si="100"/>
        <v>15.401554000000001</v>
      </c>
      <c r="O182" s="790">
        <f t="shared" si="100"/>
        <v>0</v>
      </c>
      <c r="P182" s="104"/>
      <c r="Q182" s="271"/>
      <c r="R182" s="104"/>
      <c r="S182" s="104"/>
      <c r="T182" s="104"/>
      <c r="U182" s="104"/>
      <c r="V182" s="104"/>
      <c r="W182" s="104"/>
      <c r="X182" s="104"/>
      <c r="Y182" s="104"/>
      <c r="Z182" s="104"/>
      <c r="AA182" s="104"/>
      <c r="AB182" s="104"/>
      <c r="AC182" s="101"/>
      <c r="AD182" s="101"/>
      <c r="AE182" s="101"/>
      <c r="AF182" s="101"/>
      <c r="AG182" s="101"/>
      <c r="AH182" s="101"/>
      <c r="AI182" s="101"/>
      <c r="AJ182" s="101"/>
      <c r="AK182" s="101"/>
      <c r="AL182" s="101"/>
      <c r="AM182" s="101"/>
    </row>
    <row r="183" spans="1:39" s="103" customFormat="1" ht="16.5" x14ac:dyDescent="0.3">
      <c r="A183" s="101"/>
      <c r="B183" s="102"/>
      <c r="C183" s="102" t="s">
        <v>74</v>
      </c>
      <c r="D183" s="102" t="s">
        <v>1086</v>
      </c>
      <c r="E183" s="102"/>
      <c r="F183" s="790">
        <f>Ввод!G117/VLOOKUP(Баланс!$B$7,Баланс!$A$1:$B$3,2,0)</f>
        <v>0</v>
      </c>
      <c r="G183" s="790">
        <f>Ввод!H117/VLOOKUP(Баланс!$B$7,Баланс!$A$1:$B$3,2,0)</f>
        <v>0</v>
      </c>
      <c r="H183" s="790">
        <f>Ввод!I117/VLOOKUP(Баланс!$B$7,Баланс!$A$1:$B$3,2,0)</f>
        <v>0</v>
      </c>
      <c r="I183" s="790">
        <f>Ввод!J117/VLOOKUP(Баланс!$B$7,Баланс!$A$1:$B$3,2,0)</f>
        <v>0</v>
      </c>
      <c r="J183" s="790">
        <f>Ввод!K117/VLOOKUP(Баланс!$B$7,Баланс!$A$1:$B$3,2,0)</f>
        <v>0</v>
      </c>
      <c r="K183" s="790">
        <f>Ввод!L117/VLOOKUP(Баланс!$B$7,Баланс!$A$1:$B$3,2,0)</f>
        <v>0</v>
      </c>
      <c r="L183" s="790">
        <f>Ввод!M117/VLOOKUP(Баланс!$B$7,Баланс!$A$1:$B$3,2,0)</f>
        <v>0</v>
      </c>
      <c r="M183" s="790">
        <f>Ввод!N117/VLOOKUP(Баланс!$B$7,Баланс!$A$1:$B$3,2,0)</f>
        <v>0</v>
      </c>
      <c r="N183" s="790">
        <f>Ввод!O117/VLOOKUP(Баланс!$B$7,Баланс!$A$1:$B$3,2,0)</f>
        <v>0</v>
      </c>
      <c r="O183" s="790">
        <f>Ввод!P117/VLOOKUP(Баланс!$B$7,Баланс!$A$1:$B$3,2,0)</f>
        <v>0</v>
      </c>
      <c r="P183" s="104"/>
      <c r="Q183" s="271"/>
      <c r="R183" s="104"/>
      <c r="S183" s="104"/>
      <c r="T183" s="104"/>
      <c r="U183" s="104"/>
      <c r="V183" s="104"/>
      <c r="W183" s="104"/>
      <c r="X183" s="104"/>
      <c r="Y183" s="104"/>
      <c r="Z183" s="104"/>
      <c r="AA183" s="104"/>
      <c r="AB183" s="104"/>
      <c r="AC183" s="101"/>
      <c r="AD183" s="101"/>
      <c r="AE183" s="101"/>
      <c r="AF183" s="101"/>
      <c r="AG183" s="101"/>
      <c r="AH183" s="101"/>
      <c r="AI183" s="101"/>
      <c r="AJ183" s="101"/>
      <c r="AK183" s="101"/>
      <c r="AL183" s="101"/>
      <c r="AM183" s="101"/>
    </row>
    <row r="184" spans="1:39" s="103" customFormat="1" ht="16.5" x14ac:dyDescent="0.3">
      <c r="A184" s="101"/>
      <c r="B184" s="102"/>
      <c r="C184" s="102" t="s">
        <v>74</v>
      </c>
      <c r="D184" s="102" t="s">
        <v>1087</v>
      </c>
      <c r="E184" s="102"/>
      <c r="F184" s="790">
        <f>(Ввод!G45-Ввод!F45)/VLOOKUP(Баланс!$B$7,Баланс!$A$1:$B$3,2,0)</f>
        <v>0</v>
      </c>
      <c r="G184" s="790">
        <f>(Ввод!H45-Ввод!G45)/VLOOKUP(Баланс!$B$7,Баланс!$A$1:$B$3,2,0)</f>
        <v>0</v>
      </c>
      <c r="H184" s="790">
        <f>(Ввод!I45-Ввод!H45)/VLOOKUP(Баланс!$B$7,Баланс!$A$1:$B$3,2,0)</f>
        <v>0</v>
      </c>
      <c r="I184" s="790">
        <f>(Ввод!J45-Ввод!I45)/VLOOKUP(Баланс!$B$7,Баланс!$A$1:$B$3,2,0)</f>
        <v>0</v>
      </c>
      <c r="J184" s="790">
        <f>(Ввод!K45-Ввод!J45)/VLOOKUP(Баланс!$B$7,Баланс!$A$1:$B$3,2,0)</f>
        <v>0</v>
      </c>
      <c r="K184" s="790">
        <f>(Ввод!L45-Ввод!K45)/VLOOKUP(Баланс!$B$7,Баланс!$A$1:$B$3,2,0)</f>
        <v>0</v>
      </c>
      <c r="L184" s="790">
        <f>(Ввод!M45-Ввод!L45)/VLOOKUP(Баланс!$B$7,Баланс!$A$1:$B$3,2,0)</f>
        <v>0</v>
      </c>
      <c r="M184" s="790">
        <f>(Ввод!N45-Ввод!M45)/VLOOKUP(Баланс!$B$7,Баланс!$A$1:$B$3,2,0)</f>
        <v>0</v>
      </c>
      <c r="N184" s="790">
        <f>(Ввод!O45-Ввод!N45)/VLOOKUP(Баланс!$B$7,Баланс!$A$1:$B$3,2,0)</f>
        <v>0</v>
      </c>
      <c r="O184" s="790">
        <f>(Ввод!P45-Ввод!O45)/VLOOKUP(Баланс!$B$7,Баланс!$A$1:$B$3,2,0)</f>
        <v>0</v>
      </c>
      <c r="P184" s="104"/>
      <c r="Q184" s="271"/>
      <c r="R184" s="104"/>
      <c r="S184" s="104"/>
      <c r="T184" s="104"/>
      <c r="U184" s="104"/>
      <c r="V184" s="104"/>
      <c r="W184" s="104"/>
      <c r="X184" s="104"/>
      <c r="Y184" s="104"/>
      <c r="Z184" s="104"/>
      <c r="AA184" s="104"/>
      <c r="AB184" s="104"/>
      <c r="AC184" s="101"/>
      <c r="AD184" s="101"/>
      <c r="AE184" s="101"/>
      <c r="AF184" s="101"/>
      <c r="AG184" s="101"/>
      <c r="AH184" s="101"/>
      <c r="AI184" s="101"/>
      <c r="AJ184" s="101"/>
      <c r="AK184" s="101"/>
      <c r="AL184" s="101"/>
      <c r="AM184" s="101"/>
    </row>
    <row r="185" spans="1:39" s="103" customFormat="1" ht="16.5" x14ac:dyDescent="0.3">
      <c r="A185" s="101"/>
      <c r="B185" s="102"/>
      <c r="C185" s="792" t="s">
        <v>1088</v>
      </c>
      <c r="D185" s="792"/>
      <c r="E185" s="792"/>
      <c r="F185" s="793">
        <f t="shared" ref="F185:K185" si="101">SUM(F182:F184)</f>
        <v>0.65068199999999998</v>
      </c>
      <c r="G185" s="793">
        <f t="shared" si="101"/>
        <v>0.79659000000000002</v>
      </c>
      <c r="H185" s="793">
        <f t="shared" si="101"/>
        <v>2.7106150000000002</v>
      </c>
      <c r="I185" s="793">
        <f t="shared" si="101"/>
        <v>6.247687</v>
      </c>
      <c r="J185" s="793">
        <f t="shared" si="101"/>
        <v>4.3574380000000001</v>
      </c>
      <c r="K185" s="793">
        <f t="shared" si="101"/>
        <v>6.1237739999999992</v>
      </c>
      <c r="L185" s="793">
        <f t="shared" ref="L185:O185" si="102">SUM(L182:L184)</f>
        <v>1.557148</v>
      </c>
      <c r="M185" s="793">
        <f t="shared" si="102"/>
        <v>6.4102604164413304</v>
      </c>
      <c r="N185" s="793">
        <f t="shared" si="102"/>
        <v>15.401554000000001</v>
      </c>
      <c r="O185" s="793">
        <f t="shared" si="102"/>
        <v>0</v>
      </c>
      <c r="P185" s="104"/>
      <c r="Q185" s="271"/>
      <c r="R185" s="104"/>
      <c r="S185" s="104"/>
      <c r="T185" s="104"/>
      <c r="U185" s="104"/>
      <c r="V185" s="104"/>
      <c r="W185" s="104"/>
      <c r="X185" s="104"/>
      <c r="Y185" s="104"/>
      <c r="Z185" s="104"/>
      <c r="AA185" s="104"/>
      <c r="AB185" s="104"/>
      <c r="AC185" s="101"/>
      <c r="AD185" s="101"/>
      <c r="AE185" s="101"/>
      <c r="AF185" s="101"/>
      <c r="AG185" s="101"/>
      <c r="AH185" s="101"/>
      <c r="AI185" s="101"/>
      <c r="AJ185" s="101"/>
      <c r="AK185" s="101"/>
      <c r="AL185" s="101"/>
      <c r="AM185" s="101"/>
    </row>
    <row r="186" spans="1:39" s="103" customFormat="1" ht="16.5" x14ac:dyDescent="0.3">
      <c r="A186" s="101"/>
      <c r="B186" s="102"/>
      <c r="C186" s="102" t="s">
        <v>1089</v>
      </c>
      <c r="D186" s="102"/>
      <c r="E186" s="102"/>
      <c r="F186" s="790">
        <f>Ввод!F349/VLOOKUP(Баланс!$B$7,Баланс!$A$1:$B$3,2,0)</f>
        <v>0</v>
      </c>
      <c r="G186" s="790">
        <f>Ввод!G349/VLOOKUP(Баланс!$B$7,Баланс!$A$1:$B$3,2,0)</f>
        <v>538.01971000000003</v>
      </c>
      <c r="H186" s="790">
        <f>Ввод!H349/VLOOKUP(Баланс!$B$7,Баланс!$A$1:$B$3,2,0)</f>
        <v>548.33948799999996</v>
      </c>
      <c r="I186" s="790">
        <f>Ввод!I349/VLOOKUP(Баланс!$B$7,Баланс!$A$1:$B$3,2,0)</f>
        <v>526.11496299999999</v>
      </c>
      <c r="J186" s="790">
        <f>Ввод!J349/VLOOKUP(Баланс!$B$7,Баланс!$A$1:$B$3,2,0)</f>
        <v>518.63110099999994</v>
      </c>
      <c r="K186" s="790">
        <f>Ввод!K349/VLOOKUP(Баланс!$B$7,Баланс!$A$1:$B$3,2,0)</f>
        <v>524.30108600000005</v>
      </c>
      <c r="L186" s="790">
        <f>Ввод!L349/VLOOKUP(Баланс!$B$7,Баланс!$A$1:$B$3,2,0)</f>
        <v>633.23521300000004</v>
      </c>
      <c r="M186" s="790">
        <f>Ввод!M349/VLOOKUP(Баланс!$B$7,Баланс!$A$1:$B$3,2,0)</f>
        <v>624.87904300000002</v>
      </c>
      <c r="N186" s="790">
        <f>Ввод!N349/VLOOKUP(Баланс!$B$7,Баланс!$A$1:$B$3,2,0)</f>
        <v>684.49790599999994</v>
      </c>
      <c r="O186" s="790">
        <f>Ввод!O349/VLOOKUP(Баланс!$B$7,Баланс!$A$1:$B$3,2,0)</f>
        <v>756.29105700000002</v>
      </c>
      <c r="P186" s="104"/>
      <c r="Q186" s="271"/>
      <c r="R186" s="104"/>
      <c r="S186" s="104"/>
      <c r="T186" s="104"/>
      <c r="U186" s="104"/>
      <c r="V186" s="104"/>
      <c r="W186" s="104"/>
      <c r="X186" s="104"/>
      <c r="Y186" s="104"/>
      <c r="Z186" s="104"/>
      <c r="AA186" s="104"/>
      <c r="AB186" s="104"/>
      <c r="AC186" s="101"/>
      <c r="AD186" s="101"/>
      <c r="AE186" s="101"/>
      <c r="AF186" s="101"/>
      <c r="AG186" s="101"/>
      <c r="AH186" s="101"/>
      <c r="AI186" s="101"/>
      <c r="AJ186" s="101"/>
      <c r="AK186" s="101"/>
      <c r="AL186" s="101"/>
      <c r="AM186" s="101"/>
    </row>
    <row r="187" spans="1:39" s="103" customFormat="1" ht="16.5" x14ac:dyDescent="0.3">
      <c r="A187" s="101"/>
      <c r="B187" s="102"/>
      <c r="C187" s="102"/>
      <c r="D187" s="102"/>
      <c r="E187" s="102"/>
      <c r="F187" s="104"/>
      <c r="G187" s="104"/>
      <c r="H187" s="104"/>
      <c r="I187" s="104"/>
      <c r="J187" s="104"/>
      <c r="K187" s="104"/>
      <c r="L187" s="104"/>
      <c r="M187" s="104"/>
      <c r="N187" s="104"/>
      <c r="O187" s="104"/>
      <c r="P187" s="104"/>
      <c r="Q187" s="271"/>
      <c r="R187" s="104"/>
      <c r="S187" s="104"/>
      <c r="T187" s="104"/>
      <c r="U187" s="104"/>
      <c r="V187" s="104"/>
      <c r="W187" s="104"/>
      <c r="X187" s="104"/>
      <c r="Y187" s="104"/>
      <c r="Z187" s="104"/>
      <c r="AA187" s="104"/>
      <c r="AB187" s="104"/>
      <c r="AC187" s="101"/>
      <c r="AD187" s="101"/>
      <c r="AE187" s="101"/>
      <c r="AF187" s="101"/>
      <c r="AG187" s="101"/>
      <c r="AH187" s="101"/>
      <c r="AI187" s="101"/>
      <c r="AJ187" s="101"/>
      <c r="AK187" s="101"/>
      <c r="AL187" s="101"/>
      <c r="AM187" s="101"/>
    </row>
    <row r="188" spans="1:39" s="103" customFormat="1" ht="16.5" x14ac:dyDescent="0.3">
      <c r="A188" s="101"/>
      <c r="B188" s="102"/>
      <c r="C188" s="102" t="s">
        <v>1090</v>
      </c>
      <c r="D188" s="102"/>
      <c r="E188" s="102"/>
      <c r="F188" s="104"/>
      <c r="G188" s="1960">
        <f>G185/G186</f>
        <v>1.4805963149565654E-3</v>
      </c>
      <c r="H188" s="1960">
        <f>H185/H186</f>
        <v>4.9433153353347411E-3</v>
      </c>
      <c r="I188" s="1960">
        <f>I185/I186</f>
        <v>1.1875136499396616E-2</v>
      </c>
      <c r="J188" s="1960">
        <f>J185/J186</f>
        <v>8.4018062002031782E-3</v>
      </c>
      <c r="K188" s="1960">
        <f>K185/K186</f>
        <v>1.1679880441826891E-2</v>
      </c>
      <c r="L188" s="1960">
        <f t="shared" ref="L188:O188" si="103">L185/L186</f>
        <v>2.4590357074788889E-3</v>
      </c>
      <c r="M188" s="1960">
        <f t="shared" si="103"/>
        <v>1.0258401987152783E-2</v>
      </c>
      <c r="N188" s="1960">
        <f t="shared" si="103"/>
        <v>2.2500512952628379E-2</v>
      </c>
      <c r="O188" s="1960">
        <f t="shared" si="103"/>
        <v>0</v>
      </c>
      <c r="P188" s="104"/>
      <c r="Q188" s="271"/>
      <c r="R188" s="104"/>
      <c r="S188" s="104"/>
      <c r="T188" s="104"/>
      <c r="U188" s="104"/>
      <c r="V188" s="104"/>
      <c r="W188" s="104"/>
      <c r="X188" s="104"/>
      <c r="Y188" s="104"/>
      <c r="Z188" s="104"/>
      <c r="AA188" s="104"/>
      <c r="AB188" s="104"/>
      <c r="AC188" s="101"/>
      <c r="AD188" s="101"/>
      <c r="AE188" s="101"/>
      <c r="AF188" s="101"/>
      <c r="AG188" s="101"/>
      <c r="AH188" s="101"/>
      <c r="AI188" s="101"/>
      <c r="AJ188" s="101"/>
      <c r="AK188" s="101"/>
      <c r="AL188" s="101"/>
      <c r="AM188" s="101"/>
    </row>
    <row r="189" spans="1:39" s="103" customFormat="1" ht="16.5" x14ac:dyDescent="0.3">
      <c r="A189" s="101"/>
      <c r="B189" s="102"/>
      <c r="C189" s="213" t="s">
        <v>1091</v>
      </c>
      <c r="D189" s="794"/>
      <c r="E189" s="794"/>
      <c r="F189" s="795"/>
      <c r="G189" s="1961"/>
      <c r="H189" s="1961"/>
      <c r="I189" s="1961"/>
      <c r="J189" s="1961"/>
      <c r="K189" s="1962">
        <f>AVERAGE(G188:K188)</f>
        <v>7.6761469583435981E-3</v>
      </c>
      <c r="L189" s="1962">
        <f t="shared" ref="L189:O189" si="104">AVERAGE(H188:L188)</f>
        <v>7.8718348368480625E-3</v>
      </c>
      <c r="M189" s="1962">
        <f t="shared" si="104"/>
        <v>8.9348521672116717E-3</v>
      </c>
      <c r="N189" s="1962">
        <f t="shared" si="104"/>
        <v>1.1059927457858023E-2</v>
      </c>
      <c r="O189" s="1962">
        <f t="shared" si="104"/>
        <v>9.3795662178173898E-3</v>
      </c>
      <c r="P189" s="104"/>
      <c r="Q189" s="271"/>
      <c r="R189" s="104"/>
      <c r="S189" s="104"/>
      <c r="T189" s="104"/>
      <c r="U189" s="104"/>
      <c r="V189" s="104"/>
      <c r="W189" s="104"/>
      <c r="X189" s="104"/>
      <c r="Y189" s="104"/>
      <c r="Z189" s="104"/>
      <c r="AA189" s="104"/>
      <c r="AB189" s="104"/>
      <c r="AC189" s="101"/>
      <c r="AD189" s="101"/>
      <c r="AE189" s="101"/>
      <c r="AF189" s="101"/>
      <c r="AG189" s="101"/>
      <c r="AH189" s="101"/>
      <c r="AI189" s="101"/>
      <c r="AJ189" s="101"/>
      <c r="AK189" s="101"/>
      <c r="AL189" s="101"/>
      <c r="AM189" s="101"/>
    </row>
    <row r="190" spans="1:39" s="103" customFormat="1" ht="16.5" x14ac:dyDescent="0.3">
      <c r="A190" s="101"/>
      <c r="B190" s="102"/>
      <c r="C190" s="213" t="s">
        <v>1092</v>
      </c>
      <c r="D190" s="102"/>
      <c r="E190" s="102"/>
      <c r="F190" s="104"/>
      <c r="G190" s="1963"/>
      <c r="H190" s="1963"/>
      <c r="I190" s="1963"/>
      <c r="J190" s="1963"/>
      <c r="K190" s="1962">
        <f>K159</f>
        <v>9.4149999999999998E-2</v>
      </c>
      <c r="L190" s="1962">
        <f t="shared" ref="L190:O190" si="105">L159</f>
        <v>9.6500000000000002E-2</v>
      </c>
      <c r="M190" s="1962">
        <f t="shared" si="105"/>
        <v>9.1810000000000003E-2</v>
      </c>
      <c r="N190" s="1962">
        <f t="shared" si="105"/>
        <v>0.10932</v>
      </c>
      <c r="O190" s="1962">
        <f t="shared" si="105"/>
        <v>0</v>
      </c>
      <c r="P190" s="104"/>
      <c r="Q190" s="271"/>
      <c r="R190" s="104"/>
      <c r="S190" s="104"/>
      <c r="T190" s="104"/>
      <c r="U190" s="104"/>
      <c r="V190" s="104"/>
      <c r="W190" s="104"/>
      <c r="X190" s="104"/>
      <c r="Y190" s="104"/>
      <c r="Z190" s="104"/>
      <c r="AA190" s="104"/>
      <c r="AB190" s="104"/>
      <c r="AC190" s="101"/>
      <c r="AD190" s="101"/>
      <c r="AE190" s="101"/>
      <c r="AF190" s="101"/>
      <c r="AG190" s="101"/>
      <c r="AH190" s="101"/>
      <c r="AI190" s="101"/>
      <c r="AJ190" s="101"/>
      <c r="AK190" s="101"/>
      <c r="AL190" s="101"/>
      <c r="AM190" s="101"/>
    </row>
    <row r="191" spans="1:39" s="103" customFormat="1" ht="16.5" x14ac:dyDescent="0.3">
      <c r="A191" s="101"/>
      <c r="B191" s="102"/>
      <c r="C191" s="102"/>
      <c r="D191" s="102"/>
      <c r="E191" s="102"/>
      <c r="F191" s="104"/>
      <c r="G191" s="104"/>
      <c r="H191" s="104"/>
      <c r="I191" s="104"/>
      <c r="J191" s="104"/>
      <c r="K191" s="104"/>
      <c r="L191" s="467"/>
      <c r="M191" s="467"/>
      <c r="N191" s="467"/>
      <c r="O191" s="467"/>
      <c r="P191" s="104"/>
      <c r="Q191" s="271"/>
      <c r="R191" s="104"/>
      <c r="S191" s="104"/>
      <c r="T191" s="104"/>
      <c r="U191" s="104"/>
      <c r="V191" s="104"/>
      <c r="W191" s="104"/>
      <c r="X191" s="104"/>
      <c r="Y191" s="104"/>
      <c r="Z191" s="104"/>
      <c r="AA191" s="104"/>
      <c r="AB191" s="104"/>
      <c r="AC191" s="101"/>
      <c r="AD191" s="101"/>
      <c r="AE191" s="101"/>
      <c r="AF191" s="101"/>
      <c r="AG191" s="101"/>
      <c r="AH191" s="101"/>
      <c r="AI191" s="101"/>
      <c r="AJ191" s="101"/>
      <c r="AK191" s="101"/>
      <c r="AL191" s="101"/>
      <c r="AM191" s="101"/>
    </row>
    <row r="192" spans="1:39" s="103" customFormat="1" ht="16.5" x14ac:dyDescent="0.3">
      <c r="A192" s="101"/>
      <c r="B192" s="102"/>
      <c r="C192" s="102"/>
      <c r="D192" s="102"/>
      <c r="E192" s="102"/>
      <c r="F192" s="104"/>
      <c r="G192" s="104"/>
      <c r="H192" s="104"/>
      <c r="I192" s="104"/>
      <c r="J192" s="104"/>
      <c r="K192" s="104"/>
      <c r="L192" s="104"/>
      <c r="M192" s="104"/>
      <c r="N192" s="104"/>
      <c r="O192" s="104"/>
      <c r="P192" s="104"/>
      <c r="Q192" s="271"/>
      <c r="R192" s="104"/>
      <c r="S192" s="104"/>
      <c r="T192" s="104"/>
      <c r="U192" s="104"/>
      <c r="V192" s="104"/>
      <c r="W192" s="104"/>
      <c r="X192" s="104"/>
      <c r="Y192" s="104"/>
      <c r="Z192" s="104"/>
      <c r="AA192" s="104"/>
      <c r="AB192" s="104"/>
      <c r="AC192" s="101"/>
      <c r="AD192" s="101"/>
      <c r="AE192" s="101"/>
      <c r="AF192" s="101"/>
      <c r="AG192" s="101"/>
      <c r="AH192" s="101"/>
      <c r="AI192" s="101"/>
      <c r="AJ192" s="101"/>
      <c r="AK192" s="101"/>
      <c r="AL192" s="101"/>
      <c r="AM192" s="101"/>
    </row>
    <row r="193" spans="1:39" s="103" customFormat="1" ht="16.5" x14ac:dyDescent="0.3">
      <c r="A193" s="101"/>
      <c r="B193" s="102"/>
      <c r="C193" s="102"/>
      <c r="D193" s="102"/>
      <c r="E193" s="102"/>
      <c r="F193" s="104"/>
      <c r="G193" s="104"/>
      <c r="H193" s="104"/>
      <c r="I193" s="104"/>
      <c r="J193" s="104"/>
      <c r="K193" s="104"/>
      <c r="L193" s="104"/>
      <c r="M193" s="104"/>
      <c r="N193" s="104"/>
      <c r="O193" s="104"/>
      <c r="P193" s="104"/>
      <c r="Q193" s="271"/>
      <c r="R193" s="104"/>
      <c r="S193" s="104"/>
      <c r="T193" s="104"/>
      <c r="U193" s="104"/>
      <c r="V193" s="104"/>
      <c r="W193" s="104"/>
      <c r="X193" s="104"/>
      <c r="Y193" s="104"/>
      <c r="Z193" s="104"/>
      <c r="AA193" s="104"/>
      <c r="AB193" s="104"/>
      <c r="AC193" s="101"/>
      <c r="AD193" s="101"/>
      <c r="AE193" s="101"/>
      <c r="AF193" s="101"/>
      <c r="AG193" s="101"/>
      <c r="AH193" s="101"/>
      <c r="AI193" s="101"/>
      <c r="AJ193" s="101"/>
      <c r="AK193" s="101"/>
      <c r="AL193" s="101"/>
      <c r="AM193" s="101"/>
    </row>
    <row r="194" spans="1:39" s="103" customFormat="1" ht="16.5" x14ac:dyDescent="0.3">
      <c r="A194" s="101"/>
      <c r="B194" s="102"/>
      <c r="C194" s="102"/>
      <c r="D194" s="102"/>
      <c r="E194" s="102"/>
      <c r="F194" s="104"/>
      <c r="G194" s="104"/>
      <c r="H194" s="104"/>
      <c r="I194" s="104"/>
      <c r="J194" s="104"/>
      <c r="K194" s="104"/>
      <c r="L194" s="104"/>
      <c r="M194" s="104"/>
      <c r="N194" s="104"/>
      <c r="O194" s="104"/>
      <c r="P194" s="104"/>
      <c r="Q194" s="271"/>
      <c r="R194" s="104"/>
      <c r="S194" s="104"/>
      <c r="T194" s="104"/>
      <c r="U194" s="104"/>
      <c r="V194" s="104"/>
      <c r="W194" s="104"/>
      <c r="X194" s="104"/>
      <c r="Y194" s="104"/>
      <c r="Z194" s="104"/>
      <c r="AA194" s="104"/>
      <c r="AB194" s="104"/>
      <c r="AC194" s="101"/>
      <c r="AD194" s="101"/>
      <c r="AE194" s="101"/>
      <c r="AF194" s="101"/>
      <c r="AG194" s="101"/>
      <c r="AH194" s="101"/>
      <c r="AI194" s="101"/>
      <c r="AJ194" s="101"/>
      <c r="AK194" s="101"/>
      <c r="AL194" s="101"/>
      <c r="AM194" s="101"/>
    </row>
    <row r="195" spans="1:39" s="103" customFormat="1" ht="16.5" x14ac:dyDescent="0.3">
      <c r="A195" s="101"/>
      <c r="B195" s="102"/>
      <c r="C195" s="102"/>
      <c r="D195" s="102"/>
      <c r="E195" s="102"/>
      <c r="F195" s="104"/>
      <c r="G195" s="104"/>
      <c r="H195" s="104"/>
      <c r="I195" s="104"/>
      <c r="J195" s="104"/>
      <c r="K195" s="104"/>
      <c r="L195" s="104"/>
      <c r="M195" s="104"/>
      <c r="N195" s="104"/>
      <c r="O195" s="104"/>
      <c r="P195" s="104"/>
      <c r="Q195" s="271"/>
      <c r="R195" s="104"/>
      <c r="S195" s="104"/>
      <c r="T195" s="104"/>
      <c r="U195" s="104"/>
      <c r="V195" s="104"/>
      <c r="W195" s="104"/>
      <c r="X195" s="104"/>
      <c r="Y195" s="104"/>
      <c r="Z195" s="104"/>
      <c r="AA195" s="104"/>
      <c r="AB195" s="104"/>
      <c r="AC195" s="101"/>
      <c r="AD195" s="101"/>
      <c r="AE195" s="101"/>
      <c r="AF195" s="101"/>
      <c r="AG195" s="101"/>
      <c r="AH195" s="101"/>
      <c r="AI195" s="101"/>
      <c r="AJ195" s="101"/>
      <c r="AK195" s="101"/>
      <c r="AL195" s="101"/>
      <c r="AM195" s="101"/>
    </row>
    <row r="196" spans="1:39" s="103" customFormat="1" ht="16.5" x14ac:dyDescent="0.3">
      <c r="A196" s="101"/>
      <c r="B196" s="102"/>
      <c r="C196" s="102"/>
      <c r="D196" s="102"/>
      <c r="E196" s="102"/>
      <c r="F196" s="104"/>
      <c r="G196" s="104"/>
      <c r="H196" s="104"/>
      <c r="I196" s="104"/>
      <c r="J196" s="104"/>
      <c r="K196" s="104"/>
      <c r="L196" s="104"/>
      <c r="M196" s="104"/>
      <c r="N196" s="104"/>
      <c r="O196" s="104"/>
      <c r="P196" s="104"/>
      <c r="Q196" s="271"/>
      <c r="R196" s="104"/>
      <c r="S196" s="104"/>
      <c r="T196" s="104"/>
      <c r="U196" s="104"/>
      <c r="V196" s="104"/>
      <c r="W196" s="104"/>
      <c r="X196" s="104"/>
      <c r="Y196" s="104"/>
      <c r="Z196" s="104"/>
      <c r="AA196" s="104"/>
      <c r="AB196" s="104"/>
      <c r="AC196" s="101"/>
      <c r="AD196" s="101"/>
      <c r="AE196" s="101"/>
      <c r="AF196" s="101"/>
      <c r="AG196" s="101"/>
      <c r="AH196" s="101"/>
      <c r="AI196" s="101"/>
      <c r="AJ196" s="101"/>
      <c r="AK196" s="101"/>
      <c r="AL196" s="101"/>
      <c r="AM196" s="101"/>
    </row>
    <row r="197" spans="1:39" s="103" customFormat="1" ht="16.5" x14ac:dyDescent="0.3">
      <c r="A197" s="101"/>
      <c r="B197" s="102"/>
      <c r="C197" s="102"/>
      <c r="D197" s="102"/>
      <c r="E197" s="102"/>
      <c r="F197" s="104"/>
      <c r="G197" s="104"/>
      <c r="H197" s="104"/>
      <c r="I197" s="104"/>
      <c r="J197" s="104"/>
      <c r="K197" s="104"/>
      <c r="L197" s="104"/>
      <c r="M197" s="104"/>
      <c r="N197" s="104"/>
      <c r="O197" s="104"/>
      <c r="P197" s="104"/>
      <c r="Q197" s="271"/>
      <c r="R197" s="104"/>
      <c r="S197" s="104"/>
      <c r="T197" s="104"/>
      <c r="U197" s="104"/>
      <c r="V197" s="104"/>
      <c r="W197" s="104"/>
      <c r="X197" s="104"/>
      <c r="Y197" s="104"/>
      <c r="Z197" s="104"/>
      <c r="AA197" s="104"/>
      <c r="AB197" s="104"/>
      <c r="AC197" s="101"/>
      <c r="AD197" s="101"/>
      <c r="AE197" s="101"/>
      <c r="AF197" s="101"/>
      <c r="AG197" s="101"/>
      <c r="AH197" s="101"/>
      <c r="AI197" s="101"/>
      <c r="AJ197" s="101"/>
      <c r="AK197" s="101"/>
      <c r="AL197" s="101"/>
      <c r="AM197" s="101"/>
    </row>
    <row r="198" spans="1:39" s="103" customFormat="1" ht="16.5" x14ac:dyDescent="0.3">
      <c r="A198" s="101"/>
      <c r="B198" s="102"/>
      <c r="C198" s="102"/>
      <c r="D198" s="102"/>
      <c r="E198" s="102"/>
      <c r="F198" s="104"/>
      <c r="G198" s="104"/>
      <c r="H198" s="104"/>
      <c r="I198" s="104"/>
      <c r="J198" s="104"/>
      <c r="K198" s="104"/>
      <c r="L198" s="104"/>
      <c r="M198" s="104"/>
      <c r="N198" s="104"/>
      <c r="O198" s="104"/>
      <c r="P198" s="104"/>
      <c r="Q198" s="271"/>
      <c r="R198" s="104"/>
      <c r="S198" s="104"/>
      <c r="T198" s="104"/>
      <c r="U198" s="104"/>
      <c r="V198" s="104"/>
      <c r="W198" s="104"/>
      <c r="X198" s="104"/>
      <c r="Y198" s="104"/>
      <c r="Z198" s="104"/>
      <c r="AA198" s="104"/>
      <c r="AB198" s="104"/>
      <c r="AC198" s="101"/>
      <c r="AD198" s="101"/>
      <c r="AE198" s="101"/>
      <c r="AF198" s="101"/>
      <c r="AG198" s="101"/>
      <c r="AH198" s="101"/>
      <c r="AI198" s="101"/>
      <c r="AJ198" s="101"/>
      <c r="AK198" s="101"/>
      <c r="AL198" s="101"/>
      <c r="AM198" s="101"/>
    </row>
    <row r="199" spans="1:39" ht="15" x14ac:dyDescent="0.2">
      <c r="A199" s="507"/>
      <c r="B199" s="785"/>
      <c r="C199" s="786" t="s">
        <v>1083</v>
      </c>
      <c r="D199" s="785"/>
      <c r="E199" s="785"/>
      <c r="F199" s="787"/>
      <c r="G199" s="787"/>
      <c r="H199" s="787"/>
      <c r="I199" s="787"/>
      <c r="J199" s="788"/>
      <c r="K199" s="788"/>
      <c r="L199" s="788"/>
      <c r="M199" s="788"/>
      <c r="N199" s="788"/>
      <c r="O199" s="788"/>
      <c r="P199" s="788"/>
      <c r="Q199" s="788"/>
      <c r="R199" s="788"/>
      <c r="S199" s="788"/>
      <c r="T199" s="788"/>
      <c r="U199" s="788"/>
      <c r="V199" s="788"/>
      <c r="W199" s="788"/>
      <c r="X199" s="788"/>
      <c r="Y199" s="788"/>
      <c r="Z199" s="788"/>
      <c r="AA199" s="788"/>
      <c r="AB199" s="8"/>
      <c r="AC199" s="4"/>
      <c r="AD199" s="4"/>
      <c r="AE199" s="4"/>
      <c r="AF199" s="4"/>
      <c r="AG199" s="4"/>
      <c r="AH199" s="4"/>
      <c r="AI199" s="4"/>
      <c r="AJ199" s="4"/>
      <c r="AK199" s="4"/>
      <c r="AL199" s="4"/>
      <c r="AM199" s="4"/>
    </row>
    <row r="200" spans="1:39" s="103" customFormat="1" ht="16.5" x14ac:dyDescent="0.3">
      <c r="A200" s="101"/>
      <c r="B200" s="102"/>
      <c r="C200" s="247"/>
      <c r="D200" s="247"/>
      <c r="E200" s="247" t="str">
        <f>E7</f>
        <v>млрд руб.</v>
      </c>
      <c r="F200" s="1964" t="str">
        <f>F8</f>
        <v>2016</v>
      </c>
      <c r="G200" s="1964" t="str">
        <f t="shared" ref="G200:O200" si="106">G8</f>
        <v>2017</v>
      </c>
      <c r="H200" s="1964" t="str">
        <f t="shared" si="106"/>
        <v>2018</v>
      </c>
      <c r="I200" s="1964" t="str">
        <f t="shared" si="106"/>
        <v>2019</v>
      </c>
      <c r="J200" s="1964" t="str">
        <f t="shared" si="106"/>
        <v>2020</v>
      </c>
      <c r="K200" s="1964" t="str">
        <f t="shared" si="106"/>
        <v>2021</v>
      </c>
      <c r="L200" s="1964" t="str">
        <f t="shared" si="106"/>
        <v>2022</v>
      </c>
      <c r="M200" s="1964" t="str">
        <f t="shared" si="106"/>
        <v>2023</v>
      </c>
      <c r="N200" s="1964" t="str">
        <f t="shared" si="106"/>
        <v>2024</v>
      </c>
      <c r="O200" s="1964" t="str">
        <f t="shared" si="106"/>
        <v>2025</v>
      </c>
      <c r="P200" s="104"/>
      <c r="Q200" s="271"/>
      <c r="R200" s="104"/>
      <c r="S200" s="104"/>
      <c r="T200" s="104"/>
      <c r="U200" s="104"/>
      <c r="V200" s="104"/>
      <c r="W200" s="104"/>
      <c r="X200" s="104"/>
      <c r="Y200" s="104"/>
      <c r="Z200" s="104"/>
      <c r="AA200" s="104"/>
      <c r="AB200" s="104"/>
      <c r="AC200" s="101"/>
      <c r="AD200" s="101"/>
      <c r="AE200" s="101"/>
      <c r="AF200" s="101"/>
      <c r="AG200" s="101"/>
      <c r="AH200" s="101"/>
      <c r="AI200" s="101"/>
      <c r="AJ200" s="101"/>
      <c r="AK200" s="101"/>
      <c r="AL200" s="101"/>
      <c r="AM200" s="101"/>
    </row>
    <row r="201" spans="1:39" s="103" customFormat="1" ht="16.5" x14ac:dyDescent="0.3">
      <c r="A201" s="101"/>
      <c r="B201" s="102"/>
      <c r="C201" s="102" t="s">
        <v>90</v>
      </c>
      <c r="D201" s="102"/>
      <c r="E201" s="102"/>
      <c r="F201" s="1965">
        <f t="shared" ref="F201:N201" si="107">F70</f>
        <v>71.645290999999986</v>
      </c>
      <c r="G201" s="1965">
        <f t="shared" si="107"/>
        <v>78.930785</v>
      </c>
      <c r="H201" s="1965">
        <f t="shared" si="107"/>
        <v>79.008227999999988</v>
      </c>
      <c r="I201" s="1965">
        <f t="shared" si="107"/>
        <v>78.209997000000001</v>
      </c>
      <c r="J201" s="1965">
        <f t="shared" si="107"/>
        <v>75.168165000000002</v>
      </c>
      <c r="K201" s="1965">
        <f t="shared" si="107"/>
        <v>76.372718000000006</v>
      </c>
      <c r="L201" s="1965">
        <f t="shared" si="107"/>
        <v>82.745960999999994</v>
      </c>
      <c r="M201" s="1965">
        <f t="shared" si="107"/>
        <v>96.462362999999996</v>
      </c>
      <c r="N201" s="1965">
        <f t="shared" si="107"/>
        <v>100.77840399999999</v>
      </c>
      <c r="O201" s="1965"/>
      <c r="Q201" s="285">
        <f>N201/M201-1</f>
        <v>4.4743264271890126E-2</v>
      </c>
      <c r="R201" s="104"/>
      <c r="S201" s="104"/>
      <c r="T201" s="104"/>
      <c r="U201" s="104"/>
      <c r="V201" s="104"/>
      <c r="W201" s="104"/>
      <c r="X201" s="104"/>
      <c r="Y201" s="104"/>
      <c r="Z201" s="104"/>
      <c r="AA201" s="104"/>
      <c r="AB201" s="104"/>
      <c r="AC201" s="101"/>
      <c r="AD201" s="101"/>
      <c r="AE201" s="101"/>
      <c r="AF201" s="101"/>
      <c r="AG201" s="101"/>
      <c r="AH201" s="101"/>
      <c r="AI201" s="101"/>
      <c r="AJ201" s="101"/>
      <c r="AK201" s="101"/>
      <c r="AL201" s="101"/>
      <c r="AM201" s="101"/>
    </row>
    <row r="202" spans="1:39" s="103" customFormat="1" ht="16.5" x14ac:dyDescent="0.3">
      <c r="A202" s="101"/>
      <c r="B202" s="102" t="s">
        <v>74</v>
      </c>
      <c r="C202" s="102" t="s">
        <v>253</v>
      </c>
      <c r="D202" s="102"/>
      <c r="E202" s="102"/>
      <c r="F202" s="1965"/>
      <c r="G202" s="1965"/>
      <c r="H202" s="1965"/>
      <c r="I202" s="1965"/>
      <c r="J202" s="1965"/>
      <c r="K202" s="1965"/>
      <c r="L202" s="1965"/>
      <c r="M202" s="1965"/>
      <c r="N202" s="1965"/>
      <c r="O202" s="1965"/>
      <c r="P202" s="104"/>
      <c r="Q202" s="104"/>
      <c r="R202" s="104"/>
      <c r="S202" s="104"/>
      <c r="T202" s="104"/>
      <c r="U202" s="104"/>
      <c r="V202" s="104"/>
      <c r="W202" s="104"/>
      <c r="X202" s="104"/>
      <c r="Y202" s="104"/>
      <c r="Z202" s="104"/>
      <c r="AA202" s="104"/>
      <c r="AB202" s="104"/>
      <c r="AC202" s="101"/>
      <c r="AD202" s="101"/>
      <c r="AE202" s="101"/>
      <c r="AF202" s="101"/>
      <c r="AG202" s="101"/>
      <c r="AH202" s="101"/>
      <c r="AI202" s="101"/>
      <c r="AJ202" s="101"/>
      <c r="AK202" s="101"/>
      <c r="AL202" s="101"/>
      <c r="AM202" s="101"/>
    </row>
    <row r="203" spans="1:39" s="103" customFormat="1" ht="16.5" x14ac:dyDescent="0.3">
      <c r="A203" s="101"/>
      <c r="B203" s="102"/>
      <c r="C203" s="150"/>
      <c r="D203" s="102" t="s">
        <v>255</v>
      </c>
      <c r="E203" s="102"/>
      <c r="F203" s="1965">
        <f>-(Ввод!G20+Ввод!G21)/VLOOKUP(Баланс!$B$7,Баланс!$A$1:$B$3,2,0)</f>
        <v>-4.2490949999999996</v>
      </c>
      <c r="G203" s="1965">
        <f>-(Ввод!H20+Ввод!H21)/VLOOKUP(Баланс!$B$7,Баланс!$A$1:$B$3,2,0)</f>
        <v>-4.2484060000000001</v>
      </c>
      <c r="H203" s="1965">
        <f>-(Ввод!I20+Ввод!I21)/VLOOKUP(Баланс!$B$7,Баланс!$A$1:$B$3,2,0)</f>
        <v>-5.6914540000000002</v>
      </c>
      <c r="I203" s="1965">
        <f>-(Ввод!J20+Ввод!J21)/VLOOKUP(Баланс!$B$7,Баланс!$A$1:$B$3,2,0)</f>
        <v>-6.8545129999999999</v>
      </c>
      <c r="J203" s="1965">
        <f>-(Ввод!K20+Ввод!K21)/VLOOKUP(Баланс!$B$7,Баланс!$A$1:$B$3,2,0)</f>
        <v>-10.158757</v>
      </c>
      <c r="K203" s="1965">
        <f>-(Ввод!L20+Ввод!L21)/VLOOKUP(Баланс!$B$7,Баланс!$A$1:$B$3,2,0)</f>
        <v>-10.494198000000001</v>
      </c>
      <c r="L203" s="1965">
        <f>-(Ввод!M20+Ввод!M21)/VLOOKUP(Баланс!$B$7,Баланс!$A$1:$B$3,2,0)</f>
        <v>-15.135138</v>
      </c>
      <c r="M203" s="1965">
        <f>-(Ввод!N20+Ввод!N21)/VLOOKUP(Баланс!$B$7,Баланс!$A$1:$B$3,2,0)</f>
        <v>-16.975560999999999</v>
      </c>
      <c r="N203" s="1965">
        <f>-(Ввод!O20+Ввод!O21)/VLOOKUP(Баланс!$B$7,Баланс!$A$1:$B$3,2,0)</f>
        <v>-21.111263000000001</v>
      </c>
      <c r="O203" s="1965">
        <f>-(Ввод!P20+Ввод!P21)/VLOOKUP(Баланс!$B$7,Баланс!$A$1:$B$3,2,0)</f>
        <v>0</v>
      </c>
      <c r="P203" s="104"/>
      <c r="Q203" s="104"/>
      <c r="R203" s="104"/>
      <c r="S203" s="104"/>
      <c r="T203" s="104"/>
      <c r="U203" s="104"/>
      <c r="V203" s="104"/>
      <c r="W203" s="104"/>
      <c r="X203" s="104"/>
      <c r="Y203" s="104"/>
      <c r="Z203" s="104"/>
      <c r="AA203" s="104"/>
      <c r="AB203" s="104"/>
      <c r="AC203" s="101"/>
      <c r="AD203" s="101"/>
      <c r="AE203" s="101"/>
      <c r="AF203" s="101"/>
      <c r="AG203" s="101"/>
      <c r="AH203" s="101"/>
      <c r="AI203" s="101"/>
      <c r="AJ203" s="101"/>
      <c r="AK203" s="101"/>
      <c r="AL203" s="101"/>
      <c r="AM203" s="101"/>
    </row>
    <row r="204" spans="1:39" s="103" customFormat="1" ht="16.5" x14ac:dyDescent="0.3">
      <c r="A204" s="101"/>
      <c r="B204" s="102"/>
      <c r="C204" s="150"/>
      <c r="D204" s="796" t="s">
        <v>3453</v>
      </c>
      <c r="E204" s="102"/>
      <c r="F204" s="1965">
        <f>-Ввод!G16/VLOOKUP(Баланс!$B$7,Баланс!$A$1:$B$3,2,0)</f>
        <v>-1.609029</v>
      </c>
      <c r="G204" s="1965">
        <f>-Ввод!H16/VLOOKUP(Баланс!$B$7,Баланс!$A$1:$B$3,2,0)</f>
        <v>-1.6147819999999999</v>
      </c>
      <c r="H204" s="1965">
        <f>-Ввод!I16/VLOOKUP(Баланс!$B$7,Баланс!$A$1:$B$3,2,0)</f>
        <v>-1.7495959999999999</v>
      </c>
      <c r="I204" s="1965">
        <f>-Ввод!J16/VLOOKUP(Баланс!$B$7,Баланс!$A$1:$B$3,2,0)</f>
        <v>-1.8671120000000001</v>
      </c>
      <c r="J204" s="1965">
        <f>-Ввод!K16/VLOOKUP(Баланс!$B$7,Баланс!$A$1:$B$3,2,0)</f>
        <v>-1.78606</v>
      </c>
      <c r="K204" s="1965">
        <f>-Ввод!L16/VLOOKUP(Баланс!$B$7,Баланс!$A$1:$B$3,2,0)</f>
        <v>0</v>
      </c>
      <c r="L204" s="1965">
        <f>-Ввод!M16/VLOOKUP(Баланс!$B$7,Баланс!$A$1:$B$3,2,0)</f>
        <v>0</v>
      </c>
      <c r="M204" s="1965">
        <f>-Ввод!N16/VLOOKUP(Баланс!$B$7,Баланс!$A$1:$B$3,2,0)</f>
        <v>0</v>
      </c>
      <c r="N204" s="1965">
        <f>-Ввод!O16/VLOOKUP(Баланс!$B$7,Баланс!$A$1:$B$3,2,0)</f>
        <v>0</v>
      </c>
      <c r="O204" s="1965">
        <f>-Ввод!P16/VLOOKUP(Баланс!$B$7,Баланс!$A$1:$B$3,2,0)</f>
        <v>0</v>
      </c>
      <c r="P204" s="104"/>
      <c r="Q204" s="104"/>
      <c r="R204" s="104"/>
      <c r="S204" s="104"/>
      <c r="T204" s="104"/>
      <c r="U204" s="104"/>
      <c r="V204" s="104"/>
      <c r="W204" s="104"/>
      <c r="X204" s="104"/>
      <c r="Y204" s="104"/>
      <c r="Z204" s="104"/>
      <c r="AA204" s="104"/>
      <c r="AB204" s="104"/>
      <c r="AC204" s="101"/>
      <c r="AD204" s="101"/>
      <c r="AE204" s="101"/>
      <c r="AF204" s="101"/>
      <c r="AG204" s="101"/>
      <c r="AH204" s="101"/>
      <c r="AI204" s="101"/>
      <c r="AJ204" s="101"/>
      <c r="AK204" s="101"/>
      <c r="AL204" s="101"/>
      <c r="AM204" s="101"/>
    </row>
    <row r="205" spans="1:39" s="103" customFormat="1" ht="16.5" x14ac:dyDescent="0.3">
      <c r="A205" s="101"/>
      <c r="B205" s="102"/>
      <c r="C205" s="2148">
        <v>0.6</v>
      </c>
      <c r="D205" s="102" t="s">
        <v>3436</v>
      </c>
      <c r="E205" s="102"/>
      <c r="F205" s="1966">
        <f>-Ввод!G539*$C$205/VLOOKUP(Баланс!$B$7,Баланс!$A$1:$B$3,2,0)</f>
        <v>-9.3651845999999992</v>
      </c>
      <c r="G205" s="1966">
        <f>-Ввод!H539*$C$205/VLOOKUP(Баланс!$B$7,Баланс!$A$1:$B$3,2,0)</f>
        <v>-7.8874157999999994</v>
      </c>
      <c r="H205" s="1966">
        <f>-Ввод!I539*$C$205/VLOOKUP(Баланс!$B$7,Баланс!$A$1:$B$3,2,0)</f>
        <v>-13.781928599999999</v>
      </c>
      <c r="I205" s="1966">
        <f>-Ввод!J539*$C$205/VLOOKUP(Баланс!$B$7,Баланс!$A$1:$B$3,2,0)</f>
        <v>-19.833268199999999</v>
      </c>
      <c r="J205" s="1966">
        <f>-Ввод!K539*$C$205/VLOOKUP(Баланс!$B$7,Баланс!$A$1:$B$3,2,0)</f>
        <v>-13.7159076</v>
      </c>
      <c r="K205" s="1966">
        <f>-Ввод!L539*$C$205/VLOOKUP(Баланс!$B$7,Баланс!$A$1:$B$3,2,0)</f>
        <v>-12.086081999999999</v>
      </c>
      <c r="L205" s="1966">
        <f>-Ввод!M539*$C$205/VLOOKUP(Баланс!$B$7,Баланс!$A$1:$B$3,2,0)</f>
        <v>-13.9874838</v>
      </c>
      <c r="M205" s="1966">
        <f>-Ввод!N539*$C$205/VLOOKUP(Баланс!$B$7,Баланс!$A$1:$B$3,2,0)</f>
        <v>-16.494060000000001</v>
      </c>
      <c r="N205" s="1966">
        <f>-Ввод!O539*$C$205/VLOOKUP(Баланс!$B$7,Баланс!$A$1:$B$3,2,0)</f>
        <v>-12.410980799999999</v>
      </c>
      <c r="O205" s="1966">
        <f>-Ввод!P539*$C$205/VLOOKUP(Баланс!$B$7,Баланс!$A$1:$B$3,2,0)</f>
        <v>0</v>
      </c>
      <c r="P205" s="104"/>
      <c r="Q205" s="104"/>
      <c r="R205" s="104"/>
      <c r="S205" s="104"/>
      <c r="T205" s="104"/>
      <c r="U205" s="104"/>
      <c r="V205" s="104"/>
      <c r="W205" s="104"/>
      <c r="X205" s="104"/>
      <c r="Y205" s="104"/>
      <c r="Z205" s="104"/>
      <c r="AA205" s="104"/>
      <c r="AB205" s="104"/>
      <c r="AC205" s="101"/>
      <c r="AD205" s="101"/>
      <c r="AE205" s="101"/>
      <c r="AF205" s="101"/>
      <c r="AG205" s="101"/>
      <c r="AH205" s="101"/>
      <c r="AI205" s="101"/>
      <c r="AJ205" s="101"/>
      <c r="AK205" s="101"/>
      <c r="AL205" s="101"/>
      <c r="AM205" s="101"/>
    </row>
    <row r="206" spans="1:39" s="103" customFormat="1" ht="16.5" x14ac:dyDescent="0.3">
      <c r="A206" s="101"/>
      <c r="B206" s="152" t="s">
        <v>45</v>
      </c>
      <c r="C206" s="152" t="s">
        <v>91</v>
      </c>
      <c r="D206" s="152"/>
      <c r="E206" s="152"/>
      <c r="F206" s="1967">
        <f t="shared" ref="F206:N206" si="108">SUM(F201:F205)</f>
        <v>56.421982399999983</v>
      </c>
      <c r="G206" s="1967">
        <f t="shared" si="108"/>
        <v>65.180181199999993</v>
      </c>
      <c r="H206" s="1967">
        <f t="shared" si="108"/>
        <v>57.785249399999984</v>
      </c>
      <c r="I206" s="1967">
        <f t="shared" si="108"/>
        <v>49.655103799999999</v>
      </c>
      <c r="J206" s="1967">
        <f t="shared" si="108"/>
        <v>49.507440400000007</v>
      </c>
      <c r="K206" s="1967">
        <f t="shared" si="108"/>
        <v>53.792438000000011</v>
      </c>
      <c r="L206" s="1967">
        <f t="shared" si="108"/>
        <v>53.623339199999997</v>
      </c>
      <c r="M206" s="1967">
        <f t="shared" si="108"/>
        <v>62.992741999999993</v>
      </c>
      <c r="N206" s="1967">
        <f t="shared" si="108"/>
        <v>67.256160199999982</v>
      </c>
      <c r="O206" s="1967"/>
      <c r="P206" s="187"/>
      <c r="Q206" s="104"/>
      <c r="R206" s="104"/>
      <c r="S206" s="104"/>
      <c r="T206" s="104"/>
      <c r="U206" s="104"/>
      <c r="V206" s="104"/>
      <c r="W206" s="104"/>
      <c r="X206" s="104"/>
      <c r="Y206" s="104"/>
      <c r="Z206" s="104"/>
      <c r="AA206" s="104"/>
      <c r="AB206" s="104"/>
      <c r="AC206" s="101"/>
      <c r="AD206" s="101"/>
      <c r="AE206" s="101"/>
      <c r="AF206" s="101"/>
      <c r="AG206" s="101"/>
      <c r="AH206" s="101"/>
      <c r="AI206" s="101"/>
      <c r="AJ206" s="101"/>
      <c r="AK206" s="101"/>
      <c r="AL206" s="101"/>
      <c r="AM206" s="101"/>
    </row>
    <row r="207" spans="1:39" s="103" customFormat="1" ht="16.5" x14ac:dyDescent="0.3">
      <c r="A207" s="101"/>
      <c r="B207" s="102"/>
      <c r="C207" s="102"/>
      <c r="D207" s="102"/>
      <c r="E207" s="102"/>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1"/>
      <c r="AD207" s="101"/>
      <c r="AE207" s="101"/>
      <c r="AF207" s="101"/>
      <c r="AG207" s="101"/>
      <c r="AH207" s="101"/>
      <c r="AI207" s="101"/>
      <c r="AJ207" s="101"/>
      <c r="AK207" s="101"/>
      <c r="AL207" s="101"/>
      <c r="AM207" s="101"/>
    </row>
    <row r="208" spans="1:39" s="103" customFormat="1" ht="16.5" x14ac:dyDescent="0.3">
      <c r="A208" s="101"/>
      <c r="B208" s="102"/>
      <c r="C208" s="102" t="s">
        <v>257</v>
      </c>
      <c r="D208" s="102"/>
      <c r="E208" s="102"/>
      <c r="F208" s="188">
        <f t="shared" ref="F208:N208" si="109">1-F206/F201</f>
        <v>0.21248163539457188</v>
      </c>
      <c r="G208" s="188">
        <f t="shared" si="109"/>
        <v>0.17421090896283375</v>
      </c>
      <c r="H208" s="188">
        <f t="shared" si="109"/>
        <v>0.26861732173008623</v>
      </c>
      <c r="I208" s="188">
        <f t="shared" si="109"/>
        <v>0.36510541229147475</v>
      </c>
      <c r="J208" s="188">
        <f t="shared" si="109"/>
        <v>0.34137755790632907</v>
      </c>
      <c r="K208" s="188">
        <f t="shared" si="109"/>
        <v>0.29565898126082135</v>
      </c>
      <c r="L208" s="188">
        <f t="shared" si="109"/>
        <v>0.35195218531572803</v>
      </c>
      <c r="M208" s="188">
        <f t="shared" si="109"/>
        <v>0.34697077657116904</v>
      </c>
      <c r="N208" s="188">
        <f t="shared" si="109"/>
        <v>0.33263320780511685</v>
      </c>
      <c r="O208" s="188"/>
      <c r="P208" s="188"/>
      <c r="Q208" s="188"/>
      <c r="R208" s="104"/>
      <c r="S208" s="104"/>
      <c r="T208" s="104"/>
      <c r="U208" s="104"/>
      <c r="V208" s="104"/>
      <c r="W208" s="104"/>
      <c r="X208" s="104"/>
      <c r="Y208" s="104"/>
      <c r="Z208" s="104"/>
      <c r="AA208" s="104"/>
      <c r="AB208" s="104"/>
      <c r="AC208" s="101"/>
      <c r="AD208" s="101"/>
      <c r="AE208" s="101"/>
      <c r="AF208" s="101"/>
      <c r="AG208" s="101"/>
      <c r="AH208" s="101"/>
      <c r="AI208" s="101"/>
      <c r="AJ208" s="101"/>
      <c r="AK208" s="101"/>
      <c r="AL208" s="101"/>
      <c r="AM208" s="101"/>
    </row>
    <row r="209" spans="1:39" s="103" customFormat="1" ht="16.5" x14ac:dyDescent="0.3">
      <c r="A209" s="101"/>
      <c r="B209" s="102"/>
      <c r="C209" s="102"/>
      <c r="D209" s="102"/>
      <c r="E209" s="102"/>
      <c r="F209" s="151"/>
      <c r="G209" s="151"/>
      <c r="H209" s="151"/>
      <c r="I209" s="151"/>
      <c r="J209" s="151"/>
      <c r="K209" s="151"/>
      <c r="L209" s="151"/>
      <c r="M209" s="151"/>
      <c r="N209" s="151"/>
      <c r="O209" s="151"/>
      <c r="P209" s="151"/>
      <c r="Q209" s="151"/>
      <c r="R209" s="104"/>
      <c r="S209" s="104"/>
      <c r="T209" s="104"/>
      <c r="U209" s="104"/>
      <c r="V209" s="104"/>
      <c r="W209" s="104"/>
      <c r="X209" s="104"/>
      <c r="Y209" s="104"/>
      <c r="Z209" s="104"/>
      <c r="AA209" s="104"/>
      <c r="AB209" s="104"/>
      <c r="AC209" s="101"/>
      <c r="AD209" s="101"/>
      <c r="AE209" s="101"/>
      <c r="AF209" s="101"/>
      <c r="AG209" s="101"/>
      <c r="AH209" s="101"/>
      <c r="AI209" s="101"/>
      <c r="AJ209" s="101"/>
      <c r="AK209" s="101"/>
      <c r="AL209" s="101"/>
      <c r="AM209" s="101"/>
    </row>
    <row r="210" spans="1:39" ht="15" x14ac:dyDescent="0.2">
      <c r="A210" s="507"/>
      <c r="B210" s="785"/>
      <c r="C210" s="786" t="s">
        <v>300</v>
      </c>
      <c r="D210" s="785"/>
      <c r="E210" s="785"/>
      <c r="F210" s="787"/>
      <c r="G210" s="787"/>
      <c r="H210" s="787"/>
      <c r="I210" s="787"/>
      <c r="J210" s="788"/>
      <c r="K210" s="788"/>
      <c r="L210" s="788"/>
      <c r="M210" s="788"/>
      <c r="N210" s="788"/>
      <c r="O210" s="788"/>
      <c r="P210" s="788"/>
      <c r="Q210" s="788"/>
      <c r="R210" s="788"/>
      <c r="S210" s="788"/>
      <c r="T210" s="788"/>
      <c r="U210" s="788"/>
      <c r="V210" s="788"/>
      <c r="W210" s="788"/>
      <c r="X210" s="788"/>
      <c r="Y210" s="788"/>
      <c r="Z210" s="788"/>
      <c r="AA210" s="788"/>
      <c r="AB210" s="8"/>
      <c r="AC210" s="4"/>
      <c r="AD210" s="4"/>
      <c r="AE210" s="4"/>
      <c r="AF210" s="4"/>
      <c r="AG210" s="4"/>
      <c r="AH210" s="4"/>
      <c r="AI210" s="4"/>
      <c r="AJ210" s="4"/>
      <c r="AK210" s="4"/>
      <c r="AL210" s="4"/>
      <c r="AM210" s="4"/>
    </row>
    <row r="211" spans="1:39" ht="15" x14ac:dyDescent="0.25">
      <c r="A211" s="4"/>
      <c r="B211" s="6"/>
      <c r="C211" s="1972"/>
      <c r="D211" s="6"/>
      <c r="E211" s="6"/>
      <c r="F211" s="509"/>
      <c r="G211" s="2156"/>
      <c r="H211" s="2156"/>
      <c r="I211" s="2156"/>
      <c r="J211" s="2157"/>
      <c r="K211" s="2158" t="s">
        <v>3064</v>
      </c>
      <c r="L211" s="1975"/>
      <c r="M211" s="1975"/>
      <c r="N211" s="1973"/>
      <c r="O211" s="1973"/>
      <c r="P211" s="8"/>
      <c r="Q211" s="8"/>
      <c r="R211" s="8"/>
      <c r="S211" s="8"/>
      <c r="T211" s="8"/>
      <c r="U211" s="8"/>
      <c r="V211" s="8"/>
      <c r="W211" s="8"/>
      <c r="X211" s="8"/>
      <c r="Y211" s="8"/>
      <c r="Z211" s="8"/>
      <c r="AA211" s="8"/>
      <c r="AB211" s="8"/>
      <c r="AC211" s="4"/>
      <c r="AD211" s="4"/>
      <c r="AE211" s="4"/>
      <c r="AF211" s="4"/>
      <c r="AG211" s="4"/>
      <c r="AH211" s="4"/>
      <c r="AI211" s="4"/>
      <c r="AJ211" s="4"/>
      <c r="AK211" s="4"/>
      <c r="AL211" s="4"/>
      <c r="AM211" s="4"/>
    </row>
    <row r="212" spans="1:39" s="103" customFormat="1" ht="17.25" thickBot="1" x14ac:dyDescent="0.35">
      <c r="A212" s="101"/>
      <c r="B212" s="209"/>
      <c r="C212" s="209"/>
      <c r="D212" s="209"/>
      <c r="E212" s="209" t="str">
        <f>E7</f>
        <v>млрд руб.</v>
      </c>
      <c r="F212" s="2159" t="str">
        <f t="shared" ref="F212:K212" si="110">AC8</f>
        <v>2016</v>
      </c>
      <c r="G212" s="2159" t="str">
        <f t="shared" si="110"/>
        <v>2017</v>
      </c>
      <c r="H212" s="2159" t="str">
        <f t="shared" si="110"/>
        <v>2018</v>
      </c>
      <c r="I212" s="2159" t="str">
        <f t="shared" si="110"/>
        <v>2019</v>
      </c>
      <c r="J212" s="2159" t="str">
        <f t="shared" si="110"/>
        <v>2020</v>
      </c>
      <c r="K212" s="2159" t="str">
        <f t="shared" si="110"/>
        <v>2021</v>
      </c>
      <c r="L212" s="1974"/>
      <c r="M212" s="1974"/>
      <c r="N212" s="1974"/>
      <c r="O212" s="1974"/>
      <c r="P212" s="210"/>
      <c r="Q212" s="210"/>
      <c r="R212" s="104"/>
      <c r="S212" s="104"/>
      <c r="T212" s="104"/>
      <c r="U212" s="210"/>
      <c r="V212" s="104"/>
      <c r="W212" s="104"/>
      <c r="X212" s="104"/>
      <c r="Y212" s="104"/>
      <c r="Z212" s="104"/>
      <c r="AA212" s="104"/>
      <c r="AB212" s="104"/>
      <c r="AC212" s="101"/>
      <c r="AD212" s="101"/>
      <c r="AE212" s="101"/>
      <c r="AF212" s="101"/>
      <c r="AG212" s="101"/>
      <c r="AH212" s="101"/>
      <c r="AI212" s="101"/>
      <c r="AJ212" s="101"/>
      <c r="AK212" s="101"/>
      <c r="AL212" s="101"/>
      <c r="AM212" s="101"/>
    </row>
    <row r="213" spans="1:39" s="103" customFormat="1" ht="16.5" x14ac:dyDescent="0.3">
      <c r="A213" s="101"/>
      <c r="B213" s="213" t="s">
        <v>288</v>
      </c>
      <c r="C213" s="213"/>
      <c r="D213" s="213"/>
      <c r="E213" s="213"/>
      <c r="F213" s="215"/>
      <c r="G213" s="215"/>
      <c r="H213" s="1968">
        <f t="shared" ref="H213:K213" si="111">SUM(H214:H215)</f>
        <v>8.1609999999983085E-3</v>
      </c>
      <c r="I213" s="1968">
        <f t="shared" si="111"/>
        <v>2.2474700000000016</v>
      </c>
      <c r="J213" s="1968">
        <f t="shared" si="111"/>
        <v>-0.98931500000000239</v>
      </c>
      <c r="K213" s="1968">
        <f t="shared" si="111"/>
        <v>4.0805490000000031</v>
      </c>
      <c r="L213" s="2149"/>
      <c r="M213" s="2149"/>
      <c r="N213" s="2149"/>
      <c r="O213" s="2149"/>
      <c r="P213" s="215"/>
      <c r="Q213" s="215"/>
      <c r="R213" s="104"/>
      <c r="S213" s="104"/>
      <c r="T213" s="104"/>
      <c r="U213" s="215"/>
      <c r="V213" s="104"/>
      <c r="W213" s="104"/>
      <c r="X213" s="104"/>
      <c r="Y213" s="104"/>
      <c r="Z213" s="104"/>
      <c r="AA213" s="104"/>
      <c r="AB213" s="104"/>
      <c r="AC213" s="101"/>
      <c r="AD213" s="101"/>
      <c r="AE213" s="101"/>
      <c r="AF213" s="101"/>
      <c r="AG213" s="101"/>
      <c r="AH213" s="101"/>
      <c r="AI213" s="101"/>
      <c r="AJ213" s="101"/>
      <c r="AK213" s="101"/>
      <c r="AL213" s="101"/>
      <c r="AM213" s="101"/>
    </row>
    <row r="214" spans="1:39" s="103" customFormat="1" ht="16.5" outlineLevel="1" x14ac:dyDescent="0.3">
      <c r="A214" s="101"/>
      <c r="B214" s="6"/>
      <c r="C214" s="6" t="s">
        <v>289</v>
      </c>
      <c r="D214" s="6"/>
      <c r="E214" s="6"/>
      <c r="F214" s="43"/>
      <c r="G214" s="701"/>
      <c r="H214" s="1701">
        <f t="shared" ref="H214:K214" si="112">IF(H70=0,"х",AE17+AE16+AE55+AE56)</f>
        <v>8.1609999999983085E-3</v>
      </c>
      <c r="I214" s="1701">
        <f t="shared" si="112"/>
        <v>2.2474700000000016</v>
      </c>
      <c r="J214" s="1701">
        <f t="shared" si="112"/>
        <v>0.21736399999999767</v>
      </c>
      <c r="K214" s="1701">
        <f t="shared" si="112"/>
        <v>2.8738700000000028</v>
      </c>
      <c r="L214" s="1836"/>
      <c r="M214" s="1836"/>
      <c r="N214" s="1836"/>
      <c r="O214" s="1836"/>
      <c r="P214" s="43"/>
      <c r="Q214" s="43"/>
      <c r="R214" s="104"/>
      <c r="S214" s="104"/>
      <c r="T214" s="104"/>
      <c r="U214" s="43"/>
      <c r="V214" s="104"/>
      <c r="W214" s="104"/>
      <c r="X214" s="104"/>
      <c r="Y214" s="104"/>
      <c r="Z214" s="104"/>
      <c r="AA214" s="104"/>
      <c r="AB214" s="104"/>
      <c r="AC214" s="101"/>
      <c r="AD214" s="101"/>
      <c r="AE214" s="101"/>
      <c r="AF214" s="101"/>
      <c r="AG214" s="101"/>
      <c r="AH214" s="101"/>
      <c r="AI214" s="101"/>
      <c r="AJ214" s="101"/>
      <c r="AK214" s="101"/>
      <c r="AL214" s="101"/>
      <c r="AM214" s="101"/>
    </row>
    <row r="215" spans="1:39" s="103" customFormat="1" ht="16.5" outlineLevel="1" x14ac:dyDescent="0.3">
      <c r="A215" s="101"/>
      <c r="B215" s="6"/>
      <c r="C215" s="1" t="s">
        <v>290</v>
      </c>
      <c r="D215" s="6"/>
      <c r="E215" s="6"/>
      <c r="F215" s="43"/>
      <c r="G215" s="701"/>
      <c r="H215" s="1701">
        <f t="shared" ref="H215:K215" si="113">IF(H70=0,"х",AE25+AE26)</f>
        <v>0</v>
      </c>
      <c r="I215" s="1701">
        <f t="shared" si="113"/>
        <v>0</v>
      </c>
      <c r="J215" s="1701">
        <f t="shared" si="113"/>
        <v>-1.2066790000000001</v>
      </c>
      <c r="K215" s="1701">
        <f t="shared" si="113"/>
        <v>1.2066790000000001</v>
      </c>
      <c r="L215" s="1836"/>
      <c r="M215" s="1836"/>
      <c r="N215" s="1836"/>
      <c r="O215" s="1836"/>
      <c r="P215" s="43"/>
      <c r="Q215" s="43"/>
      <c r="R215" s="104"/>
      <c r="S215" s="104"/>
      <c r="T215" s="104"/>
      <c r="U215" s="43"/>
      <c r="V215" s="104"/>
      <c r="W215" s="104"/>
      <c r="X215" s="104"/>
      <c r="Y215" s="104"/>
      <c r="Z215" s="104"/>
      <c r="AA215" s="104"/>
      <c r="AB215" s="104"/>
      <c r="AC215" s="101"/>
      <c r="AD215" s="101"/>
      <c r="AE215" s="101"/>
      <c r="AF215" s="101"/>
      <c r="AG215" s="101"/>
      <c r="AH215" s="101"/>
      <c r="AI215" s="101"/>
      <c r="AJ215" s="101"/>
      <c r="AK215" s="101"/>
      <c r="AL215" s="101"/>
      <c r="AM215" s="101"/>
    </row>
    <row r="216" spans="1:39" s="103" customFormat="1" ht="16.5" x14ac:dyDescent="0.3">
      <c r="A216" s="101"/>
      <c r="B216" s="213" t="s">
        <v>291</v>
      </c>
      <c r="C216" s="213"/>
      <c r="D216" s="213"/>
      <c r="E216" s="213"/>
      <c r="F216" s="218"/>
      <c r="G216" s="218"/>
      <c r="H216" s="1969">
        <f t="shared" ref="H216:K216" si="114">SUM(H217:H221)</f>
        <v>0.50439899999999938</v>
      </c>
      <c r="I216" s="1969">
        <f t="shared" si="114"/>
        <v>-0.85132499999999922</v>
      </c>
      <c r="J216" s="1969">
        <f t="shared" si="114"/>
        <v>-0.9291299999999989</v>
      </c>
      <c r="K216" s="1969">
        <f t="shared" si="114"/>
        <v>-1.8680910000000015</v>
      </c>
      <c r="L216" s="2150"/>
      <c r="M216" s="2150"/>
      <c r="N216" s="2150"/>
      <c r="O216" s="2150"/>
      <c r="P216" s="218"/>
      <c r="Q216" s="218"/>
      <c r="R216" s="104"/>
      <c r="S216" s="104"/>
      <c r="T216" s="104"/>
      <c r="U216" s="218"/>
      <c r="V216" s="104"/>
      <c r="W216" s="104"/>
      <c r="X216" s="104"/>
      <c r="Y216" s="104"/>
      <c r="Z216" s="104"/>
      <c r="AA216" s="104"/>
      <c r="AB216" s="104"/>
      <c r="AC216" s="101"/>
      <c r="AD216" s="101"/>
      <c r="AE216" s="101"/>
      <c r="AF216" s="101"/>
      <c r="AG216" s="101"/>
      <c r="AH216" s="101"/>
      <c r="AI216" s="101"/>
      <c r="AJ216" s="101"/>
      <c r="AK216" s="101"/>
      <c r="AL216" s="101"/>
      <c r="AM216" s="101"/>
    </row>
    <row r="217" spans="1:39" s="103" customFormat="1" ht="16.5" outlineLevel="1" x14ac:dyDescent="0.3">
      <c r="A217" s="101"/>
      <c r="B217" s="6"/>
      <c r="C217" s="6" t="s">
        <v>800</v>
      </c>
      <c r="D217" s="6"/>
      <c r="E217" s="6"/>
      <c r="F217" s="43"/>
      <c r="G217" s="701"/>
      <c r="H217" s="1701">
        <f t="shared" ref="H217:K217" si="115">IF(H70=0,"х",AE12+AE14)</f>
        <v>0</v>
      </c>
      <c r="I217" s="1701">
        <f t="shared" si="115"/>
        <v>0</v>
      </c>
      <c r="J217" s="1701">
        <f t="shared" si="115"/>
        <v>0</v>
      </c>
      <c r="K217" s="1701">
        <f t="shared" si="115"/>
        <v>0</v>
      </c>
      <c r="L217" s="1836"/>
      <c r="M217" s="1836"/>
      <c r="N217" s="1836"/>
      <c r="O217" s="1836"/>
      <c r="P217" s="43"/>
      <c r="Q217" s="43"/>
      <c r="R217" s="104"/>
      <c r="S217" s="104"/>
      <c r="T217" s="104"/>
      <c r="U217" s="43"/>
      <c r="V217" s="104"/>
      <c r="W217" s="104"/>
      <c r="X217" s="104"/>
      <c r="Y217" s="104"/>
      <c r="Z217" s="104"/>
      <c r="AA217" s="104"/>
      <c r="AB217" s="104"/>
      <c r="AC217" s="101"/>
      <c r="AD217" s="101"/>
      <c r="AE217" s="101"/>
      <c r="AF217" s="101"/>
      <c r="AG217" s="101"/>
      <c r="AH217" s="101"/>
      <c r="AI217" s="101"/>
      <c r="AJ217" s="101"/>
      <c r="AK217" s="101"/>
      <c r="AL217" s="101"/>
      <c r="AM217" s="101"/>
    </row>
    <row r="218" spans="1:39" s="103" customFormat="1" ht="15.75" customHeight="1" outlineLevel="1" x14ac:dyDescent="0.3">
      <c r="A218" s="101"/>
      <c r="B218" s="6"/>
      <c r="C218" s="1" t="s">
        <v>32</v>
      </c>
      <c r="D218" s="6"/>
      <c r="E218" s="6"/>
      <c r="F218" s="43"/>
      <c r="G218" s="701"/>
      <c r="H218" s="1701">
        <f t="shared" ref="H218:K218" si="116">IF(H70=0,"х",AE15+AE35+AE49)</f>
        <v>0</v>
      </c>
      <c r="I218" s="1701">
        <f t="shared" si="116"/>
        <v>0</v>
      </c>
      <c r="J218" s="1701">
        <f t="shared" si="116"/>
        <v>0</v>
      </c>
      <c r="K218" s="1701">
        <f t="shared" si="116"/>
        <v>0</v>
      </c>
      <c r="L218" s="1836"/>
      <c r="M218" s="1836"/>
      <c r="N218" s="1836"/>
      <c r="O218" s="1836"/>
      <c r="P218" s="43"/>
      <c r="Q218" s="43"/>
      <c r="R218" s="104"/>
      <c r="S218" s="104"/>
      <c r="T218" s="104"/>
      <c r="U218" s="43"/>
      <c r="V218" s="104"/>
      <c r="W218" s="104"/>
      <c r="X218" s="104"/>
      <c r="Y218" s="104"/>
      <c r="Z218" s="104"/>
      <c r="AA218" s="104"/>
      <c r="AB218" s="104"/>
      <c r="AC218" s="101"/>
      <c r="AD218" s="101"/>
      <c r="AE218" s="101"/>
      <c r="AF218" s="101"/>
      <c r="AG218" s="101"/>
      <c r="AH218" s="101"/>
      <c r="AI218" s="101"/>
      <c r="AJ218" s="101"/>
      <c r="AK218" s="101"/>
      <c r="AL218" s="101"/>
      <c r="AM218" s="101"/>
    </row>
    <row r="219" spans="1:39" s="103" customFormat="1" ht="16.5" outlineLevel="1" x14ac:dyDescent="0.3">
      <c r="A219" s="101"/>
      <c r="B219" s="6"/>
      <c r="C219" s="6" t="s">
        <v>292</v>
      </c>
      <c r="D219" s="6"/>
      <c r="E219" s="6"/>
      <c r="F219" s="43"/>
      <c r="G219" s="701"/>
      <c r="H219" s="1701">
        <f t="shared" ref="H219:K219" si="117">IF(H70=0,"х",AE13+AE34+AE46+AE47)</f>
        <v>0</v>
      </c>
      <c r="I219" s="1701">
        <f t="shared" si="117"/>
        <v>0</v>
      </c>
      <c r="J219" s="1701">
        <f t="shared" si="117"/>
        <v>0</v>
      </c>
      <c r="K219" s="1701">
        <f t="shared" si="117"/>
        <v>0</v>
      </c>
      <c r="L219" s="1836"/>
      <c r="M219" s="1836"/>
      <c r="N219" s="1836"/>
      <c r="O219" s="1836"/>
      <c r="P219" s="43"/>
      <c r="Q219" s="43"/>
      <c r="R219" s="104"/>
      <c r="S219" s="104"/>
      <c r="T219" s="104"/>
      <c r="U219" s="43"/>
      <c r="V219" s="104"/>
      <c r="W219" s="104"/>
      <c r="X219" s="104"/>
      <c r="Y219" s="104"/>
      <c r="Z219" s="104"/>
      <c r="AA219" s="104"/>
      <c r="AB219" s="104"/>
      <c r="AC219" s="101"/>
      <c r="AD219" s="101"/>
      <c r="AE219" s="101"/>
      <c r="AF219" s="101"/>
      <c r="AG219" s="101"/>
      <c r="AH219" s="101"/>
      <c r="AI219" s="101"/>
      <c r="AJ219" s="101"/>
      <c r="AK219" s="101"/>
      <c r="AL219" s="101"/>
      <c r="AM219" s="101"/>
    </row>
    <row r="220" spans="1:39" s="103" customFormat="1" ht="16.5" outlineLevel="1" x14ac:dyDescent="0.3">
      <c r="A220" s="101"/>
      <c r="B220" s="6"/>
      <c r="C220" s="6" t="s">
        <v>802</v>
      </c>
      <c r="D220" s="6"/>
      <c r="E220" s="6"/>
      <c r="F220" s="43"/>
      <c r="G220" s="701"/>
      <c r="H220" s="1701">
        <f t="shared" ref="H220:K220" si="118">IF(H70=0,"х",AE36+AE37+AE51-AE54)</f>
        <v>0.50439899999999938</v>
      </c>
      <c r="I220" s="1701">
        <f t="shared" si="118"/>
        <v>-0.85132499999999922</v>
      </c>
      <c r="J220" s="1701">
        <f t="shared" si="118"/>
        <v>-0.9291299999999989</v>
      </c>
      <c r="K220" s="1701">
        <f t="shared" si="118"/>
        <v>-1.8680910000000015</v>
      </c>
      <c r="L220" s="1836"/>
      <c r="M220" s="1836"/>
      <c r="N220" s="1836"/>
      <c r="O220" s="1836"/>
      <c r="P220" s="43"/>
      <c r="Q220" s="43"/>
      <c r="R220" s="104"/>
      <c r="S220" s="104"/>
      <c r="T220" s="104"/>
      <c r="U220" s="43"/>
      <c r="V220" s="104"/>
      <c r="W220" s="104"/>
      <c r="X220" s="104"/>
      <c r="Y220" s="104"/>
      <c r="Z220" s="104"/>
      <c r="AA220" s="104"/>
      <c r="AB220" s="104"/>
      <c r="AC220" s="101"/>
      <c r="AD220" s="101"/>
      <c r="AE220" s="101"/>
      <c r="AF220" s="101"/>
      <c r="AG220" s="101"/>
      <c r="AH220" s="101"/>
      <c r="AI220" s="101"/>
      <c r="AJ220" s="101"/>
      <c r="AK220" s="101"/>
      <c r="AL220" s="101"/>
      <c r="AM220" s="101"/>
    </row>
    <row r="221" spans="1:39" s="103" customFormat="1" ht="16.5" outlineLevel="1" x14ac:dyDescent="0.3">
      <c r="A221" s="101"/>
      <c r="B221" s="6"/>
      <c r="C221" s="6" t="s">
        <v>801</v>
      </c>
      <c r="D221" s="6"/>
      <c r="E221" s="6"/>
      <c r="F221" s="43"/>
      <c r="G221" s="701"/>
      <c r="H221" s="1701">
        <f t="shared" ref="H221:K221" si="119">IF(H70=0,"х",AE54)</f>
        <v>0</v>
      </c>
      <c r="I221" s="1701">
        <f t="shared" si="119"/>
        <v>0</v>
      </c>
      <c r="J221" s="1701">
        <f t="shared" si="119"/>
        <v>0</v>
      </c>
      <c r="K221" s="1701">
        <f t="shared" si="119"/>
        <v>0</v>
      </c>
      <c r="L221" s="1836"/>
      <c r="M221" s="1836"/>
      <c r="N221" s="1836"/>
      <c r="O221" s="1836"/>
      <c r="P221" s="43"/>
      <c r="Q221" s="43"/>
      <c r="R221" s="104"/>
      <c r="S221" s="104"/>
      <c r="T221" s="104"/>
      <c r="U221" s="43"/>
      <c r="V221" s="104"/>
      <c r="W221" s="104"/>
      <c r="X221" s="104"/>
      <c r="Y221" s="104"/>
      <c r="Z221" s="104"/>
      <c r="AA221" s="104"/>
      <c r="AB221" s="104"/>
      <c r="AC221" s="101"/>
      <c r="AD221" s="101"/>
      <c r="AE221" s="101"/>
      <c r="AF221" s="101"/>
      <c r="AG221" s="101"/>
      <c r="AH221" s="101"/>
      <c r="AI221" s="101"/>
      <c r="AJ221" s="101"/>
      <c r="AK221" s="101"/>
      <c r="AL221" s="101"/>
      <c r="AM221" s="101"/>
    </row>
    <row r="222" spans="1:39" s="103" customFormat="1" ht="16.5" x14ac:dyDescent="0.3">
      <c r="A222" s="101"/>
      <c r="B222" s="213" t="s">
        <v>294</v>
      </c>
      <c r="C222" s="213"/>
      <c r="D222" s="213"/>
      <c r="E222" s="213"/>
      <c r="F222" s="220"/>
      <c r="G222" s="220"/>
      <c r="H222" s="1970">
        <f t="shared" ref="H222:K222" si="120">IF(H70=0,"0",AE70-H213-H216)</f>
        <v>-0.43511700000000952</v>
      </c>
      <c r="I222" s="1970">
        <f t="shared" si="120"/>
        <v>-2.1943759999999894</v>
      </c>
      <c r="J222" s="1970">
        <f t="shared" si="120"/>
        <v>-1.1233869999999984</v>
      </c>
      <c r="K222" s="1970">
        <f t="shared" si="120"/>
        <v>-1.0079049999999974</v>
      </c>
      <c r="L222" s="2151"/>
      <c r="M222" s="2151"/>
      <c r="N222" s="2151"/>
      <c r="O222" s="2151"/>
      <c r="P222" s="220"/>
      <c r="Q222" s="220"/>
      <c r="R222" s="104"/>
      <c r="S222" s="104"/>
      <c r="T222" s="104"/>
      <c r="U222" s="220"/>
      <c r="V222" s="104"/>
      <c r="W222" s="104"/>
      <c r="X222" s="104"/>
      <c r="Y222" s="104"/>
      <c r="Z222" s="104"/>
      <c r="AA222" s="104"/>
      <c r="AB222" s="104"/>
      <c r="AC222" s="101"/>
      <c r="AD222" s="101"/>
      <c r="AE222" s="101"/>
      <c r="AF222" s="101"/>
      <c r="AG222" s="101"/>
      <c r="AH222" s="101"/>
      <c r="AI222" s="101"/>
      <c r="AJ222" s="101"/>
      <c r="AK222" s="101"/>
      <c r="AL222" s="101"/>
      <c r="AM222" s="101"/>
    </row>
    <row r="223" spans="1:39" s="103" customFormat="1" ht="16.5" outlineLevel="1" x14ac:dyDescent="0.3">
      <c r="A223" s="101"/>
      <c r="B223" s="6"/>
      <c r="C223" s="6" t="s">
        <v>1444</v>
      </c>
      <c r="D223" s="6"/>
      <c r="E223" s="6"/>
      <c r="F223" s="43"/>
      <c r="G223" s="701"/>
      <c r="H223" s="1701">
        <f t="shared" ref="H223:K223" si="121">IF(H70=0,"х",AE29+AE61)</f>
        <v>0</v>
      </c>
      <c r="I223" s="1701">
        <f t="shared" si="121"/>
        <v>-6.1799999999999997E-3</v>
      </c>
      <c r="J223" s="1701">
        <f t="shared" si="121"/>
        <v>0</v>
      </c>
      <c r="K223" s="1701">
        <f t="shared" si="121"/>
        <v>0</v>
      </c>
      <c r="L223" s="1836"/>
      <c r="M223" s="1836"/>
      <c r="N223" s="1836"/>
      <c r="O223" s="1836"/>
      <c r="P223" s="43"/>
      <c r="Q223" s="43"/>
      <c r="R223" s="104"/>
      <c r="S223" s="104"/>
      <c r="T223" s="104"/>
      <c r="U223" s="43"/>
      <c r="V223" s="104"/>
      <c r="W223" s="104"/>
      <c r="X223" s="104"/>
      <c r="Y223" s="104"/>
      <c r="Z223" s="104"/>
      <c r="AA223" s="104"/>
      <c r="AB223" s="104"/>
      <c r="AC223" s="101"/>
      <c r="AD223" s="101"/>
      <c r="AE223" s="101"/>
      <c r="AF223" s="101"/>
      <c r="AG223" s="101"/>
      <c r="AH223" s="101"/>
      <c r="AI223" s="101"/>
      <c r="AJ223" s="101"/>
      <c r="AK223" s="101"/>
      <c r="AL223" s="101"/>
      <c r="AM223" s="101"/>
    </row>
    <row r="224" spans="1:39" s="103" customFormat="1" ht="16.5" outlineLevel="1" x14ac:dyDescent="0.3">
      <c r="A224" s="101"/>
      <c r="B224" s="6"/>
      <c r="C224" s="6" t="s">
        <v>1445</v>
      </c>
      <c r="D224" s="6"/>
      <c r="E224" s="6"/>
      <c r="F224" s="43"/>
      <c r="G224" s="701"/>
      <c r="H224" s="1701">
        <f t="shared" ref="H224:K224" si="122">IF(H70=0,"х",AE41+AE62)</f>
        <v>1.2500000000000011E-3</v>
      </c>
      <c r="I224" s="1701">
        <f t="shared" si="122"/>
        <v>1.8749999999999999E-2</v>
      </c>
      <c r="J224" s="1701">
        <f t="shared" si="122"/>
        <v>0</v>
      </c>
      <c r="K224" s="1701">
        <f t="shared" si="122"/>
        <v>0</v>
      </c>
      <c r="L224" s="1836"/>
      <c r="M224" s="1836"/>
      <c r="N224" s="1836"/>
      <c r="O224" s="2152"/>
      <c r="P224" s="43"/>
      <c r="Q224" s="43"/>
      <c r="R224" s="104"/>
      <c r="S224" s="104"/>
      <c r="T224" s="104"/>
      <c r="U224" s="43"/>
      <c r="V224" s="104"/>
      <c r="W224" s="104"/>
      <c r="X224" s="104"/>
      <c r="Y224" s="104"/>
      <c r="Z224" s="104"/>
      <c r="AA224" s="104"/>
      <c r="AB224" s="104"/>
      <c r="AC224" s="101"/>
      <c r="AD224" s="101"/>
      <c r="AE224" s="101"/>
      <c r="AF224" s="101"/>
      <c r="AG224" s="101"/>
      <c r="AH224" s="101"/>
      <c r="AI224" s="101"/>
      <c r="AJ224" s="101"/>
      <c r="AK224" s="101"/>
      <c r="AL224" s="101"/>
      <c r="AM224" s="101"/>
    </row>
    <row r="225" spans="1:39" s="103" customFormat="1" ht="16.5" outlineLevel="1" x14ac:dyDescent="0.3">
      <c r="A225" s="101"/>
      <c r="B225" s="6"/>
      <c r="C225" s="6" t="s">
        <v>1446</v>
      </c>
      <c r="D225" s="6"/>
      <c r="E225" s="6"/>
      <c r="F225" s="43"/>
      <c r="G225" s="701"/>
      <c r="H225" s="1701">
        <f t="shared" ref="H225:K225" si="123">IF(H70=0,"x",AE24+AE42+AE63)</f>
        <v>-0.37828099999999998</v>
      </c>
      <c r="I225" s="1701">
        <f t="shared" si="123"/>
        <v>9.5099999999997964E-4</v>
      </c>
      <c r="J225" s="1701">
        <f t="shared" si="123"/>
        <v>-2.0365000000000022E-2</v>
      </c>
      <c r="K225" s="1701">
        <f t="shared" si="123"/>
        <v>-1.2789999999999968E-2</v>
      </c>
      <c r="L225" s="1836"/>
      <c r="M225" s="1836"/>
      <c r="N225" s="1836"/>
      <c r="O225" s="2152"/>
      <c r="P225" s="43"/>
      <c r="Q225" s="43"/>
      <c r="R225" s="104"/>
      <c r="S225" s="104"/>
      <c r="T225" s="104"/>
      <c r="U225" s="43"/>
      <c r="V225" s="104"/>
      <c r="W225" s="104"/>
      <c r="X225" s="104"/>
      <c r="Y225" s="104"/>
      <c r="Z225" s="104"/>
      <c r="AA225" s="104"/>
      <c r="AB225" s="104"/>
      <c r="AC225" s="101"/>
      <c r="AD225" s="101"/>
      <c r="AE225" s="101"/>
      <c r="AF225" s="101"/>
      <c r="AG225" s="101"/>
      <c r="AH225" s="101"/>
      <c r="AI225" s="101"/>
      <c r="AJ225" s="101"/>
      <c r="AK225" s="101"/>
      <c r="AL225" s="101"/>
      <c r="AM225" s="101"/>
    </row>
    <row r="226" spans="1:39" s="103" customFormat="1" ht="16.5" outlineLevel="1" x14ac:dyDescent="0.3">
      <c r="A226" s="101"/>
      <c r="B226" s="6"/>
      <c r="C226" s="6" t="s">
        <v>1447</v>
      </c>
      <c r="D226" s="6"/>
      <c r="E226" s="6"/>
      <c r="F226" s="43"/>
      <c r="G226" s="701"/>
      <c r="H226" s="1701">
        <f t="shared" ref="H226:K226" si="124">IF(H70=0,"x",AE28)</f>
        <v>0</v>
      </c>
      <c r="I226" s="1701">
        <f t="shared" si="124"/>
        <v>0</v>
      </c>
      <c r="J226" s="1701">
        <f t="shared" si="124"/>
        <v>0</v>
      </c>
      <c r="K226" s="1701">
        <f t="shared" si="124"/>
        <v>0</v>
      </c>
      <c r="L226" s="1836"/>
      <c r="M226" s="1836"/>
      <c r="N226" s="1836"/>
      <c r="O226" s="2152"/>
      <c r="P226" s="43"/>
      <c r="Q226" s="43"/>
      <c r="R226" s="104"/>
      <c r="S226" s="104"/>
      <c r="T226" s="104"/>
      <c r="U226" s="43"/>
      <c r="V226" s="104"/>
      <c r="W226" s="104"/>
      <c r="X226" s="104"/>
      <c r="Y226" s="104"/>
      <c r="Z226" s="104"/>
      <c r="AA226" s="104"/>
      <c r="AB226" s="104"/>
      <c r="AC226" s="101"/>
      <c r="AD226" s="101"/>
      <c r="AE226" s="101"/>
      <c r="AF226" s="101"/>
      <c r="AG226" s="101"/>
      <c r="AH226" s="101"/>
      <c r="AI226" s="101"/>
      <c r="AJ226" s="101"/>
      <c r="AK226" s="101"/>
      <c r="AL226" s="101"/>
      <c r="AM226" s="101"/>
    </row>
    <row r="227" spans="1:39" s="103" customFormat="1" ht="16.5" outlineLevel="1" x14ac:dyDescent="0.3">
      <c r="A227" s="101"/>
      <c r="B227" s="6"/>
      <c r="C227" s="6" t="s">
        <v>1448</v>
      </c>
      <c r="D227" s="6"/>
      <c r="E227" s="6"/>
      <c r="F227" s="43"/>
      <c r="G227" s="701"/>
      <c r="H227" s="1701">
        <f t="shared" ref="H227:K227" si="125">IF(H70=0,"x",AE58)</f>
        <v>0</v>
      </c>
      <c r="I227" s="1701">
        <f t="shared" si="125"/>
        <v>0</v>
      </c>
      <c r="J227" s="1701">
        <f t="shared" si="125"/>
        <v>0</v>
      </c>
      <c r="K227" s="1701">
        <f t="shared" si="125"/>
        <v>0</v>
      </c>
      <c r="L227" s="1836"/>
      <c r="M227" s="1836"/>
      <c r="N227" s="1836"/>
      <c r="O227" s="2152"/>
      <c r="P227" s="43"/>
      <c r="Q227" s="43"/>
      <c r="R227" s="104"/>
      <c r="S227" s="104"/>
      <c r="T227" s="104"/>
      <c r="U227" s="43"/>
      <c r="V227" s="104"/>
      <c r="W227" s="104"/>
      <c r="X227" s="104"/>
      <c r="Y227" s="104"/>
      <c r="Z227" s="104"/>
      <c r="AA227" s="104"/>
      <c r="AB227" s="104"/>
      <c r="AC227" s="101"/>
      <c r="AD227" s="101"/>
      <c r="AE227" s="101"/>
      <c r="AF227" s="101"/>
      <c r="AG227" s="101"/>
      <c r="AH227" s="101"/>
      <c r="AI227" s="101"/>
      <c r="AJ227" s="101"/>
      <c r="AK227" s="101"/>
      <c r="AL227" s="101"/>
      <c r="AM227" s="101"/>
    </row>
    <row r="228" spans="1:39" s="103" customFormat="1" ht="16.5" outlineLevel="1" x14ac:dyDescent="0.3">
      <c r="A228" s="101"/>
      <c r="B228" s="6"/>
      <c r="C228" s="1" t="s">
        <v>522</v>
      </c>
      <c r="D228" s="6"/>
      <c r="E228" s="6"/>
      <c r="F228" s="43"/>
      <c r="G228" s="701"/>
      <c r="H228" s="1701">
        <f t="shared" ref="H228:K228" si="126">IF(H70=0,"х",H222-SUM(H223:H227))</f>
        <v>-5.8086000000009519E-2</v>
      </c>
      <c r="I228" s="1701">
        <f t="shared" si="126"/>
        <v>-2.2078969999999893</v>
      </c>
      <c r="J228" s="1701">
        <f t="shared" si="126"/>
        <v>-1.1030219999999984</v>
      </c>
      <c r="K228" s="1701">
        <f t="shared" si="126"/>
        <v>-0.99511499999999742</v>
      </c>
      <c r="L228" s="1836"/>
      <c r="M228" s="1836"/>
      <c r="N228" s="1836"/>
      <c r="O228" s="2152"/>
      <c r="P228" s="43"/>
      <c r="Q228" s="43"/>
      <c r="R228" s="104"/>
      <c r="S228" s="104"/>
      <c r="T228" s="104"/>
      <c r="U228" s="43"/>
      <c r="V228" s="104"/>
      <c r="W228" s="104"/>
      <c r="X228" s="104"/>
      <c r="Y228" s="104"/>
      <c r="Z228" s="104"/>
      <c r="AA228" s="104"/>
      <c r="AB228" s="104"/>
      <c r="AC228" s="101"/>
      <c r="AD228" s="101"/>
      <c r="AE228" s="101"/>
      <c r="AF228" s="101"/>
      <c r="AG228" s="101"/>
      <c r="AH228" s="101"/>
      <c r="AI228" s="101"/>
      <c r="AJ228" s="101"/>
      <c r="AK228" s="101"/>
      <c r="AL228" s="101"/>
      <c r="AM228" s="101"/>
    </row>
    <row r="229" spans="1:39" s="103" customFormat="1" ht="16.5" x14ac:dyDescent="0.3">
      <c r="A229" s="101"/>
      <c r="B229" s="13"/>
      <c r="C229" s="13" t="s">
        <v>295</v>
      </c>
      <c r="D229" s="13"/>
      <c r="E229" s="13"/>
      <c r="F229" s="222"/>
      <c r="G229" s="222"/>
      <c r="H229" s="1971">
        <f t="shared" ref="H229:K229" si="127">H213+H216+H222</f>
        <v>7.744299999998816E-2</v>
      </c>
      <c r="I229" s="1971">
        <f t="shared" si="127"/>
        <v>-0.79823099999998703</v>
      </c>
      <c r="J229" s="1971">
        <f t="shared" si="127"/>
        <v>-3.0418319999999994</v>
      </c>
      <c r="K229" s="1971">
        <f t="shared" si="127"/>
        <v>1.2045530000000042</v>
      </c>
      <c r="L229" s="2153"/>
      <c r="M229" s="2153"/>
      <c r="N229" s="2153"/>
      <c r="O229" s="2154"/>
      <c r="P229" s="222"/>
      <c r="Q229" s="222"/>
      <c r="R229" s="104"/>
      <c r="S229" s="104"/>
      <c r="T229" s="104"/>
      <c r="U229" s="222"/>
      <c r="V229" s="104"/>
      <c r="W229" s="104"/>
      <c r="X229" s="104"/>
      <c r="Y229" s="104"/>
      <c r="Z229" s="104"/>
      <c r="AA229" s="104"/>
      <c r="AB229" s="104"/>
      <c r="AC229" s="101"/>
      <c r="AD229" s="101"/>
      <c r="AE229" s="101"/>
      <c r="AF229" s="101"/>
      <c r="AG229" s="101"/>
      <c r="AH229" s="101"/>
      <c r="AI229" s="101"/>
      <c r="AJ229" s="101"/>
      <c r="AK229" s="101"/>
      <c r="AL229" s="101"/>
      <c r="AM229" s="101"/>
    </row>
    <row r="230" spans="1:39" s="103" customFormat="1" ht="16.5" x14ac:dyDescent="0.3">
      <c r="A230" s="101"/>
      <c r="B230" s="102"/>
      <c r="C230" s="102"/>
      <c r="D230" s="102"/>
      <c r="E230" s="102"/>
      <c r="F230" s="151"/>
      <c r="G230" s="151"/>
      <c r="H230" s="151"/>
      <c r="I230" s="151"/>
      <c r="J230" s="151"/>
      <c r="K230" s="151"/>
      <c r="L230" s="2155"/>
      <c r="M230" s="2155"/>
      <c r="N230" s="2155"/>
      <c r="O230" s="2155"/>
      <c r="P230" s="151"/>
      <c r="Q230" s="151"/>
      <c r="R230" s="104"/>
      <c r="S230" s="104"/>
      <c r="T230" s="104"/>
      <c r="U230" s="104"/>
      <c r="V230" s="104"/>
      <c r="W230" s="104"/>
      <c r="X230" s="104"/>
      <c r="Y230" s="104"/>
      <c r="Z230" s="104"/>
      <c r="AA230" s="104"/>
      <c r="AB230" s="104"/>
      <c r="AC230" s="101"/>
      <c r="AD230" s="101"/>
      <c r="AE230" s="101"/>
      <c r="AF230" s="101"/>
      <c r="AG230" s="101"/>
      <c r="AH230" s="101"/>
      <c r="AI230" s="101"/>
      <c r="AJ230" s="101"/>
      <c r="AK230" s="101"/>
      <c r="AL230" s="101"/>
      <c r="AM230" s="101"/>
    </row>
    <row r="231" spans="1:39" s="103" customFormat="1" ht="16.5" x14ac:dyDescent="0.3">
      <c r="A231" s="101"/>
      <c r="B231" s="102"/>
      <c r="C231" s="102"/>
      <c r="D231" s="102"/>
      <c r="E231" s="102"/>
      <c r="F231" s="151"/>
      <c r="G231" s="151"/>
      <c r="H231" s="151"/>
      <c r="I231" s="151"/>
      <c r="J231" s="151"/>
      <c r="K231" s="151"/>
      <c r="L231" s="2155"/>
      <c r="M231" s="2155"/>
      <c r="N231" s="2155"/>
      <c r="O231" s="2155"/>
      <c r="P231" s="151"/>
      <c r="Q231" s="151"/>
      <c r="R231" s="104"/>
      <c r="S231" s="104"/>
      <c r="T231" s="104"/>
      <c r="U231" s="104"/>
      <c r="V231" s="104"/>
      <c r="W231" s="104"/>
      <c r="X231" s="104"/>
      <c r="Y231" s="104"/>
      <c r="Z231" s="104"/>
      <c r="AA231" s="104"/>
      <c r="AB231" s="104"/>
      <c r="AC231" s="101"/>
      <c r="AD231" s="101"/>
      <c r="AE231" s="101"/>
      <c r="AF231" s="101"/>
      <c r="AG231" s="101"/>
      <c r="AH231" s="101"/>
      <c r="AI231" s="101"/>
      <c r="AJ231" s="101"/>
      <c r="AK231" s="101"/>
      <c r="AL231" s="101"/>
      <c r="AM231" s="101"/>
    </row>
    <row r="232" spans="1:39" s="103" customFormat="1" ht="16.5" x14ac:dyDescent="0.3">
      <c r="A232" s="101"/>
      <c r="B232" s="102"/>
      <c r="C232" s="102"/>
      <c r="D232" s="102"/>
      <c r="E232" s="102"/>
      <c r="F232" s="151"/>
      <c r="G232" s="151"/>
      <c r="H232" s="151"/>
      <c r="I232" s="151"/>
      <c r="J232" s="151"/>
      <c r="K232" s="151"/>
      <c r="L232" s="2155"/>
      <c r="M232" s="2155"/>
      <c r="N232" s="2155"/>
      <c r="O232" s="2155"/>
      <c r="P232" s="151"/>
      <c r="Q232" s="151"/>
      <c r="R232" s="104"/>
      <c r="S232" s="104"/>
      <c r="T232" s="104"/>
      <c r="U232" s="104"/>
      <c r="V232" s="104"/>
      <c r="W232" s="104"/>
      <c r="X232" s="104"/>
      <c r="Y232" s="104"/>
      <c r="Z232" s="104"/>
      <c r="AA232" s="104"/>
      <c r="AB232" s="104"/>
      <c r="AC232" s="101"/>
      <c r="AD232" s="101"/>
      <c r="AE232" s="101"/>
      <c r="AF232" s="101"/>
      <c r="AG232" s="101"/>
      <c r="AH232" s="101"/>
      <c r="AI232" s="101"/>
      <c r="AJ232" s="101"/>
      <c r="AK232" s="101"/>
      <c r="AL232" s="101"/>
      <c r="AM232" s="101"/>
    </row>
    <row r="233" spans="1:39" s="103" customFormat="1" ht="16.5" x14ac:dyDescent="0.3">
      <c r="A233" s="101"/>
      <c r="B233" s="102"/>
      <c r="C233" s="102"/>
      <c r="D233" s="102"/>
      <c r="E233" s="102"/>
      <c r="F233" s="151"/>
      <c r="G233" s="151"/>
      <c r="H233" s="151"/>
      <c r="I233" s="151"/>
      <c r="J233" s="151"/>
      <c r="K233" s="151"/>
      <c r="L233" s="2155"/>
      <c r="M233" s="2155"/>
      <c r="N233" s="2155"/>
      <c r="O233" s="2155"/>
      <c r="P233" s="151"/>
      <c r="Q233" s="151"/>
      <c r="R233" s="104"/>
      <c r="S233" s="104"/>
      <c r="T233" s="104"/>
      <c r="U233" s="104"/>
      <c r="V233" s="104"/>
      <c r="W233" s="104"/>
      <c r="X233" s="104"/>
      <c r="Y233" s="104"/>
      <c r="Z233" s="104"/>
      <c r="AA233" s="104"/>
      <c r="AB233" s="104"/>
      <c r="AC233" s="101"/>
      <c r="AD233" s="101"/>
      <c r="AE233" s="101"/>
      <c r="AF233" s="101"/>
      <c r="AG233" s="101"/>
      <c r="AH233" s="101"/>
      <c r="AI233" s="101"/>
      <c r="AJ233" s="101"/>
      <c r="AK233" s="101"/>
      <c r="AL233" s="101"/>
      <c r="AM233" s="101"/>
    </row>
    <row r="234" spans="1:39" s="103" customFormat="1" ht="16.5" x14ac:dyDescent="0.3">
      <c r="A234" s="101"/>
      <c r="B234" s="102"/>
      <c r="C234" s="102"/>
      <c r="D234" s="102"/>
      <c r="E234" s="102"/>
      <c r="F234" s="151"/>
      <c r="G234" s="151"/>
      <c r="H234" s="151"/>
      <c r="I234" s="151"/>
      <c r="J234" s="151"/>
      <c r="K234" s="151"/>
      <c r="L234" s="2155"/>
      <c r="M234" s="2155"/>
      <c r="N234" s="2155"/>
      <c r="O234" s="2155"/>
      <c r="P234" s="151"/>
      <c r="Q234" s="151"/>
      <c r="R234" s="104"/>
      <c r="S234" s="104"/>
      <c r="T234" s="104"/>
      <c r="U234" s="104"/>
      <c r="V234" s="104"/>
      <c r="W234" s="104"/>
      <c r="X234" s="104"/>
      <c r="Y234" s="104"/>
      <c r="Z234" s="104"/>
      <c r="AA234" s="104"/>
      <c r="AB234" s="104"/>
      <c r="AC234" s="101"/>
      <c r="AD234" s="101"/>
      <c r="AE234" s="101"/>
      <c r="AF234" s="101"/>
      <c r="AG234" s="101"/>
      <c r="AH234" s="101"/>
      <c r="AI234" s="101"/>
      <c r="AJ234" s="101"/>
      <c r="AK234" s="101"/>
      <c r="AL234" s="101"/>
      <c r="AM234" s="101"/>
    </row>
    <row r="235" spans="1:39" s="103" customFormat="1" ht="16.5" x14ac:dyDescent="0.3">
      <c r="A235" s="101"/>
      <c r="B235" s="102"/>
      <c r="C235" s="102"/>
      <c r="D235" s="102"/>
      <c r="E235" s="102"/>
      <c r="F235" s="151"/>
      <c r="G235" s="151"/>
      <c r="H235" s="151"/>
      <c r="I235" s="151"/>
      <c r="J235" s="151"/>
      <c r="K235" s="151"/>
      <c r="L235" s="2155"/>
      <c r="M235" s="2155"/>
      <c r="N235" s="2155"/>
      <c r="O235" s="2155"/>
      <c r="P235" s="151"/>
      <c r="Q235" s="151"/>
      <c r="R235" s="104"/>
      <c r="S235" s="104"/>
      <c r="T235" s="104"/>
      <c r="U235" s="104"/>
      <c r="V235" s="104"/>
      <c r="W235" s="104"/>
      <c r="X235" s="104"/>
      <c r="Y235" s="104"/>
      <c r="Z235" s="104"/>
      <c r="AA235" s="104"/>
      <c r="AB235" s="104"/>
      <c r="AC235" s="101"/>
      <c r="AD235" s="101"/>
      <c r="AE235" s="101"/>
      <c r="AF235" s="101"/>
      <c r="AG235" s="101"/>
      <c r="AH235" s="101"/>
      <c r="AI235" s="101"/>
      <c r="AJ235" s="101"/>
      <c r="AK235" s="101"/>
      <c r="AL235" s="101"/>
      <c r="AM235" s="101"/>
    </row>
    <row r="236" spans="1:39" s="103" customFormat="1" ht="16.5" x14ac:dyDescent="0.3">
      <c r="A236" s="101"/>
      <c r="B236" s="102"/>
      <c r="C236" s="102"/>
      <c r="D236" s="102"/>
      <c r="E236" s="102"/>
      <c r="F236" s="151"/>
      <c r="G236" s="151"/>
      <c r="H236" s="151"/>
      <c r="I236" s="151"/>
      <c r="J236" s="151"/>
      <c r="K236" s="151"/>
      <c r="L236" s="2155"/>
      <c r="M236" s="2155"/>
      <c r="N236" s="2155"/>
      <c r="O236" s="2155"/>
      <c r="P236" s="151"/>
      <c r="Q236" s="151"/>
      <c r="R236" s="104"/>
      <c r="S236" s="104"/>
      <c r="T236" s="104"/>
      <c r="U236" s="104"/>
      <c r="V236" s="104"/>
      <c r="W236" s="104"/>
      <c r="X236" s="104"/>
      <c r="Y236" s="104"/>
      <c r="Z236" s="104"/>
      <c r="AA236" s="104"/>
      <c r="AB236" s="104"/>
      <c r="AC236" s="101"/>
      <c r="AD236" s="101"/>
      <c r="AE236" s="101"/>
      <c r="AF236" s="101"/>
      <c r="AG236" s="101"/>
      <c r="AH236" s="101"/>
      <c r="AI236" s="101"/>
      <c r="AJ236" s="101"/>
      <c r="AK236" s="101"/>
      <c r="AL236" s="101"/>
      <c r="AM236" s="101"/>
    </row>
    <row r="237" spans="1:39" s="103" customFormat="1" ht="16.5" x14ac:dyDescent="0.3">
      <c r="A237" s="101"/>
      <c r="B237" s="102"/>
      <c r="C237" s="102"/>
      <c r="D237" s="102"/>
      <c r="E237" s="102"/>
      <c r="F237" s="151"/>
      <c r="G237" s="151"/>
      <c r="H237" s="151"/>
      <c r="I237" s="151"/>
      <c r="J237" s="151"/>
      <c r="K237" s="151"/>
      <c r="L237" s="2155"/>
      <c r="M237" s="2155"/>
      <c r="N237" s="2155"/>
      <c r="O237" s="2155"/>
      <c r="P237" s="151"/>
      <c r="Q237" s="151"/>
      <c r="R237" s="104"/>
      <c r="S237" s="104"/>
      <c r="T237" s="104"/>
      <c r="U237" s="104"/>
      <c r="V237" s="104"/>
      <c r="W237" s="104"/>
      <c r="X237" s="104"/>
      <c r="Y237" s="104"/>
      <c r="Z237" s="104"/>
      <c r="AA237" s="104"/>
      <c r="AB237" s="104"/>
      <c r="AC237" s="101"/>
      <c r="AD237" s="101"/>
      <c r="AE237" s="101"/>
      <c r="AF237" s="101"/>
      <c r="AG237" s="101"/>
      <c r="AH237" s="101"/>
      <c r="AI237" s="101"/>
      <c r="AJ237" s="101"/>
      <c r="AK237" s="101"/>
      <c r="AL237" s="101"/>
      <c r="AM237" s="101"/>
    </row>
    <row r="238" spans="1:39" s="103" customFormat="1" ht="16.5" x14ac:dyDescent="0.3">
      <c r="A238" s="101"/>
      <c r="B238" s="102"/>
      <c r="C238" s="102"/>
      <c r="D238" s="102"/>
      <c r="E238" s="102"/>
      <c r="F238" s="151"/>
      <c r="G238" s="151"/>
      <c r="H238" s="151"/>
      <c r="I238" s="151"/>
      <c r="J238" s="151"/>
      <c r="K238" s="151"/>
      <c r="L238" s="2155"/>
      <c r="M238" s="2155"/>
      <c r="N238" s="2155"/>
      <c r="O238" s="2155"/>
      <c r="P238" s="151"/>
      <c r="Q238" s="151"/>
      <c r="R238" s="104"/>
      <c r="S238" s="104"/>
      <c r="T238" s="104"/>
      <c r="U238" s="104"/>
      <c r="V238" s="104"/>
      <c r="W238" s="104"/>
      <c r="X238" s="104"/>
      <c r="Y238" s="104"/>
      <c r="Z238" s="104"/>
      <c r="AA238" s="104"/>
      <c r="AB238" s="104"/>
      <c r="AC238" s="101"/>
      <c r="AD238" s="101"/>
      <c r="AE238" s="101"/>
      <c r="AF238" s="101"/>
      <c r="AG238" s="101"/>
      <c r="AH238" s="101"/>
      <c r="AI238" s="101"/>
      <c r="AJ238" s="101"/>
      <c r="AK238" s="101"/>
      <c r="AL238" s="101"/>
      <c r="AM238" s="101"/>
    </row>
    <row r="239" spans="1:39" s="103" customFormat="1" ht="16.5" x14ac:dyDescent="0.3">
      <c r="A239" s="101"/>
      <c r="B239" s="102"/>
      <c r="C239" s="102"/>
      <c r="D239" s="102"/>
      <c r="E239" s="102"/>
      <c r="F239" s="151"/>
      <c r="G239" s="151"/>
      <c r="H239" s="151"/>
      <c r="I239" s="151"/>
      <c r="J239" s="151"/>
      <c r="K239" s="151"/>
      <c r="L239" s="2155"/>
      <c r="M239" s="2155"/>
      <c r="N239" s="2155"/>
      <c r="O239" s="2155"/>
      <c r="P239" s="151"/>
      <c r="Q239" s="151"/>
      <c r="R239" s="104"/>
      <c r="S239" s="104"/>
      <c r="T239" s="104"/>
      <c r="U239" s="104"/>
      <c r="V239" s="104"/>
      <c r="W239" s="104"/>
      <c r="X239" s="104"/>
      <c r="Y239" s="104"/>
      <c r="Z239" s="104"/>
      <c r="AA239" s="104"/>
      <c r="AB239" s="104"/>
      <c r="AC239" s="101"/>
      <c r="AD239" s="101"/>
      <c r="AE239" s="101"/>
      <c r="AF239" s="101"/>
      <c r="AG239" s="101"/>
      <c r="AH239" s="101"/>
      <c r="AI239" s="101"/>
      <c r="AJ239" s="101"/>
      <c r="AK239" s="101"/>
      <c r="AL239" s="101"/>
      <c r="AM239" s="101"/>
    </row>
    <row r="240" spans="1:39" s="103" customFormat="1" ht="16.5" x14ac:dyDescent="0.3">
      <c r="A240" s="101"/>
      <c r="B240" s="102"/>
      <c r="C240" s="102"/>
      <c r="D240" s="102"/>
      <c r="E240" s="102"/>
      <c r="F240" s="151"/>
      <c r="G240" s="151"/>
      <c r="H240" s="151"/>
      <c r="I240" s="151"/>
      <c r="J240" s="151"/>
      <c r="K240" s="151"/>
      <c r="L240" s="2155"/>
      <c r="M240" s="2155"/>
      <c r="N240" s="2155"/>
      <c r="O240" s="2155"/>
      <c r="P240" s="151"/>
      <c r="Q240" s="151"/>
      <c r="R240" s="104"/>
      <c r="S240" s="104"/>
      <c r="T240" s="104"/>
      <c r="U240" s="104"/>
      <c r="V240" s="104"/>
      <c r="W240" s="104"/>
      <c r="X240" s="104"/>
      <c r="Y240" s="104"/>
      <c r="Z240" s="104"/>
      <c r="AA240" s="104"/>
      <c r="AB240" s="104"/>
      <c r="AC240" s="101"/>
      <c r="AD240" s="101"/>
      <c r="AE240" s="101"/>
      <c r="AF240" s="101"/>
      <c r="AG240" s="101"/>
      <c r="AH240" s="101"/>
      <c r="AI240" s="101"/>
      <c r="AJ240" s="101"/>
      <c r="AK240" s="101"/>
      <c r="AL240" s="101"/>
      <c r="AM240" s="101"/>
    </row>
    <row r="241" spans="1:39" s="103" customFormat="1" ht="16.5" x14ac:dyDescent="0.3">
      <c r="A241" s="101"/>
      <c r="B241" s="102"/>
      <c r="C241" s="102"/>
      <c r="D241" s="102"/>
      <c r="E241" s="102"/>
      <c r="F241" s="151"/>
      <c r="G241" s="151"/>
      <c r="H241" s="151"/>
      <c r="I241" s="151"/>
      <c r="J241" s="151"/>
      <c r="K241" s="151"/>
      <c r="L241" s="2155"/>
      <c r="M241" s="2155"/>
      <c r="N241" s="2155"/>
      <c r="O241" s="2155"/>
      <c r="P241" s="151"/>
      <c r="Q241" s="151"/>
      <c r="R241" s="104"/>
      <c r="S241" s="104"/>
      <c r="T241" s="104"/>
      <c r="U241" s="104"/>
      <c r="V241" s="104"/>
      <c r="W241" s="104"/>
      <c r="X241" s="104"/>
      <c r="Y241" s="104"/>
      <c r="Z241" s="104"/>
      <c r="AA241" s="104"/>
      <c r="AB241" s="104"/>
      <c r="AC241" s="101"/>
      <c r="AD241" s="101"/>
      <c r="AE241" s="101"/>
      <c r="AF241" s="101"/>
      <c r="AG241" s="101"/>
      <c r="AH241" s="101"/>
      <c r="AI241" s="101"/>
      <c r="AJ241" s="101"/>
      <c r="AK241" s="101"/>
      <c r="AL241" s="101"/>
      <c r="AM241" s="101"/>
    </row>
    <row r="242" spans="1:39" s="103" customFormat="1" ht="16.5" x14ac:dyDescent="0.3">
      <c r="A242" s="101"/>
      <c r="B242" s="102"/>
      <c r="C242" s="102"/>
      <c r="D242" s="102"/>
      <c r="E242" s="102"/>
      <c r="F242" s="151"/>
      <c r="G242" s="151"/>
      <c r="H242" s="151"/>
      <c r="I242" s="151"/>
      <c r="J242" s="151"/>
      <c r="K242" s="151"/>
      <c r="L242" s="2155"/>
      <c r="M242" s="2155"/>
      <c r="N242" s="2155"/>
      <c r="O242" s="2155"/>
      <c r="P242" s="151"/>
      <c r="Q242" s="151"/>
      <c r="R242" s="104"/>
      <c r="S242" s="104"/>
      <c r="T242" s="104"/>
      <c r="U242" s="104"/>
      <c r="V242" s="104"/>
      <c r="W242" s="104"/>
      <c r="X242" s="104"/>
      <c r="Y242" s="104"/>
      <c r="Z242" s="104"/>
      <c r="AA242" s="104"/>
      <c r="AB242" s="104"/>
      <c r="AC242" s="101"/>
      <c r="AD242" s="101"/>
      <c r="AE242" s="101"/>
      <c r="AF242" s="101"/>
      <c r="AG242" s="101"/>
      <c r="AH242" s="101"/>
      <c r="AI242" s="101"/>
      <c r="AJ242" s="101"/>
      <c r="AK242" s="101"/>
      <c r="AL242" s="101"/>
      <c r="AM242" s="101"/>
    </row>
    <row r="243" spans="1:39" s="103" customFormat="1" ht="16.5" x14ac:dyDescent="0.3">
      <c r="A243" s="101"/>
      <c r="B243" s="102"/>
      <c r="C243" s="102"/>
      <c r="D243" s="102"/>
      <c r="E243" s="102"/>
      <c r="F243" s="151"/>
      <c r="G243" s="151"/>
      <c r="H243" s="151"/>
      <c r="I243" s="151"/>
      <c r="J243" s="151"/>
      <c r="K243" s="151"/>
      <c r="L243" s="2155"/>
      <c r="M243" s="2155"/>
      <c r="N243" s="2155"/>
      <c r="O243" s="2155"/>
      <c r="P243" s="151"/>
      <c r="Q243" s="151"/>
      <c r="R243" s="104"/>
      <c r="S243" s="104"/>
      <c r="T243" s="104"/>
      <c r="U243" s="104"/>
      <c r="V243" s="104"/>
      <c r="W243" s="104"/>
      <c r="X243" s="104"/>
      <c r="Y243" s="104"/>
      <c r="Z243" s="104"/>
      <c r="AA243" s="104"/>
      <c r="AB243" s="104"/>
      <c r="AC243" s="101"/>
      <c r="AD243" s="101"/>
      <c r="AE243" s="101"/>
      <c r="AF243" s="101"/>
      <c r="AG243" s="101"/>
      <c r="AH243" s="101"/>
      <c r="AI243" s="101"/>
      <c r="AJ243" s="101"/>
      <c r="AK243" s="101"/>
      <c r="AL243" s="101"/>
      <c r="AM243" s="101"/>
    </row>
    <row r="244" spans="1:39" s="103" customFormat="1" ht="16.5" x14ac:dyDescent="0.3">
      <c r="A244" s="101"/>
      <c r="B244" s="102"/>
      <c r="C244" s="102"/>
      <c r="D244" s="102"/>
      <c r="E244" s="102"/>
      <c r="F244" s="151"/>
      <c r="G244" s="151"/>
      <c r="H244" s="151"/>
      <c r="I244" s="151"/>
      <c r="J244" s="151"/>
      <c r="K244" s="151"/>
      <c r="L244" s="2155"/>
      <c r="M244" s="2155"/>
      <c r="N244" s="2155"/>
      <c r="O244" s="2155"/>
      <c r="P244" s="151"/>
      <c r="Q244" s="151"/>
      <c r="R244" s="104"/>
      <c r="S244" s="104"/>
      <c r="T244" s="104"/>
      <c r="U244" s="104"/>
      <c r="V244" s="104"/>
      <c r="W244" s="104"/>
      <c r="X244" s="104"/>
      <c r="Y244" s="104"/>
      <c r="Z244" s="104"/>
      <c r="AA244" s="104"/>
      <c r="AB244" s="104"/>
      <c r="AC244" s="101"/>
      <c r="AD244" s="101"/>
      <c r="AE244" s="101"/>
      <c r="AF244" s="101"/>
      <c r="AG244" s="101"/>
      <c r="AH244" s="101"/>
      <c r="AI244" s="101"/>
      <c r="AJ244" s="101"/>
      <c r="AK244" s="101"/>
      <c r="AL244" s="101"/>
      <c r="AM244" s="101"/>
    </row>
    <row r="245" spans="1:39" s="103" customFormat="1" ht="16.5" x14ac:dyDescent="0.3">
      <c r="A245" s="101"/>
      <c r="B245" s="102"/>
      <c r="C245" s="102"/>
      <c r="D245" s="102"/>
      <c r="E245" s="102"/>
      <c r="F245" s="151"/>
      <c r="G245" s="151"/>
      <c r="H245" s="151"/>
      <c r="I245" s="151"/>
      <c r="J245" s="151"/>
      <c r="K245" s="151"/>
      <c r="L245" s="2155"/>
      <c r="M245" s="2155"/>
      <c r="N245" s="2155"/>
      <c r="O245" s="2155"/>
      <c r="P245" s="151"/>
      <c r="Q245" s="151"/>
      <c r="R245" s="104"/>
      <c r="S245" s="104"/>
      <c r="T245" s="104"/>
      <c r="U245" s="104"/>
      <c r="V245" s="104"/>
      <c r="W245" s="104"/>
      <c r="X245" s="104"/>
      <c r="Y245" s="104"/>
      <c r="Z245" s="104"/>
      <c r="AA245" s="104"/>
      <c r="AB245" s="104"/>
      <c r="AC245" s="101"/>
      <c r="AD245" s="101"/>
      <c r="AE245" s="101"/>
      <c r="AF245" s="101"/>
      <c r="AG245" s="101"/>
      <c r="AH245" s="101"/>
      <c r="AI245" s="101"/>
      <c r="AJ245" s="101"/>
      <c r="AK245" s="101"/>
      <c r="AL245" s="101"/>
      <c r="AM245" s="101"/>
    </row>
    <row r="246" spans="1:39" s="103" customFormat="1" ht="16.5" x14ac:dyDescent="0.3">
      <c r="A246" s="101"/>
      <c r="B246" s="102"/>
      <c r="C246" s="102"/>
      <c r="D246" s="102"/>
      <c r="E246" s="102"/>
      <c r="F246" s="151"/>
      <c r="G246" s="151"/>
      <c r="H246" s="151"/>
      <c r="I246" s="151"/>
      <c r="J246" s="151"/>
      <c r="K246" s="151"/>
      <c r="L246" s="2155"/>
      <c r="M246" s="2155"/>
      <c r="N246" s="2155"/>
      <c r="O246" s="2155"/>
      <c r="P246" s="151"/>
      <c r="Q246" s="151"/>
      <c r="R246" s="104"/>
      <c r="S246" s="104"/>
      <c r="T246" s="104"/>
      <c r="U246" s="104"/>
      <c r="V246" s="104"/>
      <c r="W246" s="104"/>
      <c r="X246" s="104"/>
      <c r="Y246" s="104"/>
      <c r="Z246" s="104"/>
      <c r="AA246" s="104"/>
      <c r="AB246" s="104"/>
      <c r="AC246" s="101"/>
      <c r="AD246" s="101"/>
      <c r="AE246" s="101"/>
      <c r="AF246" s="101"/>
      <c r="AG246" s="101"/>
      <c r="AH246" s="101"/>
      <c r="AI246" s="101"/>
      <c r="AJ246" s="101"/>
      <c r="AK246" s="101"/>
      <c r="AL246" s="101"/>
      <c r="AM246" s="101"/>
    </row>
    <row r="247" spans="1:39" s="103" customFormat="1" ht="16.5" x14ac:dyDescent="0.3">
      <c r="A247" s="101"/>
      <c r="B247" s="102"/>
      <c r="C247" s="102"/>
      <c r="D247" s="102"/>
      <c r="E247" s="102"/>
      <c r="F247" s="151"/>
      <c r="G247" s="151"/>
      <c r="H247" s="151"/>
      <c r="I247" s="151"/>
      <c r="J247" s="151"/>
      <c r="K247" s="151"/>
      <c r="L247" s="2155"/>
      <c r="M247" s="2155"/>
      <c r="N247" s="2155"/>
      <c r="O247" s="2155"/>
      <c r="P247" s="151"/>
      <c r="Q247" s="151"/>
      <c r="R247" s="104"/>
      <c r="S247" s="104"/>
      <c r="T247" s="104"/>
      <c r="U247" s="104"/>
      <c r="V247" s="104"/>
      <c r="W247" s="104"/>
      <c r="X247" s="104"/>
      <c r="Y247" s="104"/>
      <c r="Z247" s="104"/>
      <c r="AA247" s="104"/>
      <c r="AB247" s="104"/>
      <c r="AC247" s="101"/>
      <c r="AD247" s="101"/>
      <c r="AE247" s="101"/>
      <c r="AF247" s="101"/>
      <c r="AG247" s="101"/>
      <c r="AH247" s="101"/>
      <c r="AI247" s="101"/>
      <c r="AJ247" s="101"/>
      <c r="AK247" s="101"/>
      <c r="AL247" s="101"/>
      <c r="AM247" s="101"/>
    </row>
    <row r="248" spans="1:39" s="103" customFormat="1" ht="16.5" x14ac:dyDescent="0.3">
      <c r="A248" s="101"/>
      <c r="B248" s="102"/>
      <c r="C248" s="102"/>
      <c r="D248" s="102"/>
      <c r="E248" s="102"/>
      <c r="F248" s="151"/>
      <c r="G248" s="151"/>
      <c r="H248" s="151"/>
      <c r="I248" s="151"/>
      <c r="J248" s="151"/>
      <c r="K248" s="151"/>
      <c r="L248" s="2155"/>
      <c r="M248" s="2155"/>
      <c r="N248" s="2155"/>
      <c r="O248" s="2155"/>
      <c r="P248" s="151"/>
      <c r="Q248" s="151"/>
      <c r="R248" s="104"/>
      <c r="S248" s="104"/>
      <c r="T248" s="104"/>
      <c r="U248" s="104"/>
      <c r="V248" s="104"/>
      <c r="W248" s="104"/>
      <c r="X248" s="104"/>
      <c r="Y248" s="104"/>
      <c r="Z248" s="104"/>
      <c r="AA248" s="104"/>
      <c r="AB248" s="104"/>
      <c r="AC248" s="101"/>
      <c r="AD248" s="101"/>
      <c r="AE248" s="101"/>
      <c r="AF248" s="101"/>
      <c r="AG248" s="101"/>
      <c r="AH248" s="101"/>
      <c r="AI248" s="101"/>
      <c r="AJ248" s="101"/>
      <c r="AK248" s="101"/>
      <c r="AL248" s="101"/>
      <c r="AM248" s="101"/>
    </row>
    <row r="249" spans="1:39" s="103" customFormat="1" ht="16.5" x14ac:dyDescent="0.3">
      <c r="A249" s="101"/>
      <c r="B249" s="102"/>
      <c r="C249" s="102"/>
      <c r="D249" s="102"/>
      <c r="E249" s="102"/>
      <c r="F249" s="151"/>
      <c r="G249" s="151"/>
      <c r="H249" s="151"/>
      <c r="I249" s="151"/>
      <c r="J249" s="151"/>
      <c r="K249" s="151"/>
      <c r="L249" s="151"/>
      <c r="M249" s="151"/>
      <c r="N249" s="151"/>
      <c r="O249" s="151"/>
      <c r="P249" s="151"/>
      <c r="Q249" s="151"/>
      <c r="R249" s="104"/>
      <c r="S249" s="104"/>
      <c r="T249" s="104"/>
      <c r="U249" s="104"/>
      <c r="V249" s="104"/>
      <c r="W249" s="104"/>
      <c r="X249" s="104"/>
      <c r="Y249" s="104"/>
      <c r="Z249" s="104"/>
      <c r="AA249" s="104"/>
      <c r="AB249" s="104"/>
      <c r="AC249" s="101"/>
      <c r="AD249" s="101"/>
      <c r="AE249" s="101"/>
      <c r="AF249" s="101"/>
      <c r="AG249" s="101"/>
      <c r="AH249" s="101"/>
      <c r="AI249" s="101"/>
      <c r="AJ249" s="101"/>
      <c r="AK249" s="101"/>
      <c r="AL249" s="101"/>
      <c r="AM249" s="101"/>
    </row>
    <row r="250" spans="1:39" ht="15" x14ac:dyDescent="0.2">
      <c r="A250" s="507"/>
      <c r="B250" s="785"/>
      <c r="C250" s="786" t="s">
        <v>1093</v>
      </c>
      <c r="D250" s="785"/>
      <c r="E250" s="785"/>
      <c r="F250" s="787"/>
      <c r="G250" s="787"/>
      <c r="H250" s="787"/>
      <c r="I250" s="787"/>
      <c r="J250" s="788"/>
      <c r="K250" s="788"/>
      <c r="L250" s="788"/>
      <c r="M250" s="788"/>
      <c r="N250" s="788"/>
      <c r="O250" s="788"/>
      <c r="P250" s="788"/>
      <c r="Q250" s="788"/>
      <c r="R250" s="788"/>
      <c r="S250" s="788"/>
      <c r="T250" s="788"/>
      <c r="U250" s="788"/>
      <c r="V250" s="788"/>
      <c r="W250" s="788"/>
      <c r="X250" s="788"/>
      <c r="Y250" s="788"/>
      <c r="Z250" s="788"/>
      <c r="AA250" s="788"/>
      <c r="AB250" s="8"/>
      <c r="AC250" s="4"/>
      <c r="AD250" s="4"/>
      <c r="AE250" s="4"/>
      <c r="AF250" s="4"/>
      <c r="AG250" s="4"/>
      <c r="AH250" s="4"/>
      <c r="AI250" s="4"/>
      <c r="AJ250" s="4"/>
      <c r="AK250" s="4"/>
      <c r="AL250" s="4"/>
      <c r="AM250" s="4"/>
    </row>
    <row r="251" spans="1:39" s="103" customFormat="1" ht="17.25" thickBot="1" x14ac:dyDescent="0.35">
      <c r="A251" s="101"/>
      <c r="B251" s="102"/>
      <c r="C251" s="209"/>
      <c r="D251" s="209"/>
      <c r="E251" s="209" t="str">
        <f>E7</f>
        <v>млрд руб.</v>
      </c>
      <c r="F251" s="1433" t="str">
        <f t="shared" ref="F251:K251" si="128">F8</f>
        <v>2016</v>
      </c>
      <c r="G251" s="1433" t="str">
        <f t="shared" si="128"/>
        <v>2017</v>
      </c>
      <c r="H251" s="1433" t="str">
        <f t="shared" si="128"/>
        <v>2018</v>
      </c>
      <c r="I251" s="1433" t="str">
        <f t="shared" si="128"/>
        <v>2019</v>
      </c>
      <c r="J251" s="1433" t="str">
        <f t="shared" si="128"/>
        <v>2020</v>
      </c>
      <c r="K251" s="1433" t="str">
        <f t="shared" si="128"/>
        <v>2021</v>
      </c>
      <c r="L251" s="1433" t="str">
        <f t="shared" ref="L251:O251" si="129">L8</f>
        <v>2022</v>
      </c>
      <c r="M251" s="1433" t="str">
        <f t="shared" si="129"/>
        <v>2023</v>
      </c>
      <c r="N251" s="1433" t="str">
        <f t="shared" si="129"/>
        <v>2024</v>
      </c>
      <c r="O251" s="1433" t="str">
        <f t="shared" si="129"/>
        <v>2025</v>
      </c>
      <c r="P251" s="1433"/>
      <c r="Q251" s="468"/>
      <c r="R251" s="468"/>
      <c r="S251" s="104"/>
      <c r="T251" s="104"/>
      <c r="U251" s="104"/>
      <c r="V251" s="104"/>
      <c r="W251" s="104"/>
      <c r="X251" s="104"/>
      <c r="Y251" s="104"/>
      <c r="Z251" s="104"/>
      <c r="AA251" s="104"/>
      <c r="AB251" s="104"/>
      <c r="AC251" s="101"/>
      <c r="AD251" s="101"/>
      <c r="AE251" s="101"/>
      <c r="AF251" s="101"/>
      <c r="AG251" s="101"/>
      <c r="AH251" s="101"/>
      <c r="AI251" s="101"/>
      <c r="AJ251" s="101"/>
      <c r="AK251" s="101"/>
      <c r="AL251" s="101"/>
      <c r="AM251" s="101"/>
    </row>
    <row r="252" spans="1:39" s="103" customFormat="1" ht="16.5" x14ac:dyDescent="0.3">
      <c r="A252" s="101"/>
      <c r="B252" s="102"/>
      <c r="C252" s="796" t="s">
        <v>1094</v>
      </c>
      <c r="D252" s="796"/>
      <c r="E252" s="796"/>
      <c r="F252" s="1434">
        <f>-Ввод!G117/VLOOKUP(Баланс!$B$7,Баланс!$A$1:$B$3,2,0)</f>
        <v>0</v>
      </c>
      <c r="G252" s="1434">
        <f>-Ввод!H117/VLOOKUP(Баланс!$B$7,Баланс!$A$1:$B$3,2,0)</f>
        <v>0</v>
      </c>
      <c r="H252" s="1434">
        <f>-Ввод!I117/VLOOKUP(Баланс!$B$7,Баланс!$A$1:$B$3,2,0)</f>
        <v>0</v>
      </c>
      <c r="I252" s="1434">
        <f>-Ввод!J117/VLOOKUP(Баланс!$B$7,Баланс!$A$1:$B$3,2,0)</f>
        <v>0</v>
      </c>
      <c r="J252" s="1434">
        <f>-Ввод!K117/VLOOKUP(Баланс!$B$7,Баланс!$A$1:$B$3,2,0)</f>
        <v>0</v>
      </c>
      <c r="K252" s="1434">
        <f>-Ввод!L117/VLOOKUP(Баланс!$B$7,Баланс!$A$1:$B$3,2,0)</f>
        <v>0</v>
      </c>
      <c r="L252" s="1434">
        <f>-Ввод!M117/VLOOKUP(Баланс!$B$7,Баланс!$A$1:$B$3,2,0)</f>
        <v>0</v>
      </c>
      <c r="M252" s="1434">
        <f>-Ввод!N117/VLOOKUP(Баланс!$B$7,Баланс!$A$1:$B$3,2,0)</f>
        <v>0</v>
      </c>
      <c r="N252" s="1434">
        <f>-Ввод!O117/VLOOKUP(Баланс!$B$7,Баланс!$A$1:$B$3,2,0)</f>
        <v>0</v>
      </c>
      <c r="O252" s="1434">
        <f>-Ввод!P117/VLOOKUP(Баланс!$B$7,Баланс!$A$1:$B$3,2,0)</f>
        <v>0</v>
      </c>
      <c r="P252" s="1435"/>
      <c r="Q252" s="797"/>
      <c r="R252" s="104"/>
      <c r="S252" s="104"/>
      <c r="T252" s="104"/>
      <c r="U252" s="104"/>
      <c r="V252" s="104"/>
      <c r="W252" s="104"/>
      <c r="X252" s="104"/>
      <c r="Y252" s="104"/>
      <c r="Z252" s="104"/>
      <c r="AA252" s="104"/>
      <c r="AB252" s="104"/>
      <c r="AC252" s="101"/>
      <c r="AD252" s="101"/>
      <c r="AE252" s="101"/>
      <c r="AF252" s="101"/>
      <c r="AG252" s="101"/>
      <c r="AH252" s="101"/>
      <c r="AI252" s="101"/>
      <c r="AJ252" s="101"/>
      <c r="AK252" s="101"/>
      <c r="AL252" s="101"/>
      <c r="AM252" s="101"/>
    </row>
    <row r="253" spans="1:39" s="103" customFormat="1" ht="16.5" x14ac:dyDescent="0.3">
      <c r="A253" s="101"/>
      <c r="B253" s="102"/>
      <c r="C253" s="796" t="s">
        <v>1096</v>
      </c>
      <c r="D253" s="796"/>
      <c r="E253" s="796"/>
      <c r="F253" s="1434">
        <f>Ввод!F107/VLOOKUP(Баланс!$B$7,Баланс!$A$1:$B$3,2,0)</f>
        <v>0</v>
      </c>
      <c r="G253" s="1434">
        <f>Ввод!G107/VLOOKUP(Баланс!$B$7,Баланс!$A$1:$B$3,2,0)</f>
        <v>0.65068199999999998</v>
      </c>
      <c r="H253" s="1434">
        <f>Ввод!H107/VLOOKUP(Баланс!$B$7,Баланс!$A$1:$B$3,2,0)</f>
        <v>0.79659000000000002</v>
      </c>
      <c r="I253" s="1434">
        <f>Ввод!I107/VLOOKUP(Баланс!$B$7,Баланс!$A$1:$B$3,2,0)</f>
        <v>2.7106150000000002</v>
      </c>
      <c r="J253" s="1434">
        <f>Ввод!J107/VLOOKUP(Баланс!$B$7,Баланс!$A$1:$B$3,2,0)</f>
        <v>6.252821</v>
      </c>
      <c r="K253" s="1434">
        <f>Ввод!K107/VLOOKUP(Баланс!$B$7,Баланс!$A$1:$B$3,2,0)</f>
        <v>4.3574380000000001</v>
      </c>
      <c r="L253" s="1434">
        <f>Ввод!L107/VLOOKUP(Баланс!$B$7,Баланс!$A$1:$B$3,2,0)</f>
        <v>6.3037789999999996</v>
      </c>
      <c r="M253" s="1434">
        <f>Ввод!M107/VLOOKUP(Баланс!$B$7,Баланс!$A$1:$B$3,2,0)</f>
        <v>1.557148</v>
      </c>
      <c r="N253" s="1434">
        <f>Ввод!N107/VLOOKUP(Баланс!$B$7,Баланс!$A$1:$B$3,2,0)</f>
        <v>6.4103579999999996</v>
      </c>
      <c r="O253" s="1434">
        <f>Ввод!O107/VLOOKUP(Баланс!$B$7,Баланс!$A$1:$B$3,2,0)</f>
        <v>15.401554000000001</v>
      </c>
      <c r="P253" s="1435"/>
      <c r="Q253" s="797"/>
      <c r="R253" s="104"/>
      <c r="S253" s="104"/>
      <c r="T253" s="104"/>
      <c r="U253" s="104"/>
      <c r="V253" s="104"/>
      <c r="W253" s="104"/>
      <c r="X253" s="104"/>
      <c r="Y253" s="104"/>
      <c r="Z253" s="104"/>
      <c r="AA253" s="104"/>
      <c r="AB253" s="104"/>
      <c r="AC253" s="101"/>
      <c r="AD253" s="101"/>
      <c r="AE253" s="101"/>
      <c r="AF253" s="101"/>
      <c r="AG253" s="101"/>
      <c r="AH253" s="101"/>
      <c r="AI253" s="101"/>
      <c r="AJ253" s="101"/>
      <c r="AK253" s="101"/>
      <c r="AL253" s="101"/>
      <c r="AM253" s="101"/>
    </row>
    <row r="254" spans="1:39" s="103" customFormat="1" ht="16.5" x14ac:dyDescent="0.3">
      <c r="A254" s="101"/>
      <c r="B254" s="102"/>
      <c r="C254" s="798" t="s">
        <v>1095</v>
      </c>
      <c r="D254" s="798"/>
      <c r="E254" s="798"/>
      <c r="F254" s="799"/>
      <c r="G254" s="799">
        <f t="shared" ref="G254:K254" si="130">G252/G253</f>
        <v>0</v>
      </c>
      <c r="H254" s="799">
        <f t="shared" si="130"/>
        <v>0</v>
      </c>
      <c r="I254" s="799">
        <f t="shared" si="130"/>
        <v>0</v>
      </c>
      <c r="J254" s="799">
        <f t="shared" si="130"/>
        <v>0</v>
      </c>
      <c r="K254" s="799">
        <f t="shared" si="130"/>
        <v>0</v>
      </c>
      <c r="L254" s="799">
        <f t="shared" ref="L254:O254" si="131">L252/L253</f>
        <v>0</v>
      </c>
      <c r="M254" s="799">
        <f t="shared" si="131"/>
        <v>0</v>
      </c>
      <c r="N254" s="799">
        <f t="shared" si="131"/>
        <v>0</v>
      </c>
      <c r="O254" s="799">
        <f t="shared" si="131"/>
        <v>0</v>
      </c>
      <c r="P254" s="797"/>
      <c r="Q254" s="797"/>
      <c r="R254" s="104"/>
      <c r="S254" s="104"/>
      <c r="T254" s="104"/>
      <c r="U254" s="104"/>
      <c r="V254" s="104"/>
      <c r="W254" s="104"/>
      <c r="X254" s="104"/>
      <c r="Y254" s="104"/>
      <c r="Z254" s="104"/>
      <c r="AA254" s="104"/>
      <c r="AB254" s="104"/>
      <c r="AC254" s="101"/>
      <c r="AD254" s="101"/>
      <c r="AE254" s="101"/>
      <c r="AF254" s="101"/>
      <c r="AG254" s="101"/>
      <c r="AH254" s="101"/>
      <c r="AI254" s="101"/>
      <c r="AJ254" s="101"/>
      <c r="AK254" s="101"/>
      <c r="AL254" s="101"/>
      <c r="AM254" s="101"/>
    </row>
    <row r="255" spans="1:39" s="103" customFormat="1" ht="16.5" x14ac:dyDescent="0.3">
      <c r="A255" s="101"/>
      <c r="B255" s="102"/>
      <c r="C255" s="796"/>
      <c r="D255" s="796"/>
      <c r="E255" s="796"/>
      <c r="F255" s="797"/>
      <c r="G255" s="797"/>
      <c r="H255" s="797"/>
      <c r="I255" s="797"/>
      <c r="J255" s="797"/>
      <c r="K255" s="797"/>
      <c r="L255" s="797"/>
      <c r="M255" s="797"/>
      <c r="N255" s="797"/>
      <c r="O255" s="797"/>
      <c r="P255" s="797"/>
      <c r="Q255" s="797"/>
      <c r="R255" s="104"/>
      <c r="S255" s="104"/>
      <c r="T255" s="104"/>
      <c r="U255" s="104"/>
      <c r="V255" s="104"/>
      <c r="W255" s="104"/>
      <c r="X255" s="104"/>
      <c r="Y255" s="104"/>
      <c r="Z255" s="104"/>
      <c r="AA255" s="104"/>
      <c r="AB255" s="104"/>
      <c r="AC255" s="101"/>
      <c r="AD255" s="101"/>
      <c r="AE255" s="101"/>
      <c r="AF255" s="101"/>
      <c r="AG255" s="101"/>
      <c r="AH255" s="101"/>
      <c r="AI255" s="101"/>
      <c r="AJ255" s="101"/>
      <c r="AK255" s="101"/>
      <c r="AL255" s="101"/>
      <c r="AM255" s="101"/>
    </row>
    <row r="256" spans="1:39" s="103" customFormat="1" ht="16.5" x14ac:dyDescent="0.3">
      <c r="A256" s="101"/>
      <c r="B256" s="102"/>
      <c r="C256" s="102"/>
      <c r="D256" s="102"/>
      <c r="E256" s="102"/>
      <c r="F256" s="151"/>
      <c r="G256" s="151"/>
      <c r="H256" s="151"/>
      <c r="I256" s="151"/>
      <c r="J256" s="151"/>
      <c r="K256" s="151"/>
      <c r="L256" s="151"/>
      <c r="M256" s="151"/>
      <c r="N256" s="151"/>
      <c r="O256" s="151"/>
      <c r="P256" s="151"/>
      <c r="Q256" s="151"/>
      <c r="R256" s="104"/>
      <c r="S256" s="104"/>
      <c r="T256" s="104"/>
      <c r="U256" s="104"/>
      <c r="V256" s="104"/>
      <c r="W256" s="104"/>
      <c r="X256" s="104"/>
      <c r="Y256" s="104"/>
      <c r="Z256" s="104"/>
      <c r="AA256" s="104"/>
      <c r="AB256" s="104"/>
      <c r="AC256" s="101"/>
      <c r="AD256" s="101"/>
      <c r="AE256" s="101"/>
      <c r="AF256" s="101"/>
      <c r="AG256" s="101"/>
      <c r="AH256" s="101"/>
      <c r="AI256" s="101"/>
      <c r="AJ256" s="101"/>
      <c r="AK256" s="101"/>
      <c r="AL256" s="101"/>
      <c r="AM256" s="101"/>
    </row>
    <row r="257" spans="1:39" s="167" customFormat="1" ht="20.25" x14ac:dyDescent="0.25">
      <c r="A257" s="160"/>
      <c r="B257" s="160"/>
      <c r="C257" s="1436" t="s">
        <v>786</v>
      </c>
      <c r="D257" s="160"/>
      <c r="E257" s="160"/>
      <c r="F257" s="178"/>
      <c r="G257" s="178"/>
      <c r="H257" s="178"/>
      <c r="I257" s="178"/>
      <c r="J257" s="178"/>
      <c r="K257" s="178"/>
      <c r="L257" s="178"/>
      <c r="M257" s="178"/>
      <c r="N257" s="178"/>
      <c r="O257" s="178"/>
      <c r="P257" s="178"/>
      <c r="Q257" s="178"/>
      <c r="R257" s="178"/>
      <c r="S257" s="178"/>
      <c r="T257" s="178"/>
      <c r="U257" s="178"/>
      <c r="V257" s="178"/>
      <c r="W257" s="178"/>
      <c r="X257" s="178"/>
      <c r="Y257" s="178"/>
      <c r="Z257" s="178"/>
      <c r="AA257" s="178"/>
      <c r="AB257" s="168"/>
      <c r="AC257" s="102"/>
      <c r="AD257" s="102"/>
      <c r="AE257" s="102"/>
      <c r="AF257" s="102"/>
      <c r="AG257" s="102"/>
      <c r="AH257" s="102"/>
      <c r="AI257" s="102"/>
      <c r="AJ257" s="102"/>
      <c r="AK257" s="102"/>
      <c r="AL257" s="102"/>
      <c r="AM257" s="102"/>
    </row>
    <row r="258" spans="1:39" s="167" customFormat="1" ht="18.75" thickBot="1" x14ac:dyDescent="0.3">
      <c r="A258" s="102"/>
      <c r="B258" s="154" t="s">
        <v>0</v>
      </c>
      <c r="C258" s="580"/>
      <c r="D258" s="102"/>
      <c r="E258" s="102"/>
      <c r="F258" s="461" t="s">
        <v>348</v>
      </c>
      <c r="G258" s="461"/>
      <c r="H258" s="461"/>
      <c r="I258" s="461"/>
      <c r="J258" s="460"/>
      <c r="K258" s="460"/>
      <c r="L258" s="460"/>
      <c r="M258" s="460"/>
      <c r="N258" s="168"/>
      <c r="O258" s="168"/>
      <c r="P258" s="168"/>
      <c r="Q258" s="168"/>
      <c r="R258" s="460" t="s">
        <v>17</v>
      </c>
      <c r="S258" s="168"/>
      <c r="T258" s="168"/>
      <c r="U258" s="460"/>
      <c r="V258" s="168"/>
      <c r="W258" s="168"/>
      <c r="X258" s="168"/>
      <c r="Y258" s="168"/>
      <c r="Z258" s="168"/>
      <c r="AA258" s="168"/>
      <c r="AB258" s="168"/>
      <c r="AC258" s="102"/>
      <c r="AD258" s="102"/>
      <c r="AE258" s="102"/>
      <c r="AF258" s="102"/>
      <c r="AG258" s="102"/>
      <c r="AH258" s="102"/>
      <c r="AI258" s="102"/>
      <c r="AJ258" s="102"/>
      <c r="AK258" s="102"/>
      <c r="AL258" s="102"/>
      <c r="AM258" s="102"/>
    </row>
    <row r="259" spans="1:39" s="167" customFormat="1" ht="17.25" thickBot="1" x14ac:dyDescent="0.3">
      <c r="A259" s="154"/>
      <c r="C259" s="154"/>
      <c r="D259" s="154"/>
      <c r="E259" s="154"/>
      <c r="F259" s="464">
        <f>Ввод!G7</f>
        <v>2016</v>
      </c>
      <c r="G259" s="464">
        <f>Ввод!H7</f>
        <v>2017</v>
      </c>
      <c r="H259" s="464">
        <f>Ввод!I7</f>
        <v>2018</v>
      </c>
      <c r="I259" s="464">
        <f>Ввод!J7</f>
        <v>2019</v>
      </c>
      <c r="J259" s="464">
        <f>Ввод!K7</f>
        <v>2020</v>
      </c>
      <c r="K259" s="464">
        <f>Ввод!L7</f>
        <v>2021</v>
      </c>
      <c r="L259" s="464">
        <f>Ввод!M7</f>
        <v>2022</v>
      </c>
      <c r="M259" s="464">
        <f>Ввод!N7</f>
        <v>2023</v>
      </c>
      <c r="N259" s="464">
        <f>Ввод!O7</f>
        <v>2024</v>
      </c>
      <c r="O259" s="464">
        <f>Ввод!P7</f>
        <v>2025</v>
      </c>
      <c r="P259" s="697"/>
      <c r="Q259" s="102"/>
      <c r="R259" s="467" t="str">
        <f t="shared" ref="R259:AA259" si="132">R8</f>
        <v>2016</v>
      </c>
      <c r="S259" s="467" t="str">
        <f t="shared" si="132"/>
        <v>2017</v>
      </c>
      <c r="T259" s="467" t="str">
        <f t="shared" si="132"/>
        <v>2018</v>
      </c>
      <c r="U259" s="467" t="str">
        <f t="shared" si="132"/>
        <v>2019</v>
      </c>
      <c r="V259" s="467" t="str">
        <f t="shared" si="132"/>
        <v>2020</v>
      </c>
      <c r="W259" s="467" t="str">
        <f t="shared" si="132"/>
        <v>2021</v>
      </c>
      <c r="X259" s="467" t="str">
        <f t="shared" si="132"/>
        <v>2022</v>
      </c>
      <c r="Y259" s="467" t="str">
        <f t="shared" si="132"/>
        <v>2023</v>
      </c>
      <c r="Z259" s="467" t="str">
        <f t="shared" si="132"/>
        <v>2024</v>
      </c>
      <c r="AA259" s="467" t="str">
        <f t="shared" si="132"/>
        <v>2025</v>
      </c>
      <c r="AB259" s="102"/>
      <c r="AC259" s="102"/>
      <c r="AD259" s="102"/>
      <c r="AE259" s="102"/>
      <c r="AF259" s="102"/>
      <c r="AG259" s="102"/>
      <c r="AH259" s="102"/>
      <c r="AI259" s="102"/>
      <c r="AJ259" s="102"/>
      <c r="AK259" s="102"/>
      <c r="AL259" s="102"/>
      <c r="AM259" s="102"/>
    </row>
    <row r="260" spans="1:39" s="167" customFormat="1" ht="16.5" x14ac:dyDescent="0.25">
      <c r="A260" s="106"/>
      <c r="B260" s="106" t="s">
        <v>2</v>
      </c>
      <c r="C260" s="106" t="s">
        <v>80</v>
      </c>
      <c r="D260" s="106"/>
      <c r="E260" s="106"/>
      <c r="F260" s="179">
        <f>HLOOKUP(F$259,'Банк. система_ввод'!$G$14:$W$21,2,0)</f>
        <v>6586.7</v>
      </c>
      <c r="G260" s="179">
        <f>HLOOKUP(G$259,'Банк. система_ввод'!$G$14:$W$21,2,0)</f>
        <v>6622.7999999999993</v>
      </c>
      <c r="H260" s="179">
        <f>HLOOKUP(H$259,'Банк. система_ввод'!$G$14:$W$21,2,0)</f>
        <v>7499.7</v>
      </c>
      <c r="I260" s="179">
        <f>HLOOKUP(I$259,'Банк. система_ввод'!$G$14:$W$21,2,0)</f>
        <v>8224.5</v>
      </c>
      <c r="J260" s="179">
        <f>HLOOKUP(J$259,'Банк. система_ввод'!$G$14:$W$21,2,0)</f>
        <v>8890.7928810000012</v>
      </c>
      <c r="K260" s="179">
        <f>HLOOKUP(K$259,'Банк. система_ввод'!$G$14:$W$21,2,0)</f>
        <v>9933.1985399999994</v>
      </c>
      <c r="L260" s="179">
        <f>HLOOKUP(L$259,'Банк. система_ввод'!$G$14:$W$21,2,0)</f>
        <v>10944.141398000002</v>
      </c>
      <c r="M260" s="179">
        <f>HLOOKUP(M$259,'Банк. система_ввод'!$G$14:$W$21,2,0)</f>
        <v>13909.690546</v>
      </c>
      <c r="N260" s="179">
        <f>HLOOKUP(N$259,'Банк. система_ввод'!$G$14:$W$21,2,0)</f>
        <v>15482.942283</v>
      </c>
      <c r="O260" s="179">
        <f>HLOOKUP(O$259,'Банк. система_ввод'!$G$14:$W$21,2,0)</f>
        <v>17262.788085</v>
      </c>
      <c r="P260" s="698"/>
      <c r="Q260" s="168"/>
      <c r="R260" s="169">
        <f t="shared" ref="R260:T264" si="133">F260/F$264</f>
        <v>0.70167570389151068</v>
      </c>
      <c r="S260" s="169">
        <f t="shared" si="133"/>
        <v>0.70474812182092916</v>
      </c>
      <c r="T260" s="169">
        <f t="shared" si="133"/>
        <v>0.73030294177792066</v>
      </c>
      <c r="U260" s="169">
        <f t="shared" ref="U260:W264" si="134">I260/I$264</f>
        <v>0.74896868255457105</v>
      </c>
      <c r="V260" s="169">
        <f t="shared" si="134"/>
        <v>0.77899600213758613</v>
      </c>
      <c r="W260" s="169">
        <f t="shared" si="134"/>
        <v>0.78803302862821811</v>
      </c>
      <c r="X260" s="169">
        <f t="shared" ref="X260:X264" si="135">L260/L$264</f>
        <v>0.81989537785886091</v>
      </c>
      <c r="Y260" s="169">
        <f t="shared" ref="Y260:Y264" si="136">M260/M$264</f>
        <v>0.8114178111446787</v>
      </c>
      <c r="Z260" s="169">
        <f t="shared" ref="Z260:Z264" si="137">N260/N$264</f>
        <v>0.8185975055663145</v>
      </c>
      <c r="AA260" s="169">
        <f t="shared" ref="AA260:AA264" si="138">O260/O$264</f>
        <v>0.83272242655890483</v>
      </c>
      <c r="AB260" s="168"/>
      <c r="AC260" s="102"/>
      <c r="AD260" s="102"/>
      <c r="AE260" s="102"/>
      <c r="AF260" s="102"/>
      <c r="AG260" s="102"/>
      <c r="AH260" s="102"/>
      <c r="AI260" s="102"/>
      <c r="AJ260" s="102"/>
      <c r="AK260" s="102"/>
      <c r="AL260" s="102"/>
      <c r="AM260" s="102"/>
    </row>
    <row r="261" spans="1:39" s="167" customFormat="1" ht="16.5" x14ac:dyDescent="0.25">
      <c r="A261" s="102"/>
      <c r="B261" s="102"/>
      <c r="C261" s="102" t="s">
        <v>74</v>
      </c>
      <c r="D261" s="102" t="s">
        <v>77</v>
      </c>
      <c r="E261" s="102"/>
      <c r="F261" s="177">
        <f>HLOOKUP(F$259,'Банк. система_ввод'!$B$14:$W$22,3,0)</f>
        <v>6408.2</v>
      </c>
      <c r="G261" s="177">
        <f>HLOOKUP(G$259,'Банк. система_ввод'!$B$14:$W$22,3,0)</f>
        <v>6417.9</v>
      </c>
      <c r="H261" s="177">
        <f>HLOOKUP(H$259,'Банк. система_ввод'!$B$14:$W$22,3,0)</f>
        <v>7012.3</v>
      </c>
      <c r="I261" s="177">
        <f>HLOOKUP(I$259,'Банк. система_ввод'!$B$14:$W$22,3,0)</f>
        <v>7643.2</v>
      </c>
      <c r="J261" s="177">
        <f>HLOOKUP(J$259,'Банк. система_ввод'!$B$14:$W$22,3,0)</f>
        <v>8043.1992630000004</v>
      </c>
      <c r="K261" s="177">
        <f>HLOOKUP(K$259,'Банк. система_ввод'!$B$14:$W$22,3,0)</f>
        <v>8739.7856219999994</v>
      </c>
      <c r="L261" s="177">
        <f>HLOOKUP(L$259,'Банк. система_ввод'!$B$14:$W$22,3,0)</f>
        <v>9798.4798640000008</v>
      </c>
      <c r="M261" s="177">
        <f>HLOOKUP(M$259,'Банк. система_ввод'!$B$14:$W$22,3,0)</f>
        <v>12660.924756</v>
      </c>
      <c r="N261" s="177">
        <f>HLOOKUP(N$259,'Банк. система_ввод'!$B$14:$W$22,3,0)</f>
        <v>14138.606229999999</v>
      </c>
      <c r="O261" s="177">
        <f>HLOOKUP(O$259,'Банк. система_ввод'!$B$14:$W$22,3,0)</f>
        <v>16078.149975</v>
      </c>
      <c r="P261" s="177"/>
      <c r="Q261" s="168"/>
      <c r="R261" s="170">
        <f t="shared" si="133"/>
        <v>0.68266024650850632</v>
      </c>
      <c r="S261" s="170">
        <f t="shared" si="133"/>
        <v>0.68294421861365906</v>
      </c>
      <c r="T261" s="170">
        <f t="shared" si="133"/>
        <v>0.68284108946082023</v>
      </c>
      <c r="U261" s="170">
        <f t="shared" si="134"/>
        <v>0.69603227363378894</v>
      </c>
      <c r="V261" s="170">
        <f t="shared" si="134"/>
        <v>0.70473130508560977</v>
      </c>
      <c r="W261" s="170">
        <f t="shared" si="134"/>
        <v>0.69335569056953683</v>
      </c>
      <c r="X261" s="170">
        <f t="shared" si="135"/>
        <v>0.73406657117979601</v>
      </c>
      <c r="Y261" s="170">
        <f t="shared" si="136"/>
        <v>0.73857141671173132</v>
      </c>
      <c r="Z261" s="170">
        <f t="shared" si="137"/>
        <v>0.74752121273294514</v>
      </c>
      <c r="AA261" s="170">
        <f t="shared" si="138"/>
        <v>0.77557784964027121</v>
      </c>
      <c r="AB261" s="168"/>
      <c r="AC261" s="102"/>
      <c r="AD261" s="102"/>
      <c r="AE261" s="102"/>
      <c r="AF261" s="102"/>
      <c r="AG261" s="102"/>
      <c r="AH261" s="102"/>
      <c r="AI261" s="102"/>
      <c r="AJ261" s="102"/>
      <c r="AK261" s="102"/>
      <c r="AL261" s="102"/>
      <c r="AM261" s="102"/>
    </row>
    <row r="262" spans="1:39" s="167" customFormat="1" ht="16.5" x14ac:dyDescent="0.25">
      <c r="A262" s="102"/>
      <c r="B262" s="102"/>
      <c r="C262" s="102" t="s">
        <v>74</v>
      </c>
      <c r="D262" s="102" t="s">
        <v>78</v>
      </c>
      <c r="E262" s="102"/>
      <c r="F262" s="177">
        <f>HLOOKUP(F$259,'Банк. система_ввод'!$B$14:$W$22,4,0)</f>
        <v>178.5</v>
      </c>
      <c r="G262" s="177">
        <f>HLOOKUP(G$259,'Банк. система_ввод'!$B$14:$W$22,4,0)</f>
        <v>204.9</v>
      </c>
      <c r="H262" s="177">
        <f>HLOOKUP(H$259,'Банк. система_ввод'!$B$14:$W$22,4,0)</f>
        <v>487.4</v>
      </c>
      <c r="I262" s="177">
        <f>HLOOKUP(I$259,'Банк. система_ввод'!$B$14:$W$22,4,0)</f>
        <v>581.29999999999995</v>
      </c>
      <c r="J262" s="177">
        <f>HLOOKUP(J$259,'Банк. система_ввод'!$B$14:$W$22,4,0)</f>
        <v>847.59361799999999</v>
      </c>
      <c r="K262" s="177">
        <f>HLOOKUP(K$259,'Банк. система_ввод'!$B$14:$W$22,4,0)</f>
        <v>1193.412918</v>
      </c>
      <c r="L262" s="177">
        <f>HLOOKUP(L$259,'Банк. система_ввод'!$B$14:$W$22,4,0)</f>
        <v>1145.6615340000001</v>
      </c>
      <c r="M262" s="177">
        <f>HLOOKUP(M$259,'Банк. система_ввод'!$B$14:$W$22,4,0)</f>
        <v>1248.7657899999999</v>
      </c>
      <c r="N262" s="177">
        <f>HLOOKUP(N$259,'Банк. система_ввод'!$B$14:$W$22,4,0)</f>
        <v>1344.336053</v>
      </c>
      <c r="O262" s="177">
        <f>HLOOKUP(O$259,'Банк. система_ввод'!$B$14:$W$22,4,0)</f>
        <v>1184.6381100000001</v>
      </c>
      <c r="P262" s="177"/>
      <c r="Q262" s="168"/>
      <c r="R262" s="170">
        <f t="shared" si="133"/>
        <v>1.9015457383004336E-2</v>
      </c>
      <c r="S262" s="170">
        <f t="shared" si="133"/>
        <v>2.1803903207270096E-2</v>
      </c>
      <c r="T262" s="170">
        <f t="shared" si="133"/>
        <v>4.7461852317100484E-2</v>
      </c>
      <c r="U262" s="170">
        <f t="shared" si="134"/>
        <v>5.2936408920782066E-2</v>
      </c>
      <c r="V262" s="170">
        <f t="shared" si="134"/>
        <v>7.4264697051976261E-2</v>
      </c>
      <c r="W262" s="170">
        <f t="shared" si="134"/>
        <v>9.4677338058681282E-2</v>
      </c>
      <c r="X262" s="170">
        <f t="shared" si="135"/>
        <v>8.5828806679064812E-2</v>
      </c>
      <c r="Y262" s="170">
        <f t="shared" si="136"/>
        <v>7.2846394432947395E-2</v>
      </c>
      <c r="Z262" s="170">
        <f t="shared" si="137"/>
        <v>7.1076292833369387E-2</v>
      </c>
      <c r="AA262" s="170">
        <f t="shared" si="138"/>
        <v>5.7144576918633644E-2</v>
      </c>
      <c r="AB262" s="168"/>
      <c r="AC262" s="102"/>
      <c r="AD262" s="102"/>
      <c r="AE262" s="102"/>
      <c r="AF262" s="102"/>
      <c r="AG262" s="102"/>
      <c r="AH262" s="102"/>
      <c r="AI262" s="102"/>
      <c r="AJ262" s="102"/>
      <c r="AK262" s="102"/>
      <c r="AL262" s="102"/>
      <c r="AM262" s="102"/>
    </row>
    <row r="263" spans="1:39" s="167" customFormat="1" ht="17.25" thickBot="1" x14ac:dyDescent="0.3">
      <c r="A263" s="174"/>
      <c r="B263" s="174" t="s">
        <v>15</v>
      </c>
      <c r="C263" s="174" t="s">
        <v>79</v>
      </c>
      <c r="D263" s="174"/>
      <c r="E263" s="174"/>
      <c r="F263" s="175">
        <f>HLOOKUP(F$259,'Банк. система_ввод'!$B$14:$W$22,5,0)</f>
        <v>2800.4</v>
      </c>
      <c r="G263" s="175">
        <f>HLOOKUP(G$259,'Банк. система_ввод'!$B$14:$W$22,5,0)</f>
        <v>2774.6</v>
      </c>
      <c r="H263" s="175">
        <f>HLOOKUP(H$259,'Банк. система_ввод'!$B$14:$W$22,5,0)</f>
        <v>2769.6</v>
      </c>
      <c r="I263" s="175">
        <f>HLOOKUP(I$259,'Банк. система_ввод'!$B$14:$W$22,5,0)</f>
        <v>2756.6</v>
      </c>
      <c r="J263" s="175">
        <f>HLOOKUP(J$259,'Банк. система_ввод'!$B$14:$W$22,5,0)</f>
        <v>2522.3502629999998</v>
      </c>
      <c r="K263" s="175">
        <f>HLOOKUP(K$259,'Банк. система_ввод'!$B$14:$W$22,5,0)</f>
        <v>2671.8550289999998</v>
      </c>
      <c r="L263" s="175">
        <f>HLOOKUP(L$259,'Банк. система_ввод'!$B$14:$W$22,5,0)</f>
        <v>2404.075574</v>
      </c>
      <c r="M263" s="175">
        <f>HLOOKUP(M$259,'Банк. система_ввод'!$B$14:$W$22,5,0)</f>
        <v>3232.761043</v>
      </c>
      <c r="N263" s="175">
        <f>HLOOKUP(N$259,'Банк. система_ввод'!$B$14:$W$22,5,0)</f>
        <v>3431.0443559999999</v>
      </c>
      <c r="O263" s="175">
        <f>HLOOKUP(O$259,'Банк. система_ввод'!$B$14:$W$22,5,0)</f>
        <v>3467.7549319999998</v>
      </c>
      <c r="P263" s="698"/>
      <c r="Q263" s="143"/>
      <c r="R263" s="176">
        <f t="shared" si="133"/>
        <v>0.29832429610848932</v>
      </c>
      <c r="S263" s="176">
        <f t="shared" si="133"/>
        <v>0.29525187817907078</v>
      </c>
      <c r="T263" s="176">
        <f t="shared" si="133"/>
        <v>0.2696970582220794</v>
      </c>
      <c r="U263" s="176">
        <f t="shared" si="134"/>
        <v>0.25103131744542895</v>
      </c>
      <c r="V263" s="176">
        <f t="shared" si="134"/>
        <v>0.22100399786241387</v>
      </c>
      <c r="W263" s="176">
        <f t="shared" si="134"/>
        <v>0.21196697137178186</v>
      </c>
      <c r="X263" s="176">
        <f t="shared" si="135"/>
        <v>0.18010462214113906</v>
      </c>
      <c r="Y263" s="176">
        <f t="shared" si="136"/>
        <v>0.18858218885532124</v>
      </c>
      <c r="Z263" s="176">
        <f t="shared" si="137"/>
        <v>0.18140249443368553</v>
      </c>
      <c r="AA263" s="176">
        <f t="shared" si="138"/>
        <v>0.16727757344109515</v>
      </c>
      <c r="AB263" s="168"/>
      <c r="AC263" s="102"/>
      <c r="AD263" s="102"/>
      <c r="AE263" s="102"/>
      <c r="AF263" s="102"/>
      <c r="AG263" s="102"/>
      <c r="AH263" s="102"/>
      <c r="AI263" s="102"/>
      <c r="AJ263" s="102"/>
      <c r="AK263" s="102"/>
      <c r="AL263" s="102"/>
      <c r="AM263" s="102"/>
    </row>
    <row r="264" spans="1:39" s="182" customFormat="1" ht="16.5" x14ac:dyDescent="0.25">
      <c r="A264" s="164"/>
      <c r="B264" s="164"/>
      <c r="C264" s="164" t="s">
        <v>81</v>
      </c>
      <c r="D264" s="164"/>
      <c r="E264" s="164"/>
      <c r="F264" s="173">
        <f t="shared" ref="F264:O264" si="139">F260+F263</f>
        <v>9387.1</v>
      </c>
      <c r="G264" s="173">
        <f t="shared" si="139"/>
        <v>9397.4</v>
      </c>
      <c r="H264" s="173">
        <f t="shared" si="139"/>
        <v>10269.299999999999</v>
      </c>
      <c r="I264" s="173">
        <f t="shared" si="139"/>
        <v>10981.1</v>
      </c>
      <c r="J264" s="173">
        <f t="shared" si="139"/>
        <v>11413.143144000001</v>
      </c>
      <c r="K264" s="173">
        <f t="shared" si="139"/>
        <v>12605.053569</v>
      </c>
      <c r="L264" s="173">
        <f>L260+L263</f>
        <v>13348.216972000002</v>
      </c>
      <c r="M264" s="173">
        <f t="shared" si="139"/>
        <v>17142.451589</v>
      </c>
      <c r="N264" s="173">
        <f t="shared" si="139"/>
        <v>18913.986638999999</v>
      </c>
      <c r="O264" s="173">
        <f t="shared" si="139"/>
        <v>20730.543017</v>
      </c>
      <c r="P264" s="173"/>
      <c r="Q264" s="180"/>
      <c r="R264" s="181">
        <f t="shared" si="133"/>
        <v>1</v>
      </c>
      <c r="S264" s="181">
        <f t="shared" si="133"/>
        <v>1</v>
      </c>
      <c r="T264" s="181">
        <f t="shared" si="133"/>
        <v>1</v>
      </c>
      <c r="U264" s="181">
        <f t="shared" si="134"/>
        <v>1</v>
      </c>
      <c r="V264" s="181">
        <f t="shared" si="134"/>
        <v>1</v>
      </c>
      <c r="W264" s="181">
        <f t="shared" si="134"/>
        <v>1</v>
      </c>
      <c r="X264" s="181">
        <f t="shared" si="135"/>
        <v>1</v>
      </c>
      <c r="Y264" s="181">
        <f t="shared" si="136"/>
        <v>1</v>
      </c>
      <c r="Z264" s="181">
        <f t="shared" si="137"/>
        <v>1</v>
      </c>
      <c r="AA264" s="181">
        <f t="shared" si="138"/>
        <v>1</v>
      </c>
      <c r="AB264" s="180"/>
      <c r="AC264" s="164"/>
      <c r="AD264" s="164"/>
      <c r="AE264" s="164"/>
      <c r="AF264" s="164"/>
      <c r="AG264" s="164"/>
      <c r="AH264" s="164"/>
      <c r="AI264" s="164"/>
      <c r="AJ264" s="164"/>
      <c r="AK264" s="164"/>
      <c r="AL264" s="164"/>
      <c r="AM264" s="164"/>
    </row>
    <row r="265" spans="1:39" s="167" customFormat="1" ht="16.5" x14ac:dyDescent="0.25">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02"/>
      <c r="AJ265" s="102"/>
      <c r="AK265" s="102"/>
      <c r="AL265" s="102"/>
      <c r="AM265" s="102"/>
    </row>
    <row r="266" spans="1:39" s="103" customFormat="1" ht="16.5" x14ac:dyDescent="0.3">
      <c r="A266" s="101"/>
      <c r="B266" s="102"/>
      <c r="C266" s="102" t="s">
        <v>803</v>
      </c>
      <c r="D266" s="102"/>
      <c r="E266" s="102"/>
      <c r="F266" s="189">
        <f t="shared" ref="F266:O266" si="140">F268/F264</f>
        <v>7.8930650925205867</v>
      </c>
      <c r="G266" s="189">
        <f t="shared" si="140"/>
        <v>8.296032306169792</v>
      </c>
      <c r="H266" s="189">
        <f t="shared" si="140"/>
        <v>8.3970650622729899</v>
      </c>
      <c r="I266" s="189">
        <f t="shared" si="140"/>
        <v>8.0862743777945738</v>
      </c>
      <c r="J266" s="189">
        <f t="shared" si="140"/>
        <v>9.1143191069750049</v>
      </c>
      <c r="K266" s="189">
        <f t="shared" si="140"/>
        <v>9.5625638693388417</v>
      </c>
      <c r="L266" s="189">
        <f t="shared" si="140"/>
        <v>10.100109011698194</v>
      </c>
      <c r="M266" s="189">
        <f t="shared" si="140"/>
        <v>9.7903386002672885</v>
      </c>
      <c r="N266" s="189">
        <f t="shared" si="140"/>
        <v>10.534835672725993</v>
      </c>
      <c r="O266" s="189">
        <f t="shared" si="140"/>
        <v>10.172165732083004</v>
      </c>
      <c r="P266" s="189"/>
      <c r="Q266" s="104"/>
      <c r="R266" s="104"/>
      <c r="S266" s="104"/>
      <c r="T266" s="104"/>
      <c r="U266" s="104"/>
      <c r="V266" s="104"/>
      <c r="W266" s="104"/>
      <c r="X266" s="104"/>
      <c r="Y266" s="104"/>
      <c r="Z266" s="104"/>
      <c r="AA266" s="104"/>
      <c r="AB266" s="104"/>
      <c r="AC266" s="101"/>
      <c r="AD266" s="101"/>
      <c r="AE266" s="101"/>
      <c r="AF266" s="101"/>
      <c r="AG266" s="101"/>
      <c r="AH266" s="101"/>
      <c r="AI266" s="101"/>
      <c r="AJ266" s="101"/>
      <c r="AK266" s="101"/>
      <c r="AL266" s="101"/>
      <c r="AM266" s="101"/>
    </row>
    <row r="267" spans="1:39" s="167" customFormat="1" ht="16.5" x14ac:dyDescent="0.25">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02"/>
      <c r="AJ267" s="102"/>
      <c r="AK267" s="102"/>
      <c r="AL267" s="102"/>
      <c r="AM267" s="102"/>
    </row>
    <row r="268" spans="1:39" s="167" customFormat="1" ht="16.5" x14ac:dyDescent="0.25">
      <c r="A268" s="102"/>
      <c r="B268" s="102"/>
      <c r="C268" s="102" t="s">
        <v>83</v>
      </c>
      <c r="D268" s="102"/>
      <c r="E268" s="102"/>
      <c r="F268" s="177">
        <f>HLOOKUP(F$259,'Банк. система_ввод'!$B$14:$W$22,7,0)</f>
        <v>74092.991330000004</v>
      </c>
      <c r="G268" s="177">
        <f>HLOOKUP(G$259,'Банк. система_ввод'!$B$14:$W$22,7,0)</f>
        <v>77961.133994000003</v>
      </c>
      <c r="H268" s="177">
        <f>HLOOKUP(H$259,'Банк. система_ввод'!$B$14:$W$22,7,0)</f>
        <v>86231.980244000006</v>
      </c>
      <c r="I268" s="177">
        <f>HLOOKUP(I$259,'Банк. система_ввод'!$B$14:$W$22,7,0)</f>
        <v>88796.187569999995</v>
      </c>
      <c r="J268" s="177">
        <f>HLOOKUP(J$259,'Банк. система_ввод'!$B$14:$W$22,7,0)</f>
        <v>104023.028628</v>
      </c>
      <c r="K268" s="177">
        <f>HLOOKUP(K$259,'Банк. система_ввод'!$B$14:$W$22,7,0)</f>
        <v>120536.62983000001</v>
      </c>
      <c r="L268" s="177">
        <f>HLOOKUP(L$259,'Банк. система_ввод'!$B$14:$W$22,7,0)</f>
        <v>134818.44652900001</v>
      </c>
      <c r="M268" s="177">
        <f>HLOOKUP(M$259,'Банк. система_ввод'!$B$14:$W$22,7,0)</f>
        <v>167830.40549500001</v>
      </c>
      <c r="N268" s="177">
        <f>HLOOKUP(N$259,'Банк. система_ввод'!$B$14:$W$22,7,0)</f>
        <v>199255.74115799999</v>
      </c>
      <c r="O268" s="177">
        <f>HLOOKUP(O$259,'Банк. система_ввод'!$B$14:$W$22,7,0)</f>
        <v>210874.51928499999</v>
      </c>
      <c r="P268" s="177"/>
      <c r="Q268" s="168"/>
      <c r="R268" s="168"/>
      <c r="S268" s="168"/>
      <c r="T268" s="168"/>
      <c r="U268" s="168"/>
      <c r="V268" s="168"/>
      <c r="W268" s="168"/>
      <c r="X268" s="168"/>
      <c r="Y268" s="168"/>
      <c r="Z268" s="168"/>
      <c r="AA268" s="168"/>
      <c r="AB268" s="168"/>
      <c r="AC268" s="102"/>
      <c r="AD268" s="102"/>
      <c r="AE268" s="102"/>
      <c r="AF268" s="102"/>
      <c r="AG268" s="102"/>
      <c r="AH268" s="102"/>
      <c r="AI268" s="102"/>
      <c r="AJ268" s="102"/>
      <c r="AK268" s="102"/>
      <c r="AL268" s="102"/>
      <c r="AM268" s="102"/>
    </row>
    <row r="269" spans="1:39" s="167" customFormat="1" ht="16.5" x14ac:dyDescent="0.25">
      <c r="A269" s="102"/>
      <c r="B269" s="102"/>
      <c r="C269" s="102" t="s">
        <v>319</v>
      </c>
      <c r="D269" s="102"/>
      <c r="E269" s="102"/>
      <c r="F269" s="177">
        <f>HLOOKUP(F$259,'Банк. система_ввод'!$B$14:$W$22,8,0)</f>
        <v>71810.2</v>
      </c>
      <c r="G269" s="177">
        <f>HLOOKUP(G$259,'Банк. система_ввод'!$B$14:$W$22,8,0)</f>
        <v>77884.2</v>
      </c>
      <c r="H269" s="177">
        <f>HLOOKUP(H$259,'Банк. система_ввод'!$B$14:$W$22,8,0)</f>
        <v>84510.1</v>
      </c>
      <c r="I269" s="177">
        <f>HLOOKUP(I$259,'Банк. система_ввод'!$B$14:$W$22,8,0)</f>
        <v>89055.478367000003</v>
      </c>
      <c r="J269" s="177">
        <f>HLOOKUP(J$259,'Банк. система_ввод'!$B$14:$W$22,8,0)</f>
        <v>90915.544385000001</v>
      </c>
      <c r="K269" s="177">
        <f>HLOOKUP(K$259,'Банк. система_ввод'!$B$14:$W$22,8,0)</f>
        <v>102106.12012399999</v>
      </c>
      <c r="L269" s="177">
        <f>HLOOKUP(L$259,'Банк. система_ввод'!$B$14:$W$22,8,0)</f>
        <v>104188.87504699999</v>
      </c>
      <c r="M269" s="177">
        <f>HLOOKUP(M$259,'Банк. система_ввод'!$B$14:$W$22,8,0)</f>
        <v>127965.39404549998</v>
      </c>
      <c r="N269" s="177">
        <f>HLOOKUP(N$259,'Банк. система_ввод'!$B$14:$W$22,8,0)</f>
        <v>149963.44158200003</v>
      </c>
      <c r="O269" s="177">
        <f>HLOOKUP(O$259,'Банк. система_ввод'!$B$14:$W$22,8,0)</f>
        <v>156050.77079869999</v>
      </c>
      <c r="P269" s="177"/>
      <c r="Q269" s="168"/>
      <c r="R269" s="168"/>
      <c r="S269" s="168"/>
      <c r="T269" s="168"/>
      <c r="U269" s="168"/>
      <c r="V269" s="168"/>
      <c r="W269" s="168"/>
      <c r="X269" s="168"/>
      <c r="Y269" s="168"/>
      <c r="Z269" s="168"/>
      <c r="AA269" s="168"/>
      <c r="AB269" s="168"/>
      <c r="AC269" s="102"/>
      <c r="AD269" s="102"/>
      <c r="AE269" s="102"/>
      <c r="AF269" s="102"/>
      <c r="AG269" s="102"/>
      <c r="AH269" s="102"/>
      <c r="AI269" s="102"/>
      <c r="AJ269" s="102"/>
      <c r="AK269" s="102"/>
      <c r="AL269" s="102"/>
      <c r="AM269" s="102"/>
    </row>
    <row r="270" spans="1:39" s="167" customFormat="1" ht="16.5" x14ac:dyDescent="0.25">
      <c r="A270" s="108"/>
      <c r="B270" s="108"/>
      <c r="C270" s="108"/>
      <c r="D270" s="108" t="s">
        <v>86</v>
      </c>
      <c r="E270" s="108"/>
      <c r="F270" s="183">
        <f t="shared" ref="F270:M270" si="141">F269/F268</f>
        <v>0.96919018534650914</v>
      </c>
      <c r="G270" s="183">
        <f t="shared" si="141"/>
        <v>0.99901317502634157</v>
      </c>
      <c r="H270" s="183">
        <f t="shared" si="141"/>
        <v>0.98003199927535223</v>
      </c>
      <c r="I270" s="183">
        <f t="shared" si="141"/>
        <v>1.0029200667742137</v>
      </c>
      <c r="J270" s="183">
        <f t="shared" si="141"/>
        <v>0.87399439897223064</v>
      </c>
      <c r="K270" s="183">
        <f t="shared" si="141"/>
        <v>0.84709619198750075</v>
      </c>
      <c r="L270" s="183">
        <f t="shared" si="141"/>
        <v>0.77280874931746479</v>
      </c>
      <c r="M270" s="183">
        <f t="shared" si="141"/>
        <v>0.76246847922507288</v>
      </c>
      <c r="N270" s="183">
        <f t="shared" ref="N270:O270" si="142">N269/N268</f>
        <v>0.75261792062034694</v>
      </c>
      <c r="O270" s="183">
        <f t="shared" si="142"/>
        <v>0.74001719756285533</v>
      </c>
      <c r="P270" s="183"/>
      <c r="Q270" s="108"/>
      <c r="R270" s="102"/>
      <c r="S270" s="102"/>
      <c r="T270" s="102"/>
      <c r="U270" s="108"/>
      <c r="V270" s="102"/>
      <c r="W270" s="102"/>
      <c r="X270" s="102"/>
      <c r="Y270" s="102"/>
      <c r="Z270" s="102"/>
      <c r="AA270" s="102"/>
      <c r="AB270" s="102"/>
      <c r="AC270" s="102"/>
      <c r="AD270" s="102"/>
      <c r="AE270" s="102"/>
      <c r="AF270" s="102"/>
      <c r="AG270" s="102"/>
      <c r="AH270" s="102"/>
      <c r="AI270" s="102"/>
      <c r="AJ270" s="102"/>
      <c r="AK270" s="102"/>
      <c r="AL270" s="102"/>
      <c r="AM270" s="102"/>
    </row>
    <row r="271" spans="1:39" s="167" customFormat="1" ht="16.5" x14ac:dyDescent="0.25">
      <c r="A271" s="102"/>
      <c r="B271" s="102"/>
      <c r="C271" s="102"/>
      <c r="D271" s="102"/>
      <c r="E271" s="102"/>
      <c r="F271" s="467"/>
      <c r="G271" s="467"/>
      <c r="H271" s="467"/>
      <c r="I271" s="467"/>
      <c r="J271" s="168"/>
      <c r="K271" s="168"/>
      <c r="L271" s="168"/>
      <c r="M271" s="168"/>
      <c r="N271" s="168"/>
      <c r="O271" s="168"/>
      <c r="P271" s="168"/>
      <c r="Q271" s="168"/>
      <c r="R271" s="168"/>
      <c r="S271" s="168"/>
      <c r="T271" s="168"/>
      <c r="U271" s="168"/>
      <c r="V271" s="168"/>
      <c r="W271" s="168"/>
      <c r="X271" s="168"/>
      <c r="Y271" s="168"/>
      <c r="Z271" s="168"/>
      <c r="AA271" s="168"/>
      <c r="AB271" s="168"/>
      <c r="AC271" s="102"/>
      <c r="AD271" s="102"/>
      <c r="AE271" s="102"/>
      <c r="AF271" s="102"/>
      <c r="AG271" s="102"/>
      <c r="AH271" s="102"/>
      <c r="AI271" s="102"/>
      <c r="AJ271" s="102"/>
      <c r="AK271" s="102"/>
      <c r="AL271" s="102"/>
      <c r="AM271" s="102"/>
    </row>
    <row r="272" spans="1:39" s="167" customFormat="1" ht="17.25" thickBot="1" x14ac:dyDescent="0.3">
      <c r="A272" s="102"/>
      <c r="B272" s="102"/>
      <c r="C272" s="692" t="s">
        <v>310</v>
      </c>
      <c r="D272" s="691"/>
      <c r="E272" s="691"/>
      <c r="F272" s="702">
        <f t="shared" ref="F272:M272" si="143">F259</f>
        <v>2016</v>
      </c>
      <c r="G272" s="702">
        <f t="shared" si="143"/>
        <v>2017</v>
      </c>
      <c r="H272" s="702">
        <f t="shared" si="143"/>
        <v>2018</v>
      </c>
      <c r="I272" s="702">
        <f t="shared" si="143"/>
        <v>2019</v>
      </c>
      <c r="J272" s="702">
        <f t="shared" si="143"/>
        <v>2020</v>
      </c>
      <c r="K272" s="702">
        <f t="shared" si="143"/>
        <v>2021</v>
      </c>
      <c r="L272" s="702">
        <f t="shared" si="143"/>
        <v>2022</v>
      </c>
      <c r="M272" s="702">
        <f t="shared" si="143"/>
        <v>2023</v>
      </c>
      <c r="N272" s="702">
        <f t="shared" ref="N272" si="144">N259</f>
        <v>2024</v>
      </c>
      <c r="O272" s="702">
        <f>O259</f>
        <v>2025</v>
      </c>
      <c r="P272" s="848"/>
      <c r="Q272" s="186"/>
      <c r="R272" s="702" t="str">
        <f>R8</f>
        <v>2016</v>
      </c>
      <c r="S272" s="702" t="str">
        <f>S8</f>
        <v>2017</v>
      </c>
      <c r="T272" s="702" t="str">
        <f>T8</f>
        <v>2018</v>
      </c>
      <c r="U272" s="702" t="str">
        <f>U8</f>
        <v>2019</v>
      </c>
      <c r="V272" s="702" t="str">
        <f>V8</f>
        <v>2020</v>
      </c>
      <c r="W272" s="702"/>
      <c r="X272" s="702"/>
      <c r="Y272" s="702"/>
      <c r="Z272" s="702"/>
      <c r="AA272" s="702"/>
      <c r="AB272" s="168"/>
      <c r="AC272" s="102"/>
      <c r="AD272" s="102"/>
      <c r="AE272" s="102"/>
      <c r="AF272" s="102"/>
      <c r="AG272" s="102"/>
      <c r="AH272" s="102"/>
      <c r="AI272" s="102"/>
      <c r="AJ272" s="102"/>
      <c r="AK272" s="102"/>
      <c r="AL272" s="102"/>
      <c r="AM272" s="102"/>
    </row>
    <row r="273" spans="1:39" s="167" customFormat="1" ht="17.25" thickBot="1" x14ac:dyDescent="0.35">
      <c r="A273" s="102"/>
      <c r="B273" s="102"/>
      <c r="C273" s="247" t="s">
        <v>318</v>
      </c>
      <c r="D273" s="248"/>
      <c r="E273" s="247"/>
      <c r="F273" s="1857">
        <f t="shared" ref="F273:M273" si="145">SUM(F274:F282)</f>
        <v>71810.2</v>
      </c>
      <c r="G273" s="1857">
        <f t="shared" si="145"/>
        <v>77884.2</v>
      </c>
      <c r="H273" s="1857">
        <f t="shared" si="145"/>
        <v>84510.1</v>
      </c>
      <c r="I273" s="1857">
        <f t="shared" si="145"/>
        <v>89055.478367000003</v>
      </c>
      <c r="J273" s="1857">
        <f t="shared" si="145"/>
        <v>0</v>
      </c>
      <c r="K273" s="1857">
        <f t="shared" si="145"/>
        <v>0</v>
      </c>
      <c r="L273" s="1857">
        <f t="shared" si="145"/>
        <v>0</v>
      </c>
      <c r="M273" s="1857">
        <f t="shared" si="145"/>
        <v>0</v>
      </c>
      <c r="N273" s="1857"/>
      <c r="O273" s="1857"/>
      <c r="P273" s="699"/>
      <c r="Q273" s="846"/>
      <c r="R273" s="258">
        <f>SUM(R274:R282)</f>
        <v>1</v>
      </c>
      <c r="S273" s="258">
        <f>SUM(S274:S282)</f>
        <v>1</v>
      </c>
      <c r="T273" s="258">
        <f>SUM(T274:T282)</f>
        <v>0.99999999999999989</v>
      </c>
      <c r="U273" s="258">
        <f>SUM(U274:U282)</f>
        <v>1</v>
      </c>
      <c r="V273" s="258" t="e">
        <f>SUM(V274:V282)</f>
        <v>#DIV/0!</v>
      </c>
      <c r="W273" s="258"/>
      <c r="X273" s="258"/>
      <c r="Y273" s="258"/>
      <c r="Z273" s="258"/>
      <c r="AA273" s="258"/>
      <c r="AB273" s="246"/>
      <c r="AC273" s="102"/>
      <c r="AD273" s="102"/>
      <c r="AE273" s="102"/>
      <c r="AF273" s="102"/>
      <c r="AG273" s="102"/>
      <c r="AH273" s="102"/>
      <c r="AI273" s="102"/>
      <c r="AJ273" s="102"/>
      <c r="AK273" s="102"/>
      <c r="AL273" s="102"/>
      <c r="AM273" s="102"/>
    </row>
    <row r="274" spans="1:39" s="167" customFormat="1" ht="16.5" x14ac:dyDescent="0.25">
      <c r="A274" s="102"/>
      <c r="B274" s="102"/>
      <c r="C274" s="102"/>
      <c r="D274" s="102" t="s">
        <v>311</v>
      </c>
      <c r="E274" s="102"/>
      <c r="F274" s="1858">
        <f>HLOOKUP(F$272,'Банк. система_ввод'!$C$25:$T$35,3,0)</f>
        <v>35299.699999999997</v>
      </c>
      <c r="G274" s="1858">
        <f>HLOOKUP(G$272,'Банк. система_ввод'!$C$25:$T$35,3,0)</f>
        <v>33381.9</v>
      </c>
      <c r="H274" s="1858">
        <f>HLOOKUP(H$272,'Банк. система_ввод'!$C$25:$T$35,3,0)</f>
        <v>32952.1</v>
      </c>
      <c r="I274" s="1858">
        <f>HLOOKUP(I$272,'Банк. система_ввод'!$C$25:$T$35,3,0)</f>
        <v>36131.199999999997</v>
      </c>
      <c r="J274" s="1858">
        <f>HLOOKUP(J$272,'Банк. система_ввод'!$C$25:$T$35,3,0)</f>
        <v>0</v>
      </c>
      <c r="K274" s="1858">
        <f>HLOOKUP(K$272,'Банк. система_ввод'!$C$25:$T$35,3,0)</f>
        <v>0</v>
      </c>
      <c r="L274" s="1858">
        <f>HLOOKUP(L$272,'Банк. система_ввод'!$C$25:$T$35,3,0)</f>
        <v>0</v>
      </c>
      <c r="M274" s="1858">
        <f>HLOOKUP(M$272,'Банк. система_ввод'!$C$25:$T$35,3,0)</f>
        <v>0</v>
      </c>
      <c r="N274" s="1858"/>
      <c r="O274" s="1858"/>
      <c r="P274" s="177"/>
      <c r="Q274" s="251"/>
      <c r="R274" s="257">
        <f>F274/F$273</f>
        <v>0.49156944278110909</v>
      </c>
      <c r="S274" s="257">
        <f t="shared" ref="S274:S282" si="146">G274/G$273</f>
        <v>0.4286093970278953</v>
      </c>
      <c r="T274" s="257">
        <f t="shared" ref="T274:T282" si="147">H274/H$273</f>
        <v>0.38991907476147819</v>
      </c>
      <c r="U274" s="257">
        <f t="shared" ref="U274:U282" si="148">I274/I$273</f>
        <v>0.40571563549523992</v>
      </c>
      <c r="V274" s="257" t="e">
        <f t="shared" ref="V274:V282" si="149">J274/J$273</f>
        <v>#DIV/0!</v>
      </c>
      <c r="W274" s="263"/>
      <c r="X274" s="263"/>
      <c r="Y274" s="263"/>
      <c r="Z274" s="263"/>
      <c r="AA274" s="263"/>
      <c r="AB274" s="246"/>
      <c r="AC274" s="102"/>
      <c r="AD274" s="102"/>
      <c r="AE274" s="102"/>
      <c r="AF274" s="102"/>
      <c r="AG274" s="102"/>
      <c r="AH274" s="102"/>
      <c r="AI274" s="102"/>
      <c r="AJ274" s="102"/>
      <c r="AK274" s="102"/>
      <c r="AL274" s="102"/>
      <c r="AM274" s="102"/>
    </row>
    <row r="275" spans="1:39" s="167" customFormat="1" ht="16.5" x14ac:dyDescent="0.25">
      <c r="A275" s="102"/>
      <c r="B275" s="102"/>
      <c r="C275" s="102"/>
      <c r="D275" s="102" t="s">
        <v>312</v>
      </c>
      <c r="E275" s="102"/>
      <c r="F275" s="1858">
        <f>HLOOKUP(F$272,'Банк. система_ввод'!$C$25:$T$35,4,0)</f>
        <v>15127.5</v>
      </c>
      <c r="G275" s="1858">
        <f>HLOOKUP(G$272,'Банк. система_ввод'!$C$25:$T$35,4,0)</f>
        <v>17234.5</v>
      </c>
      <c r="H275" s="1858">
        <f>HLOOKUP(H$272,'Банк. система_ввод'!$C$25:$T$35,4,0)</f>
        <v>8465.5</v>
      </c>
      <c r="I275" s="1858">
        <f>HLOOKUP(I$272,'Банк. система_ввод'!$C$25:$T$35,4,0)</f>
        <v>7462.3</v>
      </c>
      <c r="J275" s="1858">
        <f>HLOOKUP(J$272,'Банк. система_ввод'!$C$25:$T$35,4,0)</f>
        <v>0</v>
      </c>
      <c r="K275" s="1858">
        <f>HLOOKUP(K$272,'Банк. система_ввод'!$C$25:$T$35,4,0)</f>
        <v>0</v>
      </c>
      <c r="L275" s="1858">
        <f>HLOOKUP(L$272,'Банк. система_ввод'!$C$25:$T$35,4,0)</f>
        <v>0</v>
      </c>
      <c r="M275" s="1858">
        <f>HLOOKUP(M$272,'Банк. система_ввод'!$C$25:$T$35,4,0)</f>
        <v>0</v>
      </c>
      <c r="N275" s="1858"/>
      <c r="O275" s="1858"/>
      <c r="P275" s="177"/>
      <c r="Q275" s="251"/>
      <c r="R275" s="246">
        <f t="shared" ref="R275:R282" si="150">F275/F$273</f>
        <v>0.21065948848492277</v>
      </c>
      <c r="S275" s="246">
        <f t="shared" si="146"/>
        <v>0.22128364931526548</v>
      </c>
      <c r="T275" s="246">
        <f t="shared" si="147"/>
        <v>0.10017145879604922</v>
      </c>
      <c r="U275" s="246">
        <f t="shared" si="148"/>
        <v>8.3793834324797659E-2</v>
      </c>
      <c r="V275" s="246" t="e">
        <f t="shared" si="149"/>
        <v>#DIV/0!</v>
      </c>
      <c r="W275" s="264"/>
      <c r="X275" s="264"/>
      <c r="Y275" s="264"/>
      <c r="Z275" s="264"/>
      <c r="AA275" s="264"/>
      <c r="AB275" s="246"/>
      <c r="AC275" s="102"/>
      <c r="AD275" s="102"/>
      <c r="AE275" s="102"/>
      <c r="AF275" s="102"/>
      <c r="AG275" s="102"/>
      <c r="AH275" s="102"/>
      <c r="AI275" s="102"/>
      <c r="AJ275" s="102"/>
      <c r="AK275" s="102"/>
      <c r="AL275" s="102"/>
      <c r="AM275" s="102"/>
    </row>
    <row r="276" spans="1:39" s="167" customFormat="1" ht="16.5" x14ac:dyDescent="0.25">
      <c r="A276" s="102"/>
      <c r="B276" s="102"/>
      <c r="C276" s="102"/>
      <c r="D276" s="102" t="s">
        <v>1124</v>
      </c>
      <c r="E276" s="102"/>
      <c r="F276" s="1858">
        <f>HLOOKUP(F$272,'Банк. система_ввод'!$C$25:$T$35,5,0)</f>
        <v>0</v>
      </c>
      <c r="G276" s="1858">
        <f>HLOOKUP(G$272,'Банк. система_ввод'!$C$25:$T$35,5,0)</f>
        <v>0</v>
      </c>
      <c r="H276" s="1858">
        <f>HLOOKUP(H$272,'Банк. система_ввод'!$C$25:$T$35,5,0)</f>
        <v>16308.2</v>
      </c>
      <c r="I276" s="1858">
        <f>HLOOKUP(I$272,'Банк. система_ввод'!$C$25:$T$35,5,0)</f>
        <v>19102.2</v>
      </c>
      <c r="J276" s="1858">
        <f>HLOOKUP(J$272,'Банк. система_ввод'!$C$25:$T$35,5,0)</f>
        <v>0</v>
      </c>
      <c r="K276" s="1858">
        <f>HLOOKUP(K$272,'Банк. система_ввод'!$C$25:$T$35,5,0)</f>
        <v>0</v>
      </c>
      <c r="L276" s="1858">
        <f>HLOOKUP(L$272,'Банк. система_ввод'!$C$25:$T$35,5,0)</f>
        <v>0</v>
      </c>
      <c r="M276" s="1858">
        <f>HLOOKUP(M$272,'Банк. система_ввод'!$C$25:$T$35,5,0)</f>
        <v>0</v>
      </c>
      <c r="N276" s="1858"/>
      <c r="O276" s="1858"/>
      <c r="P276" s="177"/>
      <c r="Q276" s="251"/>
      <c r="R276" s="254">
        <f t="shared" si="150"/>
        <v>0</v>
      </c>
      <c r="S276" s="254">
        <f t="shared" si="146"/>
        <v>0</v>
      </c>
      <c r="T276" s="254">
        <f t="shared" si="147"/>
        <v>0.19297338424638003</v>
      </c>
      <c r="U276" s="254">
        <f t="shared" si="148"/>
        <v>0.21449775297685028</v>
      </c>
      <c r="V276" s="254" t="e">
        <f t="shared" si="149"/>
        <v>#DIV/0!</v>
      </c>
      <c r="W276" s="264"/>
      <c r="X276" s="264"/>
      <c r="Y276" s="264"/>
      <c r="Z276" s="264"/>
      <c r="AA276" s="264"/>
      <c r="AB276" s="261"/>
      <c r="AC276" s="102"/>
      <c r="AD276" s="102"/>
      <c r="AE276" s="102"/>
      <c r="AF276" s="102"/>
      <c r="AG276" s="102"/>
      <c r="AH276" s="102"/>
      <c r="AI276" s="102"/>
      <c r="AJ276" s="102"/>
      <c r="AK276" s="102"/>
      <c r="AL276" s="102"/>
      <c r="AM276" s="102"/>
    </row>
    <row r="277" spans="1:39" s="167" customFormat="1" ht="16.5" x14ac:dyDescent="0.25">
      <c r="A277" s="102"/>
      <c r="B277" s="102"/>
      <c r="C277" s="102"/>
      <c r="D277" s="253" t="s">
        <v>314</v>
      </c>
      <c r="E277" s="253"/>
      <c r="F277" s="1859">
        <f>HLOOKUP(F$272,'Банк. система_ввод'!$C$25:$T$35,6,0)</f>
        <v>7486.4</v>
      </c>
      <c r="G277" s="1859">
        <f>HLOOKUP(G$272,'Банк. система_ввод'!$C$25:$T$35,6,0)</f>
        <v>8369.7999999999993</v>
      </c>
      <c r="H277" s="1859">
        <f>HLOOKUP(H$272,'Банк. система_ввод'!$C$25:$T$35,6,0)</f>
        <v>8137.4</v>
      </c>
      <c r="I277" s="1859">
        <f>HLOOKUP(I$272,'Банк. система_ввод'!$C$25:$T$35,6,0)</f>
        <v>8191</v>
      </c>
      <c r="J277" s="1859">
        <f>HLOOKUP(J$272,'Банк. система_ввод'!$C$25:$T$35,6,0)</f>
        <v>0</v>
      </c>
      <c r="K277" s="1859">
        <f>HLOOKUP(K$272,'Банк. система_ввод'!$C$25:$T$35,6,0)</f>
        <v>0</v>
      </c>
      <c r="L277" s="1859">
        <f>HLOOKUP(L$272,'Банк. система_ввод'!$C$25:$T$35,6,0)</f>
        <v>0</v>
      </c>
      <c r="M277" s="1859">
        <f>HLOOKUP(M$272,'Банк. система_ввод'!$C$25:$T$35,6,0)</f>
        <v>0</v>
      </c>
      <c r="N277" s="1859"/>
      <c r="O277" s="1859"/>
      <c r="P277" s="823"/>
      <c r="Q277" s="824"/>
      <c r="R277" s="825">
        <f t="shared" si="150"/>
        <v>0.10425259921292518</v>
      </c>
      <c r="S277" s="825">
        <f t="shared" si="146"/>
        <v>0.10746467191034895</v>
      </c>
      <c r="T277" s="825">
        <f t="shared" si="147"/>
        <v>9.6289082606694332E-2</v>
      </c>
      <c r="U277" s="825">
        <f t="shared" si="148"/>
        <v>9.197637416807386E-2</v>
      </c>
      <c r="V277" s="825" t="e">
        <f t="shared" si="149"/>
        <v>#DIV/0!</v>
      </c>
      <c r="W277" s="826"/>
      <c r="X277" s="826"/>
      <c r="Y277" s="826"/>
      <c r="Z277" s="826"/>
      <c r="AA277" s="826"/>
      <c r="AB277" s="246"/>
      <c r="AC277" s="102"/>
      <c r="AD277" s="102"/>
      <c r="AE277" s="102"/>
      <c r="AF277" s="102"/>
      <c r="AG277" s="102"/>
      <c r="AH277" s="102"/>
      <c r="AI277" s="102"/>
      <c r="AJ277" s="102"/>
      <c r="AK277" s="102"/>
      <c r="AL277" s="102"/>
      <c r="AM277" s="102"/>
    </row>
    <row r="278" spans="1:39" s="167" customFormat="1" ht="16.5" x14ac:dyDescent="0.25">
      <c r="A278" s="102"/>
      <c r="B278" s="102"/>
      <c r="C278" s="102"/>
      <c r="D278" s="102" t="s">
        <v>313</v>
      </c>
      <c r="E278" s="102"/>
      <c r="F278" s="1858">
        <f>HLOOKUP(F$272,'Банк. система_ввод'!$C$25:$T$35,7,0)</f>
        <v>4012.4</v>
      </c>
      <c r="G278" s="1858">
        <f>HLOOKUP(G$272,'Банк. система_ввод'!$C$25:$T$35,7,0)</f>
        <v>3916.1</v>
      </c>
      <c r="H278" s="1858">
        <f>HLOOKUP(H$272,'Банк. система_ввод'!$C$25:$T$35,7,0)</f>
        <v>3737.8</v>
      </c>
      <c r="I278" s="1858">
        <f>HLOOKUP(I$272,'Банк. система_ввод'!$C$25:$T$35,7,0)</f>
        <v>3873.6</v>
      </c>
      <c r="J278" s="1858">
        <f>HLOOKUP(J$272,'Банк. система_ввод'!$C$25:$T$35,7,0)</f>
        <v>0</v>
      </c>
      <c r="K278" s="1858">
        <f>HLOOKUP(K$272,'Банк. система_ввод'!$C$25:$T$35,7,0)</f>
        <v>0</v>
      </c>
      <c r="L278" s="1858">
        <f>HLOOKUP(L$272,'Банк. система_ввод'!$C$25:$T$35,7,0)</f>
        <v>0</v>
      </c>
      <c r="M278" s="1858">
        <f>HLOOKUP(M$272,'Банк. система_ввод'!$C$25:$T$35,7,0)</f>
        <v>0</v>
      </c>
      <c r="N278" s="1858"/>
      <c r="O278" s="1858"/>
      <c r="P278" s="177"/>
      <c r="Q278" s="251"/>
      <c r="R278" s="254">
        <f t="shared" si="150"/>
        <v>5.5875070672411445E-2</v>
      </c>
      <c r="S278" s="254">
        <f t="shared" si="146"/>
        <v>5.0281058289100997E-2</v>
      </c>
      <c r="T278" s="254">
        <f t="shared" si="147"/>
        <v>4.4229032979490025E-2</v>
      </c>
      <c r="U278" s="254">
        <f t="shared" si="148"/>
        <v>4.3496481867592592E-2</v>
      </c>
      <c r="V278" s="254" t="e">
        <f t="shared" si="149"/>
        <v>#DIV/0!</v>
      </c>
      <c r="W278" s="265"/>
      <c r="X278" s="265"/>
      <c r="Y278" s="265"/>
      <c r="Z278" s="265"/>
      <c r="AA278" s="265"/>
      <c r="AB278" s="246"/>
      <c r="AC278" s="102"/>
      <c r="AD278" s="102"/>
      <c r="AE278" s="102"/>
      <c r="AF278" s="102"/>
      <c r="AG278" s="102"/>
      <c r="AH278" s="102"/>
      <c r="AI278" s="102"/>
      <c r="AJ278" s="102"/>
      <c r="AK278" s="102"/>
      <c r="AL278" s="102"/>
      <c r="AM278" s="102"/>
    </row>
    <row r="279" spans="1:39" s="167" customFormat="1" ht="16.5" x14ac:dyDescent="0.25">
      <c r="A279" s="102"/>
      <c r="B279" s="102"/>
      <c r="C279" s="102"/>
      <c r="D279" s="102" t="s">
        <v>315</v>
      </c>
      <c r="E279" s="102"/>
      <c r="F279" s="1858">
        <f>HLOOKUP(F$272,'Банк. система_ввод'!$C$25:$T$35,8,0)</f>
        <v>4152.6000000000004</v>
      </c>
      <c r="G279" s="1858">
        <f>HLOOKUP(G$272,'Банк. система_ввод'!$C$25:$T$35,8,0)</f>
        <v>4589.8</v>
      </c>
      <c r="H279" s="1858">
        <f>HLOOKUP(H$272,'Банк. система_ввод'!$C$25:$T$35,8,0)</f>
        <v>3897.7</v>
      </c>
      <c r="I279" s="1858">
        <f>HLOOKUP(I$272,'Банк. система_ввод'!$C$25:$T$35,8,0)</f>
        <v>4500.7</v>
      </c>
      <c r="J279" s="1858">
        <f>HLOOKUP(J$272,'Банк. система_ввод'!$C$25:$T$35,8,0)</f>
        <v>0</v>
      </c>
      <c r="K279" s="1858">
        <f>HLOOKUP(K$272,'Банк. система_ввод'!$C$25:$T$35,8,0)</f>
        <v>0</v>
      </c>
      <c r="L279" s="1858">
        <f>HLOOKUP(L$272,'Банк. система_ввод'!$C$25:$T$35,8,0)</f>
        <v>0</v>
      </c>
      <c r="M279" s="1858">
        <f>HLOOKUP(M$272,'Банк. система_ввод'!$C$25:$T$35,8,0)</f>
        <v>0</v>
      </c>
      <c r="N279" s="1858"/>
      <c r="O279" s="1858"/>
      <c r="P279" s="177"/>
      <c r="Q279" s="251"/>
      <c r="R279" s="254">
        <f t="shared" si="150"/>
        <v>5.7827439555940531E-2</v>
      </c>
      <c r="S279" s="254">
        <f t="shared" si="146"/>
        <v>5.8931079731190668E-2</v>
      </c>
      <c r="T279" s="254">
        <f t="shared" si="147"/>
        <v>4.6121114517673027E-2</v>
      </c>
      <c r="U279" s="254">
        <f t="shared" si="148"/>
        <v>5.0538159836192163E-2</v>
      </c>
      <c r="V279" s="254" t="e">
        <f t="shared" si="149"/>
        <v>#DIV/0!</v>
      </c>
      <c r="W279" s="265"/>
      <c r="X279" s="265"/>
      <c r="Y279" s="265"/>
      <c r="Z279" s="265"/>
      <c r="AA279" s="265"/>
      <c r="AB279" s="246"/>
      <c r="AC279" s="102"/>
      <c r="AD279" s="102"/>
      <c r="AE279" s="102"/>
      <c r="AF279" s="102"/>
      <c r="AG279" s="102"/>
      <c r="AH279" s="102"/>
      <c r="AI279" s="102"/>
      <c r="AJ279" s="102"/>
      <c r="AK279" s="102"/>
      <c r="AL279" s="102"/>
      <c r="AM279" s="102"/>
    </row>
    <row r="280" spans="1:39" s="167" customFormat="1" ht="16.5" x14ac:dyDescent="0.25">
      <c r="A280" s="102"/>
      <c r="B280" s="102"/>
      <c r="C280" s="102"/>
      <c r="D280" s="102" t="s">
        <v>316</v>
      </c>
      <c r="E280" s="102"/>
      <c r="F280" s="1858">
        <f>HLOOKUP(F$272,'Банк. система_ввод'!$C$25:$T$35,9,0)</f>
        <v>2297</v>
      </c>
      <c r="G280" s="1858">
        <f>HLOOKUP(G$272,'Банк. система_ввод'!$C$25:$T$35,9,0)</f>
        <v>3056.6</v>
      </c>
      <c r="H280" s="1858">
        <f>HLOOKUP(H$272,'Банк. система_ввод'!$C$25:$T$35,9,0)</f>
        <v>2546.1</v>
      </c>
      <c r="I280" s="1858">
        <f>HLOOKUP(I$272,'Банк. система_ввод'!$C$25:$T$35,9,0)</f>
        <v>0</v>
      </c>
      <c r="J280" s="1858">
        <f>HLOOKUP(J$272,'Банк. система_ввод'!$C$25:$T$35,9,0)</f>
        <v>0</v>
      </c>
      <c r="K280" s="1858">
        <f>HLOOKUP(K$272,'Банк. система_ввод'!$C$25:$T$35,9,0)</f>
        <v>0</v>
      </c>
      <c r="L280" s="1858"/>
      <c r="M280" s="1858"/>
      <c r="N280" s="1858"/>
      <c r="O280" s="1858"/>
      <c r="P280" s="177"/>
      <c r="Q280" s="251"/>
      <c r="R280" s="254">
        <f t="shared" si="150"/>
        <v>3.198709932572253E-2</v>
      </c>
      <c r="S280" s="254">
        <f t="shared" si="146"/>
        <v>3.9245443876935245E-2</v>
      </c>
      <c r="T280" s="254">
        <f t="shared" si="147"/>
        <v>3.0127759877221771E-2</v>
      </c>
      <c r="U280" s="254">
        <f t="shared" si="148"/>
        <v>0</v>
      </c>
      <c r="V280" s="254" t="e">
        <f t="shared" si="149"/>
        <v>#DIV/0!</v>
      </c>
      <c r="W280" s="265"/>
      <c r="X280" s="265"/>
      <c r="Y280" s="265"/>
      <c r="Z280" s="265"/>
      <c r="AA280" s="265"/>
      <c r="AB280" s="246"/>
      <c r="AC280" s="102"/>
      <c r="AD280" s="102"/>
      <c r="AE280" s="102"/>
      <c r="AF280" s="102"/>
      <c r="AG280" s="102"/>
      <c r="AH280" s="102"/>
      <c r="AI280" s="102"/>
      <c r="AJ280" s="102"/>
      <c r="AK280" s="102"/>
      <c r="AL280" s="102"/>
      <c r="AM280" s="102"/>
    </row>
    <row r="281" spans="1:39" s="167" customFormat="1" ht="16.5" x14ac:dyDescent="0.25">
      <c r="A281" s="102"/>
      <c r="B281" s="102"/>
      <c r="C281" s="102"/>
      <c r="D281" s="102" t="s">
        <v>1125</v>
      </c>
      <c r="E281" s="102"/>
      <c r="F281" s="1858">
        <f>HLOOKUP(F$272,'Банк. система_ввод'!$C$25:$T$35,10,0)</f>
        <v>1667.5</v>
      </c>
      <c r="G281" s="1858">
        <f>HLOOKUP(G$272,'Банк. система_ввод'!$C$25:$T$35,10,0)</f>
        <v>5139.8</v>
      </c>
      <c r="H281" s="1858">
        <f>HLOOKUP(H$272,'Банк. система_ввод'!$C$25:$T$35,10,0)</f>
        <v>5021.3999999999996</v>
      </c>
      <c r="I281" s="1858">
        <f>HLOOKUP(I$272,'Банк. система_ввод'!$C$25:$T$35,10,0)</f>
        <v>3006.4</v>
      </c>
      <c r="J281" s="1858">
        <f>HLOOKUP(J$272,'Банк. система_ввод'!$C$25:$T$35,10,0)</f>
        <v>0</v>
      </c>
      <c r="K281" s="1858">
        <f>HLOOKUP(K$272,'Банк. система_ввод'!$C$25:$T$35,10,0)</f>
        <v>0</v>
      </c>
      <c r="L281" s="1858"/>
      <c r="M281" s="1858"/>
      <c r="N281" s="1858"/>
      <c r="O281" s="1858"/>
      <c r="P281" s="177"/>
      <c r="Q281" s="251"/>
      <c r="R281" s="254">
        <f t="shared" si="150"/>
        <v>2.3220935187480331E-2</v>
      </c>
      <c r="S281" s="254">
        <f t="shared" si="146"/>
        <v>6.5992845789004703E-2</v>
      </c>
      <c r="T281" s="254">
        <f t="shared" si="147"/>
        <v>5.9417750067743372E-2</v>
      </c>
      <c r="U281" s="254">
        <f t="shared" si="148"/>
        <v>3.3758731693187313E-2</v>
      </c>
      <c r="V281" s="254" t="e">
        <f t="shared" si="149"/>
        <v>#DIV/0!</v>
      </c>
      <c r="W281" s="265"/>
      <c r="X281" s="265"/>
      <c r="Y281" s="265"/>
      <c r="Z281" s="265"/>
      <c r="AA281" s="265"/>
      <c r="AB281" s="246"/>
      <c r="AC281" s="102"/>
      <c r="AD281" s="102"/>
      <c r="AE281" s="102"/>
      <c r="AF281" s="102"/>
      <c r="AG281" s="102"/>
      <c r="AH281" s="102"/>
      <c r="AI281" s="102"/>
      <c r="AJ281" s="102"/>
      <c r="AK281" s="102"/>
      <c r="AL281" s="102"/>
      <c r="AM281" s="102"/>
    </row>
    <row r="282" spans="1:39" s="167" customFormat="1" ht="16.5" x14ac:dyDescent="0.25">
      <c r="A282" s="102"/>
      <c r="B282" s="102"/>
      <c r="C282" s="102"/>
      <c r="D282" s="253" t="s">
        <v>317</v>
      </c>
      <c r="E282" s="253"/>
      <c r="F282" s="1860">
        <f>HLOOKUP(F$272,'Банк. система_ввод'!$C$25:$T$35,11,0)</f>
        <v>1767.0999999999913</v>
      </c>
      <c r="G282" s="1860">
        <f>HLOOKUP(G$272,'Банк. система_ввод'!$C$25:$T$35,11,0)</f>
        <v>2195.6999999999971</v>
      </c>
      <c r="H282" s="1860">
        <f>HLOOKUP(H$272,'Банк. система_ввод'!$C$25:$T$35,11,0)</f>
        <v>3443.9000000000087</v>
      </c>
      <c r="I282" s="1860">
        <f>HLOOKUP(I$272,'Банк. система_ввод'!$C$25:$T$35,11,0)</f>
        <v>6788.0783670000092</v>
      </c>
      <c r="J282" s="1860">
        <f>HLOOKUP(J$272,'Банк. система_ввод'!$C$25:$T$35,11,0)</f>
        <v>0</v>
      </c>
      <c r="K282" s="1860">
        <f>HLOOKUP(K$272,'Банк. система_ввод'!$C$25:$T$35,11,0)</f>
        <v>0</v>
      </c>
      <c r="L282" s="1860">
        <f>HLOOKUP(L$272,'Банк. система_ввод'!$C$25:$T$35,9,0)</f>
        <v>0</v>
      </c>
      <c r="M282" s="1860">
        <f>HLOOKUP(M$272,'Банк. система_ввод'!$C$25:$T$35,9,0)</f>
        <v>0</v>
      </c>
      <c r="N282" s="1860"/>
      <c r="O282" s="1860"/>
      <c r="P282" s="250"/>
      <c r="Q282" s="252"/>
      <c r="R282" s="259">
        <f t="shared" si="150"/>
        <v>2.4607924779488029E-2</v>
      </c>
      <c r="S282" s="259">
        <f t="shared" si="146"/>
        <v>2.8191854060258655E-2</v>
      </c>
      <c r="T282" s="259">
        <f t="shared" si="147"/>
        <v>4.0751342147270074E-2</v>
      </c>
      <c r="U282" s="259">
        <f t="shared" si="148"/>
        <v>7.622302963806625E-2</v>
      </c>
      <c r="V282" s="260" t="e">
        <f t="shared" si="149"/>
        <v>#DIV/0!</v>
      </c>
      <c r="W282" s="266"/>
      <c r="X282" s="266"/>
      <c r="Y282" s="266"/>
      <c r="Z282" s="266"/>
      <c r="AA282" s="266"/>
      <c r="AB282" s="262"/>
      <c r="AC282" s="102"/>
      <c r="AD282" s="102"/>
      <c r="AE282" s="102"/>
      <c r="AF282" s="102"/>
      <c r="AG282" s="102"/>
      <c r="AH282" s="102"/>
      <c r="AI282" s="102"/>
      <c r="AJ282" s="102"/>
      <c r="AK282" s="102"/>
      <c r="AL282" s="102"/>
      <c r="AM282" s="102"/>
    </row>
    <row r="283" spans="1:39" s="474" customFormat="1" ht="16.5" outlineLevel="1" x14ac:dyDescent="0.3">
      <c r="A283" s="471"/>
      <c r="B283" s="472"/>
      <c r="C283" s="472" t="s">
        <v>458</v>
      </c>
      <c r="D283" s="472"/>
      <c r="E283" s="472"/>
      <c r="F283" s="1391">
        <f t="shared" ref="F283:M283" si="151">F269-F273</f>
        <v>0</v>
      </c>
      <c r="G283" s="1391">
        <f t="shared" si="151"/>
        <v>0</v>
      </c>
      <c r="H283" s="1391">
        <f t="shared" si="151"/>
        <v>0</v>
      </c>
      <c r="I283" s="1391">
        <f t="shared" si="151"/>
        <v>0</v>
      </c>
      <c r="J283" s="1391">
        <f t="shared" si="151"/>
        <v>90915.544385000001</v>
      </c>
      <c r="K283" s="1391">
        <f t="shared" si="151"/>
        <v>102106.12012399999</v>
      </c>
      <c r="L283" s="1391">
        <f t="shared" si="151"/>
        <v>104188.87504699999</v>
      </c>
      <c r="M283" s="1391">
        <f t="shared" si="151"/>
        <v>127965.39404549998</v>
      </c>
      <c r="N283" s="1391"/>
      <c r="O283" s="1391"/>
      <c r="P283" s="475"/>
      <c r="Q283" s="473"/>
      <c r="R283" s="473"/>
      <c r="S283" s="473"/>
      <c r="T283" s="473"/>
      <c r="U283" s="473"/>
      <c r="V283" s="473"/>
      <c r="W283" s="473"/>
      <c r="X283" s="473"/>
      <c r="Y283" s="473"/>
      <c r="Z283" s="473"/>
      <c r="AA283" s="473"/>
      <c r="AB283" s="473"/>
      <c r="AC283" s="471"/>
      <c r="AD283" s="471"/>
      <c r="AE283" s="471"/>
      <c r="AF283" s="471"/>
      <c r="AG283" s="471"/>
      <c r="AH283" s="471"/>
      <c r="AI283" s="471"/>
      <c r="AJ283" s="471"/>
      <c r="AK283" s="471"/>
      <c r="AL283" s="471"/>
      <c r="AM283" s="471"/>
    </row>
    <row r="284" spans="1:39" s="167" customFormat="1" ht="16.5" x14ac:dyDescent="0.25">
      <c r="A284" s="102"/>
      <c r="B284" s="102"/>
      <c r="C284" s="102"/>
      <c r="D284" s="102"/>
      <c r="E284" s="102"/>
      <c r="F284" s="168"/>
      <c r="G284" s="168"/>
      <c r="H284" s="168"/>
      <c r="I284" s="168"/>
      <c r="J284" s="168"/>
      <c r="K284" s="168"/>
      <c r="L284" s="168"/>
      <c r="M284" s="168"/>
      <c r="N284" s="168"/>
      <c r="O284" s="168"/>
      <c r="P284" s="168"/>
      <c r="Q284" s="168"/>
      <c r="R284" s="246"/>
      <c r="S284" s="246"/>
      <c r="T284" s="246"/>
      <c r="U284" s="246"/>
      <c r="V284" s="246"/>
      <c r="W284" s="246"/>
      <c r="X284" s="246"/>
      <c r="Y284" s="246"/>
      <c r="Z284" s="246"/>
      <c r="AA284" s="246"/>
      <c r="AB284" s="246"/>
      <c r="AC284" s="102"/>
      <c r="AD284" s="102"/>
      <c r="AE284" s="102"/>
      <c r="AF284" s="102"/>
      <c r="AG284" s="102"/>
      <c r="AH284" s="102"/>
      <c r="AI284" s="102"/>
      <c r="AJ284" s="102"/>
      <c r="AK284" s="102"/>
      <c r="AL284" s="102"/>
      <c r="AM284" s="102"/>
    </row>
    <row r="285" spans="1:39" s="167" customFormat="1" ht="16.5" x14ac:dyDescent="0.25">
      <c r="A285" s="102"/>
      <c r="B285" s="102"/>
      <c r="C285" s="102"/>
      <c r="D285" s="102"/>
      <c r="E285" s="102"/>
      <c r="F285" s="168"/>
      <c r="G285" s="168"/>
      <c r="H285" s="168"/>
      <c r="I285" s="168"/>
      <c r="J285" s="168"/>
      <c r="K285" s="168"/>
      <c r="L285" s="168"/>
      <c r="M285" s="168"/>
      <c r="N285" s="168"/>
      <c r="O285" s="168"/>
      <c r="P285" s="168"/>
      <c r="Q285" s="168"/>
      <c r="R285" s="246"/>
      <c r="S285" s="246"/>
      <c r="T285" s="246"/>
      <c r="U285" s="246"/>
      <c r="V285" s="246"/>
      <c r="W285" s="246"/>
      <c r="X285" s="246"/>
      <c r="Y285" s="246"/>
      <c r="Z285" s="246"/>
      <c r="AA285" s="246"/>
      <c r="AB285" s="246"/>
      <c r="AC285" s="102"/>
      <c r="AD285" s="102"/>
      <c r="AE285" s="102"/>
      <c r="AF285" s="102"/>
      <c r="AG285" s="102"/>
      <c r="AH285" s="102"/>
      <c r="AI285" s="102"/>
      <c r="AJ285" s="102"/>
      <c r="AK285" s="102"/>
      <c r="AL285" s="102"/>
      <c r="AM285" s="102"/>
    </row>
    <row r="286" spans="1:39" s="167" customFormat="1" ht="16.5" x14ac:dyDescent="0.25">
      <c r="A286" s="102"/>
      <c r="B286" s="102"/>
      <c r="C286" s="102"/>
      <c r="D286" s="102"/>
      <c r="E286" s="102"/>
      <c r="F286" s="168"/>
      <c r="G286" s="168"/>
      <c r="H286" s="168"/>
      <c r="I286" s="168"/>
      <c r="J286" s="168"/>
      <c r="K286" s="168"/>
      <c r="L286" s="168"/>
      <c r="M286" s="168"/>
      <c r="N286" s="168"/>
      <c r="O286" s="168"/>
      <c r="P286" s="168"/>
      <c r="Q286" s="168"/>
      <c r="R286" s="246"/>
      <c r="S286" s="246"/>
      <c r="T286" s="246"/>
      <c r="U286" s="246"/>
      <c r="V286" s="246"/>
      <c r="W286" s="246"/>
      <c r="X286" s="246"/>
      <c r="Y286" s="246"/>
      <c r="Z286" s="246"/>
      <c r="AA286" s="246"/>
      <c r="AB286" s="246"/>
      <c r="AC286" s="102"/>
      <c r="AD286" s="102"/>
      <c r="AE286" s="102"/>
      <c r="AF286" s="102"/>
      <c r="AG286" s="102"/>
      <c r="AH286" s="102"/>
      <c r="AI286" s="102"/>
      <c r="AJ286" s="102"/>
      <c r="AK286" s="102"/>
      <c r="AL286" s="102"/>
      <c r="AM286" s="102"/>
    </row>
    <row r="287" spans="1:39" s="167" customFormat="1" ht="17.25" thickBot="1" x14ac:dyDescent="0.3">
      <c r="A287" s="102"/>
      <c r="B287" s="102"/>
      <c r="C287" s="691"/>
      <c r="D287" s="692" t="s">
        <v>310</v>
      </c>
      <c r="E287" s="691"/>
      <c r="F287" s="691"/>
      <c r="G287" s="959"/>
      <c r="H287" s="959"/>
      <c r="I287" s="959"/>
      <c r="J287" s="971">
        <f>Ввод!K7</f>
        <v>2020</v>
      </c>
      <c r="K287" s="971">
        <f>Ввод!L7</f>
        <v>2021</v>
      </c>
      <c r="L287" s="971">
        <f>Ввод!M7</f>
        <v>2022</v>
      </c>
      <c r="M287" s="971">
        <f>Ввод!N7</f>
        <v>2023</v>
      </c>
      <c r="N287" s="971">
        <f>Ввод!O7</f>
        <v>2024</v>
      </c>
      <c r="O287" s="971">
        <f>Ввод!P7</f>
        <v>2025</v>
      </c>
      <c r="P287" s="848" t="s">
        <v>1138</v>
      </c>
      <c r="Q287" s="186" t="str">
        <f>IF(Q288&gt;0,"рост на",IF(Q288&lt;0%,"снижение на","-"))</f>
        <v>рост на</v>
      </c>
      <c r="R287" s="702"/>
      <c r="S287" s="702"/>
      <c r="T287" s="702"/>
      <c r="U287" s="702"/>
      <c r="V287" s="702">
        <f t="shared" ref="V287:AA287" si="152">J287</f>
        <v>2020</v>
      </c>
      <c r="W287" s="702">
        <f t="shared" si="152"/>
        <v>2021</v>
      </c>
      <c r="X287" s="702">
        <f t="shared" si="152"/>
        <v>2022</v>
      </c>
      <c r="Y287" s="702">
        <f t="shared" si="152"/>
        <v>2023</v>
      </c>
      <c r="Z287" s="702">
        <f t="shared" si="152"/>
        <v>2024</v>
      </c>
      <c r="AA287" s="702">
        <f t="shared" si="152"/>
        <v>2025</v>
      </c>
      <c r="AB287" s="168"/>
      <c r="AC287" s="102"/>
      <c r="AD287" s="102"/>
      <c r="AE287" s="102"/>
      <c r="AF287" s="102"/>
      <c r="AG287" s="102"/>
      <c r="AH287" s="102"/>
      <c r="AI287" s="102"/>
      <c r="AJ287" s="102"/>
      <c r="AK287" s="102"/>
      <c r="AL287" s="102"/>
      <c r="AM287" s="102"/>
    </row>
    <row r="288" spans="1:39" s="167" customFormat="1" ht="17.25" thickBot="1" x14ac:dyDescent="0.35">
      <c r="A288" s="102"/>
      <c r="B288" s="102"/>
      <c r="C288" s="108"/>
      <c r="D288" s="247" t="s">
        <v>318</v>
      </c>
      <c r="E288" s="248"/>
      <c r="F288" s="247"/>
      <c r="G288" s="960"/>
      <c r="H288" s="960"/>
      <c r="I288" s="960"/>
      <c r="J288" s="972">
        <f>J289+SUM(J294:J296)</f>
        <v>90915.544384999987</v>
      </c>
      <c r="K288" s="972">
        <f t="shared" ref="K288:O288" si="153">K289+SUM(K294:K296)</f>
        <v>102106.12012400001</v>
      </c>
      <c r="L288" s="972">
        <f t="shared" si="153"/>
        <v>104188.87504700001</v>
      </c>
      <c r="M288" s="972">
        <f t="shared" si="153"/>
        <v>127965.3940455</v>
      </c>
      <c r="N288" s="972">
        <f t="shared" si="153"/>
        <v>149963.441582</v>
      </c>
      <c r="O288" s="972">
        <f t="shared" si="153"/>
        <v>156050.77079869999</v>
      </c>
      <c r="P288" s="699"/>
      <c r="Q288" s="846">
        <f>O288/N288-1</f>
        <v>4.0592087994802739E-2</v>
      </c>
      <c r="R288" s="258"/>
      <c r="S288" s="258"/>
      <c r="T288" s="258"/>
      <c r="U288" s="258"/>
      <c r="V288" s="258">
        <f t="shared" ref="V288:AA288" si="154">V289+SUM(V294:V296)</f>
        <v>1</v>
      </c>
      <c r="W288" s="258">
        <f t="shared" si="154"/>
        <v>1</v>
      </c>
      <c r="X288" s="258">
        <f t="shared" si="154"/>
        <v>1</v>
      </c>
      <c r="Y288" s="258">
        <f t="shared" si="154"/>
        <v>1</v>
      </c>
      <c r="Z288" s="258">
        <f t="shared" si="154"/>
        <v>1</v>
      </c>
      <c r="AA288" s="258">
        <f t="shared" si="154"/>
        <v>1</v>
      </c>
      <c r="AB288" s="246"/>
      <c r="AC288" s="102"/>
      <c r="AD288" s="102"/>
      <c r="AE288" s="102"/>
      <c r="AF288" s="102"/>
      <c r="AG288" s="102"/>
      <c r="AH288" s="102"/>
      <c r="AI288" s="102"/>
      <c r="AJ288" s="102"/>
      <c r="AK288" s="102"/>
      <c r="AL288" s="102"/>
      <c r="AM288" s="102"/>
    </row>
    <row r="289" spans="1:39" s="167" customFormat="1" ht="16.5" x14ac:dyDescent="0.25">
      <c r="A289" s="102"/>
      <c r="B289" s="102"/>
      <c r="C289" s="804">
        <v>3</v>
      </c>
      <c r="D289" s="993" t="s">
        <v>1281</v>
      </c>
      <c r="E289" s="981"/>
      <c r="F289" s="981"/>
      <c r="G289" s="982"/>
      <c r="H289" s="982"/>
      <c r="I289" s="982"/>
      <c r="J289" s="983">
        <f>HLOOKUP(J$287,'Банк. система_ввод'!$J$38:$W$47,$C289,0)</f>
        <v>72810.423486999993</v>
      </c>
      <c r="K289" s="983">
        <f>HLOOKUP(K$287,'Банк. система_ввод'!$J$38:$W$47,$C289,0)</f>
        <v>83160.434789000006</v>
      </c>
      <c r="L289" s="983">
        <f>HLOOKUP(L$287,'Банк. система_ввод'!$J$38:$W$47,$C289,0)</f>
        <v>83646.436759000004</v>
      </c>
      <c r="M289" s="983">
        <f>HLOOKUP(M$287,'Банк. система_ввод'!$J$38:$W$47,$C289,0)</f>
        <v>105522.35656299999</v>
      </c>
      <c r="N289" s="983">
        <f>HLOOKUP(N$287,'Банк. система_ввод'!$J$38:$W$47,$C289,0)</f>
        <v>125139.11328600001</v>
      </c>
      <c r="O289" s="983">
        <f>HLOOKUP(O$287,'Банк. система_ввод'!$J$38:$W$47,$C289,0)</f>
        <v>128547.788963</v>
      </c>
      <c r="P289" s="984"/>
      <c r="Q289" s="985"/>
      <c r="R289" s="986"/>
      <c r="S289" s="986"/>
      <c r="T289" s="986"/>
      <c r="U289" s="986"/>
      <c r="V289" s="987">
        <f>J289/J$288</f>
        <v>0.80085780687480401</v>
      </c>
      <c r="W289" s="987">
        <f>K289/K$288</f>
        <v>0.81445103082957293</v>
      </c>
      <c r="X289" s="987">
        <f t="shared" ref="X289:X296" si="155">L289/L$288</f>
        <v>0.8028346281814327</v>
      </c>
      <c r="Y289" s="987">
        <f t="shared" ref="Y289:Y296" si="156">M289/M$288</f>
        <v>0.82461635311715564</v>
      </c>
      <c r="Z289" s="987">
        <f t="shared" ref="Z289:AA296" si="157">N289/N$288</f>
        <v>0.83446413316390811</v>
      </c>
      <c r="AA289" s="987">
        <f t="shared" si="157"/>
        <v>0.8237561936097203</v>
      </c>
      <c r="AB289" s="254"/>
      <c r="AC289" s="102"/>
      <c r="AD289" s="102"/>
      <c r="AE289" s="102"/>
      <c r="AF289" s="102"/>
      <c r="AG289" s="102"/>
      <c r="AH289" s="102"/>
      <c r="AI289" s="102"/>
      <c r="AJ289" s="102"/>
      <c r="AK289" s="102"/>
      <c r="AL289" s="102"/>
      <c r="AM289" s="102"/>
    </row>
    <row r="290" spans="1:39" s="167" customFormat="1" ht="16.5" x14ac:dyDescent="0.25">
      <c r="A290" s="102"/>
      <c r="B290" s="102"/>
      <c r="C290" s="804">
        <v>4</v>
      </c>
      <c r="D290" s="102"/>
      <c r="E290" s="108" t="s">
        <v>1274</v>
      </c>
      <c r="F290" s="965"/>
      <c r="G290" s="974"/>
      <c r="H290" s="974"/>
      <c r="I290" s="974"/>
      <c r="J290" s="975">
        <f>HLOOKUP(J$287,'Банк. система_ввод'!$J$38:$W$47,$C290,0)</f>
        <v>11523.46601</v>
      </c>
      <c r="K290" s="975">
        <f>HLOOKUP(K$287,'Банк. система_ввод'!$J$38:$W$47,$C290,0)</f>
        <v>8356.5855420000007</v>
      </c>
      <c r="L290" s="975">
        <f>HLOOKUP(L$287,'Банк. система_ввод'!$J$38:$W$47,$C290,0)</f>
        <v>7129.865272</v>
      </c>
      <c r="M290" s="975">
        <f>HLOOKUP(M$287,'Банк. система_ввод'!$J$38:$W$47,$C290,0)</f>
        <v>0</v>
      </c>
      <c r="N290" s="975">
        <f>HLOOKUP(N$287,'Банк. система_ввод'!$J$38:$W$47,$C290,0)</f>
        <v>0</v>
      </c>
      <c r="O290" s="975">
        <f>HLOOKUP(O$287,'Банк. система_ввод'!$J$38:$W$47,$C290,0)</f>
        <v>0</v>
      </c>
      <c r="P290" s="976"/>
      <c r="Q290" s="966"/>
      <c r="R290" s="967"/>
      <c r="S290" s="967"/>
      <c r="T290" s="967"/>
      <c r="U290" s="967"/>
      <c r="V290" s="979">
        <f t="shared" ref="V290:W296" si="158">J290/J$288</f>
        <v>0.12674912841308619</v>
      </c>
      <c r="W290" s="979">
        <f t="shared" si="158"/>
        <v>8.1842161193193624E-2</v>
      </c>
      <c r="X290" s="979">
        <f t="shared" si="155"/>
        <v>6.8432116853010358E-2</v>
      </c>
      <c r="Y290" s="979">
        <f t="shared" si="156"/>
        <v>0</v>
      </c>
      <c r="Z290" s="979">
        <f t="shared" si="157"/>
        <v>0</v>
      </c>
      <c r="AA290" s="979">
        <f t="shared" si="157"/>
        <v>0</v>
      </c>
      <c r="AB290" s="254"/>
      <c r="AC290" s="102"/>
      <c r="AD290" s="102"/>
      <c r="AE290" s="102"/>
      <c r="AF290" s="102"/>
      <c r="AG290" s="102"/>
      <c r="AH290" s="102"/>
      <c r="AI290" s="102"/>
      <c r="AJ290" s="102"/>
      <c r="AK290" s="102"/>
      <c r="AL290" s="102"/>
      <c r="AM290" s="102"/>
    </row>
    <row r="291" spans="1:39" s="167" customFormat="1" ht="16.5" x14ac:dyDescent="0.25">
      <c r="A291" s="102"/>
      <c r="B291" s="102"/>
      <c r="C291" s="804">
        <v>5</v>
      </c>
      <c r="D291" s="102"/>
      <c r="E291" s="108" t="s">
        <v>1275</v>
      </c>
      <c r="F291" s="965"/>
      <c r="G291" s="974"/>
      <c r="H291" s="974"/>
      <c r="I291" s="974"/>
      <c r="J291" s="975">
        <f>HLOOKUP(J$287,'Банк. система_ввод'!$J$38:$W$47,$C291,0)</f>
        <v>38622.069038000001</v>
      </c>
      <c r="K291" s="975">
        <f>HLOOKUP(K$287,'Банк. система_ввод'!$J$38:$W$47,$C291,0)</f>
        <v>44836.372098</v>
      </c>
      <c r="L291" s="975">
        <f>HLOOKUP(L$287,'Банк. система_ввод'!$J$38:$W$47,$C291,0)</f>
        <v>44759.578326000003</v>
      </c>
      <c r="M291" s="975">
        <f>HLOOKUP(M$287,'Банк. система_ввод'!$J$38:$W$47,$C291,0)</f>
        <v>0</v>
      </c>
      <c r="N291" s="975">
        <f>HLOOKUP(N$287,'Банк. система_ввод'!$J$38:$W$47,$C291,0)</f>
        <v>0</v>
      </c>
      <c r="O291" s="975">
        <f>HLOOKUP(O$287,'Банк. система_ввод'!$J$38:$W$47,$C291,0)</f>
        <v>0</v>
      </c>
      <c r="P291" s="976"/>
      <c r="Q291" s="966"/>
      <c r="R291" s="968"/>
      <c r="S291" s="968"/>
      <c r="T291" s="968"/>
      <c r="U291" s="968"/>
      <c r="V291" s="979">
        <f t="shared" si="158"/>
        <v>0.42481260272112714</v>
      </c>
      <c r="W291" s="979">
        <f t="shared" si="158"/>
        <v>0.43911542269503223</v>
      </c>
      <c r="X291" s="979">
        <f t="shared" si="155"/>
        <v>0.42960036093881215</v>
      </c>
      <c r="Y291" s="979">
        <f t="shared" si="156"/>
        <v>0</v>
      </c>
      <c r="Z291" s="979">
        <f t="shared" si="157"/>
        <v>0</v>
      </c>
      <c r="AA291" s="979">
        <f t="shared" si="157"/>
        <v>0</v>
      </c>
      <c r="AB291" s="964"/>
      <c r="AC291" s="102"/>
      <c r="AD291" s="102"/>
      <c r="AE291" s="102"/>
      <c r="AF291" s="102"/>
      <c r="AG291" s="102"/>
      <c r="AH291" s="102"/>
      <c r="AI291" s="102"/>
      <c r="AJ291" s="102"/>
      <c r="AK291" s="102"/>
      <c r="AL291" s="102"/>
      <c r="AM291" s="102"/>
    </row>
    <row r="292" spans="1:39" s="167" customFormat="1" ht="16.5" x14ac:dyDescent="0.25">
      <c r="A292" s="102"/>
      <c r="B292" s="102"/>
      <c r="C292" s="804">
        <v>6</v>
      </c>
      <c r="D292" s="102"/>
      <c r="E292" s="108" t="s">
        <v>1276</v>
      </c>
      <c r="F292" s="965"/>
      <c r="G292" s="974"/>
      <c r="H292" s="974"/>
      <c r="I292" s="974"/>
      <c r="J292" s="975">
        <f>HLOOKUP(J$287,'Банк. система_ввод'!$J$38:$W$47,$C292,0)</f>
        <v>17017.240891000001</v>
      </c>
      <c r="K292" s="975">
        <f>HLOOKUP(K$287,'Банк. система_ввод'!$J$38:$W$47,$C292,0)</f>
        <v>20966.914746999999</v>
      </c>
      <c r="L292" s="975">
        <f>HLOOKUP(L$287,'Банк. система_ввод'!$J$38:$W$47,$C292,0)</f>
        <v>30651.694131</v>
      </c>
      <c r="M292" s="975">
        <f>HLOOKUP(M$287,'Банк. система_ввод'!$J$38:$W$47,$C292,0)</f>
        <v>0</v>
      </c>
      <c r="N292" s="975">
        <f>HLOOKUP(N$287,'Банк. система_ввод'!$J$38:$W$47,$C292,0)</f>
        <v>0</v>
      </c>
      <c r="O292" s="975">
        <f>HLOOKUP(O$287,'Банк. система_ввод'!$J$38:$W$47,$C292,0)</f>
        <v>0</v>
      </c>
      <c r="P292" s="976"/>
      <c r="Q292" s="966"/>
      <c r="R292" s="968"/>
      <c r="S292" s="968"/>
      <c r="T292" s="968"/>
      <c r="U292" s="968"/>
      <c r="V292" s="979">
        <f t="shared" si="158"/>
        <v>0.18717636248139377</v>
      </c>
      <c r="W292" s="979">
        <f t="shared" si="158"/>
        <v>0.2053443488160876</v>
      </c>
      <c r="X292" s="979">
        <f t="shared" si="155"/>
        <v>0.2941935414618202</v>
      </c>
      <c r="Y292" s="979">
        <f t="shared" si="156"/>
        <v>0</v>
      </c>
      <c r="Z292" s="979">
        <f t="shared" si="157"/>
        <v>0</v>
      </c>
      <c r="AA292" s="979">
        <f t="shared" si="157"/>
        <v>0</v>
      </c>
      <c r="AB292" s="254"/>
      <c r="AC292" s="102"/>
      <c r="AD292" s="102"/>
      <c r="AE292" s="102"/>
      <c r="AF292" s="102"/>
      <c r="AG292" s="102"/>
      <c r="AH292" s="102"/>
      <c r="AI292" s="102"/>
      <c r="AJ292" s="102"/>
      <c r="AK292" s="102"/>
      <c r="AL292" s="102"/>
      <c r="AM292" s="102"/>
    </row>
    <row r="293" spans="1:39" s="167" customFormat="1" ht="16.5" x14ac:dyDescent="0.25">
      <c r="A293" s="102"/>
      <c r="B293" s="102"/>
      <c r="C293" s="804">
        <v>7</v>
      </c>
      <c r="D293" s="102"/>
      <c r="E293" s="963" t="s">
        <v>1277</v>
      </c>
      <c r="F293" s="969"/>
      <c r="G293" s="977"/>
      <c r="H293" s="977"/>
      <c r="I293" s="977"/>
      <c r="J293" s="978">
        <f>HLOOKUP(J$287,'Банк. система_ввод'!$J$38:$W$47,$C293,0)</f>
        <v>5647.6475479999999</v>
      </c>
      <c r="K293" s="978">
        <f>HLOOKUP(K$287,'Банк. система_ввод'!$J$38:$W$47,$C293,0)</f>
        <v>9000.5624019999996</v>
      </c>
      <c r="L293" s="978">
        <f>HLOOKUP(L$287,'Банк. система_ввод'!$J$38:$W$47,$C293,0)</f>
        <v>1105.2990299999999</v>
      </c>
      <c r="M293" s="978">
        <f>HLOOKUP(M$287,'Банк. система_ввод'!$J$38:$W$47,$C293,0)</f>
        <v>0</v>
      </c>
      <c r="N293" s="978">
        <f>HLOOKUP(N$287,'Банк. система_ввод'!$J$38:$W$47,$C293,0)</f>
        <v>0</v>
      </c>
      <c r="O293" s="978">
        <f>HLOOKUP(O$287,'Банк. система_ввод'!$J$38:$W$47,$C293,0)</f>
        <v>0</v>
      </c>
      <c r="P293" s="976"/>
      <c r="Q293" s="966"/>
      <c r="R293" s="970"/>
      <c r="S293" s="970"/>
      <c r="T293" s="970"/>
      <c r="U293" s="970"/>
      <c r="V293" s="980">
        <f t="shared" si="158"/>
        <v>6.2119713259197032E-2</v>
      </c>
      <c r="W293" s="980">
        <f t="shared" si="158"/>
        <v>8.8149098125259395E-2</v>
      </c>
      <c r="X293" s="980">
        <f t="shared" si="155"/>
        <v>1.0608608927789989E-2</v>
      </c>
      <c r="Y293" s="980">
        <f t="shared" si="156"/>
        <v>0</v>
      </c>
      <c r="Z293" s="980">
        <f t="shared" si="157"/>
        <v>0</v>
      </c>
      <c r="AA293" s="980">
        <f t="shared" si="157"/>
        <v>0</v>
      </c>
      <c r="AB293" s="254"/>
      <c r="AC293" s="102"/>
      <c r="AD293" s="102"/>
      <c r="AE293" s="102"/>
      <c r="AF293" s="102"/>
      <c r="AG293" s="102"/>
      <c r="AH293" s="102"/>
      <c r="AI293" s="102"/>
      <c r="AJ293" s="102"/>
      <c r="AK293" s="102"/>
      <c r="AL293" s="102"/>
      <c r="AM293" s="102"/>
    </row>
    <row r="294" spans="1:39" s="167" customFormat="1" ht="16.5" x14ac:dyDescent="0.25">
      <c r="A294" s="102"/>
      <c r="B294" s="102"/>
      <c r="C294" s="804">
        <v>8</v>
      </c>
      <c r="D294" s="981" t="s">
        <v>1278</v>
      </c>
      <c r="E294" s="981"/>
      <c r="F294" s="981"/>
      <c r="G294" s="982"/>
      <c r="H294" s="982"/>
      <c r="I294" s="982"/>
      <c r="J294" s="983">
        <f>HLOOKUP(J$287,'Банк. система_ввод'!$J$38:$W$47,$C294,0)</f>
        <v>4308.5566019999997</v>
      </c>
      <c r="K294" s="983">
        <f>HLOOKUP(K$287,'Банк. система_ввод'!$J$38:$W$47,$C294,0)</f>
        <v>5041.4107110000004</v>
      </c>
      <c r="L294" s="983">
        <f>HLOOKUP(L$287,'Банк. система_ввод'!$J$38:$W$47,$C294,0)</f>
        <v>5629.877982</v>
      </c>
      <c r="M294" s="983">
        <f>HLOOKUP(M$287,'Банк. система_ввод'!$J$38:$W$47,$C294,0)</f>
        <v>5953.1848659999996</v>
      </c>
      <c r="N294" s="983">
        <f>HLOOKUP(N$287,'Банк. система_ввод'!$J$38:$W$47,$C294,0)</f>
        <v>7382.4912489999997</v>
      </c>
      <c r="O294" s="983">
        <f>HLOOKUP(O$287,'Банк. система_ввод'!$J$38:$W$47,$C294,0)</f>
        <v>10265.096073999999</v>
      </c>
      <c r="P294" s="984"/>
      <c r="Q294" s="985"/>
      <c r="R294" s="988"/>
      <c r="S294" s="988"/>
      <c r="T294" s="988"/>
      <c r="U294" s="988"/>
      <c r="V294" s="988">
        <f t="shared" si="158"/>
        <v>4.739075843570334E-2</v>
      </c>
      <c r="W294" s="988">
        <f t="shared" si="158"/>
        <v>4.9374226587765711E-2</v>
      </c>
      <c r="X294" s="988">
        <f t="shared" si="155"/>
        <v>5.4035308275095013E-2</v>
      </c>
      <c r="Y294" s="988">
        <f t="shared" si="156"/>
        <v>4.6521834363150216E-2</v>
      </c>
      <c r="Z294" s="988">
        <f t="shared" si="157"/>
        <v>4.9228606459816769E-2</v>
      </c>
      <c r="AA294" s="988">
        <f t="shared" si="157"/>
        <v>6.5780489397528272E-2</v>
      </c>
      <c r="AB294" s="254"/>
      <c r="AC294" s="102"/>
      <c r="AD294" s="102"/>
      <c r="AE294" s="102"/>
      <c r="AF294" s="102"/>
      <c r="AG294" s="102"/>
      <c r="AH294" s="102"/>
      <c r="AI294" s="102"/>
      <c r="AJ294" s="102"/>
      <c r="AK294" s="102"/>
      <c r="AL294" s="102"/>
      <c r="AM294" s="102"/>
    </row>
    <row r="295" spans="1:39" s="167" customFormat="1" ht="16.5" x14ac:dyDescent="0.25">
      <c r="A295" s="102"/>
      <c r="B295" s="102"/>
      <c r="C295" s="804">
        <v>9</v>
      </c>
      <c r="D295" s="981" t="s">
        <v>1279</v>
      </c>
      <c r="E295" s="981"/>
      <c r="F295" s="981"/>
      <c r="G295" s="982"/>
      <c r="H295" s="982"/>
      <c r="I295" s="982"/>
      <c r="J295" s="983">
        <f>HLOOKUP(J$287,'Банк. система_ввод'!$J$38:$W$47,$C295,0)</f>
        <v>8977.6326790000003</v>
      </c>
      <c r="K295" s="983">
        <f>HLOOKUP(K$287,'Банк. система_ввод'!$J$38:$W$47,$C295,0)</f>
        <v>8609.204103</v>
      </c>
      <c r="L295" s="983">
        <f>HLOOKUP(L$287,'Банк. система_ввод'!$J$38:$W$47,$C295,0)</f>
        <v>10304.264657</v>
      </c>
      <c r="M295" s="983">
        <f>HLOOKUP(M$287,'Банк. система_ввод'!$J$38:$W$47,$C295,0)</f>
        <v>11190.3732375</v>
      </c>
      <c r="N295" s="983">
        <f>HLOOKUP(N$287,'Банк. система_ввод'!$J$38:$W$47,$C295,0)</f>
        <v>12445.139625</v>
      </c>
      <c r="O295" s="983">
        <f>HLOOKUP(O$287,'Банк. система_ввод'!$J$38:$W$47,$C295,0)</f>
        <v>13140.2135657</v>
      </c>
      <c r="P295" s="984"/>
      <c r="Q295" s="985"/>
      <c r="R295" s="988"/>
      <c r="S295" s="988"/>
      <c r="T295" s="988"/>
      <c r="U295" s="988"/>
      <c r="V295" s="988">
        <f t="shared" si="158"/>
        <v>9.8746949597336472E-2</v>
      </c>
      <c r="W295" s="988">
        <f t="shared" si="158"/>
        <v>8.4316239737096912E-2</v>
      </c>
      <c r="X295" s="988">
        <f t="shared" si="155"/>
        <v>9.8899855213444868E-2</v>
      </c>
      <c r="Y295" s="988">
        <f t="shared" si="156"/>
        <v>8.74484333906798E-2</v>
      </c>
      <c r="Z295" s="988">
        <f t="shared" si="157"/>
        <v>8.2987823523608575E-2</v>
      </c>
      <c r="AA295" s="988">
        <f t="shared" si="157"/>
        <v>8.4204733487990346E-2</v>
      </c>
      <c r="AB295" s="254"/>
      <c r="AC295" s="102"/>
      <c r="AD295" s="102"/>
      <c r="AE295" s="102"/>
      <c r="AF295" s="102"/>
      <c r="AG295" s="102"/>
      <c r="AH295" s="102"/>
      <c r="AI295" s="102"/>
      <c r="AJ295" s="102"/>
      <c r="AK295" s="102"/>
      <c r="AL295" s="102"/>
      <c r="AM295" s="102"/>
    </row>
    <row r="296" spans="1:39" s="167" customFormat="1" ht="16.5" x14ac:dyDescent="0.25">
      <c r="A296" s="102"/>
      <c r="B296" s="102"/>
      <c r="C296" s="804">
        <v>10</v>
      </c>
      <c r="D296" s="989" t="s">
        <v>1280</v>
      </c>
      <c r="E296" s="989"/>
      <c r="F296" s="989"/>
      <c r="G296" s="990"/>
      <c r="H296" s="990"/>
      <c r="I296" s="990"/>
      <c r="J296" s="991">
        <f>HLOOKUP(J$287,'Банк. система_ввод'!$J$38:$W$47,$C296,0)</f>
        <v>4818.9316170000002</v>
      </c>
      <c r="K296" s="991">
        <f>HLOOKUP(K$287,'Банк. система_ввод'!$J$38:$W$47,$C296,0)</f>
        <v>5295.0705209999996</v>
      </c>
      <c r="L296" s="991">
        <f>HLOOKUP(L$287,'Банк. система_ввод'!$J$38:$W$47,$C296,0)</f>
        <v>4608.2956489999997</v>
      </c>
      <c r="M296" s="991">
        <f>HLOOKUP(M$287,'Банк. система_ввод'!$J$38:$W$47,$C296,0)</f>
        <v>5299.4793790000003</v>
      </c>
      <c r="N296" s="991">
        <f>HLOOKUP(N$287,'Банк. система_ввод'!$J$38:$W$47,$C296,0)</f>
        <v>4996.6974220000002</v>
      </c>
      <c r="O296" s="991">
        <f>HLOOKUP(O$287,'Банк. система_ввод'!$J$38:$W$47,$C296,0)</f>
        <v>4097.6721960000004</v>
      </c>
      <c r="P296" s="984"/>
      <c r="Q296" s="985"/>
      <c r="R296" s="992"/>
      <c r="S296" s="992"/>
      <c r="T296" s="992"/>
      <c r="U296" s="992"/>
      <c r="V296" s="992">
        <f t="shared" si="158"/>
        <v>5.3004485092156231E-2</v>
      </c>
      <c r="W296" s="992">
        <f t="shared" si="158"/>
        <v>5.1858502845564446E-2</v>
      </c>
      <c r="X296" s="992">
        <f t="shared" si="155"/>
        <v>4.423020833002736E-2</v>
      </c>
      <c r="Y296" s="992">
        <f t="shared" si="156"/>
        <v>4.1413379129014299E-2</v>
      </c>
      <c r="Z296" s="992">
        <f t="shared" si="157"/>
        <v>3.3319436852666563E-2</v>
      </c>
      <c r="AA296" s="992">
        <f t="shared" si="157"/>
        <v>2.625858350476111E-2</v>
      </c>
      <c r="AB296" s="254"/>
      <c r="AC296" s="102"/>
      <c r="AD296" s="102"/>
      <c r="AE296" s="102"/>
      <c r="AF296" s="102"/>
      <c r="AG296" s="102"/>
      <c r="AH296" s="102"/>
      <c r="AI296" s="102"/>
      <c r="AJ296" s="102"/>
      <c r="AK296" s="102"/>
      <c r="AL296" s="102"/>
      <c r="AM296" s="102"/>
    </row>
    <row r="297" spans="1:39" s="474" customFormat="1" ht="16.5" outlineLevel="1" x14ac:dyDescent="0.3">
      <c r="A297" s="471"/>
      <c r="B297" s="472"/>
      <c r="C297" s="961" t="s">
        <v>458</v>
      </c>
      <c r="D297" s="961"/>
      <c r="E297" s="961"/>
      <c r="F297" s="962">
        <f>F284-F288</f>
        <v>0</v>
      </c>
      <c r="G297" s="962"/>
      <c r="H297" s="962"/>
      <c r="I297" s="962"/>
      <c r="J297" s="973">
        <f t="shared" ref="J297:O297" si="159">J269-J288</f>
        <v>0</v>
      </c>
      <c r="K297" s="973">
        <f t="shared" si="159"/>
        <v>0</v>
      </c>
      <c r="L297" s="973">
        <f t="shared" si="159"/>
        <v>0</v>
      </c>
      <c r="M297" s="973">
        <f t="shared" si="159"/>
        <v>0</v>
      </c>
      <c r="N297" s="973">
        <f t="shared" si="159"/>
        <v>0</v>
      </c>
      <c r="O297" s="973">
        <f t="shared" si="159"/>
        <v>0</v>
      </c>
      <c r="P297" s="475"/>
      <c r="Q297" s="473"/>
      <c r="R297" s="473"/>
      <c r="S297" s="473"/>
      <c r="T297" s="473"/>
      <c r="U297" s="473"/>
      <c r="V297" s="473"/>
      <c r="W297" s="473"/>
      <c r="X297" s="473"/>
      <c r="Y297" s="473"/>
      <c r="Z297" s="473"/>
      <c r="AA297" s="473"/>
      <c r="AB297" s="473"/>
      <c r="AC297" s="471"/>
      <c r="AD297" s="471"/>
      <c r="AE297" s="471"/>
      <c r="AF297" s="471"/>
      <c r="AG297" s="471"/>
      <c r="AH297" s="471"/>
      <c r="AI297" s="471"/>
      <c r="AJ297" s="471"/>
      <c r="AK297" s="471"/>
      <c r="AL297" s="471"/>
      <c r="AM297" s="471"/>
    </row>
    <row r="298" spans="1:39" s="167" customFormat="1" ht="16.5" x14ac:dyDescent="0.25">
      <c r="A298" s="102"/>
      <c r="B298" s="102"/>
      <c r="C298" s="102"/>
      <c r="D298" s="102"/>
      <c r="E298" s="102"/>
      <c r="F298" s="168"/>
      <c r="G298" s="168"/>
      <c r="H298" s="168"/>
      <c r="I298" s="168"/>
      <c r="J298" s="168"/>
      <c r="K298" s="168"/>
      <c r="L298" s="168"/>
      <c r="M298" s="168"/>
      <c r="N298" s="168"/>
      <c r="O298" s="168"/>
      <c r="P298" s="168"/>
      <c r="Q298" s="168"/>
      <c r="R298" s="246"/>
      <c r="S298" s="246"/>
      <c r="T298" s="246"/>
      <c r="U298" s="246"/>
      <c r="V298" s="246"/>
      <c r="W298" s="246"/>
      <c r="X298" s="246"/>
      <c r="Y298" s="246"/>
      <c r="Z298" s="246"/>
      <c r="AA298" s="246"/>
      <c r="AB298" s="246"/>
      <c r="AC298" s="102"/>
      <c r="AD298" s="102"/>
      <c r="AE298" s="102"/>
      <c r="AF298" s="102"/>
      <c r="AG298" s="102"/>
      <c r="AH298" s="102"/>
      <c r="AI298" s="102"/>
      <c r="AJ298" s="102"/>
      <c r="AK298" s="102"/>
      <c r="AL298" s="102"/>
      <c r="AM298" s="102"/>
    </row>
    <row r="299" spans="1:39" s="167" customFormat="1" ht="16.5" x14ac:dyDescent="0.25">
      <c r="A299" s="102"/>
      <c r="B299" s="102"/>
      <c r="C299" s="102"/>
      <c r="D299" s="102"/>
      <c r="E299" s="102"/>
      <c r="F299" s="168"/>
      <c r="G299" s="168"/>
      <c r="H299" s="168"/>
      <c r="I299" s="168"/>
      <c r="J299" s="168"/>
      <c r="K299" s="168"/>
      <c r="L299" s="168"/>
      <c r="M299" s="168"/>
      <c r="N299" s="168"/>
      <c r="O299" s="168"/>
      <c r="P299" s="168"/>
      <c r="Q299" s="168"/>
      <c r="R299" s="246"/>
      <c r="S299" s="246"/>
      <c r="T299" s="246"/>
      <c r="U299" s="246"/>
      <c r="V299" s="246"/>
      <c r="W299" s="246"/>
      <c r="X299" s="246"/>
      <c r="Y299" s="246"/>
      <c r="Z299" s="246"/>
      <c r="AA299" s="246"/>
      <c r="AB299" s="246"/>
      <c r="AC299" s="102"/>
      <c r="AD299" s="102"/>
      <c r="AE299" s="102"/>
      <c r="AF299" s="102"/>
      <c r="AG299" s="102"/>
      <c r="AH299" s="102"/>
      <c r="AI299" s="102"/>
      <c r="AJ299" s="102"/>
      <c r="AK299" s="102"/>
      <c r="AL299" s="102"/>
      <c r="AM299" s="102"/>
    </row>
    <row r="300" spans="1:39" s="167" customFormat="1" ht="16.5" x14ac:dyDescent="0.25">
      <c r="A300" s="102"/>
      <c r="B300" s="102"/>
      <c r="C300" s="102"/>
      <c r="D300" s="102"/>
      <c r="E300" s="102"/>
      <c r="F300" s="168"/>
      <c r="G300" s="168"/>
      <c r="H300" s="168"/>
      <c r="I300" s="168"/>
      <c r="J300" s="168"/>
      <c r="K300" s="168"/>
      <c r="L300" s="168"/>
      <c r="M300" s="168"/>
      <c r="N300" s="168"/>
      <c r="O300" s="168"/>
      <c r="P300" s="168"/>
      <c r="Q300" s="168"/>
      <c r="R300" s="168"/>
      <c r="S300" s="168"/>
      <c r="T300" s="168"/>
      <c r="U300" s="168"/>
      <c r="V300" s="168"/>
      <c r="W300" s="168"/>
      <c r="X300" s="168"/>
      <c r="Y300" s="168"/>
      <c r="Z300" s="168"/>
      <c r="AA300" s="168"/>
      <c r="AB300" s="168"/>
      <c r="AC300" s="102"/>
      <c r="AD300" s="102"/>
      <c r="AE300" s="102"/>
      <c r="AF300" s="102"/>
      <c r="AG300" s="102"/>
      <c r="AH300" s="102"/>
      <c r="AI300" s="102"/>
      <c r="AJ300" s="102"/>
      <c r="AK300" s="102"/>
      <c r="AL300" s="102"/>
      <c r="AM300" s="102"/>
    </row>
    <row r="301" spans="1:39" s="167" customFormat="1" ht="16.5" x14ac:dyDescent="0.25">
      <c r="A301" s="102"/>
      <c r="B301" s="102"/>
      <c r="C301" s="150" t="s">
        <v>84</v>
      </c>
      <c r="D301" s="102"/>
      <c r="E301" s="102"/>
      <c r="F301" s="168"/>
      <c r="G301" s="168"/>
      <c r="H301" s="168"/>
      <c r="I301" s="168"/>
      <c r="J301" s="168"/>
      <c r="K301" s="168"/>
      <c r="L301" s="168"/>
      <c r="M301" s="168"/>
      <c r="N301" s="168"/>
      <c r="O301" s="168"/>
      <c r="P301" s="168"/>
      <c r="Q301" s="168"/>
      <c r="R301" s="168"/>
      <c r="S301" s="168"/>
      <c r="T301" s="168"/>
      <c r="U301" s="168"/>
      <c r="V301" s="168"/>
      <c r="W301" s="168"/>
      <c r="X301" s="168"/>
      <c r="Y301" s="168"/>
      <c r="Z301" s="168"/>
      <c r="AA301" s="168"/>
      <c r="AB301" s="168"/>
      <c r="AC301" s="102"/>
      <c r="AD301" s="102"/>
      <c r="AE301" s="102"/>
      <c r="AF301" s="102"/>
      <c r="AG301" s="102"/>
      <c r="AH301" s="102"/>
      <c r="AI301" s="102"/>
      <c r="AJ301" s="102"/>
      <c r="AK301" s="102"/>
      <c r="AL301" s="102"/>
      <c r="AM301" s="102"/>
    </row>
    <row r="302" spans="1:39" s="167" customFormat="1" ht="16.5" x14ac:dyDescent="0.25">
      <c r="A302" s="102"/>
      <c r="B302" s="102"/>
      <c r="C302" s="102" t="s">
        <v>74</v>
      </c>
      <c r="D302" s="102" t="s">
        <v>320</v>
      </c>
      <c r="E302" s="102"/>
      <c r="F302" s="184">
        <f>HLOOKUP(F$272,'Банк. система_ввод'!$C$51:$T$54,2,0)</f>
        <v>8.8999999999999996E-2</v>
      </c>
      <c r="G302" s="184">
        <f>HLOOKUP(G$272,'Банк. система_ввод'!$C$51:$T$54,2,0)</f>
        <v>8.2000000000000003E-2</v>
      </c>
      <c r="H302" s="184">
        <f>HLOOKUP(H$272,'Банк. система_ввод'!$C$51:$T$54,2,0)</f>
        <v>8.3000000000000004E-2</v>
      </c>
      <c r="I302" s="184">
        <f>HLOOKUP(I$272,'Банк. система_ввод'!$C$51:$T$54,2,0)</f>
        <v>8.5999999999999993E-2</v>
      </c>
      <c r="J302" s="184">
        <f>HLOOKUP(J$272,'Банк. система_ввод'!$C$51:$T$54,2,0)</f>
        <v>8.7383760000000005E-2</v>
      </c>
      <c r="K302" s="184">
        <f>HLOOKUP(K$272,'Банк. система_ввод'!$C$51:$T$54,2,0)</f>
        <v>8.4481760000000003E-2</v>
      </c>
      <c r="L302" s="184">
        <f>HLOOKUP(L$272,'Банк. система_ввод'!$C$51:$T$54,2,0)</f>
        <v>9.2765100000000003E-2</v>
      </c>
      <c r="M302" s="184">
        <f>HLOOKUP(M$272,'Банк. система_ввод'!$C$51:$T$54,2,0)</f>
        <v>9.7456670791420966E-2</v>
      </c>
      <c r="N302" s="184">
        <f>HLOOKUP(N$272,'Банк. система_ввод'!$C$51:$W$54,2,0)</f>
        <v>9.3472819361779702E-2</v>
      </c>
      <c r="O302" s="184">
        <f>HLOOKUP(O$272,'Банк. система_ввод'!$C$51:$W$54,2,0)</f>
        <v>0.10257099878020599</v>
      </c>
      <c r="P302" s="184"/>
      <c r="Q302" s="184"/>
      <c r="R302" s="168"/>
      <c r="S302" s="168"/>
      <c r="T302" s="168"/>
      <c r="U302" s="168"/>
      <c r="V302" s="168"/>
      <c r="W302" s="168"/>
      <c r="X302" s="168"/>
      <c r="Y302" s="168"/>
      <c r="Z302" s="168"/>
      <c r="AA302" s="168"/>
      <c r="AB302" s="168"/>
      <c r="AC302" s="102"/>
      <c r="AD302" s="102"/>
      <c r="AE302" s="102"/>
      <c r="AF302" s="102"/>
      <c r="AG302" s="102"/>
      <c r="AH302" s="102"/>
      <c r="AI302" s="102"/>
      <c r="AJ302" s="102"/>
      <c r="AK302" s="102"/>
      <c r="AL302" s="102"/>
      <c r="AM302" s="102"/>
    </row>
    <row r="303" spans="1:39" s="167" customFormat="1" ht="16.5" x14ac:dyDescent="0.25">
      <c r="A303" s="102"/>
      <c r="B303" s="102"/>
      <c r="C303" s="102" t="s">
        <v>74</v>
      </c>
      <c r="D303" s="102" t="s">
        <v>321</v>
      </c>
      <c r="E303" s="102"/>
      <c r="F303" s="184">
        <f>HLOOKUP(F$272,'Банк. система_ввод'!$C$51:$T$54,3,0)</f>
        <v>9.1999999999999998E-2</v>
      </c>
      <c r="G303" s="184">
        <f>HLOOKUP(G$272,'Банк. система_ввод'!$C$51:$T$54,3,0)</f>
        <v>8.5000000000000006E-2</v>
      </c>
      <c r="H303" s="184">
        <f>HLOOKUP(H$272,'Банк. система_ввод'!$C$51:$T$54,3,0)</f>
        <v>8.8999999999999996E-2</v>
      </c>
      <c r="I303" s="184">
        <f>HLOOKUP(I$272,'Банк. система_ввод'!$C$51:$T$54,3,0)</f>
        <v>9.2999999999999999E-2</v>
      </c>
      <c r="J303" s="184">
        <f>HLOOKUP(J$272,'Банк. система_ввод'!$C$51:$T$54,3,0)</f>
        <v>9.7000000000000003E-2</v>
      </c>
      <c r="K303" s="184">
        <f>HLOOKUP(K$272,'Банк. система_ввод'!$C$51:$T$54,3,0)</f>
        <v>9.6477210000000008E-2</v>
      </c>
      <c r="L303" s="184">
        <f>HLOOKUP(L$272,'Банк. система_ввод'!$C$51:$T$54,3,0)</f>
        <v>0.10409966000000001</v>
      </c>
      <c r="M303" s="184">
        <f>HLOOKUP(M$272,'Банк. система_ввод'!$C$51:$T$54,3,0)</f>
        <v>0.107497714587038</v>
      </c>
      <c r="N303" s="184">
        <f>HLOOKUP(N$272,'Банк. система_ввод'!$C$51:$W$54,3,0)</f>
        <v>0.10258157315336</v>
      </c>
      <c r="O303" s="184">
        <f>HLOOKUP(O$272,'Банк. система_ввод'!$C$51:$W$54,3,0)</f>
        <v>0.11021252382935801</v>
      </c>
      <c r="P303" s="184"/>
      <c r="Q303" s="283" t="str">
        <f>IF(Q304&gt;0,"рост на",IF(Q304&lt;0%,"снижение на","-"))</f>
        <v>рост на</v>
      </c>
      <c r="R303" s="168"/>
      <c r="S303" s="168"/>
      <c r="T303" s="168"/>
      <c r="U303" s="168"/>
      <c r="V303" s="168"/>
      <c r="W303" s="168"/>
      <c r="X303" s="168"/>
      <c r="Y303" s="168"/>
      <c r="Z303" s="168"/>
      <c r="AA303" s="168"/>
      <c r="AB303" s="168"/>
      <c r="AC303" s="102"/>
      <c r="AD303" s="102"/>
      <c r="AE303" s="102"/>
      <c r="AF303" s="102"/>
      <c r="AG303" s="102"/>
      <c r="AH303" s="102"/>
      <c r="AI303" s="102"/>
      <c r="AJ303" s="102"/>
      <c r="AK303" s="102"/>
      <c r="AL303" s="102"/>
      <c r="AM303" s="102"/>
    </row>
    <row r="304" spans="1:39" s="167" customFormat="1" ht="16.5" x14ac:dyDescent="0.25">
      <c r="A304" s="102"/>
      <c r="B304" s="102"/>
      <c r="C304" s="102" t="s">
        <v>74</v>
      </c>
      <c r="D304" s="102" t="s">
        <v>322</v>
      </c>
      <c r="E304" s="102"/>
      <c r="F304" s="184">
        <f>HLOOKUP(F$272,'Банк. система_ввод'!$C$51:$T$54,4,0)</f>
        <v>0.13100000000000001</v>
      </c>
      <c r="G304" s="184">
        <f>HLOOKUP(G$272,'Банк. система_ввод'!$C$51:$T$54,4,0)</f>
        <v>0.121</v>
      </c>
      <c r="H304" s="184">
        <f>HLOOKUP(H$272,'Банк. система_ввод'!$C$51:$T$54,4,0)</f>
        <v>0.122</v>
      </c>
      <c r="I304" s="184">
        <f>HLOOKUP(I$272,'Банк. система_ввод'!$C$51:$T$54,4,0)</f>
        <v>0.123</v>
      </c>
      <c r="J304" s="184">
        <f>HLOOKUP(J$272,'Банк. система_ввод'!$C$51:$T$54,4,0)</f>
        <v>0.125</v>
      </c>
      <c r="K304" s="184">
        <f>HLOOKUP(K$272,'Банк. система_ввод'!$C$51:$T$54,4,0)</f>
        <v>0.12259456000000001</v>
      </c>
      <c r="L304" s="184">
        <f>HLOOKUP(L$272,'Банк. система_ввод'!$C$51:$T$54,4,0)</f>
        <v>0.12703286</v>
      </c>
      <c r="M304" s="184">
        <f>HLOOKUP(M$272,'Банк. система_ввод'!$C$51:$T$54,4,0)</f>
        <v>0.13271609491937139</v>
      </c>
      <c r="N304" s="184">
        <f>HLOOKUP(N$272,'Банк. система_ввод'!$C$51:$W$54,4,0)</f>
        <v>0.124719558239989</v>
      </c>
      <c r="O304" s="184">
        <f>HLOOKUP(O$272,'Банк. система_ввод'!$C$51:$W$54,4,0)</f>
        <v>0.13185038134448601</v>
      </c>
      <c r="P304" s="849" t="s">
        <v>1140</v>
      </c>
      <c r="Q304" s="284">
        <f>O304/N304-1</f>
        <v>5.7174858579724042E-2</v>
      </c>
      <c r="R304" s="168"/>
      <c r="S304" s="168"/>
      <c r="T304" s="168"/>
      <c r="U304" s="168"/>
      <c r="V304" s="168"/>
      <c r="W304" s="168"/>
      <c r="X304" s="168"/>
      <c r="Y304" s="168"/>
      <c r="Z304" s="168"/>
      <c r="AA304" s="168"/>
      <c r="AB304" s="168"/>
      <c r="AC304" s="102"/>
      <c r="AD304" s="102"/>
      <c r="AE304" s="102"/>
      <c r="AF304" s="102"/>
      <c r="AG304" s="102"/>
      <c r="AH304" s="102"/>
      <c r="AI304" s="102"/>
      <c r="AJ304" s="102"/>
      <c r="AK304" s="102"/>
      <c r="AL304" s="102"/>
      <c r="AM304" s="102"/>
    </row>
    <row r="305" spans="1:39" s="167" customFormat="1" ht="16.5" x14ac:dyDescent="0.25">
      <c r="A305" s="102"/>
      <c r="B305" s="102"/>
      <c r="C305" s="273" t="s">
        <v>325</v>
      </c>
      <c r="D305" s="274"/>
      <c r="E305" s="274"/>
      <c r="F305" s="279"/>
      <c r="G305" s="279"/>
      <c r="H305" s="279"/>
      <c r="I305" s="279"/>
      <c r="J305" s="168"/>
      <c r="K305" s="168"/>
      <c r="L305" s="168"/>
      <c r="M305" s="168"/>
      <c r="N305" s="168"/>
      <c r="O305" s="168"/>
      <c r="P305" s="168"/>
      <c r="Q305" s="168"/>
      <c r="R305" s="168"/>
      <c r="S305" s="168"/>
      <c r="T305" s="168"/>
      <c r="U305" s="168"/>
      <c r="V305" s="168"/>
      <c r="W305" s="168"/>
      <c r="X305" s="168"/>
      <c r="Y305" s="168"/>
      <c r="Z305" s="168"/>
      <c r="AA305" s="168"/>
      <c r="AB305" s="168"/>
      <c r="AC305" s="102"/>
      <c r="AD305" s="102"/>
      <c r="AE305" s="102"/>
      <c r="AF305" s="102"/>
      <c r="AG305" s="102"/>
      <c r="AH305" s="102"/>
      <c r="AI305" s="102"/>
      <c r="AJ305" s="102"/>
      <c r="AK305" s="102"/>
      <c r="AL305" s="102"/>
      <c r="AM305" s="102"/>
    </row>
    <row r="306" spans="1:39" s="167" customFormat="1" ht="16.5" x14ac:dyDescent="0.25">
      <c r="A306" s="102"/>
      <c r="B306" s="102"/>
      <c r="C306" s="275" t="s">
        <v>323</v>
      </c>
      <c r="D306" s="276"/>
      <c r="E306" s="276"/>
      <c r="F306" s="280"/>
      <c r="G306" s="280"/>
      <c r="H306" s="280"/>
      <c r="I306" s="280"/>
      <c r="J306" s="168"/>
      <c r="K306" s="168"/>
      <c r="L306" s="168"/>
      <c r="M306" s="168"/>
      <c r="N306" s="168"/>
      <c r="O306" s="168"/>
      <c r="P306" s="168"/>
      <c r="Q306" s="168"/>
      <c r="R306" s="168"/>
      <c r="S306" s="168"/>
      <c r="T306" s="168"/>
      <c r="U306" s="168"/>
      <c r="V306" s="168"/>
      <c r="W306" s="168"/>
      <c r="X306" s="168"/>
      <c r="Y306" s="168"/>
      <c r="Z306" s="168"/>
      <c r="AA306" s="168"/>
      <c r="AB306" s="168"/>
      <c r="AC306" s="102"/>
      <c r="AD306" s="102"/>
      <c r="AE306" s="102"/>
      <c r="AF306" s="102"/>
      <c r="AG306" s="102"/>
      <c r="AH306" s="102"/>
      <c r="AI306" s="102"/>
      <c r="AJ306" s="102"/>
      <c r="AK306" s="102"/>
      <c r="AL306" s="102"/>
      <c r="AM306" s="102"/>
    </row>
    <row r="307" spans="1:39" s="167" customFormat="1" ht="16.5" x14ac:dyDescent="0.25">
      <c r="A307" s="102"/>
      <c r="B307" s="102"/>
      <c r="C307" s="277" t="s">
        <v>324</v>
      </c>
      <c r="D307" s="278"/>
      <c r="E307" s="278"/>
      <c r="F307" s="281"/>
      <c r="G307" s="281"/>
      <c r="H307" s="281"/>
      <c r="I307" s="281"/>
      <c r="J307" s="168"/>
      <c r="K307" s="168"/>
      <c r="L307" s="168"/>
      <c r="M307" s="168"/>
      <c r="N307" s="168"/>
      <c r="O307" s="168"/>
      <c r="P307" s="168"/>
      <c r="Q307" s="168"/>
      <c r="R307" s="168"/>
      <c r="S307" s="168"/>
      <c r="T307" s="168"/>
      <c r="U307" s="168"/>
      <c r="V307" s="168"/>
      <c r="W307" s="168"/>
      <c r="X307" s="168"/>
      <c r="Y307" s="168"/>
      <c r="Z307" s="168"/>
      <c r="AA307" s="168"/>
      <c r="AB307" s="168"/>
      <c r="AC307" s="102"/>
      <c r="AD307" s="102"/>
      <c r="AE307" s="102"/>
      <c r="AF307" s="102"/>
      <c r="AG307" s="102"/>
      <c r="AH307" s="102"/>
      <c r="AI307" s="102"/>
      <c r="AJ307" s="102"/>
      <c r="AK307" s="102"/>
      <c r="AL307" s="102"/>
      <c r="AM307" s="102"/>
    </row>
    <row r="308" spans="1:39" s="167" customFormat="1" ht="16.5" x14ac:dyDescent="0.25">
      <c r="A308" s="102"/>
      <c r="B308" s="102"/>
      <c r="C308" s="102"/>
      <c r="D308" s="102"/>
      <c r="E308" s="102"/>
      <c r="F308" s="168"/>
      <c r="G308" s="168"/>
      <c r="H308" s="168"/>
      <c r="I308" s="168"/>
      <c r="J308" s="168"/>
      <c r="K308" s="168"/>
      <c r="L308" s="168"/>
      <c r="M308" s="168"/>
      <c r="N308" s="168"/>
      <c r="O308" s="168"/>
      <c r="P308" s="168"/>
      <c r="Q308" s="168"/>
      <c r="R308" s="168"/>
      <c r="S308" s="168"/>
      <c r="T308" s="168"/>
      <c r="U308" s="168"/>
      <c r="V308" s="168"/>
      <c r="W308" s="168"/>
      <c r="X308" s="168"/>
      <c r="Y308" s="168"/>
      <c r="Z308" s="168"/>
      <c r="AA308" s="168"/>
      <c r="AB308" s="168"/>
      <c r="AC308" s="102"/>
      <c r="AD308" s="102"/>
      <c r="AE308" s="102"/>
      <c r="AF308" s="102"/>
      <c r="AG308" s="102"/>
      <c r="AH308" s="102"/>
      <c r="AI308" s="102"/>
      <c r="AJ308" s="102"/>
      <c r="AK308" s="102"/>
      <c r="AL308" s="102"/>
      <c r="AM308" s="102"/>
    </row>
    <row r="309" spans="1:39" s="167" customFormat="1" ht="16.5" x14ac:dyDescent="0.25">
      <c r="A309" s="102"/>
      <c r="B309" s="102"/>
      <c r="C309" s="102"/>
      <c r="D309" s="102"/>
      <c r="E309" s="102"/>
      <c r="F309" s="168"/>
      <c r="G309" s="168"/>
      <c r="H309" s="168"/>
      <c r="I309" s="168"/>
      <c r="J309" s="168"/>
      <c r="K309" s="168"/>
      <c r="L309" s="168"/>
      <c r="M309" s="168"/>
      <c r="N309" s="168"/>
      <c r="O309" s="168"/>
      <c r="P309" s="168"/>
      <c r="Q309" s="168"/>
      <c r="R309" s="168"/>
      <c r="S309" s="168"/>
      <c r="T309" s="168"/>
      <c r="U309" s="168"/>
      <c r="V309" s="168"/>
      <c r="W309" s="168"/>
      <c r="X309" s="168"/>
      <c r="Y309" s="168"/>
      <c r="Z309" s="168"/>
      <c r="AA309" s="168"/>
      <c r="AB309" s="168"/>
      <c r="AC309" s="102"/>
      <c r="AD309" s="102"/>
      <c r="AE309" s="102"/>
      <c r="AF309" s="102"/>
      <c r="AG309" s="102"/>
      <c r="AH309" s="102"/>
      <c r="AI309" s="102"/>
      <c r="AJ309" s="102"/>
      <c r="AK309" s="102"/>
      <c r="AL309" s="102"/>
      <c r="AM309" s="102"/>
    </row>
    <row r="310" spans="1:39" s="167" customFormat="1" ht="17.25" thickBot="1" x14ac:dyDescent="0.3">
      <c r="A310" s="102"/>
      <c r="B310" s="102"/>
      <c r="C310" s="102"/>
      <c r="D310" s="102"/>
      <c r="E310" s="102"/>
      <c r="F310" s="168"/>
      <c r="G310" s="168"/>
      <c r="H310" s="168"/>
      <c r="I310" s="168"/>
      <c r="J310" s="168"/>
      <c r="K310" s="168"/>
      <c r="L310" s="168"/>
      <c r="M310" s="168"/>
      <c r="N310" s="168"/>
      <c r="O310" s="168"/>
      <c r="P310" s="848" t="s">
        <v>1139</v>
      </c>
      <c r="Q310" s="186" t="str">
        <f>IF(Q311&gt;0,"рост на",IF(Q311&lt;0%,"снижение на","-"))</f>
        <v>рост на</v>
      </c>
      <c r="R310" s="168"/>
      <c r="S310" s="168"/>
      <c r="T310" s="168"/>
      <c r="U310" s="168"/>
      <c r="V310" s="168"/>
      <c r="W310" s="168"/>
      <c r="X310" s="168"/>
      <c r="Y310" s="168"/>
      <c r="Z310" s="168"/>
      <c r="AA310" s="168"/>
      <c r="AB310" s="168"/>
      <c r="AC310" s="102"/>
      <c r="AD310" s="102"/>
      <c r="AE310" s="102"/>
      <c r="AF310" s="102"/>
      <c r="AG310" s="102"/>
      <c r="AH310" s="102"/>
      <c r="AI310" s="102"/>
      <c r="AJ310" s="102"/>
      <c r="AK310" s="102"/>
      <c r="AL310" s="102"/>
      <c r="AM310" s="102"/>
    </row>
    <row r="311" spans="1:39" s="167" customFormat="1" ht="17.25" thickBot="1" x14ac:dyDescent="0.3">
      <c r="A311" s="102"/>
      <c r="B311" s="102"/>
      <c r="C311" s="164" t="s">
        <v>90</v>
      </c>
      <c r="D311" s="164"/>
      <c r="E311" s="164"/>
      <c r="F311" s="845">
        <f t="shared" ref="F311:N311" si="160">F264</f>
        <v>9387.1</v>
      </c>
      <c r="G311" s="845">
        <f t="shared" si="160"/>
        <v>9397.4</v>
      </c>
      <c r="H311" s="845">
        <f t="shared" si="160"/>
        <v>10269.299999999999</v>
      </c>
      <c r="I311" s="845">
        <f t="shared" si="160"/>
        <v>10981.1</v>
      </c>
      <c r="J311" s="845">
        <f t="shared" si="160"/>
        <v>11413.143144000001</v>
      </c>
      <c r="K311" s="845">
        <f t="shared" si="160"/>
        <v>12605.053569</v>
      </c>
      <c r="L311" s="845">
        <f t="shared" si="160"/>
        <v>13348.216972000002</v>
      </c>
      <c r="M311" s="845">
        <f t="shared" si="160"/>
        <v>17142.451589</v>
      </c>
      <c r="N311" s="845">
        <f t="shared" si="160"/>
        <v>18913.986638999999</v>
      </c>
      <c r="O311" s="845">
        <f t="shared" ref="O311" si="161">O264</f>
        <v>20730.543017</v>
      </c>
      <c r="P311" s="282"/>
      <c r="Q311" s="847">
        <f>O311/N311-1</f>
        <v>9.6043018992850726E-2</v>
      </c>
      <c r="R311" s="168"/>
      <c r="S311" s="168"/>
      <c r="T311" s="168"/>
      <c r="U311" s="168"/>
      <c r="V311" s="168"/>
      <c r="W311" s="168"/>
      <c r="X311" s="168"/>
      <c r="Y311" s="168"/>
      <c r="Z311" s="168"/>
      <c r="AA311" s="168"/>
      <c r="AB311" s="168"/>
      <c r="AC311" s="102"/>
      <c r="AD311" s="102"/>
      <c r="AE311" s="102"/>
      <c r="AF311" s="102"/>
      <c r="AG311" s="102"/>
      <c r="AH311" s="102"/>
      <c r="AI311" s="102"/>
      <c r="AJ311" s="102"/>
      <c r="AK311" s="102"/>
      <c r="AL311" s="102"/>
      <c r="AM311" s="102"/>
    </row>
    <row r="312" spans="1:39" s="167" customFormat="1" ht="16.5" x14ac:dyDescent="0.25">
      <c r="A312" s="102"/>
      <c r="B312" s="102" t="s">
        <v>74</v>
      </c>
      <c r="C312" s="102" t="s">
        <v>253</v>
      </c>
      <c r="D312" s="102"/>
      <c r="E312" s="102"/>
      <c r="F312" s="177"/>
      <c r="G312" s="177"/>
      <c r="H312" s="177"/>
      <c r="I312" s="177"/>
      <c r="J312" s="185"/>
      <c r="K312" s="185"/>
      <c r="L312" s="185"/>
      <c r="M312" s="185"/>
      <c r="N312" s="185"/>
      <c r="O312" s="185"/>
      <c r="P312" s="185"/>
      <c r="Q312" s="270"/>
      <c r="R312" s="168"/>
      <c r="S312" s="168"/>
      <c r="T312" s="168"/>
      <c r="U312" s="168"/>
      <c r="V312" s="168"/>
      <c r="W312" s="168"/>
      <c r="X312" s="168"/>
      <c r="Y312" s="168"/>
      <c r="Z312" s="168"/>
      <c r="AA312" s="168"/>
      <c r="AB312" s="168"/>
      <c r="AC312" s="102"/>
      <c r="AD312" s="102"/>
      <c r="AE312" s="102"/>
      <c r="AF312" s="102"/>
      <c r="AG312" s="102"/>
      <c r="AH312" s="102"/>
      <c r="AI312" s="102"/>
      <c r="AJ312" s="102"/>
      <c r="AK312" s="102"/>
      <c r="AL312" s="102"/>
      <c r="AM312" s="102"/>
    </row>
    <row r="313" spans="1:39" s="167" customFormat="1" ht="16.5" x14ac:dyDescent="0.25">
      <c r="A313" s="102"/>
      <c r="B313" s="102"/>
      <c r="C313" s="150"/>
      <c r="D313" s="102" t="s">
        <v>255</v>
      </c>
      <c r="E313" s="102"/>
      <c r="F313" s="177">
        <f>HLOOKUP(F$272,'Банк. система_ввод'!$C$57:$W$63,4,0)</f>
        <v>-1486.6</v>
      </c>
      <c r="G313" s="177">
        <f>HLOOKUP(G$272,'Банк. система_ввод'!$C$57:$W$63,4,0)</f>
        <v>-1512.9</v>
      </c>
      <c r="H313" s="177">
        <f>HLOOKUP(H$272,'Банк. система_ввод'!$C$57:$W$63,4,0)</f>
        <v>-1625.9</v>
      </c>
      <c r="I313" s="177">
        <f>HLOOKUP(I$272,'Банк. система_ввод'!$C$57:$W$63,4,0)</f>
        <v>-1677</v>
      </c>
      <c r="J313" s="177">
        <f>HLOOKUP(J$272,'Банк. система_ввод'!$C$57:$W$63,4,0)</f>
        <v>-1961.6201699999999</v>
      </c>
      <c r="K313" s="177">
        <f>HLOOKUP(K$272,'Банк. система_ввод'!$C$57:$W$63,4,0)</f>
        <v>-1843.278487</v>
      </c>
      <c r="L313" s="177">
        <f>HLOOKUP(L$272,'Банк. система_ввод'!$C$57:$W$63,4,0)</f>
        <v>-3185.7091170000003</v>
      </c>
      <c r="M313" s="177">
        <f>HLOOKUP(M$272,'Банк. система_ввод'!$C$57:$W$63,4,0)</f>
        <v>-3470.1267080000002</v>
      </c>
      <c r="N313" s="177">
        <f>HLOOKUP(N$272,'Банк. система_ввод'!$C$57:$W$63,4,0)</f>
        <v>-4116.5651639999996</v>
      </c>
      <c r="O313" s="177">
        <f>HLOOKUP(O$272,'Банк. система_ввод'!$C$57:$W$63,4,0)</f>
        <v>-4882.9337959999993</v>
      </c>
      <c r="P313" s="177"/>
      <c r="Q313" s="177"/>
      <c r="R313" s="168"/>
      <c r="S313" s="168"/>
      <c r="T313" s="168"/>
      <c r="U313" s="168"/>
      <c r="V313" s="168"/>
      <c r="W313" s="168"/>
      <c r="X313" s="168"/>
      <c r="Y313" s="168"/>
      <c r="Z313" s="168"/>
      <c r="AA313" s="168"/>
      <c r="AB313" s="168"/>
      <c r="AC313" s="102"/>
      <c r="AD313" s="102"/>
      <c r="AE313" s="102"/>
      <c r="AF313" s="102"/>
      <c r="AG313" s="102"/>
      <c r="AH313" s="102"/>
      <c r="AI313" s="102"/>
      <c r="AJ313" s="102"/>
      <c r="AK313" s="102"/>
      <c r="AL313" s="102"/>
      <c r="AM313" s="102"/>
    </row>
    <row r="314" spans="1:39" s="167" customFormat="1" ht="16.5" x14ac:dyDescent="0.25">
      <c r="A314" s="102"/>
      <c r="B314" s="102"/>
      <c r="C314" s="150"/>
      <c r="D314" s="796" t="s">
        <v>3453</v>
      </c>
      <c r="E314" s="102"/>
      <c r="F314" s="177">
        <f>HLOOKUP(F$272,'Банк. система_ввод'!$C$57:$W$63,5,0)</f>
        <v>-2207.8586850000002</v>
      </c>
      <c r="G314" s="177">
        <f>HLOOKUP(G$272,'Банк. система_ввод'!$C$57:$W$63,5,0)</f>
        <v>-2466.9693550000002</v>
      </c>
      <c r="H314" s="177">
        <f>HLOOKUP(H$272,'Банк. система_ввод'!$C$57:$W$63,5,0)</f>
        <v>-2184.8453909999998</v>
      </c>
      <c r="I314" s="177">
        <f>HLOOKUP(I$272,'Банк. система_ввод'!$C$57:$W$63,5,0)</f>
        <v>-2160.4878640000002</v>
      </c>
      <c r="J314" s="177">
        <f>HLOOKUP(J$272,'Банк. система_ввод'!$C$57:$W$63,5,0)</f>
        <v>-2398.1143179999999</v>
      </c>
      <c r="K314" s="177">
        <f>HLOOKUP(K$272,'Банк. система_ввод'!$C$57:$W$63,5,0)</f>
        <v>-2726.971055</v>
      </c>
      <c r="L314" s="177">
        <f>HLOOKUP(L$272,'Банк. система_ввод'!$C$57:$W$63,5,0)</f>
        <v>-3107.5395210000001</v>
      </c>
      <c r="M314" s="177">
        <f>HLOOKUP(M$272,'Банк. система_ввод'!$C$57:$W$63,5,0)</f>
        <v>-3576.8396039999998</v>
      </c>
      <c r="N314" s="177">
        <f>HLOOKUP(N$272,'Банк. система_ввод'!$C$57:$W$63,5,0)</f>
        <v>-3868.4568359999998</v>
      </c>
      <c r="O314" s="177">
        <f>HLOOKUP(O$272,'Банк. система_ввод'!$C$57:$W$63,5,0)</f>
        <v>-4323.3017390000005</v>
      </c>
      <c r="P314" s="177"/>
      <c r="Q314" s="177"/>
      <c r="R314" s="168"/>
      <c r="S314" s="168"/>
      <c r="T314" s="168"/>
      <c r="U314" s="168"/>
      <c r="V314" s="168"/>
      <c r="W314" s="168"/>
      <c r="X314" s="168"/>
      <c r="Y314" s="168"/>
      <c r="Z314" s="168"/>
      <c r="AA314" s="168"/>
      <c r="AB314" s="168"/>
      <c r="AC314" s="102"/>
      <c r="AD314" s="102"/>
      <c r="AE314" s="102"/>
      <c r="AF314" s="102"/>
      <c r="AG314" s="102"/>
      <c r="AH314" s="102"/>
      <c r="AI314" s="102"/>
      <c r="AJ314" s="102"/>
      <c r="AK314" s="102"/>
      <c r="AL314" s="102"/>
      <c r="AM314" s="102"/>
    </row>
    <row r="315" spans="1:39" s="167" customFormat="1" ht="16.5" x14ac:dyDescent="0.25">
      <c r="A315" s="102"/>
      <c r="B315" s="102"/>
      <c r="C315" s="150"/>
      <c r="D315" s="102" t="s">
        <v>3436</v>
      </c>
      <c r="E315" s="102"/>
      <c r="F315" s="185">
        <f>HLOOKUP(F$272,'Банк. система_ввод'!$C$57:$W$63,6,0)</f>
        <v>-1850.5625856000001</v>
      </c>
      <c r="G315" s="185">
        <f>HLOOKUP(G$272,'Банк. система_ввод'!$C$57:$W$63,6,0)</f>
        <v>-1708.1735891999999</v>
      </c>
      <c r="H315" s="185">
        <f>HLOOKUP(H$272,'Банк. система_ввод'!$C$57:$W$63,6,0)</f>
        <v>-1594.8933425999999</v>
      </c>
      <c r="I315" s="185">
        <f>HLOOKUP(I$272,'Банк. система_ввод'!$C$57:$W$63,6,0)</f>
        <v>-1750.0664717999998</v>
      </c>
      <c r="J315" s="185">
        <f>HLOOKUP(J$272,'Банк. система_ввод'!$C$57:$W$63,6,0)</f>
        <v>-2039.0638751999998</v>
      </c>
      <c r="K315" s="185">
        <f>HLOOKUP(K$272,'Банк. система_ввод'!$C$57:$W$63,6,0)</f>
        <v>-1866.9249708</v>
      </c>
      <c r="L315" s="185">
        <f>HLOOKUP(L$272,'Банк. система_ввод'!$C$57:$W$63,6,0)</f>
        <v>-1979.6076215999999</v>
      </c>
      <c r="M315" s="185">
        <f>HLOOKUP(M$272,'Банк. система_ввод'!$C$57:$W$63,6,0)</f>
        <v>-1977.0230544000001</v>
      </c>
      <c r="N315" s="185">
        <f>HLOOKUP(N$272,'Банк. система_ввод'!$C$57:$W$63,6,0)</f>
        <v>-2176.7939778</v>
      </c>
      <c r="O315" s="185">
        <f>HLOOKUP(O$272,'Банк. система_ввод'!$C$57:$W$63,6,0)</f>
        <v>-2633.1501066000005</v>
      </c>
      <c r="P315" s="185"/>
      <c r="Q315" s="177"/>
      <c r="R315" s="168"/>
      <c r="S315" s="168"/>
      <c r="T315" s="168"/>
      <c r="U315" s="168"/>
      <c r="V315" s="168"/>
      <c r="W315" s="168"/>
      <c r="X315" s="168"/>
      <c r="Y315" s="168"/>
      <c r="Z315" s="168"/>
      <c r="AA315" s="168"/>
      <c r="AB315" s="168"/>
      <c r="AC315" s="102"/>
      <c r="AD315" s="102"/>
      <c r="AE315" s="102"/>
      <c r="AF315" s="102"/>
      <c r="AG315" s="102"/>
      <c r="AH315" s="102"/>
      <c r="AI315" s="102"/>
      <c r="AJ315" s="102"/>
      <c r="AK315" s="102"/>
      <c r="AL315" s="102"/>
      <c r="AM315" s="102"/>
    </row>
    <row r="316" spans="1:39" s="167" customFormat="1" ht="16.5" x14ac:dyDescent="0.25">
      <c r="A316" s="102"/>
      <c r="B316" s="152" t="s">
        <v>45</v>
      </c>
      <c r="C316" s="152" t="s">
        <v>91</v>
      </c>
      <c r="D316" s="152"/>
      <c r="E316" s="152"/>
      <c r="F316" s="186">
        <f t="shared" ref="F316:O316" si="162">SUM(F311:F315)</f>
        <v>3842.0787293999997</v>
      </c>
      <c r="G316" s="186">
        <f t="shared" si="162"/>
        <v>3709.3570558000001</v>
      </c>
      <c r="H316" s="186">
        <f t="shared" si="162"/>
        <v>4863.6612664000004</v>
      </c>
      <c r="I316" s="186">
        <f t="shared" si="162"/>
        <v>5393.5456641999999</v>
      </c>
      <c r="J316" s="186">
        <f t="shared" si="162"/>
        <v>5014.3447808000019</v>
      </c>
      <c r="K316" s="186">
        <f t="shared" si="162"/>
        <v>6167.8790562000004</v>
      </c>
      <c r="L316" s="186">
        <f t="shared" si="162"/>
        <v>5075.3607124000009</v>
      </c>
      <c r="M316" s="186">
        <f t="shared" si="162"/>
        <v>8118.4622225999992</v>
      </c>
      <c r="N316" s="186">
        <f t="shared" si="162"/>
        <v>8752.1706611999998</v>
      </c>
      <c r="O316" s="186">
        <f t="shared" si="162"/>
        <v>8891.1573754000001</v>
      </c>
      <c r="P316" s="186"/>
      <c r="Q316" s="177"/>
      <c r="R316" s="168"/>
      <c r="S316" s="168"/>
      <c r="T316" s="168"/>
      <c r="U316" s="168"/>
      <c r="V316" s="168"/>
      <c r="W316" s="168"/>
      <c r="X316" s="168"/>
      <c r="Y316" s="168"/>
      <c r="Z316" s="168"/>
      <c r="AA316" s="168"/>
      <c r="AB316" s="168"/>
      <c r="AC316" s="102"/>
      <c r="AD316" s="102"/>
      <c r="AE316" s="102"/>
      <c r="AF316" s="102"/>
      <c r="AG316" s="102"/>
      <c r="AH316" s="102"/>
      <c r="AI316" s="102"/>
      <c r="AJ316" s="102"/>
      <c r="AK316" s="102"/>
      <c r="AL316" s="102"/>
      <c r="AM316" s="102"/>
    </row>
    <row r="317" spans="1:39" s="167" customFormat="1" ht="16.5" x14ac:dyDescent="0.25">
      <c r="A317" s="102"/>
      <c r="B317" s="102"/>
      <c r="C317" s="102"/>
      <c r="D317" s="102"/>
      <c r="E317" s="102"/>
      <c r="F317" s="168"/>
      <c r="G317" s="168"/>
      <c r="H317" s="168"/>
      <c r="I317" s="168"/>
      <c r="J317" s="168"/>
      <c r="K317" s="168"/>
      <c r="L317" s="168"/>
      <c r="M317" s="168"/>
      <c r="N317" s="168"/>
      <c r="O317" s="168"/>
      <c r="P317" s="168"/>
      <c r="Q317" s="168"/>
      <c r="R317" s="168"/>
      <c r="S317" s="168"/>
      <c r="T317" s="168"/>
      <c r="U317" s="168"/>
      <c r="V317" s="168"/>
      <c r="W317" s="168"/>
      <c r="X317" s="168"/>
      <c r="Y317" s="168"/>
      <c r="Z317" s="168"/>
      <c r="AA317" s="168"/>
      <c r="AB317" s="168"/>
      <c r="AC317" s="102"/>
      <c r="AD317" s="102"/>
      <c r="AE317" s="102"/>
      <c r="AF317" s="102"/>
      <c r="AG317" s="102"/>
      <c r="AH317" s="102"/>
      <c r="AI317" s="102"/>
      <c r="AJ317" s="102"/>
      <c r="AK317" s="102"/>
      <c r="AL317" s="102"/>
      <c r="AM317" s="102"/>
    </row>
    <row r="318" spans="1:39" s="167" customFormat="1" ht="16.5" x14ac:dyDescent="0.25">
      <c r="A318" s="102"/>
      <c r="B318" s="102"/>
      <c r="C318" s="102" t="s">
        <v>257</v>
      </c>
      <c r="D318" s="102"/>
      <c r="E318" s="102"/>
      <c r="F318" s="170">
        <f t="shared" ref="F318:O318" si="163">1-F316/F311</f>
        <v>0.59070653030222331</v>
      </c>
      <c r="G318" s="170">
        <f t="shared" si="163"/>
        <v>0.60527836893183218</v>
      </c>
      <c r="H318" s="170">
        <f t="shared" si="163"/>
        <v>0.52638823810775803</v>
      </c>
      <c r="I318" s="170">
        <f t="shared" si="163"/>
        <v>0.50883375397728825</v>
      </c>
      <c r="J318" s="170">
        <f t="shared" si="163"/>
        <v>0.56065172253306128</v>
      </c>
      <c r="K318" s="170">
        <f t="shared" si="163"/>
        <v>0.51068204332198497</v>
      </c>
      <c r="L318" s="170">
        <f t="shared" si="163"/>
        <v>0.61977238435317816</v>
      </c>
      <c r="M318" s="170">
        <f t="shared" si="163"/>
        <v>0.52641183319371487</v>
      </c>
      <c r="N318" s="170">
        <f t="shared" si="163"/>
        <v>0.5372646270589343</v>
      </c>
      <c r="O318" s="170">
        <f t="shared" si="163"/>
        <v>0.57110832224178387</v>
      </c>
      <c r="P318" s="170"/>
      <c r="Q318" s="168"/>
      <c r="R318" s="168"/>
      <c r="S318" s="168"/>
      <c r="T318" s="168"/>
      <c r="U318" s="168"/>
      <c r="V318" s="168"/>
      <c r="W318" s="168"/>
      <c r="X318" s="168"/>
      <c r="Y318" s="168"/>
      <c r="Z318" s="168"/>
      <c r="AA318" s="168"/>
      <c r="AB318" s="168"/>
      <c r="AC318" s="102"/>
      <c r="AD318" s="102"/>
      <c r="AE318" s="102"/>
      <c r="AF318" s="102"/>
      <c r="AG318" s="102"/>
      <c r="AH318" s="102"/>
      <c r="AI318" s="102"/>
      <c r="AJ318" s="102"/>
      <c r="AK318" s="102"/>
      <c r="AL318" s="102"/>
      <c r="AM318" s="102"/>
    </row>
    <row r="319" spans="1:39" s="103" customFormat="1" ht="16.5" x14ac:dyDescent="0.3">
      <c r="A319" s="101"/>
      <c r="B319" s="102"/>
      <c r="C319" s="102"/>
      <c r="D319" s="102"/>
      <c r="E319" s="102"/>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row>
    <row r="320" spans="1:39" s="103" customFormat="1" ht="16.5" x14ac:dyDescent="0.3">
      <c r="A320" s="101"/>
      <c r="B320" s="102"/>
      <c r="C320" s="102"/>
      <c r="D320" s="102"/>
      <c r="E320" s="102"/>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row>
    <row r="321" spans="1:39" x14ac:dyDescent="0.2">
      <c r="A321" s="4"/>
      <c r="B321" s="6"/>
      <c r="C321" s="6"/>
      <c r="D321" s="6"/>
      <c r="E321" s="6"/>
      <c r="F321" s="8"/>
      <c r="G321" s="8"/>
      <c r="H321" s="8"/>
      <c r="I321" s="8"/>
      <c r="J321" s="8"/>
      <c r="K321" s="8"/>
      <c r="L321" s="8"/>
      <c r="M321" s="8"/>
      <c r="N321" s="8"/>
      <c r="O321" s="8"/>
      <c r="P321" s="8"/>
      <c r="Q321" s="8"/>
      <c r="R321" s="8"/>
      <c r="S321" s="8"/>
      <c r="T321" s="8"/>
      <c r="U321" s="8"/>
      <c r="V321" s="8"/>
      <c r="W321" s="8"/>
      <c r="X321" s="8"/>
      <c r="Y321" s="8"/>
      <c r="Z321" s="8"/>
      <c r="AA321" s="8"/>
      <c r="AB321" s="8"/>
      <c r="AC321" s="4"/>
      <c r="AD321" s="4"/>
      <c r="AE321" s="4"/>
      <c r="AF321" s="4"/>
      <c r="AG321" s="4"/>
      <c r="AH321" s="4"/>
      <c r="AI321" s="4"/>
      <c r="AJ321" s="4"/>
      <c r="AK321" s="4"/>
      <c r="AL321" s="4"/>
      <c r="AM321" s="4"/>
    </row>
  </sheetData>
  <conditionalFormatting sqref="F96:O96">
    <cfRule type="cellIs" dxfId="4" priority="3" operator="lessThan">
      <formula>0</formula>
    </cfRule>
  </conditionalFormatting>
  <conditionalFormatting sqref="F108:O108">
    <cfRule type="cellIs" dxfId="3" priority="2" operator="lessThan">
      <formula>0</formula>
    </cfRule>
  </conditionalFormatting>
  <conditionalFormatting sqref="F120:O120">
    <cfRule type="cellIs" dxfId="2" priority="1" operator="lessThan">
      <formula>0</formula>
    </cfRule>
  </conditionalFormatting>
  <pageMargins left="0.7" right="0.7" top="0.75" bottom="0.75" header="0.3" footer="0.3"/>
  <pageSetup paperSize="9" orientation="portrait" r:id="rId1"/>
  <drawing r:id="rId2"/>
  <legacy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45"/>
  <sheetViews>
    <sheetView workbookViewId="0">
      <selection activeCell="I27" sqref="I27"/>
    </sheetView>
  </sheetViews>
  <sheetFormatPr defaultRowHeight="15" x14ac:dyDescent="0.25"/>
  <cols>
    <col min="2" max="2" width="127.28515625" customWidth="1"/>
    <col min="3" max="4" width="13" customWidth="1"/>
  </cols>
  <sheetData>
    <row r="1" spans="1:10" ht="18" x14ac:dyDescent="0.25">
      <c r="A1" s="1242" t="s">
        <v>1554</v>
      </c>
      <c r="B1" s="1242" t="s">
        <v>1555</v>
      </c>
      <c r="C1" s="1242" t="s">
        <v>3440</v>
      </c>
      <c r="D1" s="1242" t="s">
        <v>3441</v>
      </c>
      <c r="E1" s="460"/>
      <c r="F1" s="460"/>
      <c r="G1" s="460"/>
      <c r="H1" s="460"/>
      <c r="I1" s="460"/>
      <c r="J1" s="460"/>
    </row>
    <row r="2" spans="1:10" ht="18" x14ac:dyDescent="0.25">
      <c r="A2" s="1243">
        <v>1</v>
      </c>
      <c r="B2" s="1243" t="s">
        <v>577</v>
      </c>
      <c r="C2" s="1245">
        <v>1</v>
      </c>
      <c r="D2" s="1245">
        <v>1</v>
      </c>
      <c r="E2" s="460"/>
      <c r="F2" s="460"/>
      <c r="G2" s="460"/>
      <c r="H2" s="460"/>
      <c r="I2" s="460"/>
      <c r="J2" s="460"/>
    </row>
    <row r="3" spans="1:10" ht="18" x14ac:dyDescent="0.25">
      <c r="A3" s="1243">
        <v>2</v>
      </c>
      <c r="B3" s="1243" t="s">
        <v>601</v>
      </c>
      <c r="C3" s="2221">
        <v>2</v>
      </c>
      <c r="D3" s="2221">
        <v>1</v>
      </c>
      <c r="E3" s="460"/>
      <c r="F3" s="460"/>
      <c r="G3" s="460"/>
      <c r="H3" s="460"/>
      <c r="I3" s="460"/>
      <c r="J3" s="460"/>
    </row>
    <row r="4" spans="1:10" ht="18" x14ac:dyDescent="0.25">
      <c r="A4" s="1243">
        <v>3</v>
      </c>
      <c r="B4" s="1243" t="s">
        <v>1011</v>
      </c>
      <c r="C4" s="2222"/>
      <c r="D4" s="2222"/>
      <c r="E4" s="460"/>
      <c r="F4" s="460"/>
      <c r="G4" s="460"/>
      <c r="H4" s="460"/>
      <c r="I4" s="460"/>
      <c r="J4" s="460"/>
    </row>
    <row r="5" spans="1:10" ht="18" x14ac:dyDescent="0.25">
      <c r="A5" s="1243">
        <v>4</v>
      </c>
      <c r="B5" s="1243" t="s">
        <v>1556</v>
      </c>
      <c r="C5" s="2221">
        <v>1</v>
      </c>
      <c r="D5" s="2221">
        <v>1</v>
      </c>
      <c r="E5" s="460"/>
      <c r="F5" s="460"/>
      <c r="G5" s="460"/>
      <c r="H5" s="460"/>
      <c r="I5" s="460"/>
      <c r="J5" s="460"/>
    </row>
    <row r="6" spans="1:10" ht="18" x14ac:dyDescent="0.25">
      <c r="A6" s="1243">
        <v>5</v>
      </c>
      <c r="B6" s="1243" t="s">
        <v>3419</v>
      </c>
      <c r="C6" s="2222"/>
      <c r="D6" s="2222"/>
      <c r="E6" s="460"/>
      <c r="F6" s="460"/>
      <c r="G6" s="460"/>
      <c r="H6" s="460"/>
      <c r="I6" s="460"/>
      <c r="J6" s="460"/>
    </row>
    <row r="7" spans="1:10" ht="18" x14ac:dyDescent="0.25">
      <c r="A7" s="1243">
        <v>6</v>
      </c>
      <c r="B7" s="1243" t="s">
        <v>1557</v>
      </c>
      <c r="C7" s="1245">
        <v>1</v>
      </c>
      <c r="D7" s="1245">
        <v>1</v>
      </c>
      <c r="E7" s="460"/>
      <c r="F7" s="460"/>
      <c r="G7" s="460"/>
      <c r="H7" s="460"/>
      <c r="I7" s="460"/>
      <c r="J7" s="460"/>
    </row>
    <row r="8" spans="1:10" ht="18" x14ac:dyDescent="0.25">
      <c r="A8" s="1243">
        <v>7</v>
      </c>
      <c r="B8" s="1243" t="s">
        <v>996</v>
      </c>
      <c r="C8" s="1245">
        <v>1</v>
      </c>
      <c r="D8" s="1245">
        <v>1</v>
      </c>
      <c r="E8" s="460"/>
      <c r="F8" s="460"/>
      <c r="G8" s="460"/>
      <c r="H8" s="460"/>
      <c r="I8" s="460"/>
      <c r="J8" s="460"/>
    </row>
    <row r="9" spans="1:10" ht="18" x14ac:dyDescent="0.25">
      <c r="A9" s="1243">
        <v>8</v>
      </c>
      <c r="B9" s="1243" t="s">
        <v>1253</v>
      </c>
      <c r="C9" s="1245">
        <v>1</v>
      </c>
      <c r="D9" s="1245">
        <v>1</v>
      </c>
      <c r="E9" s="460"/>
      <c r="F9" s="460"/>
      <c r="G9" s="460"/>
      <c r="H9" s="460"/>
      <c r="I9" s="460"/>
      <c r="J9" s="460"/>
    </row>
    <row r="10" spans="1:10" ht="18" x14ac:dyDescent="0.25">
      <c r="A10" s="1243">
        <v>9</v>
      </c>
      <c r="B10" s="1243" t="s">
        <v>835</v>
      </c>
      <c r="C10" s="1245">
        <v>1</v>
      </c>
      <c r="D10" s="1245">
        <v>1</v>
      </c>
      <c r="E10" s="460"/>
      <c r="F10" s="460"/>
      <c r="G10" s="460"/>
      <c r="H10" s="460"/>
      <c r="I10" s="460"/>
      <c r="J10" s="460"/>
    </row>
    <row r="11" spans="1:10" ht="18" x14ac:dyDescent="0.25">
      <c r="A11" s="1243">
        <v>10</v>
      </c>
      <c r="B11" s="1243" t="s">
        <v>3</v>
      </c>
      <c r="C11" s="1245">
        <v>1</v>
      </c>
      <c r="D11" s="1245">
        <v>1</v>
      </c>
      <c r="E11" s="460"/>
      <c r="F11" s="460"/>
      <c r="G11" s="460"/>
      <c r="I11" s="460"/>
      <c r="J11" s="460"/>
    </row>
    <row r="12" spans="1:10" ht="18" x14ac:dyDescent="0.25">
      <c r="A12" s="1243">
        <v>11</v>
      </c>
      <c r="B12" s="1243" t="s">
        <v>564</v>
      </c>
      <c r="C12" s="2220">
        <v>2</v>
      </c>
      <c r="D12" s="2220">
        <v>2</v>
      </c>
      <c r="E12" s="460"/>
      <c r="F12" s="460"/>
      <c r="G12" s="460"/>
      <c r="H12" s="460"/>
      <c r="I12" s="460"/>
      <c r="J12" s="460"/>
    </row>
    <row r="13" spans="1:10" ht="18" x14ac:dyDescent="0.25">
      <c r="A13" s="1243">
        <v>12</v>
      </c>
      <c r="B13" s="1243" t="s">
        <v>1157</v>
      </c>
      <c r="C13" s="2220"/>
      <c r="D13" s="2220"/>
      <c r="E13" s="460"/>
      <c r="F13" s="460"/>
      <c r="G13" s="460"/>
      <c r="H13" s="460"/>
      <c r="I13" s="460"/>
      <c r="J13" s="460"/>
    </row>
    <row r="14" spans="1:10" ht="18" x14ac:dyDescent="0.25">
      <c r="A14" s="1243">
        <v>13</v>
      </c>
      <c r="B14" s="1243" t="s">
        <v>953</v>
      </c>
      <c r="C14" s="2220">
        <v>2</v>
      </c>
      <c r="D14" s="2220">
        <v>1</v>
      </c>
      <c r="E14" s="460"/>
      <c r="F14" s="460"/>
      <c r="G14" s="460"/>
      <c r="H14" s="460"/>
      <c r="I14" s="460"/>
      <c r="J14" s="460"/>
    </row>
    <row r="15" spans="1:10" ht="18" x14ac:dyDescent="0.25">
      <c r="A15" s="1243">
        <v>14</v>
      </c>
      <c r="B15" s="1243" t="s">
        <v>958</v>
      </c>
      <c r="C15" s="2220"/>
      <c r="D15" s="2220"/>
      <c r="E15" s="460"/>
      <c r="F15" s="460"/>
      <c r="G15" s="460"/>
      <c r="H15" s="460"/>
      <c r="I15" s="460"/>
      <c r="J15" s="460"/>
    </row>
    <row r="16" spans="1:10" ht="18" x14ac:dyDescent="0.25">
      <c r="A16" s="1243">
        <v>15</v>
      </c>
      <c r="B16" s="1243" t="s">
        <v>936</v>
      </c>
      <c r="C16" s="1245">
        <v>1</v>
      </c>
      <c r="D16" s="1245">
        <v>1</v>
      </c>
      <c r="E16" s="460"/>
      <c r="F16" s="460"/>
      <c r="G16" s="460"/>
      <c r="H16" s="460"/>
      <c r="I16" s="460"/>
      <c r="J16" s="460"/>
    </row>
    <row r="17" spans="1:10" ht="18" x14ac:dyDescent="0.25">
      <c r="A17" s="1243">
        <v>16</v>
      </c>
      <c r="B17" s="1243" t="s">
        <v>565</v>
      </c>
      <c r="C17" s="1245">
        <v>1</v>
      </c>
      <c r="D17" s="1245">
        <v>1</v>
      </c>
      <c r="E17" s="460"/>
      <c r="F17" s="460"/>
      <c r="G17" s="460"/>
      <c r="H17" s="460"/>
      <c r="I17" s="460"/>
      <c r="J17" s="460"/>
    </row>
    <row r="18" spans="1:10" ht="18" x14ac:dyDescent="0.25">
      <c r="A18" s="1243">
        <v>17</v>
      </c>
      <c r="B18" s="1243" t="s">
        <v>941</v>
      </c>
      <c r="C18" s="1245">
        <v>1</v>
      </c>
      <c r="D18" s="1245">
        <v>1</v>
      </c>
      <c r="E18" s="460"/>
      <c r="F18" s="460"/>
      <c r="G18" s="460"/>
      <c r="H18" s="460"/>
      <c r="I18" s="460"/>
      <c r="J18" s="460"/>
    </row>
    <row r="19" spans="1:10" ht="18" x14ac:dyDescent="0.25">
      <c r="A19" s="1243">
        <v>18</v>
      </c>
      <c r="B19" s="1243" t="s">
        <v>947</v>
      </c>
      <c r="C19" s="2221">
        <v>2</v>
      </c>
      <c r="D19" s="2221">
        <v>1</v>
      </c>
      <c r="E19" s="460"/>
      <c r="F19" s="460"/>
      <c r="G19" s="460"/>
      <c r="H19" s="460"/>
      <c r="I19" s="460"/>
      <c r="J19" s="460"/>
    </row>
    <row r="20" spans="1:10" ht="18" x14ac:dyDescent="0.25">
      <c r="A20" s="1243">
        <v>19</v>
      </c>
      <c r="B20" s="1243" t="s">
        <v>20</v>
      </c>
      <c r="C20" s="2222"/>
      <c r="D20" s="2222"/>
      <c r="E20" s="460"/>
      <c r="F20" s="460"/>
      <c r="G20" s="460"/>
      <c r="H20" s="460"/>
      <c r="I20" s="460"/>
      <c r="J20" s="460"/>
    </row>
    <row r="21" spans="1:10" ht="18" x14ac:dyDescent="0.25">
      <c r="A21" s="1243">
        <v>20</v>
      </c>
      <c r="B21" s="1243" t="s">
        <v>568</v>
      </c>
      <c r="C21" s="1245">
        <v>2</v>
      </c>
      <c r="D21" s="1245">
        <v>1</v>
      </c>
      <c r="E21" s="460"/>
      <c r="F21" s="460"/>
      <c r="G21" s="460"/>
      <c r="H21" s="460"/>
      <c r="I21" s="460"/>
      <c r="J21" s="460"/>
    </row>
    <row r="22" spans="1:10" ht="18" x14ac:dyDescent="0.25">
      <c r="A22" s="1243">
        <v>21</v>
      </c>
      <c r="B22" s="1243" t="s">
        <v>504</v>
      </c>
      <c r="C22" s="1245">
        <v>1</v>
      </c>
      <c r="D22" s="1245">
        <v>1</v>
      </c>
      <c r="E22" s="460"/>
      <c r="F22" s="460"/>
      <c r="G22" s="460"/>
      <c r="H22" s="460"/>
      <c r="I22" s="460"/>
      <c r="J22" s="460"/>
    </row>
    <row r="23" spans="1:10" ht="18" x14ac:dyDescent="0.25">
      <c r="A23" s="1243">
        <v>22</v>
      </c>
      <c r="B23" s="1243" t="s">
        <v>352</v>
      </c>
      <c r="C23" s="1245">
        <v>1</v>
      </c>
      <c r="D23" s="1245">
        <v>1</v>
      </c>
      <c r="E23" s="460"/>
      <c r="F23" s="460"/>
      <c r="G23" s="460"/>
      <c r="H23" s="460"/>
      <c r="I23" s="460"/>
      <c r="J23" s="460"/>
    </row>
    <row r="24" spans="1:10" ht="18" x14ac:dyDescent="0.25">
      <c r="A24" s="1243">
        <v>23</v>
      </c>
      <c r="B24" s="1243" t="s">
        <v>1181</v>
      </c>
      <c r="C24" s="2220">
        <v>2</v>
      </c>
      <c r="D24" s="2220">
        <v>1</v>
      </c>
      <c r="E24" s="460"/>
      <c r="F24" s="460"/>
      <c r="G24" s="460"/>
      <c r="H24" s="460"/>
      <c r="I24" s="460"/>
      <c r="J24" s="460"/>
    </row>
    <row r="25" spans="1:10" ht="18" x14ac:dyDescent="0.25">
      <c r="A25" s="1243">
        <v>24</v>
      </c>
      <c r="B25" s="1243" t="s">
        <v>372</v>
      </c>
      <c r="C25" s="2220"/>
      <c r="D25" s="2220"/>
    </row>
    <row r="26" spans="1:10" ht="18" x14ac:dyDescent="0.25">
      <c r="A26" s="1243">
        <v>25</v>
      </c>
      <c r="B26" s="1243" t="s">
        <v>598</v>
      </c>
      <c r="C26" s="2220"/>
      <c r="D26" s="2220"/>
    </row>
    <row r="27" spans="1:10" ht="18" x14ac:dyDescent="0.25">
      <c r="A27" s="1243">
        <v>26</v>
      </c>
      <c r="B27" s="1243" t="s">
        <v>1559</v>
      </c>
      <c r="C27" s="1245">
        <v>1</v>
      </c>
      <c r="D27" s="1245">
        <v>1</v>
      </c>
    </row>
    <row r="28" spans="1:10" ht="18" x14ac:dyDescent="0.25">
      <c r="A28" s="1242"/>
      <c r="B28" s="1244" t="s">
        <v>1558</v>
      </c>
      <c r="C28" s="1246">
        <f>SUM(C2:C27)</f>
        <v>25</v>
      </c>
      <c r="D28" s="1246">
        <f>SUM(D2:D27)</f>
        <v>20</v>
      </c>
    </row>
    <row r="32" spans="1:10" ht="18" x14ac:dyDescent="0.25">
      <c r="A32" s="1242" t="s">
        <v>1554</v>
      </c>
      <c r="B32" s="1242" t="s">
        <v>1560</v>
      </c>
      <c r="C32" s="1242" t="s">
        <v>3440</v>
      </c>
      <c r="D32" s="1242" t="s">
        <v>3441</v>
      </c>
      <c r="E32" s="1039" t="s">
        <v>2582</v>
      </c>
      <c r="F32" s="460"/>
      <c r="G32" s="460"/>
      <c r="H32" s="460"/>
      <c r="I32" s="460"/>
      <c r="J32" s="460"/>
    </row>
    <row r="33" spans="1:5" ht="18" x14ac:dyDescent="0.25">
      <c r="A33" s="1243">
        <v>1</v>
      </c>
      <c r="B33" s="1243" t="s">
        <v>1561</v>
      </c>
      <c r="C33" s="1245">
        <v>2</v>
      </c>
      <c r="D33" s="1245">
        <v>1.5</v>
      </c>
      <c r="E33" s="1294"/>
    </row>
    <row r="34" spans="1:5" ht="18" x14ac:dyDescent="0.25">
      <c r="A34" s="1243">
        <v>2</v>
      </c>
      <c r="B34" s="1243" t="s">
        <v>1562</v>
      </c>
      <c r="C34" s="1245">
        <v>2</v>
      </c>
      <c r="D34" s="1245">
        <v>1.5</v>
      </c>
      <c r="E34" s="1294"/>
    </row>
    <row r="35" spans="1:5" ht="18" x14ac:dyDescent="0.25">
      <c r="A35" s="1243">
        <v>3</v>
      </c>
      <c r="B35" s="1243" t="s">
        <v>1563</v>
      </c>
      <c r="C35" s="1245">
        <v>2</v>
      </c>
      <c r="D35" s="1245">
        <v>1</v>
      </c>
      <c r="E35" s="1294"/>
    </row>
    <row r="36" spans="1:5" ht="18" x14ac:dyDescent="0.25">
      <c r="A36" s="1243">
        <v>4</v>
      </c>
      <c r="B36" s="1243" t="s">
        <v>1564</v>
      </c>
      <c r="C36" s="1245">
        <v>2</v>
      </c>
      <c r="D36" s="1245">
        <v>1.5</v>
      </c>
      <c r="E36" s="1294"/>
    </row>
    <row r="37" spans="1:5" ht="18" x14ac:dyDescent="0.25">
      <c r="A37" s="1243">
        <v>5</v>
      </c>
      <c r="B37" s="1243" t="s">
        <v>1565</v>
      </c>
      <c r="C37" s="1245">
        <v>2</v>
      </c>
      <c r="D37" s="1245">
        <v>1.5</v>
      </c>
      <c r="E37" s="1294"/>
    </row>
    <row r="38" spans="1:5" ht="18" x14ac:dyDescent="0.25">
      <c r="A38" s="1243">
        <v>6</v>
      </c>
      <c r="B38" s="1243" t="s">
        <v>1566</v>
      </c>
      <c r="C38" s="1245">
        <v>2</v>
      </c>
      <c r="D38" s="1245">
        <v>1.5</v>
      </c>
      <c r="E38" s="1294"/>
    </row>
    <row r="39" spans="1:5" ht="18" x14ac:dyDescent="0.25">
      <c r="A39" s="1243">
        <v>7</v>
      </c>
      <c r="B39" s="1243" t="s">
        <v>1567</v>
      </c>
      <c r="C39" s="1245">
        <v>2</v>
      </c>
      <c r="D39" s="1245">
        <v>1.5</v>
      </c>
      <c r="E39" s="1294"/>
    </row>
    <row r="40" spans="1:5" ht="18" x14ac:dyDescent="0.25">
      <c r="A40" s="1242"/>
      <c r="B40" s="1244" t="s">
        <v>1558</v>
      </c>
      <c r="C40" s="1246">
        <f>SUM(C33:C39)</f>
        <v>14</v>
      </c>
      <c r="D40" s="1246">
        <f>SUM(D33:D39)</f>
        <v>10</v>
      </c>
      <c r="E40" s="1295">
        <f>SUM(E33:E39)</f>
        <v>0</v>
      </c>
    </row>
    <row r="42" spans="1:5" ht="18" x14ac:dyDescent="0.25">
      <c r="B42" s="2114" t="s">
        <v>3442</v>
      </c>
      <c r="C42" s="2115">
        <v>6</v>
      </c>
      <c r="D42" s="2116">
        <v>0</v>
      </c>
      <c r="E42" s="2118"/>
    </row>
    <row r="43" spans="1:5" ht="18" x14ac:dyDescent="0.25">
      <c r="B43" s="2114" t="s">
        <v>3443</v>
      </c>
      <c r="C43" s="2115">
        <v>5</v>
      </c>
      <c r="D43" s="2117">
        <v>0</v>
      </c>
      <c r="E43" s="2118"/>
    </row>
    <row r="45" spans="1:5" ht="18" x14ac:dyDescent="0.25">
      <c r="A45" s="1242"/>
      <c r="B45" s="1244" t="s">
        <v>2601</v>
      </c>
      <c r="C45" s="1246">
        <f>C40+C42+C43</f>
        <v>25</v>
      </c>
      <c r="D45" s="1246">
        <f>D40+D42+D43</f>
        <v>10</v>
      </c>
      <c r="E45" s="1295">
        <f>E40+E42+E43</f>
        <v>0</v>
      </c>
    </row>
  </sheetData>
  <mergeCells count="12">
    <mergeCell ref="C19:C20"/>
    <mergeCell ref="C5:C6"/>
    <mergeCell ref="C3:C4"/>
    <mergeCell ref="C24:C26"/>
    <mergeCell ref="C12:C13"/>
    <mergeCell ref="C14:C15"/>
    <mergeCell ref="D24:D26"/>
    <mergeCell ref="D3:D4"/>
    <mergeCell ref="D5:D6"/>
    <mergeCell ref="D12:D13"/>
    <mergeCell ref="D14:D15"/>
    <mergeCell ref="D19:D20"/>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55"/>
  <sheetViews>
    <sheetView view="pageBreakPreview" zoomScale="85" zoomScaleNormal="100" zoomScaleSheetLayoutView="85" zoomScalePageLayoutView="115" workbookViewId="0">
      <pane xSplit="4" ySplit="8" topLeftCell="E78" activePane="bottomRight" state="frozen"/>
      <selection pane="topRight" activeCell="E1" sqref="E1"/>
      <selection pane="bottomLeft" activeCell="A6" sqref="A6"/>
      <selection pane="bottomRight" activeCell="D140" sqref="D140"/>
    </sheetView>
  </sheetViews>
  <sheetFormatPr defaultColWidth="9.140625" defaultRowHeight="14.25" outlineLevelRow="1" outlineLevelCol="1" x14ac:dyDescent="0.2"/>
  <cols>
    <col min="1" max="1" width="2.85546875" style="1" customWidth="1"/>
    <col min="2" max="2" width="5.140625" style="1" customWidth="1"/>
    <col min="3" max="3" width="3" style="1" customWidth="1"/>
    <col min="4" max="4" width="65" style="1" customWidth="1"/>
    <col min="5" max="5" width="9.85546875" style="1" customWidth="1" outlineLevel="1"/>
    <col min="6" max="6" width="11.5703125" style="1" customWidth="1" outlineLevel="1"/>
    <col min="7" max="7" width="12.5703125" style="1" customWidth="1" outlineLevel="1"/>
    <col min="8" max="8" width="12.7109375" style="1" customWidth="1" outlineLevel="1"/>
    <col min="9" max="9" width="12.42578125" style="1" customWidth="1" outlineLevel="1"/>
    <col min="10" max="10" width="13.85546875" style="65" customWidth="1" outlineLevel="1"/>
    <col min="11" max="11" width="12.28515625" style="234" customWidth="1" outlineLevel="1"/>
    <col min="12" max="12" width="3.5703125" style="1" customWidth="1"/>
    <col min="13" max="15" width="10.140625" style="1" customWidth="1" outlineLevel="1"/>
    <col min="16" max="17" width="9.7109375" style="1" customWidth="1" outlineLevel="1"/>
    <col min="18" max="18" width="11.42578125" style="234" customWidth="1" outlineLevel="1"/>
    <col min="19" max="19" width="9.7109375" style="234" customWidth="1" outlineLevel="1"/>
    <col min="20" max="20" width="13.7109375" style="1" bestFit="1" customWidth="1"/>
    <col min="21" max="21" width="14.28515625" style="1" customWidth="1"/>
    <col min="22" max="23" width="9.140625" style="1"/>
    <col min="24" max="24" width="13.7109375" style="1" customWidth="1"/>
    <col min="25" max="16384" width="9.140625" style="1"/>
  </cols>
  <sheetData>
    <row r="1" spans="1:24" ht="16.5" customHeight="1" x14ac:dyDescent="0.25">
      <c r="A1" s="93"/>
      <c r="B1" s="336"/>
      <c r="C1" s="93"/>
      <c r="D1" s="327"/>
      <c r="E1" s="93"/>
      <c r="F1" s="93"/>
      <c r="G1" s="93"/>
      <c r="H1" s="93"/>
      <c r="I1" s="93"/>
      <c r="J1" s="230"/>
      <c r="K1" s="337"/>
      <c r="L1" s="93"/>
      <c r="M1" s="93"/>
      <c r="N1" s="93"/>
      <c r="O1" s="93"/>
      <c r="P1" s="93"/>
      <c r="Q1" s="93"/>
      <c r="R1" s="337"/>
      <c r="S1" s="337"/>
    </row>
    <row r="2" spans="1:24" ht="16.5" customHeight="1" x14ac:dyDescent="0.25">
      <c r="A2" s="93"/>
      <c r="B2" s="336"/>
      <c r="C2" s="93"/>
      <c r="D2" s="327" t="str">
        <f>МСФО_ввод!E2</f>
        <v>ОАО "Банк Москвы"</v>
      </c>
      <c r="E2" s="93"/>
      <c r="F2" s="93"/>
      <c r="G2" s="93"/>
      <c r="H2" s="93"/>
      <c r="I2" s="93"/>
      <c r="J2" s="230"/>
      <c r="K2" s="337"/>
      <c r="L2" s="93"/>
      <c r="M2" s="93"/>
      <c r="N2" s="93"/>
      <c r="O2" s="93"/>
      <c r="P2" s="93"/>
      <c r="Q2" s="93"/>
      <c r="R2" s="337"/>
      <c r="S2" s="337"/>
    </row>
    <row r="3" spans="1:24" ht="16.5" customHeight="1" x14ac:dyDescent="0.25">
      <c r="A3" s="93"/>
      <c r="B3" s="336"/>
      <c r="C3" s="93"/>
      <c r="D3" s="327" t="str">
        <f>МСФО_ввод!E3</f>
        <v>МСФО</v>
      </c>
      <c r="E3" s="93"/>
      <c r="F3" s="93"/>
      <c r="G3" s="93"/>
      <c r="H3" s="93"/>
      <c r="I3" s="93"/>
      <c r="J3" s="230"/>
      <c r="K3" s="337"/>
      <c r="L3" s="93"/>
      <c r="M3" s="93"/>
      <c r="N3" s="93"/>
      <c r="O3" s="93"/>
      <c r="P3" s="93"/>
      <c r="Q3" s="93"/>
      <c r="R3" s="337"/>
      <c r="S3" s="337"/>
    </row>
    <row r="4" spans="1:24" ht="16.5" customHeight="1" x14ac:dyDescent="0.25">
      <c r="A4" s="93"/>
      <c r="B4" s="336"/>
      <c r="C4" s="93"/>
      <c r="D4" s="327" t="str">
        <f>МСФО_ввод!E4</f>
        <v>Консолидированная</v>
      </c>
      <c r="E4" s="93"/>
      <c r="F4" s="93"/>
      <c r="G4" s="93"/>
      <c r="H4" s="93"/>
      <c r="I4" s="93"/>
      <c r="J4" s="230"/>
      <c r="K4" s="337"/>
      <c r="L4" s="93"/>
      <c r="M4" s="93"/>
      <c r="N4" s="93"/>
      <c r="O4" s="93"/>
      <c r="P4" s="93"/>
      <c r="Q4" s="93"/>
      <c r="R4" s="337"/>
      <c r="S4" s="337"/>
    </row>
    <row r="5" spans="1:24" ht="16.5" customHeight="1" x14ac:dyDescent="0.25">
      <c r="A5" s="21"/>
      <c r="B5" s="338"/>
      <c r="C5" s="21"/>
      <c r="D5" s="338" t="s">
        <v>476</v>
      </c>
      <c r="E5" s="21"/>
      <c r="F5" s="21"/>
      <c r="G5" s="21"/>
      <c r="H5" s="21"/>
      <c r="I5" s="21"/>
      <c r="J5" s="339"/>
      <c r="K5" s="340"/>
      <c r="L5" s="21"/>
      <c r="M5" s="21"/>
      <c r="N5" s="21"/>
      <c r="O5" s="21"/>
      <c r="P5" s="21"/>
      <c r="Q5" s="21"/>
      <c r="R5" s="340"/>
      <c r="S5" s="340"/>
    </row>
    <row r="6" spans="1:24" ht="16.5" customHeight="1" x14ac:dyDescent="0.25">
      <c r="A6" s="21"/>
      <c r="B6" s="338"/>
      <c r="C6" s="21"/>
      <c r="D6" s="338"/>
      <c r="E6" s="21"/>
      <c r="F6" s="21"/>
      <c r="G6" s="21"/>
      <c r="H6" s="21"/>
      <c r="I6" s="21"/>
      <c r="J6" s="339"/>
      <c r="K6" s="340"/>
      <c r="L6" s="21"/>
      <c r="M6" s="21"/>
      <c r="N6" s="21"/>
      <c r="O6" s="21"/>
      <c r="P6" s="21"/>
      <c r="Q6" s="21"/>
      <c r="R6" s="340"/>
      <c r="S6" s="340"/>
    </row>
    <row r="7" spans="1:24" ht="15" x14ac:dyDescent="0.2">
      <c r="A7" s="21"/>
      <c r="B7" s="21"/>
      <c r="C7" s="21"/>
      <c r="D7" s="21" t="str">
        <f>МСФО_ввод!D7</f>
        <v>млрд руб.</v>
      </c>
      <c r="E7" s="21" t="s">
        <v>348</v>
      </c>
      <c r="F7" s="21"/>
      <c r="G7" s="21"/>
      <c r="H7" s="21"/>
      <c r="I7" s="21"/>
      <c r="J7" s="21"/>
      <c r="K7" s="21"/>
      <c r="L7" s="21"/>
      <c r="M7" s="21" t="s">
        <v>17</v>
      </c>
      <c r="N7" s="21"/>
      <c r="O7" s="21"/>
      <c r="P7" s="21"/>
      <c r="Q7" s="21"/>
      <c r="R7" s="340"/>
      <c r="S7" s="340"/>
    </row>
    <row r="8" spans="1:24" ht="15" x14ac:dyDescent="0.2">
      <c r="A8" s="341"/>
      <c r="B8" s="341"/>
      <c r="C8" s="341"/>
      <c r="D8" s="341"/>
      <c r="E8" s="301">
        <f>МСФО_ввод!E7</f>
        <v>2009</v>
      </c>
      <c r="F8" s="301">
        <f>МСФО_ввод!F7</f>
        <v>2010</v>
      </c>
      <c r="G8" s="301">
        <f>МСФО_ввод!G7</f>
        <v>2011</v>
      </c>
      <c r="H8" s="301">
        <f>МСФО_ввод!H7</f>
        <v>2012</v>
      </c>
      <c r="I8" s="301">
        <f>МСФО_ввод!I7</f>
        <v>2013</v>
      </c>
      <c r="J8" s="301">
        <f>МСФО_ввод!J7</f>
        <v>2014</v>
      </c>
      <c r="K8" s="301">
        <f>МСФО_ввод!K7</f>
        <v>2015</v>
      </c>
      <c r="L8" s="342"/>
      <c r="M8" s="301">
        <f>МСФО_ввод!E7</f>
        <v>2009</v>
      </c>
      <c r="N8" s="301">
        <f>МСФО_ввод!F7</f>
        <v>2010</v>
      </c>
      <c r="O8" s="301">
        <f>МСФО_ввод!G7</f>
        <v>2011</v>
      </c>
      <c r="P8" s="301">
        <f>МСФО_ввод!H7</f>
        <v>2012</v>
      </c>
      <c r="Q8" s="301">
        <f>МСФО_ввод!I7</f>
        <v>2013</v>
      </c>
      <c r="R8" s="301">
        <f>МСФО_ввод!J7</f>
        <v>2014</v>
      </c>
      <c r="S8" s="301">
        <f>МСФО_ввод!K7</f>
        <v>2015</v>
      </c>
    </row>
    <row r="9" spans="1:24" s="2" customFormat="1" ht="15.75" x14ac:dyDescent="0.25">
      <c r="A9" s="343" t="s">
        <v>2</v>
      </c>
      <c r="B9" s="343" t="s">
        <v>1</v>
      </c>
      <c r="C9" s="343"/>
      <c r="D9" s="344"/>
      <c r="E9" s="390">
        <f>SUM(E10:E12)</f>
        <v>130.61500000000001</v>
      </c>
      <c r="F9" s="390">
        <f t="shared" ref="F9:K9" si="0">SUM(F10:F12)</f>
        <v>156.60300000000001</v>
      </c>
      <c r="G9" s="390">
        <f t="shared" si="0"/>
        <v>231.42899999999997</v>
      </c>
      <c r="H9" s="390">
        <f t="shared" si="0"/>
        <v>244.72899999999998</v>
      </c>
      <c r="I9" s="390">
        <f t="shared" si="0"/>
        <v>259.29599999999999</v>
      </c>
      <c r="J9" s="390">
        <f t="shared" si="0"/>
        <v>596.1</v>
      </c>
      <c r="K9" s="390">
        <f t="shared" si="0"/>
        <v>260</v>
      </c>
      <c r="L9" s="325"/>
      <c r="M9" s="633">
        <f>E9/E$36</f>
        <v>0.15828178556735262</v>
      </c>
      <c r="N9" s="633">
        <f t="shared" ref="N9:N35" si="1">F9/F$36</f>
        <v>0.18436223778034944</v>
      </c>
      <c r="O9" s="633">
        <f t="shared" ref="O9:O35" si="2">G9/G$36</f>
        <v>0.21832870975976842</v>
      </c>
      <c r="P9" s="633">
        <f t="shared" ref="P9:P35" si="3">H9/H$36</f>
        <v>0.18927003940402859</v>
      </c>
      <c r="Q9" s="633">
        <f t="shared" ref="Q9:Q35" si="4">I9/I$36</f>
        <v>0.15920740138567221</v>
      </c>
      <c r="R9" s="633">
        <f t="shared" ref="R9:R35" si="5">J9/J$36</f>
        <v>0.27997745526278711</v>
      </c>
      <c r="S9" s="633">
        <f t="shared" ref="S9:S35" si="6">K9/K$36</f>
        <v>0.17227670288894778</v>
      </c>
      <c r="U9" s="199"/>
      <c r="V9" s="198"/>
      <c r="X9" s="14"/>
    </row>
    <row r="10" spans="1:24" ht="15" x14ac:dyDescent="0.2">
      <c r="A10" s="345"/>
      <c r="B10" s="346" t="s">
        <v>4</v>
      </c>
      <c r="C10" s="345" t="str">
        <f>МСФО_ввод!D9</f>
        <v>Денежные средства и краткосрочные активы</v>
      </c>
      <c r="D10" s="347"/>
      <c r="E10" s="373">
        <f>МСФО_ввод!E9</f>
        <v>75.164000000000001</v>
      </c>
      <c r="F10" s="373">
        <f>МСФО_ввод!F9</f>
        <v>71.53</v>
      </c>
      <c r="G10" s="373">
        <f>МСФО_ввод!G9</f>
        <v>62.850999999999999</v>
      </c>
      <c r="H10" s="373">
        <f>МСФО_ввод!H9</f>
        <v>70.22</v>
      </c>
      <c r="I10" s="373">
        <f>МСФО_ввод!I9</f>
        <v>89.766999999999996</v>
      </c>
      <c r="J10" s="373">
        <f>МСФО_ввод!J9</f>
        <v>79.3</v>
      </c>
      <c r="K10" s="373">
        <f>МСФО_ввод!K9</f>
        <v>77.599999999999994</v>
      </c>
      <c r="L10" s="302"/>
      <c r="M10" s="634">
        <f t="shared" ref="M10:M35" si="7">E10/E$36</f>
        <v>9.1085190295023474E-2</v>
      </c>
      <c r="N10" s="634">
        <f t="shared" si="1"/>
        <v>8.4209311880541204E-2</v>
      </c>
      <c r="O10" s="634">
        <f t="shared" si="2"/>
        <v>5.9293250790139557E-2</v>
      </c>
      <c r="P10" s="634">
        <f t="shared" si="3"/>
        <v>5.430718127786608E-2</v>
      </c>
      <c r="Q10" s="634">
        <f t="shared" si="4"/>
        <v>5.5116819388604674E-2</v>
      </c>
      <c r="R10" s="634">
        <f t="shared" si="5"/>
        <v>3.7245784603823211E-2</v>
      </c>
      <c r="S10" s="634">
        <f t="shared" si="6"/>
        <v>5.1417969785316722E-2</v>
      </c>
      <c r="U10" s="200"/>
      <c r="V10" s="41"/>
      <c r="X10" s="7"/>
    </row>
    <row r="11" spans="1:24" ht="15" x14ac:dyDescent="0.2">
      <c r="A11" s="345"/>
      <c r="B11" s="346" t="s">
        <v>329</v>
      </c>
      <c r="C11" s="345" t="str">
        <f>МСФО_ввод!D10</f>
        <v>Обязательные резервы в центральных банках</v>
      </c>
      <c r="D11" s="347"/>
      <c r="E11" s="373">
        <f>МСФО_ввод!E10</f>
        <v>4.7480000000000002</v>
      </c>
      <c r="F11" s="373">
        <f>МСФО_ввод!F10</f>
        <v>5.5880000000000001</v>
      </c>
      <c r="G11" s="373">
        <f>МСФО_ввод!G10</f>
        <v>9.7530000000000001</v>
      </c>
      <c r="H11" s="373">
        <f>МСФО_ввод!H10</f>
        <v>7.0060000000000002</v>
      </c>
      <c r="I11" s="373">
        <f>МСФО_ввод!I10</f>
        <v>6.6689999999999996</v>
      </c>
      <c r="J11" s="373">
        <f>МСФО_ввод!J10</f>
        <v>7.9</v>
      </c>
      <c r="K11" s="373">
        <f>МСФО_ввод!K10</f>
        <v>5.2</v>
      </c>
      <c r="L11" s="302"/>
      <c r="M11" s="634">
        <f t="shared" si="7"/>
        <v>5.7537183162254734E-3</v>
      </c>
      <c r="N11" s="634">
        <f t="shared" si="1"/>
        <v>6.5785213866694295E-3</v>
      </c>
      <c r="O11" s="634">
        <f t="shared" si="2"/>
        <v>9.2009208279300418E-3</v>
      </c>
      <c r="P11" s="634">
        <f t="shared" si="3"/>
        <v>5.4183439480593809E-3</v>
      </c>
      <c r="Q11" s="634">
        <f t="shared" si="4"/>
        <v>4.0947571880825314E-3</v>
      </c>
      <c r="R11" s="634">
        <f t="shared" si="5"/>
        <v>3.7104879996242546E-3</v>
      </c>
      <c r="S11" s="634">
        <f t="shared" si="6"/>
        <v>3.4455340577789558E-3</v>
      </c>
      <c r="U11" s="200"/>
      <c r="V11" s="41"/>
      <c r="X11" s="7"/>
    </row>
    <row r="12" spans="1:24" ht="15" x14ac:dyDescent="0.2">
      <c r="A12" s="345"/>
      <c r="B12" s="346" t="s">
        <v>14</v>
      </c>
      <c r="C12" s="345" t="s">
        <v>543</v>
      </c>
      <c r="D12" s="347"/>
      <c r="E12" s="373">
        <f>МСФО_ввод!E13</f>
        <v>50.703000000000003</v>
      </c>
      <c r="F12" s="373">
        <f>МСФО_ввод!F13</f>
        <v>79.484999999999999</v>
      </c>
      <c r="G12" s="373">
        <f>МСФО_ввод!G13</f>
        <v>158.82499999999999</v>
      </c>
      <c r="H12" s="373">
        <f>МСФО_ввод!H13</f>
        <v>167.50299999999999</v>
      </c>
      <c r="I12" s="373">
        <f>МСФО_ввод!I13</f>
        <v>162.86000000000001</v>
      </c>
      <c r="J12" s="373">
        <f>МСФО_ввод!J13</f>
        <v>508.9</v>
      </c>
      <c r="K12" s="373">
        <f>МСФО_ввод!K13</f>
        <v>177.2</v>
      </c>
      <c r="L12" s="302"/>
      <c r="M12" s="634">
        <f t="shared" si="7"/>
        <v>6.1442876956103662E-2</v>
      </c>
      <c r="N12" s="634">
        <f t="shared" si="1"/>
        <v>9.3574404513138795E-2</v>
      </c>
      <c r="O12" s="634">
        <f t="shared" si="2"/>
        <v>0.14983453814169886</v>
      </c>
      <c r="P12" s="634">
        <f t="shared" si="3"/>
        <v>0.12954451417810312</v>
      </c>
      <c r="Q12" s="634">
        <f t="shared" si="4"/>
        <v>9.9995824808985029E-2</v>
      </c>
      <c r="R12" s="634">
        <f t="shared" si="5"/>
        <v>0.23902118265933964</v>
      </c>
      <c r="S12" s="634">
        <f t="shared" si="6"/>
        <v>0.1174131990458521</v>
      </c>
      <c r="U12" s="200"/>
      <c r="V12" s="41"/>
      <c r="X12" s="7"/>
    </row>
    <row r="13" spans="1:24" s="2" customFormat="1" ht="15.75" x14ac:dyDescent="0.25">
      <c r="A13" s="343" t="s">
        <v>15</v>
      </c>
      <c r="B13" s="343" t="s">
        <v>477</v>
      </c>
      <c r="C13" s="343"/>
      <c r="D13" s="344"/>
      <c r="E13" s="390">
        <f>SUM(E14,E17,E20,E23,E24)</f>
        <v>114.494</v>
      </c>
      <c r="F13" s="390">
        <f t="shared" ref="F13:K13" si="8">SUM(F14,F17,F20,F23,F24)</f>
        <v>143.17200000000003</v>
      </c>
      <c r="G13" s="390">
        <f t="shared" si="8"/>
        <v>240.38400000000001</v>
      </c>
      <c r="H13" s="390">
        <f t="shared" si="8"/>
        <v>322.62899999999996</v>
      </c>
      <c r="I13" s="390">
        <f t="shared" si="8"/>
        <v>361.59099999999995</v>
      </c>
      <c r="J13" s="390">
        <f t="shared" si="8"/>
        <v>319.7</v>
      </c>
      <c r="K13" s="390">
        <f t="shared" si="8"/>
        <v>185</v>
      </c>
      <c r="L13" s="325"/>
      <c r="M13" s="633">
        <f t="shared" si="7"/>
        <v>0.13874604568195437</v>
      </c>
      <c r="N13" s="633">
        <f t="shared" si="1"/>
        <v>0.16855047673089399</v>
      </c>
      <c r="O13" s="633">
        <f t="shared" si="2"/>
        <v>0.22677680224557936</v>
      </c>
      <c r="P13" s="633">
        <f t="shared" si="3"/>
        <v>0.24951682695096344</v>
      </c>
      <c r="Q13" s="633">
        <f t="shared" si="4"/>
        <v>0.22201639622071531</v>
      </c>
      <c r="R13" s="633">
        <f t="shared" si="5"/>
        <v>0.15015734347846507</v>
      </c>
      <c r="S13" s="633">
        <f t="shared" si="6"/>
        <v>0.12258150013252053</v>
      </c>
      <c r="U13" s="199"/>
      <c r="V13" s="198"/>
      <c r="X13" s="14"/>
    </row>
    <row r="14" spans="1:24" ht="15" x14ac:dyDescent="0.2">
      <c r="A14" s="346"/>
      <c r="B14" s="346" t="s">
        <v>6</v>
      </c>
      <c r="C14" s="2208" t="str">
        <f>МСФО_ввод!D11</f>
        <v>Финансовые активы, предназначенные для торговли</v>
      </c>
      <c r="D14" s="2208"/>
      <c r="E14" s="373">
        <f>МСФО_ввод!E11</f>
        <v>90.441000000000003</v>
      </c>
      <c r="F14" s="373">
        <f>МСФО_ввод!F11</f>
        <v>86.608999999999995</v>
      </c>
      <c r="G14" s="373">
        <f>МСФО_ввод!G11</f>
        <v>33.433999999999997</v>
      </c>
      <c r="H14" s="373">
        <f>МСФО_ввод!H11</f>
        <v>32.850999999999999</v>
      </c>
      <c r="I14" s="373">
        <f>МСФО_ввод!I11</f>
        <v>58.606000000000002</v>
      </c>
      <c r="J14" s="373">
        <f>МСФО_ввод!J11</f>
        <v>25.6</v>
      </c>
      <c r="K14" s="373">
        <f>МСФО_ввод!K11</f>
        <v>14.1</v>
      </c>
      <c r="L14" s="302"/>
      <c r="M14" s="634">
        <f t="shared" si="7"/>
        <v>0.10959815464148021</v>
      </c>
      <c r="N14" s="634">
        <f t="shared" si="1"/>
        <v>0.10196119520008098</v>
      </c>
      <c r="O14" s="634">
        <f t="shared" si="2"/>
        <v>3.1541432068185486E-2</v>
      </c>
      <c r="P14" s="634">
        <f t="shared" si="3"/>
        <v>2.5406511138695222E-2</v>
      </c>
      <c r="Q14" s="634">
        <f t="shared" si="4"/>
        <v>3.5984006562417882E-2</v>
      </c>
      <c r="R14" s="634">
        <f t="shared" si="5"/>
        <v>1.2023859846883662E-2</v>
      </c>
      <c r="S14" s="634">
        <f t="shared" si="6"/>
        <v>9.3426981182083216E-3</v>
      </c>
      <c r="U14" s="200"/>
      <c r="V14" s="41"/>
      <c r="X14" s="7"/>
    </row>
    <row r="15" spans="1:24" s="71" customFormat="1" outlineLevel="1" x14ac:dyDescent="0.2">
      <c r="A15" s="369"/>
      <c r="B15" s="369"/>
      <c r="C15" s="370"/>
      <c r="D15" s="371" t="s">
        <v>487</v>
      </c>
      <c r="E15" s="405">
        <f>SUM(МСФО_ввод!E150,МСФО_ввод!E156)</f>
        <v>28.999000000000002</v>
      </c>
      <c r="F15" s="405">
        <f>SUM(МСФО_ввод!F150,МСФО_ввод!F156)</f>
        <v>14.111000000000001</v>
      </c>
      <c r="G15" s="405">
        <f>SUM(МСФО_ввод!G150,МСФО_ввод!G156)</f>
        <v>5.7969999999999997</v>
      </c>
      <c r="H15" s="405">
        <f>SUM(МСФО_ввод!H150,МСФО_ввод!H156)</f>
        <v>4.0000000000000002E-4</v>
      </c>
      <c r="I15" s="405">
        <f>SUM(МСФО_ввод!I150,МСФО_ввод!I156)</f>
        <v>0</v>
      </c>
      <c r="J15" s="405">
        <f>SUM(МСФО_ввод!J150,МСФО_ввод!J156)</f>
        <v>0</v>
      </c>
      <c r="K15" s="405">
        <f>SUM(МСФО_ввод!K150,МСФО_ввод!K156)</f>
        <v>0</v>
      </c>
      <c r="L15" s="372"/>
      <c r="M15" s="635">
        <f t="shared" si="7"/>
        <v>3.5141549589768853E-2</v>
      </c>
      <c r="N15" s="635">
        <f t="shared" si="1"/>
        <v>1.6612296937597051E-2</v>
      </c>
      <c r="O15" s="635">
        <f t="shared" si="2"/>
        <v>5.4688545103568596E-3</v>
      </c>
      <c r="P15" s="635">
        <f t="shared" si="3"/>
        <v>3.0935449318066693E-7</v>
      </c>
      <c r="Q15" s="635">
        <f t="shared" si="4"/>
        <v>0</v>
      </c>
      <c r="R15" s="635">
        <f t="shared" si="5"/>
        <v>0</v>
      </c>
      <c r="S15" s="635">
        <f t="shared" si="6"/>
        <v>0</v>
      </c>
      <c r="U15" s="357"/>
      <c r="V15" s="229"/>
      <c r="X15" s="233"/>
    </row>
    <row r="16" spans="1:24" s="71" customFormat="1" outlineLevel="1" x14ac:dyDescent="0.2">
      <c r="A16" s="369"/>
      <c r="B16" s="369"/>
      <c r="C16" s="370"/>
      <c r="D16" s="371" t="str">
        <f>МСФО_ввод!D151</f>
        <v>Облигации субъектов РФ и местных органов власти</v>
      </c>
      <c r="E16" s="405">
        <f>SUM(МСФО_ввод!E151,МСФО_ввод!E157)</f>
        <v>12.26</v>
      </c>
      <c r="F16" s="405">
        <f>SUM(МСФО_ввод!F151,МСФО_ввод!F157)</f>
        <v>13.423999999999999</v>
      </c>
      <c r="G16" s="405">
        <f>SUM(МСФО_ввод!G151,МСФО_ввод!G157)</f>
        <v>3.1909999999999998</v>
      </c>
      <c r="H16" s="405">
        <f>SUM(МСФО_ввод!H151,МСФО_ввод!H157)</f>
        <v>0.14199999999999999</v>
      </c>
      <c r="I16" s="405">
        <f>SUM(МСФО_ввод!I151,МСФО_ввод!I157)</f>
        <v>7.0000000000000007E-2</v>
      </c>
      <c r="J16" s="405">
        <f>SUM(МСФО_ввод!J151,МСФО_ввод!J157)</f>
        <v>0</v>
      </c>
      <c r="K16" s="405">
        <f>SUM(МСФО_ввод!K151,МСФО_ввод!K157)</f>
        <v>0</v>
      </c>
      <c r="L16" s="372"/>
      <c r="M16" s="635">
        <f t="shared" si="7"/>
        <v>1.4856905340548504E-2</v>
      </c>
      <c r="N16" s="635">
        <f t="shared" si="1"/>
        <v>1.5803520238842236E-2</v>
      </c>
      <c r="O16" s="635">
        <f t="shared" si="2"/>
        <v>3.0103699745642125E-3</v>
      </c>
      <c r="P16" s="635">
        <f t="shared" si="3"/>
        <v>1.0982084507913674E-4</v>
      </c>
      <c r="Q16" s="635">
        <f t="shared" si="4"/>
        <v>4.2979907507239051E-5</v>
      </c>
      <c r="R16" s="635">
        <f t="shared" si="5"/>
        <v>0</v>
      </c>
      <c r="S16" s="635">
        <f t="shared" si="6"/>
        <v>0</v>
      </c>
      <c r="U16" s="357"/>
      <c r="V16" s="229"/>
      <c r="X16" s="233"/>
    </row>
    <row r="17" spans="1:24" ht="15" x14ac:dyDescent="0.2">
      <c r="A17" s="346"/>
      <c r="B17" s="346" t="s">
        <v>7</v>
      </c>
      <c r="C17" s="2208" t="str">
        <f>МСФО_ввод!D15</f>
        <v>Финансовые активы, имеющиеся в наличии для продажи</v>
      </c>
      <c r="D17" s="2208"/>
      <c r="E17" s="373">
        <f>МСФО_ввод!E15</f>
        <v>15.032</v>
      </c>
      <c r="F17" s="373">
        <f>МСФО_ввод!F15</f>
        <v>14.723000000000001</v>
      </c>
      <c r="G17" s="373">
        <f>МСФО_ввод!G15</f>
        <v>18.257999999999999</v>
      </c>
      <c r="H17" s="373">
        <f>МСФО_ввод!H15</f>
        <v>25.792000000000002</v>
      </c>
      <c r="I17" s="373">
        <f>МСФО_ввод!I15</f>
        <v>28.827999999999999</v>
      </c>
      <c r="J17" s="373">
        <f>МСФО_ввод!J15</f>
        <v>10.8</v>
      </c>
      <c r="K17" s="373">
        <f>МСФО_ввод!K15</f>
        <v>25.8</v>
      </c>
      <c r="L17" s="302"/>
      <c r="M17" s="634">
        <f t="shared" si="7"/>
        <v>1.8216068603517547E-2</v>
      </c>
      <c r="N17" s="634">
        <f t="shared" si="1"/>
        <v>1.7332779236924483E-2</v>
      </c>
      <c r="O17" s="634">
        <f t="shared" si="2"/>
        <v>1.7224486053147411E-2</v>
      </c>
      <c r="P17" s="634">
        <f t="shared" si="3"/>
        <v>1.9947177720289404E-2</v>
      </c>
      <c r="Q17" s="634">
        <f t="shared" si="4"/>
        <v>1.7700353908838388E-2</v>
      </c>
      <c r="R17" s="634">
        <f t="shared" si="5"/>
        <v>5.0725658729040444E-3</v>
      </c>
      <c r="S17" s="634">
        <f t="shared" si="6"/>
        <v>1.7095149748210973E-2</v>
      </c>
      <c r="U17" s="200"/>
      <c r="V17" s="41"/>
      <c r="X17" s="7"/>
    </row>
    <row r="18" spans="1:24" s="71" customFormat="1" outlineLevel="1" x14ac:dyDescent="0.2">
      <c r="A18" s="369"/>
      <c r="B18" s="369"/>
      <c r="C18" s="370"/>
      <c r="D18" s="371" t="s">
        <v>487</v>
      </c>
      <c r="E18" s="405">
        <f>SUM(МСФО_ввод!E291)</f>
        <v>0</v>
      </c>
      <c r="F18" s="405">
        <f>SUM(МСФО_ввод!F291)</f>
        <v>0</v>
      </c>
      <c r="G18" s="405">
        <f>SUM(МСФО_ввод!G291)</f>
        <v>10.205</v>
      </c>
      <c r="H18" s="405">
        <f>SUM(МСФО_ввод!H291)</f>
        <v>19.818999999999999</v>
      </c>
      <c r="I18" s="405">
        <f>SUM(МСФО_ввод!I291)</f>
        <v>23.951000000000001</v>
      </c>
      <c r="J18" s="405">
        <f>SUM(МСФО_ввод!J291)</f>
        <v>6.6</v>
      </c>
      <c r="K18" s="405">
        <f>SUM(МСФО_ввод!K291)</f>
        <v>21.4</v>
      </c>
      <c r="L18" s="372"/>
      <c r="M18" s="635">
        <f t="shared" si="7"/>
        <v>0</v>
      </c>
      <c r="N18" s="635">
        <f t="shared" si="1"/>
        <v>0</v>
      </c>
      <c r="O18" s="635">
        <f t="shared" si="2"/>
        <v>9.6273348763484135E-3</v>
      </c>
      <c r="P18" s="635">
        <f t="shared" si="3"/>
        <v>1.5327741750869093E-2</v>
      </c>
      <c r="Q18" s="635">
        <f t="shared" si="4"/>
        <v>1.4705882352941178E-2</v>
      </c>
      <c r="R18" s="635">
        <f t="shared" si="5"/>
        <v>3.0999013667746935E-3</v>
      </c>
      <c r="S18" s="635">
        <f t="shared" si="6"/>
        <v>1.417969785316724E-2</v>
      </c>
      <c r="U18" s="357"/>
      <c r="V18" s="229"/>
      <c r="X18" s="233"/>
    </row>
    <row r="19" spans="1:24" s="71" customFormat="1" outlineLevel="1" x14ac:dyDescent="0.2">
      <c r="A19" s="369"/>
      <c r="B19" s="369"/>
      <c r="C19" s="370"/>
      <c r="D19" s="371" t="str">
        <f>МСФО_ввод!D296</f>
        <v>Облигации субъектов РФ и местных органов власти</v>
      </c>
      <c r="E19" s="405">
        <f>SUM(МСФО_ввод!E296)</f>
        <v>4.7E-2</v>
      </c>
      <c r="F19" s="405">
        <f>SUM(МСФО_ввод!F296)</f>
        <v>0</v>
      </c>
      <c r="G19" s="405">
        <f>SUM(МСФО_ввод!G296)</f>
        <v>0</v>
      </c>
      <c r="H19" s="405">
        <f>SUM(МСФО_ввод!H296)</f>
        <v>0</v>
      </c>
      <c r="I19" s="405">
        <f>SUM(МСФО_ввод!I296)</f>
        <v>0</v>
      </c>
      <c r="J19" s="405">
        <f>SUM(МСФО_ввод!J296)</f>
        <v>0</v>
      </c>
      <c r="K19" s="405">
        <f>SUM(МСФО_ввод!K296)</f>
        <v>0</v>
      </c>
      <c r="L19" s="372"/>
      <c r="M19" s="635">
        <f t="shared" si="7"/>
        <v>5.6955509869965719E-5</v>
      </c>
      <c r="N19" s="635">
        <f t="shared" si="1"/>
        <v>0</v>
      </c>
      <c r="O19" s="635">
        <f t="shared" si="2"/>
        <v>0</v>
      </c>
      <c r="P19" s="635">
        <f t="shared" si="3"/>
        <v>0</v>
      </c>
      <c r="Q19" s="635">
        <f t="shared" si="4"/>
        <v>0</v>
      </c>
      <c r="R19" s="635">
        <f t="shared" si="5"/>
        <v>0</v>
      </c>
      <c r="S19" s="635">
        <f t="shared" si="6"/>
        <v>0</v>
      </c>
      <c r="U19" s="357"/>
      <c r="V19" s="229"/>
      <c r="X19" s="233"/>
    </row>
    <row r="20" spans="1:24" ht="33.75" customHeight="1" x14ac:dyDescent="0.2">
      <c r="A20" s="346"/>
      <c r="B20" s="346" t="s">
        <v>9</v>
      </c>
      <c r="C20" s="2208" t="str">
        <f>МСФО_ввод!D16</f>
        <v>Инвестиционные ценные бумаги, удерживаемые для погашения</v>
      </c>
      <c r="D20" s="2208"/>
      <c r="E20" s="373">
        <f>SUM(МСФО_ввод!E16)</f>
        <v>0.26500000000000001</v>
      </c>
      <c r="F20" s="373">
        <f>МСФО_ввод!F16</f>
        <v>0.41799999999999998</v>
      </c>
      <c r="G20" s="373">
        <f>МСФО_ввод!G16</f>
        <v>0.32400000000000001</v>
      </c>
      <c r="H20" s="373">
        <f>МСФО_ввод!H16</f>
        <v>0.13200000000000001</v>
      </c>
      <c r="I20" s="373">
        <f>МСФО_ввод!I16</f>
        <v>4.0000000000000001E-3</v>
      </c>
      <c r="J20" s="373">
        <f>МСФО_ввод!J16</f>
        <v>0</v>
      </c>
      <c r="K20" s="373">
        <f>МСФО_ввод!K16</f>
        <v>16</v>
      </c>
      <c r="L20" s="302"/>
      <c r="M20" s="634">
        <f t="shared" si="7"/>
        <v>3.2113213011789184E-4</v>
      </c>
      <c r="N20" s="634">
        <f t="shared" si="1"/>
        <v>4.9209411947527223E-4</v>
      </c>
      <c r="O20" s="634">
        <f t="shared" si="2"/>
        <v>3.0565962762732837E-4</v>
      </c>
      <c r="P20" s="634">
        <f t="shared" si="3"/>
        <v>1.0208698274962008E-4</v>
      </c>
      <c r="Q20" s="634">
        <f t="shared" si="4"/>
        <v>2.4559947146993743E-6</v>
      </c>
      <c r="R20" s="634">
        <f t="shared" si="5"/>
        <v>0</v>
      </c>
      <c r="S20" s="634">
        <f t="shared" si="6"/>
        <v>1.0601643254704479E-2</v>
      </c>
      <c r="U20" s="200"/>
      <c r="V20" s="41"/>
      <c r="X20" s="7"/>
    </row>
    <row r="21" spans="1:24" s="71" customFormat="1" outlineLevel="1" x14ac:dyDescent="0.2">
      <c r="A21" s="369"/>
      <c r="B21" s="369"/>
      <c r="C21" s="370"/>
      <c r="D21" s="371" t="str">
        <f>МСФО_ввод!D304</f>
        <v>ОФЗ</v>
      </c>
      <c r="E21" s="405">
        <f>SUM(МСФО_ввод!E304)</f>
        <v>6.6000000000000003E-2</v>
      </c>
      <c r="F21" s="405">
        <f>SUM(МСФО_ввод!F304)</f>
        <v>4.5499999999999999E-2</v>
      </c>
      <c r="G21" s="405">
        <f>SUM(МСФО_ввод!G304)</f>
        <v>0.11799999999999999</v>
      </c>
      <c r="H21" s="405">
        <f>SUM(МСФО_ввод!H304)</f>
        <v>0</v>
      </c>
      <c r="I21" s="405">
        <f>SUM(МСФО_ввод!I304)</f>
        <v>0</v>
      </c>
      <c r="J21" s="405">
        <f>SUM(МСФО_ввод!J304)</f>
        <v>0</v>
      </c>
      <c r="K21" s="405">
        <f>SUM(МСФО_ввод!K304)</f>
        <v>0</v>
      </c>
      <c r="L21" s="372"/>
      <c r="M21" s="635">
        <f t="shared" si="7"/>
        <v>7.9980077689739099E-5</v>
      </c>
      <c r="N21" s="635">
        <f t="shared" si="1"/>
        <v>5.3565268985944703E-5</v>
      </c>
      <c r="O21" s="635">
        <f t="shared" si="2"/>
        <v>1.1132048166674304E-4</v>
      </c>
      <c r="P21" s="635">
        <f t="shared" si="3"/>
        <v>0</v>
      </c>
      <c r="Q21" s="635">
        <f t="shared" si="4"/>
        <v>0</v>
      </c>
      <c r="R21" s="635">
        <f t="shared" si="5"/>
        <v>0</v>
      </c>
      <c r="S21" s="635">
        <f t="shared" si="6"/>
        <v>0</v>
      </c>
      <c r="U21" s="357"/>
      <c r="V21" s="229"/>
      <c r="X21" s="233"/>
    </row>
    <row r="22" spans="1:24" s="71" customFormat="1" outlineLevel="1" x14ac:dyDescent="0.2">
      <c r="A22" s="369"/>
      <c r="B22" s="369"/>
      <c r="C22" s="370"/>
      <c r="D22" s="371" t="str">
        <f>МСФО_ввод!D303</f>
        <v>Облигации МФ РФ, субъектов РФ и местных органов власти</v>
      </c>
      <c r="E22" s="405">
        <f>SUM(МСФО_ввод!E303)</f>
        <v>0</v>
      </c>
      <c r="F22" s="405">
        <f>SUM(МСФО_ввод!F303)</f>
        <v>0</v>
      </c>
      <c r="G22" s="405">
        <f>SUM(МСФО_ввод!G303)</f>
        <v>0</v>
      </c>
      <c r="H22" s="405">
        <f>SUM(МСФО_ввод!H303)</f>
        <v>3.5999999999999997E-2</v>
      </c>
      <c r="I22" s="405">
        <f>SUM(МСФО_ввод!I303)</f>
        <v>4.0000000000000001E-3</v>
      </c>
      <c r="J22" s="405">
        <f>SUM(МСФО_ввод!J303)</f>
        <v>0</v>
      </c>
      <c r="K22" s="405">
        <f>SUM(МСФО_ввод!K303)</f>
        <v>16</v>
      </c>
      <c r="L22" s="372"/>
      <c r="M22" s="635">
        <f t="shared" si="7"/>
        <v>0</v>
      </c>
      <c r="N22" s="635">
        <f t="shared" si="1"/>
        <v>0</v>
      </c>
      <c r="O22" s="635">
        <f t="shared" si="2"/>
        <v>0</v>
      </c>
      <c r="P22" s="635">
        <f t="shared" si="3"/>
        <v>2.784190438626002E-5</v>
      </c>
      <c r="Q22" s="635">
        <f t="shared" si="4"/>
        <v>2.4559947146993743E-6</v>
      </c>
      <c r="R22" s="635">
        <f t="shared" si="5"/>
        <v>0</v>
      </c>
      <c r="S22" s="635">
        <f t="shared" si="6"/>
        <v>1.0601643254704479E-2</v>
      </c>
      <c r="U22" s="357"/>
      <c r="V22" s="229"/>
      <c r="X22" s="233"/>
    </row>
    <row r="23" spans="1:24" ht="18.75" customHeight="1" x14ac:dyDescent="0.2">
      <c r="A23" s="346"/>
      <c r="B23" s="346" t="s">
        <v>478</v>
      </c>
      <c r="C23" s="2208" t="str">
        <f>МСФО_ввод!D12</f>
        <v>Финансовые активы, заложенные по договорам "репо"</v>
      </c>
      <c r="D23" s="2208"/>
      <c r="E23" s="373">
        <f>МСФО_ввод!E12</f>
        <v>4.9359999999999999</v>
      </c>
      <c r="F23" s="373">
        <f>МСФО_ввод!F12</f>
        <v>38.174999999999997</v>
      </c>
      <c r="G23" s="373">
        <f>МСФО_ввод!G12</f>
        <v>185.24700000000001</v>
      </c>
      <c r="H23" s="373">
        <f>МСФО_ввод!H12</f>
        <v>263.09800000000001</v>
      </c>
      <c r="I23" s="373">
        <f>МСФО_ввод!I12</f>
        <v>273.14499999999998</v>
      </c>
      <c r="J23" s="373">
        <f>МСФО_ввод!J12</f>
        <v>281.5</v>
      </c>
      <c r="K23" s="373">
        <f>МСФО_ввод!K12</f>
        <v>126.7</v>
      </c>
      <c r="L23" s="302"/>
      <c r="M23" s="634">
        <f t="shared" si="7"/>
        <v>5.9815403557053363E-3</v>
      </c>
      <c r="N23" s="634">
        <f t="shared" si="1"/>
        <v>4.4941849308537118E-2</v>
      </c>
      <c r="O23" s="634">
        <f t="shared" si="2"/>
        <v>0.17476089209592502</v>
      </c>
      <c r="P23" s="634">
        <f t="shared" si="3"/>
        <v>0.20347637111711778</v>
      </c>
      <c r="Q23" s="634">
        <f t="shared" si="4"/>
        <v>0.16771066908664012</v>
      </c>
      <c r="R23" s="634">
        <f t="shared" si="5"/>
        <v>0.13221549011319336</v>
      </c>
      <c r="S23" s="634">
        <f t="shared" si="6"/>
        <v>8.3951762523191101E-2</v>
      </c>
      <c r="U23" s="200"/>
      <c r="V23" s="41"/>
      <c r="X23" s="7"/>
    </row>
    <row r="24" spans="1:24" ht="15" x14ac:dyDescent="0.2">
      <c r="A24" s="346"/>
      <c r="B24" s="346" t="s">
        <v>479</v>
      </c>
      <c r="C24" s="2208" t="str">
        <f>МСФО_ввод!D17</f>
        <v>Инвестиции в ассоциированные компании</v>
      </c>
      <c r="D24" s="2208"/>
      <c r="E24" s="373">
        <f>МСФО_ввод!E17</f>
        <v>3.82</v>
      </c>
      <c r="F24" s="373">
        <f>МСФО_ввод!F17</f>
        <v>3.2469999999999999</v>
      </c>
      <c r="G24" s="373">
        <f>МСФО_ввод!G17</f>
        <v>3.121</v>
      </c>
      <c r="H24" s="373">
        <f>МСФО_ввод!H17</f>
        <v>0.75600000000000001</v>
      </c>
      <c r="I24" s="373">
        <f>МСФО_ввод!I17</f>
        <v>1.008</v>
      </c>
      <c r="J24" s="373">
        <f>МСФО_ввод!J17</f>
        <v>1.8</v>
      </c>
      <c r="K24" s="373">
        <f>МСФО_ввод!K17</f>
        <v>2.4</v>
      </c>
      <c r="L24" s="302"/>
      <c r="M24" s="634">
        <f t="shared" si="7"/>
        <v>4.6291499511333838E-3</v>
      </c>
      <c r="N24" s="634">
        <f t="shared" si="1"/>
        <v>3.822558865876098E-3</v>
      </c>
      <c r="O24" s="634">
        <f t="shared" si="2"/>
        <v>2.9443324006941107E-3</v>
      </c>
      <c r="P24" s="634">
        <f t="shared" si="3"/>
        <v>5.8467999211146053E-4</v>
      </c>
      <c r="Q24" s="634">
        <f t="shared" si="4"/>
        <v>6.1891066810424225E-4</v>
      </c>
      <c r="R24" s="634">
        <f t="shared" si="5"/>
        <v>8.4542764548400733E-4</v>
      </c>
      <c r="S24" s="634">
        <f t="shared" si="6"/>
        <v>1.5902464882056719E-3</v>
      </c>
      <c r="U24" s="200"/>
      <c r="V24" s="41"/>
      <c r="X24" s="7"/>
    </row>
    <row r="25" spans="1:24" s="2" customFormat="1" ht="15.75" x14ac:dyDescent="0.25">
      <c r="A25" s="348" t="s">
        <v>220</v>
      </c>
      <c r="B25" s="348"/>
      <c r="C25" s="343"/>
      <c r="D25" s="344"/>
      <c r="E25" s="390">
        <f>SUM(E26:E27)</f>
        <v>558.16449999999998</v>
      </c>
      <c r="F25" s="390">
        <f t="shared" ref="F25:K25" si="9">SUM(F26:F27)</f>
        <v>505.67500000000001</v>
      </c>
      <c r="G25" s="390">
        <f t="shared" si="9"/>
        <v>533.73560000000009</v>
      </c>
      <c r="H25" s="390">
        <f t="shared" si="9"/>
        <v>649.99400000000003</v>
      </c>
      <c r="I25" s="390">
        <f t="shared" si="9"/>
        <v>909.07600000000002</v>
      </c>
      <c r="J25" s="390">
        <f t="shared" si="9"/>
        <v>1096.3</v>
      </c>
      <c r="K25" s="390">
        <f t="shared" si="9"/>
        <v>954.40000000000009</v>
      </c>
      <c r="L25" s="325"/>
      <c r="M25" s="633">
        <f t="shared" si="7"/>
        <v>0.67639454657052089</v>
      </c>
      <c r="N25" s="633">
        <f t="shared" si="1"/>
        <v>0.59531027240588108</v>
      </c>
      <c r="O25" s="633">
        <f t="shared" si="2"/>
        <v>0.50352291588718745</v>
      </c>
      <c r="P25" s="633">
        <f t="shared" si="3"/>
        <v>0.50269641110118601</v>
      </c>
      <c r="Q25" s="633">
        <f t="shared" si="4"/>
        <v>0.55817146281501206</v>
      </c>
      <c r="R25" s="633">
        <f t="shared" si="5"/>
        <v>0.51491240430228735</v>
      </c>
      <c r="S25" s="633">
        <f t="shared" si="6"/>
        <v>0.63238802014312223</v>
      </c>
      <c r="U25" s="199"/>
      <c r="V25" s="198"/>
      <c r="X25" s="14"/>
    </row>
    <row r="26" spans="1:24" ht="15" outlineLevel="1" x14ac:dyDescent="0.2">
      <c r="A26" s="346"/>
      <c r="B26" s="346" t="s">
        <v>10</v>
      </c>
      <c r="C26" s="345" t="str">
        <f>МСФО_ввод!D186</f>
        <v>Кредиты юридическим лицам</v>
      </c>
      <c r="D26" s="347"/>
      <c r="E26" s="373">
        <f>МСФО_ввод!E191+МСФО_ввод!E243</f>
        <v>483.45549999999997</v>
      </c>
      <c r="F26" s="373">
        <f>МСФО_ввод!F191+МСФО_ввод!F243</f>
        <v>439.83500000000004</v>
      </c>
      <c r="G26" s="373">
        <f>МСФО_ввод!G191+МСФО_ввод!G243</f>
        <v>472.01460000000009</v>
      </c>
      <c r="H26" s="373">
        <f>МСФО_ввод!H191+МСФО_ввод!H243</f>
        <v>562.32600000000002</v>
      </c>
      <c r="I26" s="373">
        <f>МСФО_ввод!I191+МСФО_ввод!I243</f>
        <v>747.99299999999994</v>
      </c>
      <c r="J26" s="373">
        <f>МСФО_ввод!J191+МСФО_ввод!J243</f>
        <v>873.8</v>
      </c>
      <c r="K26" s="373">
        <f>МСФО_ввод!K191+МСФО_ввод!K243</f>
        <v>698</v>
      </c>
      <c r="L26" s="302"/>
      <c r="M26" s="636">
        <f t="shared" si="7"/>
        <v>0.58586073408381301</v>
      </c>
      <c r="N26" s="636">
        <f t="shared" si="1"/>
        <v>0.51779956229523061</v>
      </c>
      <c r="O26" s="636">
        <f t="shared" si="2"/>
        <v>0.44529570021809378</v>
      </c>
      <c r="P26" s="636">
        <f t="shared" si="3"/>
        <v>0.43489518683077927</v>
      </c>
      <c r="Q26" s="634">
        <f t="shared" si="4"/>
        <v>0.45926671365803218</v>
      </c>
      <c r="R26" s="634">
        <f t="shared" si="5"/>
        <v>0.41040815367995864</v>
      </c>
      <c r="S26" s="634">
        <f t="shared" si="6"/>
        <v>0.46249668698648289</v>
      </c>
      <c r="U26" s="200"/>
      <c r="V26" s="41"/>
      <c r="X26" s="96"/>
    </row>
    <row r="27" spans="1:24" ht="15" outlineLevel="1" x14ac:dyDescent="0.2">
      <c r="A27" s="346"/>
      <c r="B27" s="346" t="s">
        <v>11</v>
      </c>
      <c r="C27" s="345" t="str">
        <f>МСФО_ввод!D193</f>
        <v>Кредиты физическим лицам</v>
      </c>
      <c r="D27" s="347"/>
      <c r="E27" s="373">
        <f>МСФО_ввод!E199+МСФО_ввод!E252</f>
        <v>74.709000000000017</v>
      </c>
      <c r="F27" s="373">
        <f>МСФО_ввод!F199+МСФО_ввод!F252</f>
        <v>65.839999999999989</v>
      </c>
      <c r="G27" s="373">
        <f>МСФО_ввод!G199+МСФО_ввод!G252</f>
        <v>61.721000000000011</v>
      </c>
      <c r="H27" s="373">
        <f>МСФО_ввод!H199+МСФО_ввод!H252</f>
        <v>87.668000000000006</v>
      </c>
      <c r="I27" s="373">
        <f>МСФО_ввод!I199+МСФО_ввод!I252</f>
        <v>161.08300000000003</v>
      </c>
      <c r="J27" s="373">
        <f>МСФО_ввод!J199+МСФО_ввод!J252</f>
        <v>222.5</v>
      </c>
      <c r="K27" s="373">
        <f>МСФО_ввод!K199+МСФО_ввод!K252</f>
        <v>256.40000000000003</v>
      </c>
      <c r="L27" s="302"/>
      <c r="M27" s="636">
        <f t="shared" si="7"/>
        <v>9.0533812486707874E-2</v>
      </c>
      <c r="N27" s="636">
        <f t="shared" si="1"/>
        <v>7.7510710110650527E-2</v>
      </c>
      <c r="O27" s="636">
        <f t="shared" si="2"/>
        <v>5.822721566909364E-2</v>
      </c>
      <c r="P27" s="636">
        <f t="shared" si="3"/>
        <v>6.7801224270406774E-2</v>
      </c>
      <c r="Q27" s="634">
        <f t="shared" si="4"/>
        <v>9.8904749156979832E-2</v>
      </c>
      <c r="R27" s="634">
        <f t="shared" si="5"/>
        <v>0.10450425062232868</v>
      </c>
      <c r="S27" s="634">
        <f t="shared" si="6"/>
        <v>0.16989133315663929</v>
      </c>
      <c r="U27" s="200"/>
      <c r="V27" s="41"/>
      <c r="X27" s="96"/>
    </row>
    <row r="28" spans="1:24" s="2" customFormat="1" ht="15.75" x14ac:dyDescent="0.25">
      <c r="A28" s="348" t="s">
        <v>12</v>
      </c>
      <c r="B28" s="348"/>
      <c r="C28" s="343"/>
      <c r="D28" s="344"/>
      <c r="E28" s="390">
        <f>SUM(E29:E31)</f>
        <v>17.283999999999999</v>
      </c>
      <c r="F28" s="390">
        <f t="shared" ref="F28:K28" si="10">SUM(F29:F31)</f>
        <v>19.603000000000002</v>
      </c>
      <c r="G28" s="390">
        <f t="shared" si="10"/>
        <v>34.572000000000003</v>
      </c>
      <c r="H28" s="390">
        <f t="shared" si="10"/>
        <v>54.191000000000003</v>
      </c>
      <c r="I28" s="390">
        <f t="shared" si="10"/>
        <v>79.192999999999998</v>
      </c>
      <c r="J28" s="390">
        <f t="shared" si="10"/>
        <v>85.8</v>
      </c>
      <c r="K28" s="390">
        <f t="shared" si="10"/>
        <v>88.7</v>
      </c>
      <c r="L28" s="325"/>
      <c r="M28" s="633">
        <f t="shared" si="7"/>
        <v>2.0945085799840158E-2</v>
      </c>
      <c r="N28" s="633">
        <f t="shared" si="1"/>
        <v>2.3077801492999431E-2</v>
      </c>
      <c r="O28" s="633">
        <f t="shared" si="2"/>
        <v>3.2615014340530858E-2</v>
      </c>
      <c r="P28" s="633">
        <f t="shared" si="3"/>
        <v>4.1910573349883802E-2</v>
      </c>
      <c r="Q28" s="633">
        <f t="shared" si="4"/>
        <v>4.8624397360296882E-2</v>
      </c>
      <c r="R28" s="633">
        <f t="shared" si="5"/>
        <v>4.0298717768071014E-2</v>
      </c>
      <c r="S28" s="633">
        <f t="shared" si="6"/>
        <v>5.8772859793267955E-2</v>
      </c>
      <c r="U28" s="199"/>
      <c r="V28" s="198"/>
      <c r="X28" s="14"/>
    </row>
    <row r="29" spans="1:24" ht="15" outlineLevel="1" x14ac:dyDescent="0.2">
      <c r="A29" s="346"/>
      <c r="B29" s="346" t="s">
        <v>480</v>
      </c>
      <c r="C29" s="345" t="str">
        <f>МСФО_ввод!D18</f>
        <v>Основные средства и нематериальные активы</v>
      </c>
      <c r="D29" s="347"/>
      <c r="E29" s="373">
        <f>МСФО_ввод!E18</f>
        <v>17.283999999999999</v>
      </c>
      <c r="F29" s="373">
        <f>МСФО_ввод!F18</f>
        <v>15.965</v>
      </c>
      <c r="G29" s="373">
        <f>МСФО_ввод!G18</f>
        <v>20.457000000000001</v>
      </c>
      <c r="H29" s="373">
        <f>МСФО_ввод!H18</f>
        <v>33.881</v>
      </c>
      <c r="I29" s="373">
        <f>МСФО_ввод!I18</f>
        <v>40.747</v>
      </c>
      <c r="J29" s="373">
        <f>МСФО_ввод!J18</f>
        <v>66.400000000000006</v>
      </c>
      <c r="K29" s="373">
        <f>МСФО_ввод!K18</f>
        <v>52.3</v>
      </c>
      <c r="L29" s="302"/>
      <c r="M29" s="636">
        <f t="shared" si="7"/>
        <v>2.0945085799840158E-2</v>
      </c>
      <c r="N29" s="636">
        <f t="shared" si="1"/>
        <v>1.8794934491441918E-2</v>
      </c>
      <c r="O29" s="636">
        <f t="shared" si="2"/>
        <v>1.9299009266581041E-2</v>
      </c>
      <c r="P29" s="636">
        <f t="shared" si="3"/>
        <v>2.6203098958635439E-2</v>
      </c>
      <c r="Q29" s="634">
        <f t="shared" si="4"/>
        <v>2.5018604159963851E-2</v>
      </c>
      <c r="R29" s="634">
        <f t="shared" si="5"/>
        <v>3.1186886477854496E-2</v>
      </c>
      <c r="S29" s="634">
        <f t="shared" si="6"/>
        <v>3.4654121388815261E-2</v>
      </c>
      <c r="U29" s="200"/>
      <c r="V29" s="41"/>
      <c r="X29" s="96"/>
    </row>
    <row r="30" spans="1:24" ht="15" outlineLevel="1" x14ac:dyDescent="0.2">
      <c r="A30" s="346"/>
      <c r="B30" s="346" t="s">
        <v>481</v>
      </c>
      <c r="C30" s="345" t="str">
        <f>МСФО_ввод!D19</f>
        <v>Инвестиционная недвижимость</v>
      </c>
      <c r="D30" s="347"/>
      <c r="E30" s="373">
        <f>МСФО_ввод!E19</f>
        <v>0</v>
      </c>
      <c r="F30" s="373">
        <f>МСФО_ввод!F19</f>
        <v>3.6379999999999999</v>
      </c>
      <c r="G30" s="373">
        <f>МСФО_ввод!G19</f>
        <v>3.7850000000000001</v>
      </c>
      <c r="H30" s="373">
        <f>МСФО_ввод!H19</f>
        <v>5.0759999999999996</v>
      </c>
      <c r="I30" s="373">
        <f>МСФО_ввод!I19</f>
        <v>14.034000000000001</v>
      </c>
      <c r="J30" s="373">
        <f>МСФО_ввод!J19</f>
        <v>19.100000000000001</v>
      </c>
      <c r="K30" s="373">
        <f>МСФО_ввод!K19</f>
        <v>28</v>
      </c>
      <c r="L30" s="302"/>
      <c r="M30" s="636">
        <f t="shared" si="7"/>
        <v>0</v>
      </c>
      <c r="N30" s="636">
        <f t="shared" si="1"/>
        <v>4.2828670015575129E-3</v>
      </c>
      <c r="O30" s="636">
        <f t="shared" si="2"/>
        <v>3.5707459585476481E-3</v>
      </c>
      <c r="P30" s="636">
        <f t="shared" si="3"/>
        <v>3.9257085184626625E-3</v>
      </c>
      <c r="Q30" s="634">
        <f t="shared" si="4"/>
        <v>8.616857456522754E-3</v>
      </c>
      <c r="R30" s="634">
        <f t="shared" si="5"/>
        <v>8.9709266826358564E-3</v>
      </c>
      <c r="S30" s="634">
        <f t="shared" si="6"/>
        <v>1.8552875695732839E-2</v>
      </c>
      <c r="U30" s="200"/>
      <c r="V30" s="41"/>
      <c r="X30" s="96"/>
    </row>
    <row r="31" spans="1:24" ht="15" outlineLevel="1" x14ac:dyDescent="0.2">
      <c r="A31" s="346"/>
      <c r="B31" s="346" t="s">
        <v>482</v>
      </c>
      <c r="C31" s="345" t="str">
        <f>МСФО_ввод!D20</f>
        <v>Активы, предназначенные для продажи</v>
      </c>
      <c r="D31" s="347"/>
      <c r="E31" s="373">
        <f>МСФО_ввод!E20</f>
        <v>0</v>
      </c>
      <c r="F31" s="373">
        <f>МСФО_ввод!F20</f>
        <v>0</v>
      </c>
      <c r="G31" s="373">
        <f>МСФО_ввод!G20</f>
        <v>10.33</v>
      </c>
      <c r="H31" s="373">
        <f>МСФО_ввод!H20</f>
        <v>15.234</v>
      </c>
      <c r="I31" s="373">
        <f>МСФО_ввод!I20</f>
        <v>24.411999999999999</v>
      </c>
      <c r="J31" s="373">
        <f>МСФО_ввод!J20</f>
        <v>0.3</v>
      </c>
      <c r="K31" s="373">
        <f>МСФО_ввод!K20</f>
        <v>8.4</v>
      </c>
      <c r="L31" s="302"/>
      <c r="M31" s="636">
        <f t="shared" si="7"/>
        <v>0</v>
      </c>
      <c r="N31" s="636">
        <f t="shared" si="1"/>
        <v>0</v>
      </c>
      <c r="O31" s="636">
        <f t="shared" si="2"/>
        <v>9.7452591154021679E-3</v>
      </c>
      <c r="P31" s="636">
        <f t="shared" si="3"/>
        <v>1.1781765872785699E-2</v>
      </c>
      <c r="Q31" s="634">
        <f t="shared" si="4"/>
        <v>1.4988935743810279E-2</v>
      </c>
      <c r="R31" s="634">
        <f t="shared" si="5"/>
        <v>1.409046075806679E-4</v>
      </c>
      <c r="S31" s="634">
        <f t="shared" si="6"/>
        <v>5.5658627087198514E-3</v>
      </c>
      <c r="U31" s="200"/>
      <c r="V31" s="41"/>
      <c r="X31" s="96"/>
    </row>
    <row r="32" spans="1:24" s="2" customFormat="1" ht="15.75" x14ac:dyDescent="0.25">
      <c r="A32" s="348" t="s">
        <v>13</v>
      </c>
      <c r="B32" s="348"/>
      <c r="C32" s="343"/>
      <c r="D32" s="344"/>
      <c r="E32" s="390">
        <f>SUM(E33:E35)</f>
        <v>4.6479999999999997</v>
      </c>
      <c r="F32" s="390">
        <f t="shared" ref="F32:K32" si="11">SUM(F33:F35)</f>
        <v>24.378</v>
      </c>
      <c r="G32" s="390">
        <f t="shared" si="11"/>
        <v>19.882000000000001</v>
      </c>
      <c r="H32" s="390">
        <f t="shared" si="11"/>
        <v>21.472000000000001</v>
      </c>
      <c r="I32" s="390">
        <f t="shared" si="11"/>
        <v>19.512</v>
      </c>
      <c r="J32" s="390">
        <f t="shared" si="11"/>
        <v>31.2</v>
      </c>
      <c r="K32" s="390">
        <f t="shared" si="11"/>
        <v>21.1</v>
      </c>
      <c r="L32" s="325"/>
      <c r="M32" s="633">
        <f t="shared" si="7"/>
        <v>5.6325363803319288E-3</v>
      </c>
      <c r="N32" s="633">
        <f t="shared" si="1"/>
        <v>2.8699211589876046E-2</v>
      </c>
      <c r="O32" s="633">
        <f t="shared" si="2"/>
        <v>1.8756557766933777E-2</v>
      </c>
      <c r="P32" s="633">
        <f t="shared" si="3"/>
        <v>1.6606149193938203E-2</v>
      </c>
      <c r="Q32" s="633">
        <f t="shared" si="4"/>
        <v>1.1980342218303547E-2</v>
      </c>
      <c r="R32" s="633">
        <f t="shared" si="5"/>
        <v>1.4654079188389461E-2</v>
      </c>
      <c r="S32" s="633">
        <f t="shared" si="6"/>
        <v>1.3980917042141532E-2</v>
      </c>
      <c r="U32" s="199"/>
      <c r="V32" s="198"/>
      <c r="X32" s="14"/>
    </row>
    <row r="33" spans="1:24" ht="15" outlineLevel="1" x14ac:dyDescent="0.2">
      <c r="A33" s="346"/>
      <c r="B33" s="346" t="s">
        <v>483</v>
      </c>
      <c r="C33" s="345" t="str">
        <f>МСФО_ввод!D21</f>
        <v>Текущие налоговые активы</v>
      </c>
      <c r="D33" s="347"/>
      <c r="E33" s="373">
        <f>МСФО_ввод!E21</f>
        <v>0.75</v>
      </c>
      <c r="F33" s="373">
        <f>МСФО_ввод!F21</f>
        <v>3.6709999999999998</v>
      </c>
      <c r="G33" s="373">
        <f>МСФО_ввод!G21</f>
        <v>5.6020000000000003</v>
      </c>
      <c r="H33" s="373">
        <f>МСФО_ввод!H21</f>
        <v>5.0629999999999997</v>
      </c>
      <c r="I33" s="373">
        <f>МСФО_ввод!I21</f>
        <v>4.0579999999999998</v>
      </c>
      <c r="J33" s="373">
        <f>МСФО_ввод!J21</f>
        <v>0.1</v>
      </c>
      <c r="K33" s="373">
        <f>МСФО_ввод!K21</f>
        <v>0.1</v>
      </c>
      <c r="L33" s="302"/>
      <c r="M33" s="636">
        <f t="shared" si="7"/>
        <v>9.0886451920158071E-4</v>
      </c>
      <c r="N33" s="636">
        <f t="shared" si="1"/>
        <v>4.3217165373055609E-3</v>
      </c>
      <c r="O33" s="636">
        <f t="shared" si="2"/>
        <v>5.2848926974330057E-3</v>
      </c>
      <c r="P33" s="636">
        <f t="shared" si="3"/>
        <v>3.915654497434291E-3</v>
      </c>
      <c r="Q33" s="634">
        <f t="shared" si="4"/>
        <v>2.4916066380625151E-3</v>
      </c>
      <c r="R33" s="634">
        <f t="shared" si="5"/>
        <v>4.6968202526889304E-5</v>
      </c>
      <c r="S33" s="634">
        <f t="shared" si="6"/>
        <v>6.626027034190299E-5</v>
      </c>
      <c r="U33" s="200"/>
      <c r="V33" s="41"/>
      <c r="X33" s="96"/>
    </row>
    <row r="34" spans="1:24" ht="15" outlineLevel="1" x14ac:dyDescent="0.2">
      <c r="A34" s="346"/>
      <c r="B34" s="346" t="s">
        <v>484</v>
      </c>
      <c r="C34" s="345" t="str">
        <f>МСФО_ввод!D22</f>
        <v>Отложенные налоговые активы</v>
      </c>
      <c r="D34" s="347"/>
      <c r="E34" s="373">
        <f>МСФО_ввод!E22</f>
        <v>7.5999999999999998E-2</v>
      </c>
      <c r="F34" s="373">
        <f>МСФО_ввод!F22</f>
        <v>14.865</v>
      </c>
      <c r="G34" s="373">
        <f>МСФО_ввод!G22</f>
        <v>9.2040000000000006</v>
      </c>
      <c r="H34" s="373">
        <f>МСФО_ввод!H22</f>
        <v>6.952</v>
      </c>
      <c r="I34" s="373">
        <f>МСФО_ввод!I22</f>
        <v>3.3519999999999999</v>
      </c>
      <c r="J34" s="373">
        <f>МСФО_ввод!J22</f>
        <v>17.899999999999999</v>
      </c>
      <c r="K34" s="373">
        <f>МСФО_ввод!K22</f>
        <v>14.6</v>
      </c>
      <c r="L34" s="302"/>
      <c r="M34" s="636">
        <f t="shared" si="7"/>
        <v>9.2098271279093507E-5</v>
      </c>
      <c r="N34" s="636">
        <f t="shared" si="1"/>
        <v>1.749994996650699E-2</v>
      </c>
      <c r="O34" s="636">
        <f t="shared" si="2"/>
        <v>8.6829975700059587E-3</v>
      </c>
      <c r="P34" s="636">
        <f t="shared" si="3"/>
        <v>5.3765810914799912E-3</v>
      </c>
      <c r="Q34" s="634">
        <f t="shared" si="4"/>
        <v>2.0581235709180756E-3</v>
      </c>
      <c r="R34" s="634">
        <f t="shared" si="5"/>
        <v>8.407308252313183E-3</v>
      </c>
      <c r="S34" s="634">
        <f t="shared" si="6"/>
        <v>9.6739994699178364E-3</v>
      </c>
      <c r="U34" s="200"/>
      <c r="V34" s="41"/>
      <c r="X34" s="96"/>
    </row>
    <row r="35" spans="1:24" ht="15" outlineLevel="1" x14ac:dyDescent="0.2">
      <c r="A35" s="346"/>
      <c r="B35" s="346" t="s">
        <v>485</v>
      </c>
      <c r="C35" s="345" t="str">
        <f>МСФО_ввод!D23</f>
        <v>Прочие активы</v>
      </c>
      <c r="D35" s="347"/>
      <c r="E35" s="373">
        <f>МСФО_ввод!E23</f>
        <v>3.8220000000000001</v>
      </c>
      <c r="F35" s="373">
        <f>МСФО_ввод!F23</f>
        <v>5.8419999999999996</v>
      </c>
      <c r="G35" s="373">
        <f>МСФО_ввод!G23</f>
        <v>5.0759999999999996</v>
      </c>
      <c r="H35" s="373">
        <f>МСФО_ввод!H23</f>
        <v>9.4570000000000007</v>
      </c>
      <c r="I35" s="373">
        <f>МСФО_ввод!I23</f>
        <v>12.102</v>
      </c>
      <c r="J35" s="373">
        <f>МСФО_ввод!J23</f>
        <v>13.2</v>
      </c>
      <c r="K35" s="373">
        <f>МСФО_ввод!K23</f>
        <v>6.4</v>
      </c>
      <c r="L35" s="302"/>
      <c r="M35" s="636">
        <f t="shared" si="7"/>
        <v>4.6315735898512555E-3</v>
      </c>
      <c r="N35" s="636">
        <f t="shared" si="1"/>
        <v>6.8775450860634937E-3</v>
      </c>
      <c r="O35" s="636">
        <f t="shared" si="2"/>
        <v>4.7886674994948109E-3</v>
      </c>
      <c r="P35" s="636">
        <f t="shared" si="3"/>
        <v>7.3139136050239181E-3</v>
      </c>
      <c r="Q35" s="634">
        <f t="shared" si="4"/>
        <v>7.430612009322957E-3</v>
      </c>
      <c r="R35" s="634">
        <f t="shared" si="5"/>
        <v>6.1998027335493869E-3</v>
      </c>
      <c r="S35" s="634">
        <f t="shared" si="6"/>
        <v>4.2406573018817914E-3</v>
      </c>
      <c r="U35" s="200"/>
      <c r="V35" s="41"/>
      <c r="X35" s="96"/>
    </row>
    <row r="36" spans="1:24" s="367" customFormat="1" ht="26.25" customHeight="1" x14ac:dyDescent="0.25">
      <c r="A36" s="363"/>
      <c r="B36" s="364" t="s">
        <v>486</v>
      </c>
      <c r="C36" s="365"/>
      <c r="D36" s="366"/>
      <c r="E36" s="374">
        <f>SUM(E9,E13,E25,E28,E32)</f>
        <v>825.20550000000003</v>
      </c>
      <c r="F36" s="374">
        <f t="shared" ref="F36:S36" si="12">SUM(F9,F13,F25,F28,F32)</f>
        <v>849.43100000000004</v>
      </c>
      <c r="G36" s="374">
        <f t="shared" si="12"/>
        <v>1060.0026000000003</v>
      </c>
      <c r="H36" s="374">
        <f t="shared" si="12"/>
        <v>1293.0149999999999</v>
      </c>
      <c r="I36" s="374">
        <f t="shared" si="12"/>
        <v>1628.6679999999999</v>
      </c>
      <c r="J36" s="374">
        <f t="shared" si="12"/>
        <v>2129.1</v>
      </c>
      <c r="K36" s="374">
        <f t="shared" si="12"/>
        <v>1509.2</v>
      </c>
      <c r="L36" s="300"/>
      <c r="M36" s="637">
        <f t="shared" si="12"/>
        <v>0.99999999999999989</v>
      </c>
      <c r="N36" s="637">
        <f t="shared" si="12"/>
        <v>1</v>
      </c>
      <c r="O36" s="637">
        <f t="shared" si="12"/>
        <v>0.99999999999999978</v>
      </c>
      <c r="P36" s="637">
        <f t="shared" si="12"/>
        <v>1</v>
      </c>
      <c r="Q36" s="637">
        <f t="shared" si="12"/>
        <v>1</v>
      </c>
      <c r="R36" s="638">
        <f t="shared" si="12"/>
        <v>1</v>
      </c>
      <c r="S36" s="638">
        <f t="shared" si="12"/>
        <v>1</v>
      </c>
      <c r="U36" s="355"/>
      <c r="V36" s="356"/>
      <c r="X36" s="368"/>
    </row>
    <row r="37" spans="1:24" s="305" customFormat="1" ht="15.75" x14ac:dyDescent="0.25">
      <c r="A37" s="359"/>
      <c r="B37" s="359" t="s">
        <v>488</v>
      </c>
      <c r="C37" s="360"/>
      <c r="D37" s="361"/>
      <c r="E37" s="406">
        <f>МСФО_ввод!E24-E36</f>
        <v>4.9999999998817657E-4</v>
      </c>
      <c r="F37" s="406">
        <f>МСФО_ввод!F24-F36</f>
        <v>4.4999999999959073E-2</v>
      </c>
      <c r="G37" s="406">
        <f>МСФО_ввод!G24-G36</f>
        <v>-6.0000000007676135E-4</v>
      </c>
      <c r="H37" s="406">
        <f>МСФО_ввод!H24-H36</f>
        <v>0</v>
      </c>
      <c r="I37" s="406">
        <f>МСФО_ввод!I24-I36</f>
        <v>-1.4999999999417923E-2</v>
      </c>
      <c r="J37" s="406">
        <f>МСФО_ввод!J24-J36</f>
        <v>0</v>
      </c>
      <c r="K37" s="406">
        <f>МСФО_ввод!K24-K36</f>
        <v>0</v>
      </c>
      <c r="L37" s="358"/>
      <c r="M37" s="639"/>
      <c r="N37" s="639"/>
      <c r="O37" s="639"/>
      <c r="P37" s="639"/>
      <c r="Q37" s="640"/>
      <c r="R37" s="640"/>
      <c r="S37" s="640"/>
    </row>
    <row r="38" spans="1:24" ht="15" x14ac:dyDescent="0.2">
      <c r="A38" s="349"/>
      <c r="B38" s="349"/>
      <c r="C38" s="350"/>
      <c r="D38" s="351"/>
      <c r="E38" s="373"/>
      <c r="F38" s="373"/>
      <c r="G38" s="373"/>
      <c r="H38" s="373"/>
      <c r="I38" s="373"/>
      <c r="J38" s="373"/>
      <c r="K38" s="373"/>
      <c r="L38" s="302"/>
      <c r="M38" s="641"/>
      <c r="N38" s="641"/>
      <c r="O38" s="641"/>
      <c r="P38" s="641"/>
      <c r="Q38" s="632"/>
      <c r="R38" s="642"/>
      <c r="S38" s="642"/>
    </row>
    <row r="39" spans="1:24" ht="15" x14ac:dyDescent="0.2">
      <c r="A39" s="21"/>
      <c r="B39" s="21"/>
      <c r="C39" s="21"/>
      <c r="D39" s="21"/>
      <c r="E39" s="387" t="s">
        <v>348</v>
      </c>
      <c r="F39" s="387"/>
      <c r="G39" s="387"/>
      <c r="H39" s="387"/>
      <c r="I39" s="387"/>
      <c r="J39" s="387"/>
      <c r="K39" s="387"/>
      <c r="L39" s="21"/>
      <c r="M39" s="643" t="s">
        <v>17</v>
      </c>
      <c r="N39" s="643"/>
      <c r="O39" s="643"/>
      <c r="P39" s="643"/>
      <c r="Q39" s="643"/>
      <c r="R39" s="644"/>
      <c r="S39" s="644"/>
    </row>
    <row r="40" spans="1:24" ht="15" x14ac:dyDescent="0.2">
      <c r="A40" s="341"/>
      <c r="B40" s="341"/>
      <c r="C40" s="341"/>
      <c r="D40" s="341"/>
      <c r="E40" s="301">
        <f>E8</f>
        <v>2009</v>
      </c>
      <c r="F40" s="301">
        <f t="shared" ref="F40:K40" si="13">F8</f>
        <v>2010</v>
      </c>
      <c r="G40" s="301">
        <f t="shared" si="13"/>
        <v>2011</v>
      </c>
      <c r="H40" s="301">
        <f t="shared" si="13"/>
        <v>2012</v>
      </c>
      <c r="I40" s="301">
        <f t="shared" si="13"/>
        <v>2013</v>
      </c>
      <c r="J40" s="301">
        <f t="shared" si="13"/>
        <v>2014</v>
      </c>
      <c r="K40" s="301">
        <f t="shared" si="13"/>
        <v>2015</v>
      </c>
      <c r="L40" s="342"/>
      <c r="M40" s="301">
        <f>M8</f>
        <v>2009</v>
      </c>
      <c r="N40" s="301">
        <f t="shared" ref="N40:S40" si="14">N8</f>
        <v>2010</v>
      </c>
      <c r="O40" s="301">
        <f t="shared" si="14"/>
        <v>2011</v>
      </c>
      <c r="P40" s="301">
        <f t="shared" si="14"/>
        <v>2012</v>
      </c>
      <c r="Q40" s="301">
        <f t="shared" si="14"/>
        <v>2013</v>
      </c>
      <c r="R40" s="301">
        <f t="shared" si="14"/>
        <v>2014</v>
      </c>
      <c r="S40" s="301">
        <f t="shared" si="14"/>
        <v>2015</v>
      </c>
    </row>
    <row r="41" spans="1:24" s="2" customFormat="1" ht="15.75" x14ac:dyDescent="0.25">
      <c r="A41" s="343" t="s">
        <v>2</v>
      </c>
      <c r="B41" s="343" t="str">
        <f>МСФО_ввод!D26</f>
        <v>Средства банков</v>
      </c>
      <c r="C41" s="343"/>
      <c r="D41" s="344"/>
      <c r="E41" s="390">
        <f>SUM(E42:E44)</f>
        <v>100.81699999999999</v>
      </c>
      <c r="F41" s="390">
        <f t="shared" ref="F41:K41" si="15">SUM(F42:F44)</f>
        <v>129.47400000000002</v>
      </c>
      <c r="G41" s="390">
        <f t="shared" si="15"/>
        <v>43.999000000000002</v>
      </c>
      <c r="H41" s="390">
        <f t="shared" si="15"/>
        <v>101.64999999999999</v>
      </c>
      <c r="I41" s="390">
        <f t="shared" si="15"/>
        <v>205.00000000000003</v>
      </c>
      <c r="J41" s="390">
        <f t="shared" si="15"/>
        <v>543.69999999999993</v>
      </c>
      <c r="K41" s="390">
        <f t="shared" si="15"/>
        <v>68.900000000000006</v>
      </c>
      <c r="L41" s="325"/>
      <c r="M41" s="633">
        <f>E41/E$78</f>
        <v>0.12217265854016174</v>
      </c>
      <c r="N41" s="633">
        <f t="shared" ref="N41:N77" si="16">F41/F$78</f>
        <v>0.15241703081443533</v>
      </c>
      <c r="O41" s="633">
        <f t="shared" ref="O41:O77" si="17">G41/G$78</f>
        <v>4.1508059822020715E-2</v>
      </c>
      <c r="P41" s="633">
        <f t="shared" ref="P41:P77" si="18">H41/H$78</f>
        <v>7.8616595410306689E-2</v>
      </c>
      <c r="Q41" s="633">
        <f t="shared" ref="Q41:Q77" si="19">I41/I$78</f>
        <v>0.12585965984861355</v>
      </c>
      <c r="R41" s="633">
        <f t="shared" ref="R41:R77" si="20">J41/J$78</f>
        <v>0.25536611713869706</v>
      </c>
      <c r="S41" s="633">
        <f t="shared" ref="S41:S77" si="21">K41/K$78</f>
        <v>4.5653326265571163E-2</v>
      </c>
      <c r="U41" s="199"/>
      <c r="V41" s="198"/>
      <c r="X41" s="14"/>
    </row>
    <row r="42" spans="1:24" ht="15" outlineLevel="1" x14ac:dyDescent="0.2">
      <c r="A42" s="346"/>
      <c r="B42" s="346" t="s">
        <v>4</v>
      </c>
      <c r="C42" s="2208" t="str">
        <f>МСФО_ввод!D315</f>
        <v>Срочные депозиты и кредиты других банков</v>
      </c>
      <c r="D42" s="2208"/>
      <c r="E42" s="373">
        <f>МСФО_ввод!E315</f>
        <v>91.66</v>
      </c>
      <c r="F42" s="373">
        <f>МСФО_ввод!F315</f>
        <v>83.299000000000007</v>
      </c>
      <c r="G42" s="373">
        <f>МСФО_ввод!G315</f>
        <v>32.133000000000003</v>
      </c>
      <c r="H42" s="373">
        <f>МСФО_ввод!H315</f>
        <v>88.394999999999996</v>
      </c>
      <c r="I42" s="373">
        <f>МСФО_ввод!I315</f>
        <v>161.4</v>
      </c>
      <c r="J42" s="373">
        <f>МСФО_ввод!J315</f>
        <v>531.79999999999995</v>
      </c>
      <c r="K42" s="373">
        <f>МСФО_ввод!K315</f>
        <v>63.7</v>
      </c>
      <c r="L42" s="302"/>
      <c r="M42" s="634">
        <f t="shared" ref="M42:M77" si="22">E42/E$78</f>
        <v>0.11107596815806089</v>
      </c>
      <c r="N42" s="634">
        <f t="shared" si="16"/>
        <v>9.8059735930083644E-2</v>
      </c>
      <c r="O42" s="634">
        <f t="shared" si="17"/>
        <v>3.0313836365849039E-2</v>
      </c>
      <c r="P42" s="634">
        <f t="shared" si="18"/>
        <v>6.8365115113566743E-2</v>
      </c>
      <c r="Q42" s="634">
        <f t="shared" si="19"/>
        <v>9.9091459022274272E-2</v>
      </c>
      <c r="R42" s="634">
        <f t="shared" si="20"/>
        <v>0.24977690103799727</v>
      </c>
      <c r="S42" s="634">
        <f t="shared" si="21"/>
        <v>4.2207792207792208E-2</v>
      </c>
      <c r="U42" s="200"/>
      <c r="V42" s="41"/>
      <c r="X42" s="7"/>
    </row>
    <row r="43" spans="1:24" ht="15" outlineLevel="1" x14ac:dyDescent="0.2">
      <c r="A43" s="346"/>
      <c r="B43" s="346" t="s">
        <v>14</v>
      </c>
      <c r="C43" s="2209" t="str">
        <f>МСФО_ввод!D317</f>
        <v>Корреспондентские счета других банков</v>
      </c>
      <c r="D43" s="2209"/>
      <c r="E43" s="373">
        <f>МСФО_ввод!E317</f>
        <v>4.984</v>
      </c>
      <c r="F43" s="373">
        <f>МСФО_ввод!F317</f>
        <v>11.438000000000001</v>
      </c>
      <c r="G43" s="373">
        <f>МСФО_ввод!G317</f>
        <v>4.7489999999999997</v>
      </c>
      <c r="H43" s="373">
        <f>МСФО_ввод!H317</f>
        <v>3.0470000000000002</v>
      </c>
      <c r="I43" s="373">
        <f>МСФО_ввод!I317</f>
        <v>39.700000000000003</v>
      </c>
      <c r="J43" s="373">
        <f>МСФО_ввод!J317</f>
        <v>11.9</v>
      </c>
      <c r="K43" s="373">
        <f>МСФО_ввод!K317</f>
        <v>5.2</v>
      </c>
      <c r="L43" s="302"/>
      <c r="M43" s="634">
        <f t="shared" si="22"/>
        <v>6.0397406207699711E-3</v>
      </c>
      <c r="N43" s="634">
        <f t="shared" si="16"/>
        <v>1.3464834626685754E-2</v>
      </c>
      <c r="O43" s="634">
        <f t="shared" si="17"/>
        <v>4.4801421872037173E-3</v>
      </c>
      <c r="P43" s="634">
        <f t="shared" si="18"/>
        <v>2.3565643503709248E-3</v>
      </c>
      <c r="Q43" s="634">
        <f t="shared" si="19"/>
        <v>2.4373797541414426E-2</v>
      </c>
      <c r="R43" s="634">
        <f t="shared" si="20"/>
        <v>5.5892161006998262E-3</v>
      </c>
      <c r="S43" s="634">
        <f t="shared" si="21"/>
        <v>3.4455340577789558E-3</v>
      </c>
      <c r="U43" s="200"/>
      <c r="V43" s="41"/>
      <c r="X43" s="7"/>
    </row>
    <row r="44" spans="1:24" ht="15" outlineLevel="1" x14ac:dyDescent="0.2">
      <c r="A44" s="346"/>
      <c r="B44" s="346" t="s">
        <v>540</v>
      </c>
      <c r="C44" s="2209" t="str">
        <f>МСФО_ввод!D318</f>
        <v>Договоры РЕПО с другими банками</v>
      </c>
      <c r="D44" s="2209"/>
      <c r="E44" s="373">
        <f>МСФО_ввод!E318</f>
        <v>4.173</v>
      </c>
      <c r="F44" s="373">
        <f>МСФО_ввод!F318</f>
        <v>34.737000000000002</v>
      </c>
      <c r="G44" s="373">
        <f>МСФО_ввод!G318</f>
        <v>7.117</v>
      </c>
      <c r="H44" s="373">
        <f>МСФО_ввод!H318</f>
        <v>10.208</v>
      </c>
      <c r="I44" s="373">
        <f>МСФО_ввод!I318</f>
        <v>3.9</v>
      </c>
      <c r="J44" s="373">
        <f>МСФО_ввод!J318</f>
        <v>0</v>
      </c>
      <c r="K44" s="373">
        <f>МСФО_ввод!K318</f>
        <v>0</v>
      </c>
      <c r="L44" s="302"/>
      <c r="M44" s="634">
        <f t="shared" si="22"/>
        <v>5.0569497613308766E-3</v>
      </c>
      <c r="N44" s="634">
        <f t="shared" si="16"/>
        <v>4.0892460257665943E-2</v>
      </c>
      <c r="O44" s="634">
        <f t="shared" si="17"/>
        <v>6.7140812689679636E-3</v>
      </c>
      <c r="P44" s="634">
        <f t="shared" si="18"/>
        <v>7.8949159463690185E-3</v>
      </c>
      <c r="Q44" s="634">
        <f t="shared" si="19"/>
        <v>2.3944032849248426E-3</v>
      </c>
      <c r="R44" s="634">
        <f t="shared" si="20"/>
        <v>0</v>
      </c>
      <c r="S44" s="634">
        <f t="shared" si="21"/>
        <v>0</v>
      </c>
      <c r="U44" s="200"/>
      <c r="V44" s="41"/>
      <c r="X44" s="7"/>
    </row>
    <row r="45" spans="1:24" s="2" customFormat="1" ht="15.75" x14ac:dyDescent="0.25">
      <c r="A45" s="343" t="s">
        <v>15</v>
      </c>
      <c r="B45" s="343" t="str">
        <f>МСФО_ввод!D27</f>
        <v>Средства, привлеченные от ЦБ РФ</v>
      </c>
      <c r="C45" s="343"/>
      <c r="D45" s="344"/>
      <c r="E45" s="390">
        <f>SUM(E46:E47)</f>
        <v>73.844999999999999</v>
      </c>
      <c r="F45" s="390">
        <f t="shared" ref="F45:K45" si="23">SUM(F46:F47)</f>
        <v>0</v>
      </c>
      <c r="G45" s="390">
        <f t="shared" si="23"/>
        <v>159.745</v>
      </c>
      <c r="H45" s="390">
        <f t="shared" si="23"/>
        <v>264.68400000000003</v>
      </c>
      <c r="I45" s="390">
        <f t="shared" si="23"/>
        <v>272.5</v>
      </c>
      <c r="J45" s="390">
        <f t="shared" si="23"/>
        <v>406.1</v>
      </c>
      <c r="K45" s="390">
        <f t="shared" si="23"/>
        <v>211.1</v>
      </c>
      <c r="L45" s="325"/>
      <c r="M45" s="633">
        <f t="shared" si="22"/>
        <v>8.9487288551516553E-2</v>
      </c>
      <c r="N45" s="633">
        <f t="shared" si="16"/>
        <v>0</v>
      </c>
      <c r="O45" s="633">
        <f t="shared" si="17"/>
        <v>0.1507012663076138</v>
      </c>
      <c r="P45" s="633">
        <f t="shared" si="18"/>
        <v>0.20470786954826972</v>
      </c>
      <c r="Q45" s="633">
        <f t="shared" si="19"/>
        <v>0.16730125516462044</v>
      </c>
      <c r="R45" s="633">
        <f t="shared" si="20"/>
        <v>0.19073787046169746</v>
      </c>
      <c r="S45" s="633">
        <f t="shared" si="21"/>
        <v>0.1398754306917572</v>
      </c>
      <c r="U45" s="199"/>
      <c r="V45" s="198"/>
      <c r="X45" s="14"/>
    </row>
    <row r="46" spans="1:24" ht="15" outlineLevel="1" x14ac:dyDescent="0.2">
      <c r="A46" s="346"/>
      <c r="B46" s="346" t="s">
        <v>6</v>
      </c>
      <c r="C46" s="2208" t="str">
        <f>МСФО_ввод!D325</f>
        <v>Договоры РЕПО с Банком России</v>
      </c>
      <c r="D46" s="2208"/>
      <c r="E46" s="373">
        <f>МСФО_ввод!E325</f>
        <v>0</v>
      </c>
      <c r="F46" s="373">
        <f>МСФО_ввод!F325</f>
        <v>0</v>
      </c>
      <c r="G46" s="373">
        <f>МСФО_ввод!G325</f>
        <v>157.84100000000001</v>
      </c>
      <c r="H46" s="373">
        <f>МСФО_ввод!H325</f>
        <v>252.87</v>
      </c>
      <c r="I46" s="373">
        <f>МСФО_ввод!I325</f>
        <v>243.9</v>
      </c>
      <c r="J46" s="373">
        <f>МСФО_ввод!J325</f>
        <v>325.8</v>
      </c>
      <c r="K46" s="373">
        <f>МСФО_ввод!K325</f>
        <v>135.1</v>
      </c>
      <c r="L46" s="302"/>
      <c r="M46" s="634">
        <f t="shared" si="22"/>
        <v>0</v>
      </c>
      <c r="N46" s="634">
        <f t="shared" si="16"/>
        <v>0</v>
      </c>
      <c r="O46" s="634">
        <f t="shared" si="17"/>
        <v>0.14890505853241146</v>
      </c>
      <c r="P46" s="634">
        <f t="shared" si="18"/>
        <v>0.19557086553275213</v>
      </c>
      <c r="Q46" s="634">
        <f t="shared" si="19"/>
        <v>0.14974229774183825</v>
      </c>
      <c r="R46" s="634">
        <f t="shared" si="20"/>
        <v>0.15302240383260535</v>
      </c>
      <c r="S46" s="634">
        <f t="shared" si="21"/>
        <v>8.9517625231910938E-2</v>
      </c>
      <c r="U46" s="200"/>
      <c r="V46" s="41"/>
      <c r="X46" s="7"/>
    </row>
    <row r="47" spans="1:24" ht="15" outlineLevel="1" x14ac:dyDescent="0.2">
      <c r="A47" s="346"/>
      <c r="B47" s="346" t="s">
        <v>7</v>
      </c>
      <c r="C47" s="2208" t="str">
        <f>МСФО_ввод!D326</f>
        <v>Кредиты Банка России</v>
      </c>
      <c r="D47" s="2208"/>
      <c r="E47" s="373">
        <f>МСФО_ввод!E326</f>
        <v>73.844999999999999</v>
      </c>
      <c r="F47" s="373">
        <f>МСФО_ввод!F326</f>
        <v>0</v>
      </c>
      <c r="G47" s="373">
        <f>МСФО_ввод!G326</f>
        <v>1.9039999999999999</v>
      </c>
      <c r="H47" s="373">
        <f>МСФО_ввод!H326</f>
        <v>11.814</v>
      </c>
      <c r="I47" s="373">
        <f>МСФО_ввод!I326</f>
        <v>28.6</v>
      </c>
      <c r="J47" s="373">
        <f>МСФО_ввод!J326</f>
        <v>80.3</v>
      </c>
      <c r="K47" s="373">
        <f>МСФО_ввод!K326</f>
        <v>76</v>
      </c>
      <c r="L47" s="302"/>
      <c r="M47" s="634">
        <f t="shared" si="22"/>
        <v>8.9487288551516553E-2</v>
      </c>
      <c r="N47" s="634">
        <f t="shared" si="16"/>
        <v>0</v>
      </c>
      <c r="O47" s="634">
        <f t="shared" si="17"/>
        <v>1.7962077752023328E-3</v>
      </c>
      <c r="P47" s="634">
        <f t="shared" si="18"/>
        <v>9.1370040155175931E-3</v>
      </c>
      <c r="Q47" s="634">
        <f t="shared" si="19"/>
        <v>1.7558957422782181E-2</v>
      </c>
      <c r="R47" s="634">
        <f t="shared" si="20"/>
        <v>3.7715466629092108E-2</v>
      </c>
      <c r="S47" s="634">
        <f t="shared" si="21"/>
        <v>5.0357805459846278E-2</v>
      </c>
      <c r="U47" s="200"/>
      <c r="V47" s="41"/>
      <c r="X47" s="7"/>
    </row>
    <row r="48" spans="1:24" s="2" customFormat="1" ht="15.75" x14ac:dyDescent="0.25">
      <c r="A48" s="343" t="s">
        <v>16</v>
      </c>
      <c r="B48" s="343" t="str">
        <f>МСФО_ввод!D29</f>
        <v>Средства клиентов</v>
      </c>
      <c r="C48" s="343"/>
      <c r="D48" s="344"/>
      <c r="E48" s="390">
        <f>SUM(E49,E52)</f>
        <v>428.02499999999998</v>
      </c>
      <c r="F48" s="390">
        <f t="shared" ref="F48:K48" si="24">SUM(F49,F52)</f>
        <v>543.13499999999999</v>
      </c>
      <c r="G48" s="390">
        <f t="shared" si="24"/>
        <v>418.685</v>
      </c>
      <c r="H48" s="390">
        <f t="shared" si="24"/>
        <v>464.01900000000001</v>
      </c>
      <c r="I48" s="390">
        <f t="shared" si="24"/>
        <v>615.70000000000005</v>
      </c>
      <c r="J48" s="390">
        <f t="shared" si="24"/>
        <v>631.79999999999995</v>
      </c>
      <c r="K48" s="390">
        <f t="shared" si="24"/>
        <v>686.9</v>
      </c>
      <c r="L48" s="325"/>
      <c r="M48" s="633">
        <f t="shared" si="22"/>
        <v>0.51869180963183514</v>
      </c>
      <c r="N48" s="633">
        <f t="shared" si="16"/>
        <v>0.63937952045505919</v>
      </c>
      <c r="O48" s="633">
        <f t="shared" si="17"/>
        <v>0.39498175018938486</v>
      </c>
      <c r="P48" s="633">
        <f t="shared" si="18"/>
        <v>0.35887451043477719</v>
      </c>
      <c r="Q48" s="633">
        <f t="shared" si="19"/>
        <v>0.37800874423800662</v>
      </c>
      <c r="R48" s="633">
        <f t="shared" si="20"/>
        <v>0.29674510356488654</v>
      </c>
      <c r="S48" s="633">
        <f t="shared" si="21"/>
        <v>0.45514179697853163</v>
      </c>
      <c r="U48" s="199"/>
      <c r="V48" s="198"/>
      <c r="X48" s="14"/>
    </row>
    <row r="49" spans="1:24" ht="15" x14ac:dyDescent="0.2">
      <c r="A49" s="346"/>
      <c r="B49" s="346" t="s">
        <v>10</v>
      </c>
      <c r="C49" s="2208" t="s">
        <v>541</v>
      </c>
      <c r="D49" s="2208"/>
      <c r="E49" s="373">
        <f>SUM(E50:E51)</f>
        <v>250.55600000000001</v>
      </c>
      <c r="F49" s="373">
        <f t="shared" ref="F49:K49" si="25">SUM(F50:F51)</f>
        <v>361.51699999999994</v>
      </c>
      <c r="G49" s="373">
        <f t="shared" si="25"/>
        <v>255.708</v>
      </c>
      <c r="H49" s="373">
        <f t="shared" si="25"/>
        <v>279.66700000000003</v>
      </c>
      <c r="I49" s="373">
        <f t="shared" si="25"/>
        <v>388.5</v>
      </c>
      <c r="J49" s="373">
        <f t="shared" si="25"/>
        <v>362.2</v>
      </c>
      <c r="K49" s="373">
        <f t="shared" si="25"/>
        <v>274.89999999999998</v>
      </c>
      <c r="L49" s="302"/>
      <c r="M49" s="634">
        <f t="shared" si="22"/>
        <v>0.30363026705008844</v>
      </c>
      <c r="N49" s="634">
        <f t="shared" si="16"/>
        <v>0.42557847698334961</v>
      </c>
      <c r="O49" s="634">
        <f t="shared" si="17"/>
        <v>0.24123145891882256</v>
      </c>
      <c r="P49" s="634">
        <f t="shared" si="18"/>
        <v>0.21629579329674614</v>
      </c>
      <c r="Q49" s="634">
        <f t="shared" si="19"/>
        <v>0.23851940415212858</v>
      </c>
      <c r="R49" s="634">
        <f t="shared" si="20"/>
        <v>0.17011882955239302</v>
      </c>
      <c r="S49" s="634">
        <f t="shared" si="21"/>
        <v>0.18214948316989132</v>
      </c>
      <c r="U49" s="200"/>
      <c r="V49" s="41"/>
      <c r="X49" s="7"/>
    </row>
    <row r="50" spans="1:24" s="71" customFormat="1" outlineLevel="1" x14ac:dyDescent="0.2">
      <c r="A50" s="369"/>
      <c r="B50" s="369"/>
      <c r="C50" s="370"/>
      <c r="D50" s="371" t="str">
        <f>МСФО_ввод!D334</f>
        <v>Текущие, расчетные счета</v>
      </c>
      <c r="E50" s="405">
        <f>МСФО_ввод!E334+МСФО_ввод!E337</f>
        <v>114.292</v>
      </c>
      <c r="F50" s="405">
        <f>МСФО_ввод!F334+МСФО_ввод!F337</f>
        <v>163.62699999999998</v>
      </c>
      <c r="G50" s="405">
        <f>МСФО_ввод!G334+МСФО_ввод!G337</f>
        <v>147.41499999999999</v>
      </c>
      <c r="H50" s="405">
        <f>МСФО_ввод!H334+МСФО_ввод!H337</f>
        <v>177.20400000000001</v>
      </c>
      <c r="I50" s="405">
        <f>МСФО_ввод!I334+МСФО_ввод!I337</f>
        <v>197.89999999999998</v>
      </c>
      <c r="J50" s="405">
        <f>МСФО_ввод!J334+МСФО_ввод!J337</f>
        <v>141</v>
      </c>
      <c r="K50" s="405">
        <f>МСФО_ввод!K334+МСФО_ввод!K337</f>
        <v>109.6</v>
      </c>
      <c r="L50" s="372"/>
      <c r="M50" s="635">
        <f t="shared" si="22"/>
        <v>0.13850201344884461</v>
      </c>
      <c r="N50" s="635">
        <f t="shared" si="16"/>
        <v>0.19262200519852329</v>
      </c>
      <c r="O50" s="635">
        <f t="shared" si="17"/>
        <v>0.1390693115448802</v>
      </c>
      <c r="P50" s="635">
        <f t="shared" si="18"/>
        <v>0.13705041980411203</v>
      </c>
      <c r="Q50" s="635">
        <f t="shared" si="19"/>
        <v>0.12150061797092983</v>
      </c>
      <c r="R50" s="635">
        <f t="shared" si="20"/>
        <v>6.6225165562913912E-2</v>
      </c>
      <c r="S50" s="635">
        <f t="shared" si="21"/>
        <v>7.2621256294725683E-2</v>
      </c>
      <c r="U50" s="357"/>
      <c r="V50" s="229"/>
      <c r="X50" s="233"/>
    </row>
    <row r="51" spans="1:24" s="71" customFormat="1" outlineLevel="1" x14ac:dyDescent="0.2">
      <c r="A51" s="369"/>
      <c r="B51" s="369"/>
      <c r="C51" s="370"/>
      <c r="D51" s="371" t="str">
        <f>МСФО_ввод!D335</f>
        <v>Срочные депозиты</v>
      </c>
      <c r="E51" s="405">
        <f>МСФО_ввод!E335+МСФО_ввод!E338</f>
        <v>136.26400000000001</v>
      </c>
      <c r="F51" s="405">
        <f>МСФО_ввод!F335+МСФО_ввод!F338</f>
        <v>197.89</v>
      </c>
      <c r="G51" s="405">
        <f>МСФО_ввод!G335+МСФО_ввод!G338</f>
        <v>108.29300000000001</v>
      </c>
      <c r="H51" s="405">
        <f>МСФО_ввод!H335+МСФО_ввод!H338</f>
        <v>102.46299999999999</v>
      </c>
      <c r="I51" s="405">
        <f>МСФО_ввод!I335+МСФО_ввод!I338</f>
        <v>190.6</v>
      </c>
      <c r="J51" s="405">
        <f>МСФО_ввод!J335+МСФО_ввод!J338</f>
        <v>221.2</v>
      </c>
      <c r="K51" s="405">
        <f>МСФО_ввод!K335+МСФО_ввод!K338</f>
        <v>165.3</v>
      </c>
      <c r="L51" s="372"/>
      <c r="M51" s="635">
        <f t="shared" si="22"/>
        <v>0.16512825360124384</v>
      </c>
      <c r="N51" s="635">
        <f t="shared" si="16"/>
        <v>0.23295647178482634</v>
      </c>
      <c r="O51" s="635">
        <f t="shared" si="17"/>
        <v>0.10216214737394236</v>
      </c>
      <c r="P51" s="635">
        <f t="shared" si="18"/>
        <v>7.924537349263408E-2</v>
      </c>
      <c r="Q51" s="635">
        <f t="shared" si="19"/>
        <v>0.11701878618119872</v>
      </c>
      <c r="R51" s="635">
        <f t="shared" si="20"/>
        <v>0.10389366398947912</v>
      </c>
      <c r="S51" s="635">
        <f t="shared" si="21"/>
        <v>0.10952822687516565</v>
      </c>
      <c r="U51" s="357"/>
      <c r="V51" s="229"/>
      <c r="X51" s="233"/>
    </row>
    <row r="52" spans="1:24" ht="15" x14ac:dyDescent="0.2">
      <c r="A52" s="346"/>
      <c r="B52" s="346" t="s">
        <v>11</v>
      </c>
      <c r="C52" s="2208" t="s">
        <v>62</v>
      </c>
      <c r="D52" s="2208"/>
      <c r="E52" s="373">
        <f>SUM(E53:E54)</f>
        <v>177.46899999999999</v>
      </c>
      <c r="F52" s="373">
        <f t="shared" ref="F52:K52" si="26">SUM(F53:F54)</f>
        <v>181.61799999999999</v>
      </c>
      <c r="G52" s="373">
        <f t="shared" si="26"/>
        <v>162.977</v>
      </c>
      <c r="H52" s="373">
        <f t="shared" si="26"/>
        <v>184.352</v>
      </c>
      <c r="I52" s="373">
        <f t="shared" si="26"/>
        <v>227.2</v>
      </c>
      <c r="J52" s="373">
        <f t="shared" si="26"/>
        <v>269.60000000000002</v>
      </c>
      <c r="K52" s="373">
        <f t="shared" si="26"/>
        <v>412</v>
      </c>
      <c r="L52" s="302"/>
      <c r="M52" s="634">
        <f t="shared" si="22"/>
        <v>0.21506154258174676</v>
      </c>
      <c r="N52" s="634">
        <f t="shared" si="16"/>
        <v>0.21380104347170947</v>
      </c>
      <c r="O52" s="634">
        <f t="shared" si="17"/>
        <v>0.15375029127056231</v>
      </c>
      <c r="P52" s="634">
        <f t="shared" si="18"/>
        <v>0.14257871713803108</v>
      </c>
      <c r="Q52" s="634">
        <f t="shared" si="19"/>
        <v>0.13948934008587802</v>
      </c>
      <c r="R52" s="634">
        <f t="shared" si="20"/>
        <v>0.12662627401249354</v>
      </c>
      <c r="S52" s="634">
        <f t="shared" si="21"/>
        <v>0.27299231380864031</v>
      </c>
      <c r="U52" s="200"/>
      <c r="V52" s="41"/>
      <c r="X52" s="7"/>
    </row>
    <row r="53" spans="1:24" s="71" customFormat="1" outlineLevel="1" x14ac:dyDescent="0.2">
      <c r="A53" s="369"/>
      <c r="B53" s="369"/>
      <c r="C53" s="370"/>
      <c r="D53" s="371" t="str">
        <f>МСФО_ввод!D340</f>
        <v>Текущие, расчетные счета</v>
      </c>
      <c r="E53" s="405">
        <f>МСФО_ввод!E340</f>
        <v>33.344999999999999</v>
      </c>
      <c r="F53" s="405">
        <f>МСФО_ввод!F340</f>
        <v>38.094999999999999</v>
      </c>
      <c r="G53" s="405">
        <f>МСФО_ввод!G340</f>
        <v>41.555</v>
      </c>
      <c r="H53" s="405">
        <f>МСФО_ввод!H340</f>
        <v>46.061</v>
      </c>
      <c r="I53" s="405">
        <f>МСФО_ввод!I340</f>
        <v>50.5</v>
      </c>
      <c r="J53" s="405">
        <f>МСФО_ввод!J340</f>
        <v>54.8</v>
      </c>
      <c r="K53" s="405">
        <f>МСФО_ввод!K340</f>
        <v>59.1</v>
      </c>
      <c r="L53" s="372"/>
      <c r="M53" s="635">
        <f t="shared" si="22"/>
        <v>4.0408336877924292E-2</v>
      </c>
      <c r="N53" s="635">
        <f t="shared" si="16"/>
        <v>4.4845504030739093E-2</v>
      </c>
      <c r="O53" s="635">
        <f t="shared" si="17"/>
        <v>3.9202423371078224E-2</v>
      </c>
      <c r="P53" s="635">
        <f t="shared" si="18"/>
        <v>3.5623797355574388E-2</v>
      </c>
      <c r="Q53" s="635">
        <f t="shared" si="19"/>
        <v>3.1004452791975529E-2</v>
      </c>
      <c r="R53" s="635">
        <f t="shared" si="20"/>
        <v>2.5738574984735335E-2</v>
      </c>
      <c r="S53" s="635">
        <f t="shared" si="21"/>
        <v>3.9159819772064668E-2</v>
      </c>
      <c r="U53" s="357"/>
      <c r="V53" s="229"/>
      <c r="X53" s="233"/>
    </row>
    <row r="54" spans="1:24" s="71" customFormat="1" outlineLevel="1" x14ac:dyDescent="0.2">
      <c r="A54" s="369"/>
      <c r="B54" s="369"/>
      <c r="C54" s="370"/>
      <c r="D54" s="371" t="str">
        <f>МСФО_ввод!D341</f>
        <v>Срочные депозиты</v>
      </c>
      <c r="E54" s="405">
        <f>МСФО_ввод!E341</f>
        <v>144.124</v>
      </c>
      <c r="F54" s="405">
        <f>МСФО_ввод!F341</f>
        <v>143.523</v>
      </c>
      <c r="G54" s="405">
        <f>МСФО_ввод!G341</f>
        <v>121.422</v>
      </c>
      <c r="H54" s="405">
        <f>МСФО_ввод!H341</f>
        <v>138.291</v>
      </c>
      <c r="I54" s="405">
        <f>МСФО_ввод!I341</f>
        <v>176.7</v>
      </c>
      <c r="J54" s="405">
        <f>МСФО_ввод!J341</f>
        <v>214.8</v>
      </c>
      <c r="K54" s="405">
        <f>МСФО_ввод!K341</f>
        <v>352.9</v>
      </c>
      <c r="L54" s="372"/>
      <c r="M54" s="635">
        <f t="shared" si="22"/>
        <v>0.17465320570382248</v>
      </c>
      <c r="N54" s="635">
        <f t="shared" si="16"/>
        <v>0.16895553944097039</v>
      </c>
      <c r="O54" s="635">
        <f t="shared" si="17"/>
        <v>0.11454786789948407</v>
      </c>
      <c r="P54" s="635">
        <f t="shared" si="18"/>
        <v>0.10695491978245669</v>
      </c>
      <c r="Q54" s="635">
        <f t="shared" si="19"/>
        <v>0.10848488729390249</v>
      </c>
      <c r="R54" s="635">
        <f t="shared" si="20"/>
        <v>0.10088769902775822</v>
      </c>
      <c r="S54" s="635">
        <f t="shared" si="21"/>
        <v>0.23383249403657563</v>
      </c>
      <c r="U54" s="357"/>
      <c r="V54" s="229"/>
      <c r="X54" s="233"/>
    </row>
    <row r="55" spans="1:24" s="2" customFormat="1" ht="15.75" x14ac:dyDescent="0.25">
      <c r="A55" s="343" t="s">
        <v>25</v>
      </c>
      <c r="B55" s="343" t="s">
        <v>24</v>
      </c>
      <c r="C55" s="343"/>
      <c r="D55" s="344"/>
      <c r="E55" s="390">
        <f t="shared" ref="E55:K55" si="27">SUM(E56:E57)</f>
        <v>56.861000000000004</v>
      </c>
      <c r="F55" s="390">
        <f t="shared" si="27"/>
        <v>81.103000000000009</v>
      </c>
      <c r="G55" s="390">
        <f t="shared" si="27"/>
        <v>76.771000000000001</v>
      </c>
      <c r="H55" s="390">
        <f t="shared" si="27"/>
        <v>69.499000000000009</v>
      </c>
      <c r="I55" s="390">
        <f t="shared" si="27"/>
        <v>71.697000000000003</v>
      </c>
      <c r="J55" s="390">
        <f t="shared" si="27"/>
        <v>101.8</v>
      </c>
      <c r="K55" s="390">
        <f t="shared" si="27"/>
        <v>52.3</v>
      </c>
      <c r="L55" s="325"/>
      <c r="M55" s="633">
        <f t="shared" si="22"/>
        <v>6.8905636323756292E-2</v>
      </c>
      <c r="N55" s="633">
        <f t="shared" si="16"/>
        <v>9.5474600693136458E-2</v>
      </c>
      <c r="O55" s="633">
        <f t="shared" si="17"/>
        <v>7.2424720120828942E-2</v>
      </c>
      <c r="P55" s="633">
        <f t="shared" si="18"/>
        <v>5.3750858479300598E-2</v>
      </c>
      <c r="Q55" s="633">
        <f t="shared" si="19"/>
        <v>4.4018341620322171E-2</v>
      </c>
      <c r="R55" s="633">
        <f t="shared" si="20"/>
        <v>4.7813630172373306E-2</v>
      </c>
      <c r="S55" s="633">
        <f t="shared" si="21"/>
        <v>3.4654121388815261E-2</v>
      </c>
      <c r="U55" s="199"/>
      <c r="V55" s="198"/>
      <c r="X55" s="14"/>
    </row>
    <row r="56" spans="1:24" ht="33" customHeight="1" x14ac:dyDescent="0.2">
      <c r="A56" s="346"/>
      <c r="B56" s="346" t="s">
        <v>480</v>
      </c>
      <c r="C56" s="2208" t="str">
        <f>МСФО_ввод!D28</f>
        <v>Финансовые обязательства, предназначенные для торговли</v>
      </c>
      <c r="D56" s="2208"/>
      <c r="E56" s="373">
        <f>МСФО_ввод!E28</f>
        <v>0</v>
      </c>
      <c r="F56" s="373">
        <f>МСФО_ввод!F28</f>
        <v>0</v>
      </c>
      <c r="G56" s="373">
        <f>МСФО_ввод!G28</f>
        <v>3.1560000000000001</v>
      </c>
      <c r="H56" s="373">
        <f>МСФО_ввод!H28</f>
        <v>2.528</v>
      </c>
      <c r="I56" s="373">
        <f>МСФО_ввод!I28</f>
        <v>1.6970000000000001</v>
      </c>
      <c r="J56" s="373">
        <f>МСФО_ввод!J28</f>
        <v>0.3</v>
      </c>
      <c r="K56" s="373">
        <f>МСФО_ввод!K28</f>
        <v>0</v>
      </c>
      <c r="L56" s="302"/>
      <c r="M56" s="634">
        <f t="shared" si="22"/>
        <v>0</v>
      </c>
      <c r="N56" s="634">
        <f t="shared" si="16"/>
        <v>0</v>
      </c>
      <c r="O56" s="634">
        <f t="shared" si="17"/>
        <v>2.9773275937702535E-3</v>
      </c>
      <c r="P56" s="634">
        <f t="shared" si="18"/>
        <v>1.9551672719848039E-3</v>
      </c>
      <c r="Q56" s="634">
        <f t="shared" si="19"/>
        <v>1.0418724037224252E-3</v>
      </c>
      <c r="R56" s="634">
        <f t="shared" si="20"/>
        <v>1.409046075806679E-4</v>
      </c>
      <c r="S56" s="634">
        <f t="shared" si="21"/>
        <v>0</v>
      </c>
      <c r="U56" s="200"/>
      <c r="V56" s="41"/>
      <c r="X56" s="7"/>
    </row>
    <row r="57" spans="1:24" ht="15" x14ac:dyDescent="0.2">
      <c r="A57" s="346"/>
      <c r="B57" s="346" t="s">
        <v>481</v>
      </c>
      <c r="C57" s="2208" t="str">
        <f>МСФО_ввод!D30</f>
        <v>Выпущенные долговые ценные бумаги</v>
      </c>
      <c r="D57" s="2208"/>
      <c r="E57" s="373">
        <f t="shared" ref="E57:K57" si="28">SUM(E58:E61)</f>
        <v>56.861000000000004</v>
      </c>
      <c r="F57" s="373">
        <f t="shared" si="28"/>
        <v>81.103000000000009</v>
      </c>
      <c r="G57" s="373">
        <f t="shared" si="28"/>
        <v>73.614999999999995</v>
      </c>
      <c r="H57" s="373">
        <f t="shared" si="28"/>
        <v>66.971000000000004</v>
      </c>
      <c r="I57" s="373">
        <f t="shared" si="28"/>
        <v>70</v>
      </c>
      <c r="J57" s="373">
        <f t="shared" si="28"/>
        <v>101.5</v>
      </c>
      <c r="K57" s="373">
        <f t="shared" si="28"/>
        <v>52.3</v>
      </c>
      <c r="L57" s="302"/>
      <c r="M57" s="634">
        <f t="shared" si="22"/>
        <v>6.8905636323756292E-2</v>
      </c>
      <c r="N57" s="634">
        <f t="shared" si="16"/>
        <v>9.5474600693136458E-2</v>
      </c>
      <c r="O57" s="634">
        <f t="shared" si="17"/>
        <v>6.9447392527058685E-2</v>
      </c>
      <c r="P57" s="634">
        <f t="shared" si="18"/>
        <v>5.1795691207315787E-2</v>
      </c>
      <c r="Q57" s="634">
        <f t="shared" si="19"/>
        <v>4.2976469216599741E-2</v>
      </c>
      <c r="R57" s="634">
        <f t="shared" si="20"/>
        <v>4.7672725564792635E-2</v>
      </c>
      <c r="S57" s="634">
        <f t="shared" si="21"/>
        <v>3.4654121388815261E-2</v>
      </c>
      <c r="U57" s="200"/>
      <c r="V57" s="41"/>
      <c r="X57" s="7"/>
    </row>
    <row r="58" spans="1:24" s="71" customFormat="1" outlineLevel="1" x14ac:dyDescent="0.2">
      <c r="A58" s="369"/>
      <c r="B58" s="369"/>
      <c r="C58" s="370"/>
      <c r="D58" s="371" t="str">
        <f>МСФО_ввод!D367</f>
        <v>Облигации</v>
      </c>
      <c r="E58" s="405">
        <f>МСФО_ввод!E367</f>
        <v>17.818000000000001</v>
      </c>
      <c r="F58" s="405">
        <f>МСФО_ввод!F367</f>
        <v>18.483000000000001</v>
      </c>
      <c r="G58" s="405">
        <f>МСФО_ввод!G367</f>
        <v>11.036</v>
      </c>
      <c r="H58" s="405">
        <f>МСФО_ввод!H367</f>
        <v>10.54</v>
      </c>
      <c r="I58" s="405">
        <f>МСФО_ввод!I367</f>
        <v>20.9</v>
      </c>
      <c r="J58" s="405">
        <f>МСФО_ввод!J367</f>
        <v>30.3</v>
      </c>
      <c r="K58" s="405">
        <f>МСФО_ввод!K367</f>
        <v>30.4</v>
      </c>
      <c r="L58" s="372"/>
      <c r="M58" s="635">
        <f t="shared" si="22"/>
        <v>2.1592315084446097E-2</v>
      </c>
      <c r="N58" s="635">
        <f t="shared" si="16"/>
        <v>2.1758221577638816E-2</v>
      </c>
      <c r="O58" s="635">
        <f t="shared" si="17"/>
        <v>1.0411212713830328E-2</v>
      </c>
      <c r="P58" s="635">
        <f t="shared" si="18"/>
        <v>8.1516863317720855E-3</v>
      </c>
      <c r="Q58" s="635">
        <f t="shared" si="19"/>
        <v>1.2831545808956207E-2</v>
      </c>
      <c r="R58" s="635">
        <f t="shared" si="20"/>
        <v>1.4231365365647458E-2</v>
      </c>
      <c r="S58" s="635">
        <f t="shared" si="21"/>
        <v>2.014312218393851E-2</v>
      </c>
      <c r="U58" s="357"/>
      <c r="V58" s="229"/>
      <c r="X58" s="233"/>
    </row>
    <row r="59" spans="1:24" s="71" customFormat="1" outlineLevel="1" x14ac:dyDescent="0.2">
      <c r="A59" s="369"/>
      <c r="B59" s="369"/>
      <c r="C59" s="370"/>
      <c r="D59" s="371" t="str">
        <f>МСФО_ввод!D368</f>
        <v>Сберегательные сертификаты</v>
      </c>
      <c r="E59" s="405">
        <f>МСФО_ввод!E368</f>
        <v>0</v>
      </c>
      <c r="F59" s="405">
        <f>МСФО_ввод!F368</f>
        <v>0</v>
      </c>
      <c r="G59" s="405">
        <f>МСФО_ввод!G368</f>
        <v>0</v>
      </c>
      <c r="H59" s="405">
        <f>МСФО_ввод!H368</f>
        <v>0</v>
      </c>
      <c r="I59" s="405">
        <f>МСФО_ввод!I368</f>
        <v>12.8</v>
      </c>
      <c r="J59" s="405">
        <f>МСФО_ввод!J368</f>
        <v>17.100000000000001</v>
      </c>
      <c r="K59" s="405">
        <f>МСФО_ввод!K368</f>
        <v>17</v>
      </c>
      <c r="L59" s="372"/>
      <c r="M59" s="635">
        <f t="shared" si="22"/>
        <v>0</v>
      </c>
      <c r="N59" s="635">
        <f t="shared" si="16"/>
        <v>0</v>
      </c>
      <c r="O59" s="635">
        <f t="shared" si="17"/>
        <v>0</v>
      </c>
      <c r="P59" s="635">
        <f t="shared" si="18"/>
        <v>0</v>
      </c>
      <c r="Q59" s="635">
        <f t="shared" si="19"/>
        <v>7.8585543710353815E-3</v>
      </c>
      <c r="R59" s="635">
        <f t="shared" si="20"/>
        <v>8.0315626320980708E-3</v>
      </c>
      <c r="S59" s="635">
        <f t="shared" si="21"/>
        <v>1.1264245958123508E-2</v>
      </c>
      <c r="U59" s="357"/>
      <c r="V59" s="229"/>
      <c r="X59" s="233"/>
    </row>
    <row r="60" spans="1:24" s="71" customFormat="1" outlineLevel="1" x14ac:dyDescent="0.2">
      <c r="A60" s="369"/>
      <c r="B60" s="369"/>
      <c r="C60" s="370"/>
      <c r="D60" s="371" t="str">
        <f>МСФО_ввод!D369</f>
        <v>Векселя</v>
      </c>
      <c r="E60" s="405">
        <f>МСФО_ввод!E369</f>
        <v>8.3019999999999996</v>
      </c>
      <c r="F60" s="405">
        <f>МСФО_ввод!F369</f>
        <v>5.0389999999999997</v>
      </c>
      <c r="G60" s="405">
        <f>МСФО_ввод!G369</f>
        <v>5.9470000000000001</v>
      </c>
      <c r="H60" s="405">
        <f>МСФО_ввод!H369</f>
        <v>3.4369999999999998</v>
      </c>
      <c r="I60" s="405">
        <f>МСФО_ввод!I369</f>
        <v>12.4</v>
      </c>
      <c r="J60" s="405">
        <f>МСФО_ввод!J369</f>
        <v>12.7</v>
      </c>
      <c r="K60" s="405">
        <f>МСФО_ввод!K369</f>
        <v>4.9000000000000004</v>
      </c>
      <c r="L60" s="372"/>
      <c r="M60" s="635">
        <f t="shared" si="22"/>
        <v>1.0060579180102787E-2</v>
      </c>
      <c r="N60" s="635">
        <f t="shared" si="16"/>
        <v>5.9319200632863703E-3</v>
      </c>
      <c r="O60" s="635">
        <f t="shared" si="17"/>
        <v>5.6103191381976225E-3</v>
      </c>
      <c r="P60" s="635">
        <f t="shared" si="18"/>
        <v>2.6581922127419978E-3</v>
      </c>
      <c r="Q60" s="635">
        <f t="shared" si="19"/>
        <v>7.6129745469405265E-3</v>
      </c>
      <c r="R60" s="635">
        <f t="shared" si="20"/>
        <v>5.9649617209149401E-3</v>
      </c>
      <c r="S60" s="635">
        <f t="shared" si="21"/>
        <v>3.246753246753247E-3</v>
      </c>
      <c r="U60" s="357"/>
      <c r="V60" s="229"/>
      <c r="X60" s="233"/>
    </row>
    <row r="61" spans="1:24" s="71" customFormat="1" ht="18" customHeight="1" outlineLevel="1" x14ac:dyDescent="0.2">
      <c r="A61" s="369"/>
      <c r="B61" s="369"/>
      <c r="C61" s="370"/>
      <c r="D61" s="371" t="str">
        <f>МСФО_ввод!D370</f>
        <v>Еврооблигации</v>
      </c>
      <c r="E61" s="405">
        <f>МСФО_ввод!E370</f>
        <v>30.741</v>
      </c>
      <c r="F61" s="405">
        <f>МСФО_ввод!F370</f>
        <v>57.581000000000003</v>
      </c>
      <c r="G61" s="405">
        <f>МСФО_ввод!G370</f>
        <v>56.631999999999998</v>
      </c>
      <c r="H61" s="405">
        <f>МСФО_ввод!H370</f>
        <v>52.994</v>
      </c>
      <c r="I61" s="405">
        <f>МСФО_ввод!I370</f>
        <v>23.9</v>
      </c>
      <c r="J61" s="405">
        <f>МСФО_ввод!J370</f>
        <v>41.4</v>
      </c>
      <c r="K61" s="405">
        <f>МСФО_ввод!K370</f>
        <v>0</v>
      </c>
      <c r="L61" s="372"/>
      <c r="M61" s="635">
        <f t="shared" si="22"/>
        <v>3.7252742059207394E-2</v>
      </c>
      <c r="N61" s="635">
        <f t="shared" si="16"/>
        <v>6.7784459052211254E-2</v>
      </c>
      <c r="O61" s="635">
        <f t="shared" si="17"/>
        <v>5.3425860675030731E-2</v>
      </c>
      <c r="P61" s="635">
        <f t="shared" si="18"/>
        <v>4.0985812662801699E-2</v>
      </c>
      <c r="Q61" s="635">
        <f t="shared" si="19"/>
        <v>1.4673394489667625E-2</v>
      </c>
      <c r="R61" s="635">
        <f t="shared" si="20"/>
        <v>1.9444835846132168E-2</v>
      </c>
      <c r="S61" s="635">
        <f t="shared" si="21"/>
        <v>0</v>
      </c>
      <c r="U61" s="357"/>
      <c r="V61" s="229"/>
      <c r="X61" s="233"/>
    </row>
    <row r="62" spans="1:24" s="2" customFormat="1" ht="15.75" x14ac:dyDescent="0.25">
      <c r="A62" s="348" t="s">
        <v>26</v>
      </c>
      <c r="B62" s="348" t="s">
        <v>22</v>
      </c>
      <c r="C62" s="343"/>
      <c r="D62" s="344"/>
      <c r="E62" s="390">
        <f>SUM(E63:E67)</f>
        <v>8.6379999999999999</v>
      </c>
      <c r="F62" s="390">
        <f t="shared" ref="F62:K62" si="29">SUM(F63:F67)</f>
        <v>8.911999999999999</v>
      </c>
      <c r="G62" s="390">
        <f t="shared" si="29"/>
        <v>162.102</v>
      </c>
      <c r="H62" s="390">
        <f t="shared" si="29"/>
        <v>169.64</v>
      </c>
      <c r="I62" s="390">
        <f t="shared" si="29"/>
        <v>211.38200000000001</v>
      </c>
      <c r="J62" s="390">
        <f t="shared" si="29"/>
        <v>190.6</v>
      </c>
      <c r="K62" s="390">
        <f t="shared" si="29"/>
        <v>157.80000000000001</v>
      </c>
      <c r="L62" s="325"/>
      <c r="M62" s="633">
        <f t="shared" si="22"/>
        <v>1.0467752705098516E-2</v>
      </c>
      <c r="N62" s="633">
        <f t="shared" si="16"/>
        <v>1.0491222783093498E-2</v>
      </c>
      <c r="O62" s="633">
        <f t="shared" si="17"/>
        <v>0.15292482813857594</v>
      </c>
      <c r="P62" s="633">
        <f t="shared" si="18"/>
        <v>0.1312003860836638</v>
      </c>
      <c r="Q62" s="633">
        <f t="shared" si="19"/>
        <v>0.12977788594204695</v>
      </c>
      <c r="R62" s="633">
        <f t="shared" si="20"/>
        <v>8.9521394016251005E-2</v>
      </c>
      <c r="S62" s="633">
        <f t="shared" si="21"/>
        <v>0.10455870659952293</v>
      </c>
      <c r="U62" s="199"/>
      <c r="V62" s="198"/>
      <c r="X62" s="14"/>
    </row>
    <row r="63" spans="1:24" ht="15" x14ac:dyDescent="0.2">
      <c r="A63" s="346"/>
      <c r="B63" s="346" t="s">
        <v>483</v>
      </c>
      <c r="C63" s="2208" t="str">
        <f>МСФО_ввод!D31</f>
        <v>Средства, привлеченные от ГК "АСВ"</v>
      </c>
      <c r="D63" s="2208"/>
      <c r="E63" s="373">
        <f>МСФО_ввод!E31</f>
        <v>0</v>
      </c>
      <c r="F63" s="373">
        <f>МСФО_ввод!F31</f>
        <v>0</v>
      </c>
      <c r="G63" s="373">
        <f>МСФО_ввод!G31</f>
        <v>144.386</v>
      </c>
      <c r="H63" s="373">
        <f>МСФО_ввод!H31</f>
        <v>153.42599999999999</v>
      </c>
      <c r="I63" s="373">
        <f>МСФО_ввод!I31</f>
        <v>159.041</v>
      </c>
      <c r="J63" s="373">
        <f>МСФО_ввод!J31</f>
        <v>67.7</v>
      </c>
      <c r="K63" s="373">
        <f>МСФО_ввод!K31</f>
        <v>73.7</v>
      </c>
      <c r="L63" s="302"/>
      <c r="M63" s="634">
        <f t="shared" si="22"/>
        <v>0</v>
      </c>
      <c r="N63" s="634">
        <f t="shared" si="16"/>
        <v>0</v>
      </c>
      <c r="O63" s="634">
        <f t="shared" si="17"/>
        <v>0.13621179402855255</v>
      </c>
      <c r="P63" s="634">
        <f t="shared" si="18"/>
        <v>0.11866040105678026</v>
      </c>
      <c r="Q63" s="634">
        <f t="shared" si="19"/>
        <v>9.7643152009674855E-2</v>
      </c>
      <c r="R63" s="634">
        <f t="shared" si="20"/>
        <v>3.1797473110704057E-2</v>
      </c>
      <c r="S63" s="634">
        <f t="shared" si="21"/>
        <v>4.8833819241982511E-2</v>
      </c>
      <c r="U63" s="200"/>
      <c r="V63" s="41"/>
      <c r="X63" s="7"/>
    </row>
    <row r="64" spans="1:24" ht="15" x14ac:dyDescent="0.2">
      <c r="A64" s="346"/>
      <c r="B64" s="346" t="s">
        <v>484</v>
      </c>
      <c r="C64" s="2208" t="str">
        <f>МСФО_ввод!D32</f>
        <v>Обязательства, связанные с активами, предназначенными для продажи</v>
      </c>
      <c r="D64" s="2208"/>
      <c r="E64" s="373">
        <f>МСФО_ввод!E32</f>
        <v>0</v>
      </c>
      <c r="F64" s="373">
        <f>МСФО_ввод!F32</f>
        <v>0</v>
      </c>
      <c r="G64" s="373">
        <f>МСФО_ввод!G32</f>
        <v>8.5020000000000007</v>
      </c>
      <c r="H64" s="373">
        <f>МСФО_ввод!H32</f>
        <v>6.06</v>
      </c>
      <c r="I64" s="373">
        <f>МСФО_ввод!I32</f>
        <v>19.774999999999999</v>
      </c>
      <c r="J64" s="373">
        <f>МСФО_ввод!J32</f>
        <v>0.3</v>
      </c>
      <c r="K64" s="373">
        <f>МСФО_ввод!K32</f>
        <v>7.6</v>
      </c>
      <c r="L64" s="302"/>
      <c r="M64" s="634">
        <f t="shared" si="22"/>
        <v>0</v>
      </c>
      <c r="N64" s="634">
        <f t="shared" si="16"/>
        <v>0</v>
      </c>
      <c r="O64" s="634">
        <f t="shared" si="17"/>
        <v>8.0206714835978129E-3</v>
      </c>
      <c r="P64" s="634">
        <f t="shared" si="18"/>
        <v>4.6868329383812938E-3</v>
      </c>
      <c r="Q64" s="634">
        <f t="shared" si="19"/>
        <v>1.2140852553689426E-2</v>
      </c>
      <c r="R64" s="634">
        <f t="shared" si="20"/>
        <v>1.409046075806679E-4</v>
      </c>
      <c r="S64" s="634">
        <f t="shared" si="21"/>
        <v>5.0357805459846274E-3</v>
      </c>
      <c r="U64" s="200"/>
      <c r="V64" s="41"/>
      <c r="X64" s="7"/>
    </row>
    <row r="65" spans="1:24" ht="15" x14ac:dyDescent="0.2">
      <c r="A65" s="346"/>
      <c r="B65" s="346" t="s">
        <v>485</v>
      </c>
      <c r="C65" s="2208" t="str">
        <f>МСФО_ввод!D33</f>
        <v>Текущие налоговые обязательства</v>
      </c>
      <c r="D65" s="2208"/>
      <c r="E65" s="373">
        <f>МСФО_ввод!E33</f>
        <v>8.8999999999999996E-2</v>
      </c>
      <c r="F65" s="373">
        <f>МСФО_ввод!F33</f>
        <v>3.9E-2</v>
      </c>
      <c r="G65" s="373">
        <f>МСФО_ввод!G33</f>
        <v>0.224</v>
      </c>
      <c r="H65" s="373">
        <f>МСФО_ввод!H33</f>
        <v>0.53100000000000003</v>
      </c>
      <c r="I65" s="373">
        <f>МСФО_ввод!I33</f>
        <v>0.89400000000000002</v>
      </c>
      <c r="J65" s="373">
        <f>МСФО_ввод!J33</f>
        <v>0.9</v>
      </c>
      <c r="K65" s="373">
        <f>МСФО_ввод!K33</f>
        <v>1</v>
      </c>
      <c r="L65" s="302"/>
      <c r="M65" s="634">
        <f t="shared" si="22"/>
        <v>1.0785251108517804E-4</v>
      </c>
      <c r="N65" s="634">
        <f t="shared" si="16"/>
        <v>4.5910871694417236E-5</v>
      </c>
      <c r="O65" s="634">
        <f t="shared" si="17"/>
        <v>2.1131856178850975E-4</v>
      </c>
      <c r="P65" s="634">
        <f t="shared" si="18"/>
        <v>4.1067793568984611E-4</v>
      </c>
      <c r="Q65" s="634">
        <f t="shared" si="19"/>
        <v>5.4887090685200248E-4</v>
      </c>
      <c r="R65" s="634">
        <f t="shared" si="20"/>
        <v>4.2271382274200367E-4</v>
      </c>
      <c r="S65" s="634">
        <f t="shared" si="21"/>
        <v>6.6260270341902993E-4</v>
      </c>
      <c r="U65" s="200"/>
      <c r="V65" s="41"/>
      <c r="X65" s="7"/>
    </row>
    <row r="66" spans="1:24" ht="15" x14ac:dyDescent="0.2">
      <c r="A66" s="346"/>
      <c r="B66" s="346" t="s">
        <v>529</v>
      </c>
      <c r="C66" s="2208" t="str">
        <f>МСФО_ввод!D34</f>
        <v>Отложенные налоговые обязательства</v>
      </c>
      <c r="D66" s="2208"/>
      <c r="E66" s="373">
        <f>МСФО_ввод!E34</f>
        <v>1.631</v>
      </c>
      <c r="F66" s="373">
        <f>МСФО_ввод!F34</f>
        <v>0.13500000000000001</v>
      </c>
      <c r="G66" s="373">
        <f>МСФО_ввод!G34</f>
        <v>0.61299999999999999</v>
      </c>
      <c r="H66" s="373">
        <f>МСФО_ввод!H34</f>
        <v>1.095</v>
      </c>
      <c r="I66" s="373">
        <f>МСФО_ввод!I34</f>
        <v>1.093</v>
      </c>
      <c r="J66" s="373">
        <f>МСФО_ввод!J34</f>
        <v>6.1</v>
      </c>
      <c r="K66" s="373">
        <f>МСФО_ввод!K34</f>
        <v>1.7</v>
      </c>
      <c r="L66" s="302"/>
      <c r="M66" s="634">
        <f t="shared" si="22"/>
        <v>1.9764881525834313E-3</v>
      </c>
      <c r="N66" s="634">
        <f t="shared" si="16"/>
        <v>1.5892224817298277E-4</v>
      </c>
      <c r="O66" s="634">
        <f t="shared" si="17"/>
        <v>5.7829588560873429E-4</v>
      </c>
      <c r="P66" s="634">
        <f t="shared" si="18"/>
        <v>8.4687822896493676E-4</v>
      </c>
      <c r="Q66" s="634">
        <f t="shared" si="19"/>
        <v>6.7104686933919309E-4</v>
      </c>
      <c r="R66" s="634">
        <f t="shared" si="20"/>
        <v>2.8650603541402471E-3</v>
      </c>
      <c r="S66" s="634">
        <f t="shared" si="21"/>
        <v>1.1264245958123508E-3</v>
      </c>
      <c r="U66" s="200"/>
      <c r="V66" s="41"/>
      <c r="X66" s="7"/>
    </row>
    <row r="67" spans="1:24" ht="21" customHeight="1" x14ac:dyDescent="0.2">
      <c r="A67" s="346"/>
      <c r="B67" s="346" t="s">
        <v>530</v>
      </c>
      <c r="C67" s="2208" t="str">
        <f>МСФО_ввод!D35</f>
        <v>Прочие обязательства</v>
      </c>
      <c r="D67" s="2208"/>
      <c r="E67" s="373">
        <f>МСФО_ввод!E35</f>
        <v>6.9180000000000001</v>
      </c>
      <c r="F67" s="373">
        <f>МСФО_ввод!F35</f>
        <v>8.7379999999999995</v>
      </c>
      <c r="G67" s="373">
        <f>МСФО_ввод!G35</f>
        <v>8.3770000000000007</v>
      </c>
      <c r="H67" s="373">
        <f>МСФО_ввод!H35</f>
        <v>8.5280000000000005</v>
      </c>
      <c r="I67" s="373">
        <f>МСФО_ввод!I35</f>
        <v>30.579000000000001</v>
      </c>
      <c r="J67" s="373">
        <f>МСФО_ввод!J35</f>
        <v>115.6</v>
      </c>
      <c r="K67" s="373">
        <f>МСФО_ввод!K35</f>
        <v>73.8</v>
      </c>
      <c r="L67" s="302"/>
      <c r="M67" s="634">
        <f t="shared" si="22"/>
        <v>8.3834120414299079E-3</v>
      </c>
      <c r="N67" s="634">
        <f t="shared" si="16"/>
        <v>1.0286389663226097E-2</v>
      </c>
      <c r="O67" s="634">
        <f t="shared" si="17"/>
        <v>7.9027481790283315E-3</v>
      </c>
      <c r="P67" s="634">
        <f t="shared" si="18"/>
        <v>6.5955959238474717E-3</v>
      </c>
      <c r="Q67" s="634">
        <f t="shared" si="19"/>
        <v>1.8773963602491478E-2</v>
      </c>
      <c r="R67" s="634">
        <f t="shared" si="20"/>
        <v>5.4295242121084025E-2</v>
      </c>
      <c r="S67" s="634">
        <f t="shared" si="21"/>
        <v>4.8900079512324404E-2</v>
      </c>
      <c r="U67" s="200"/>
      <c r="V67" s="41"/>
      <c r="X67" s="7"/>
    </row>
    <row r="68" spans="1:24" s="2" customFormat="1" ht="22.5" customHeight="1" x14ac:dyDescent="0.25">
      <c r="A68" s="343" t="s">
        <v>27</v>
      </c>
      <c r="B68" s="343" t="str">
        <f>МСФО_ввод!D36</f>
        <v>Субординированная задолженность</v>
      </c>
      <c r="C68" s="343"/>
      <c r="D68" s="344"/>
      <c r="E68" s="390">
        <f>МСФО_ввод!E36+МСФО_ввод!E316</f>
        <v>72.287999999999997</v>
      </c>
      <c r="F68" s="390">
        <f>МСФО_ввод!F36+МСФО_ввод!F316</f>
        <v>49.896000000000001</v>
      </c>
      <c r="G68" s="390">
        <f>МСФО_ввод!G36+МСФО_ввод!G316</f>
        <v>35.820999999999998</v>
      </c>
      <c r="H68" s="390">
        <f>МСФО_ввод!H36+МСФО_ввод!H316</f>
        <v>34.514000000000003</v>
      </c>
      <c r="I68" s="390">
        <f>МСФО_ввод!I36+МСФО_ввод!I316</f>
        <v>36.448</v>
      </c>
      <c r="J68" s="390">
        <f>МСФО_ввод!J36+МСФО_ввод!J316</f>
        <v>67.5</v>
      </c>
      <c r="K68" s="390">
        <f>МСФО_ввод!K36+МСФО_ввод!K316</f>
        <v>138.4</v>
      </c>
      <c r="L68" s="325"/>
      <c r="M68" s="633">
        <f t="shared" si="22"/>
        <v>8.7600475520509549E-2</v>
      </c>
      <c r="N68" s="633">
        <f t="shared" si="16"/>
        <v>5.8737662924734424E-2</v>
      </c>
      <c r="O68" s="633">
        <f t="shared" si="17"/>
        <v>3.3793045543866994E-2</v>
      </c>
      <c r="P68" s="633">
        <f t="shared" si="18"/>
        <v>2.6693292415064688E-2</v>
      </c>
      <c r="Q68" s="633">
        <f t="shared" si="19"/>
        <v>2.2377233571523249E-2</v>
      </c>
      <c r="R68" s="633">
        <f t="shared" si="20"/>
        <v>3.1703536705650279E-2</v>
      </c>
      <c r="S68" s="633">
        <f t="shared" si="21"/>
        <v>9.1704214153193742E-2</v>
      </c>
      <c r="U68" s="199"/>
      <c r="V68" s="198"/>
      <c r="X68" s="14"/>
    </row>
    <row r="69" spans="1:24" s="2" customFormat="1" ht="15.75" customHeight="1" x14ac:dyDescent="0.25">
      <c r="A69" s="343" t="s">
        <v>531</v>
      </c>
      <c r="B69" s="343" t="s">
        <v>28</v>
      </c>
      <c r="C69" s="343"/>
      <c r="D69" s="344"/>
      <c r="E69" s="390">
        <f>SUM(E70:E77)</f>
        <v>84.727000000000004</v>
      </c>
      <c r="F69" s="390">
        <f t="shared" ref="F69:K69" si="30">SUM(F70:F77)</f>
        <v>36.952000000000012</v>
      </c>
      <c r="G69" s="390">
        <f t="shared" si="30"/>
        <v>162.88800000000003</v>
      </c>
      <c r="H69" s="390">
        <f t="shared" si="30"/>
        <v>188.97800000000004</v>
      </c>
      <c r="I69" s="390">
        <f t="shared" si="30"/>
        <v>216.07130000000004</v>
      </c>
      <c r="J69" s="390">
        <f t="shared" si="30"/>
        <v>187.6</v>
      </c>
      <c r="K69" s="390">
        <f t="shared" si="30"/>
        <v>193.79999999999998</v>
      </c>
      <c r="L69" s="325"/>
      <c r="M69" s="633">
        <f t="shared" si="22"/>
        <v>0.10267437872712226</v>
      </c>
      <c r="N69" s="633">
        <f t="shared" si="16"/>
        <v>4.3499962329541189E-2</v>
      </c>
      <c r="O69" s="633">
        <f t="shared" si="17"/>
        <v>0.15366632987770884</v>
      </c>
      <c r="P69" s="633">
        <f t="shared" si="18"/>
        <v>0.14615648762861722</v>
      </c>
      <c r="Q69" s="633">
        <f t="shared" si="19"/>
        <v>0.132656879614867</v>
      </c>
      <c r="R69" s="633">
        <f t="shared" si="20"/>
        <v>8.8112347940444327E-2</v>
      </c>
      <c r="S69" s="633">
        <f t="shared" si="21"/>
        <v>0.128412403922608</v>
      </c>
      <c r="U69" s="199"/>
      <c r="V69" s="198"/>
      <c r="X69" s="14"/>
    </row>
    <row r="70" spans="1:24" ht="15" outlineLevel="1" x14ac:dyDescent="0.2">
      <c r="A70" s="346"/>
      <c r="B70" s="346" t="s">
        <v>532</v>
      </c>
      <c r="C70" s="2208" t="str">
        <f>МСФО_ввод!D39</f>
        <v>Уставный капитал</v>
      </c>
      <c r="D70" s="2208"/>
      <c r="E70" s="373">
        <f>МСФО_ввод!E39</f>
        <v>18.312999999999999</v>
      </c>
      <c r="F70" s="373">
        <f>МСФО_ввод!F39</f>
        <v>20.475999999999999</v>
      </c>
      <c r="G70" s="373">
        <f>МСФО_ввод!G39</f>
        <v>29.651</v>
      </c>
      <c r="H70" s="373">
        <f>МСФО_ввод!H39</f>
        <v>29.651</v>
      </c>
      <c r="I70" s="373">
        <f>МСФО_ввод!I39</f>
        <v>29.651</v>
      </c>
      <c r="J70" s="373">
        <f>МСФО_ввод!J39</f>
        <v>29.7</v>
      </c>
      <c r="K70" s="373">
        <f>МСФО_ввод!K39</f>
        <v>29.7</v>
      </c>
      <c r="L70" s="302"/>
      <c r="M70" s="634">
        <f t="shared" si="22"/>
        <v>2.2192168938234443E-2</v>
      </c>
      <c r="N70" s="634">
        <f t="shared" si="16"/>
        <v>2.4104384841407367E-2</v>
      </c>
      <c r="O70" s="634">
        <f t="shared" si="17"/>
        <v>2.7972351230317421E-2</v>
      </c>
      <c r="P70" s="634">
        <f t="shared" si="18"/>
        <v>2.2932224992729993E-2</v>
      </c>
      <c r="Q70" s="634">
        <f t="shared" si="19"/>
        <v>1.8204218410591413E-2</v>
      </c>
      <c r="R70" s="634">
        <f t="shared" si="20"/>
        <v>1.3949556150486122E-2</v>
      </c>
      <c r="S70" s="634">
        <f t="shared" si="21"/>
        <v>1.9679300291545188E-2</v>
      </c>
      <c r="U70" s="200"/>
      <c r="V70" s="41"/>
      <c r="X70" s="7"/>
    </row>
    <row r="71" spans="1:24" ht="15" outlineLevel="1" x14ac:dyDescent="0.2">
      <c r="A71" s="346"/>
      <c r="B71" s="346" t="s">
        <v>533</v>
      </c>
      <c r="C71" s="2208" t="str">
        <f>МСФО_ввод!D40</f>
        <v>Эмиссионный доход</v>
      </c>
      <c r="D71" s="2208"/>
      <c r="E71" s="373">
        <f>МСФО_ввод!E40</f>
        <v>34.090000000000003</v>
      </c>
      <c r="F71" s="373">
        <f>МСФО_ввод!F40</f>
        <v>53.624000000000002</v>
      </c>
      <c r="G71" s="373">
        <f>МСФО_ввод!G40</f>
        <v>146.44900000000001</v>
      </c>
      <c r="H71" s="373">
        <f>МСФО_ввод!H40</f>
        <v>146.44900000000001</v>
      </c>
      <c r="I71" s="373">
        <f>МСФО_ввод!I40</f>
        <v>146.44900000000001</v>
      </c>
      <c r="J71" s="373">
        <f>МСФО_ввод!J40</f>
        <v>146.4</v>
      </c>
      <c r="K71" s="373">
        <f>МСФО_ввод!K40</f>
        <v>146.4</v>
      </c>
      <c r="L71" s="302"/>
      <c r="M71" s="634">
        <f t="shared" si="22"/>
        <v>4.1311147223524941E-2</v>
      </c>
      <c r="N71" s="634">
        <f t="shared" si="16"/>
        <v>6.3126271377985391E-2</v>
      </c>
      <c r="O71" s="634">
        <f t="shared" si="17"/>
        <v>0.13815800024716726</v>
      </c>
      <c r="P71" s="634">
        <f t="shared" si="18"/>
        <v>0.11326435593943932</v>
      </c>
      <c r="Q71" s="634">
        <f t="shared" si="19"/>
        <v>8.9912299147168806E-2</v>
      </c>
      <c r="R71" s="634">
        <f t="shared" si="20"/>
        <v>6.876144849936594E-2</v>
      </c>
      <c r="S71" s="634">
        <f t="shared" si="21"/>
        <v>9.7005035780545992E-2</v>
      </c>
      <c r="U71" s="200"/>
      <c r="V71" s="41"/>
      <c r="X71" s="7"/>
    </row>
    <row r="72" spans="1:24" ht="15" outlineLevel="1" x14ac:dyDescent="0.2">
      <c r="A72" s="346"/>
      <c r="B72" s="346" t="s">
        <v>534</v>
      </c>
      <c r="C72" s="2208" t="str">
        <f>МСФО_ввод!D41</f>
        <v>Собственные средства, выкупленные у акционеров</v>
      </c>
      <c r="D72" s="2208"/>
      <c r="E72" s="373">
        <f>МСФО_ввод!E41</f>
        <v>0</v>
      </c>
      <c r="F72" s="373">
        <f>МСФО_ввод!F41</f>
        <v>0</v>
      </c>
      <c r="G72" s="373">
        <f>МСФО_ввод!G41</f>
        <v>0</v>
      </c>
      <c r="H72" s="373">
        <f>МСФО_ввод!H41</f>
        <v>0</v>
      </c>
      <c r="I72" s="373">
        <f>МСФО_ввод!I41</f>
        <v>-3.7000000000000002E-3</v>
      </c>
      <c r="J72" s="373">
        <f>МСФО_ввод!J41</f>
        <v>0</v>
      </c>
      <c r="K72" s="373">
        <f>МСФО_ввод!K41</f>
        <v>0</v>
      </c>
      <c r="L72" s="302"/>
      <c r="M72" s="634">
        <f t="shared" si="22"/>
        <v>0</v>
      </c>
      <c r="N72" s="634">
        <f t="shared" si="16"/>
        <v>0</v>
      </c>
      <c r="O72" s="634">
        <f t="shared" si="17"/>
        <v>0</v>
      </c>
      <c r="P72" s="634">
        <f t="shared" si="18"/>
        <v>0</v>
      </c>
      <c r="Q72" s="634">
        <f t="shared" si="19"/>
        <v>-2.271613372877415E-6</v>
      </c>
      <c r="R72" s="634">
        <f t="shared" si="20"/>
        <v>0</v>
      </c>
      <c r="S72" s="634">
        <f t="shared" si="21"/>
        <v>0</v>
      </c>
      <c r="U72" s="200"/>
      <c r="V72" s="41"/>
      <c r="X72" s="7"/>
    </row>
    <row r="73" spans="1:24" ht="15" outlineLevel="1" x14ac:dyDescent="0.2">
      <c r="A73" s="346"/>
      <c r="B73" s="346" t="s">
        <v>535</v>
      </c>
      <c r="C73" s="2208" t="str">
        <f>МСФО_ввод!D42</f>
        <v>Фонд переоценки финансовых активов, имеющихся в наличии для продажи</v>
      </c>
      <c r="D73" s="2208"/>
      <c r="E73" s="373">
        <f>МСФО_ввод!E42</f>
        <v>6.4000000000000001E-2</v>
      </c>
      <c r="F73" s="373">
        <f>МСФО_ввод!F42</f>
        <v>0.105</v>
      </c>
      <c r="G73" s="373">
        <f>МСФО_ввод!G42</f>
        <v>0.14199999999999999</v>
      </c>
      <c r="H73" s="373">
        <f>МСФО_ввод!H42</f>
        <v>1.615</v>
      </c>
      <c r="I73" s="373">
        <f>МСФО_ввод!I42</f>
        <v>1.048</v>
      </c>
      <c r="J73" s="373">
        <f>МСФО_ввод!J42</f>
        <v>-4.8</v>
      </c>
      <c r="K73" s="373">
        <f>МСФО_ввод!K42</f>
        <v>-0.9</v>
      </c>
      <c r="L73" s="302"/>
      <c r="M73" s="634">
        <f t="shared" si="22"/>
        <v>7.7556861903948265E-5</v>
      </c>
      <c r="N73" s="634">
        <f t="shared" si="16"/>
        <v>1.2360619302343101E-4</v>
      </c>
      <c r="O73" s="634">
        <f t="shared" si="17"/>
        <v>1.3396087399093027E-4</v>
      </c>
      <c r="P73" s="634">
        <f t="shared" si="18"/>
        <v>1.2490487121263681E-3</v>
      </c>
      <c r="Q73" s="634">
        <f t="shared" si="19"/>
        <v>6.4341913912852185E-4</v>
      </c>
      <c r="R73" s="634">
        <f t="shared" si="20"/>
        <v>-2.2544737212906864E-3</v>
      </c>
      <c r="S73" s="634">
        <f t="shared" si="21"/>
        <v>-5.9634243307712693E-4</v>
      </c>
      <c r="U73" s="200"/>
      <c r="V73" s="41"/>
      <c r="X73" s="7"/>
    </row>
    <row r="74" spans="1:24" ht="15" outlineLevel="1" x14ac:dyDescent="0.2">
      <c r="A74" s="346"/>
      <c r="B74" s="346" t="s">
        <v>536</v>
      </c>
      <c r="C74" s="2208" t="str">
        <f>МСФО_ввод!D43</f>
        <v>Фонд переоценки основных средств</v>
      </c>
      <c r="D74" s="2208"/>
      <c r="E74" s="373">
        <f>МСФО_ввод!E43</f>
        <v>3.8820000000000001</v>
      </c>
      <c r="F74" s="373">
        <f>МСФО_ввод!F43</f>
        <v>3.8820000000000001</v>
      </c>
      <c r="G74" s="373">
        <f>МСФО_ввод!G43</f>
        <v>3.8820000000000001</v>
      </c>
      <c r="H74" s="373">
        <f>МСФО_ввод!H43</f>
        <v>6.2380000000000004</v>
      </c>
      <c r="I74" s="373">
        <f>МСФО_ввод!I43</f>
        <v>6.08</v>
      </c>
      <c r="J74" s="373">
        <f>МСФО_ввод!J43</f>
        <v>5.8</v>
      </c>
      <c r="K74" s="373">
        <f>МСФО_ввод!K43</f>
        <v>6.7</v>
      </c>
      <c r="L74" s="302"/>
      <c r="M74" s="634">
        <f t="shared" si="22"/>
        <v>4.7043084048613614E-3</v>
      </c>
      <c r="N74" s="634">
        <f t="shared" si="16"/>
        <v>4.569897536351993E-3</v>
      </c>
      <c r="O74" s="634">
        <f t="shared" si="17"/>
        <v>3.6622261467097986E-3</v>
      </c>
      <c r="P74" s="634">
        <f t="shared" si="18"/>
        <v>4.824498988386554E-3</v>
      </c>
      <c r="Q74" s="634">
        <f t="shared" si="19"/>
        <v>3.7328133262418063E-3</v>
      </c>
      <c r="R74" s="634">
        <f t="shared" si="20"/>
        <v>2.7241557465595792E-3</v>
      </c>
      <c r="S74" s="634">
        <f t="shared" si="21"/>
        <v>4.4394381129075006E-3</v>
      </c>
      <c r="U74" s="200"/>
      <c r="V74" s="41"/>
      <c r="X74" s="7"/>
    </row>
    <row r="75" spans="1:24" ht="15" outlineLevel="1" x14ac:dyDescent="0.2">
      <c r="A75" s="346"/>
      <c r="B75" s="346" t="s">
        <v>537</v>
      </c>
      <c r="C75" s="2208" t="str">
        <f>МСФО_ввод!D44</f>
        <v>Фонд накопленных курсовых разниц</v>
      </c>
      <c r="D75" s="2208"/>
      <c r="E75" s="373">
        <f>МСФО_ввод!E44</f>
        <v>-3.9E-2</v>
      </c>
      <c r="F75" s="373">
        <f>МСФО_ввод!F44</f>
        <v>1.2999999999999999E-2</v>
      </c>
      <c r="G75" s="373">
        <f>МСФО_ввод!G44</f>
        <v>-0.52800000000000002</v>
      </c>
      <c r="H75" s="373">
        <f>МСФО_ввод!H44</f>
        <v>-1.0999999999999999E-2</v>
      </c>
      <c r="I75" s="373">
        <f>МСФО_ввод!I44</f>
        <v>-2.1999999999999999E-2</v>
      </c>
      <c r="J75" s="373">
        <f>МСФО_ввод!J44</f>
        <v>-0.1</v>
      </c>
      <c r="K75" s="373">
        <f>МСФО_ввод!K44</f>
        <v>0.1</v>
      </c>
      <c r="L75" s="302"/>
      <c r="M75" s="634">
        <f t="shared" si="22"/>
        <v>-4.7261212722718469E-5</v>
      </c>
      <c r="N75" s="634">
        <f t="shared" si="16"/>
        <v>1.530362389813908E-5</v>
      </c>
      <c r="O75" s="634">
        <f t="shared" si="17"/>
        <v>-4.981080385014873E-4</v>
      </c>
      <c r="P75" s="634">
        <f t="shared" si="18"/>
        <v>-8.5074525284148903E-6</v>
      </c>
      <c r="Q75" s="634">
        <f t="shared" si="19"/>
        <v>-1.3506890325217062E-5</v>
      </c>
      <c r="R75" s="634">
        <f t="shared" si="20"/>
        <v>-4.6968202526889304E-5</v>
      </c>
      <c r="S75" s="634">
        <f t="shared" si="21"/>
        <v>6.626027034190299E-5</v>
      </c>
      <c r="U75" s="200"/>
      <c r="V75" s="41"/>
      <c r="X75" s="7"/>
    </row>
    <row r="76" spans="1:24" ht="15" outlineLevel="1" x14ac:dyDescent="0.2">
      <c r="A76" s="346"/>
      <c r="B76" s="346" t="s">
        <v>538</v>
      </c>
      <c r="C76" s="2208" t="str">
        <f>МСФО_ввод!D45</f>
        <v>Нераспределенная прибыль</v>
      </c>
      <c r="D76" s="2208"/>
      <c r="E76" s="373">
        <f>МСФО_ввод!E45</f>
        <v>28.172000000000001</v>
      </c>
      <c r="F76" s="373">
        <f>МСФО_ввод!F45</f>
        <v>-41.576999999999998</v>
      </c>
      <c r="G76" s="373">
        <f>МСФО_ввод!G45</f>
        <v>-16.951000000000001</v>
      </c>
      <c r="H76" s="373">
        <f>МСФО_ввод!H45</f>
        <v>4.88</v>
      </c>
      <c r="I76" s="373">
        <f>МСФО_ввод!I45</f>
        <v>32.161000000000001</v>
      </c>
      <c r="J76" s="373">
        <f>МСФО_ввод!J45</f>
        <v>9.6</v>
      </c>
      <c r="K76" s="373">
        <f>МСФО_ввод!K45</f>
        <v>10.8</v>
      </c>
      <c r="L76" s="302"/>
      <c r="M76" s="634">
        <f t="shared" si="22"/>
        <v>3.4139561149344223E-2</v>
      </c>
      <c r="N76" s="634">
        <f t="shared" si="16"/>
        <v>-4.8944520831763733E-2</v>
      </c>
      <c r="O76" s="634">
        <f t="shared" si="17"/>
        <v>-1.5991343486058164E-2</v>
      </c>
      <c r="P76" s="634">
        <f t="shared" si="18"/>
        <v>3.7742153035149697E-3</v>
      </c>
      <c r="Q76" s="634">
        <f t="shared" si="19"/>
        <v>1.9745231806786633E-2</v>
      </c>
      <c r="R76" s="634">
        <f t="shared" si="20"/>
        <v>4.5089474425813727E-3</v>
      </c>
      <c r="S76" s="634">
        <f t="shared" si="21"/>
        <v>7.1561091969255235E-3</v>
      </c>
      <c r="U76" s="200"/>
      <c r="V76" s="41"/>
      <c r="X76" s="7"/>
    </row>
    <row r="77" spans="1:24" ht="15" customHeight="1" outlineLevel="1" x14ac:dyDescent="0.2">
      <c r="A77" s="346"/>
      <c r="B77" s="346" t="s">
        <v>539</v>
      </c>
      <c r="C77" s="2208" t="str">
        <f>МСФО_ввод!D47</f>
        <v>Неконтрольные доли участия</v>
      </c>
      <c r="D77" s="2208"/>
      <c r="E77" s="373">
        <f>МСФО_ввод!E47</f>
        <v>0.245</v>
      </c>
      <c r="F77" s="373">
        <f>МСФО_ввод!F47</f>
        <v>0.42899999999999999</v>
      </c>
      <c r="G77" s="373">
        <f>МСФО_ввод!G47</f>
        <v>0.24299999999999999</v>
      </c>
      <c r="H77" s="373">
        <f>МСФО_ввод!H47</f>
        <v>0.156</v>
      </c>
      <c r="I77" s="373">
        <f>МСФО_ввод!I47</f>
        <v>0.70799999999999996</v>
      </c>
      <c r="J77" s="373">
        <f>МСФО_ввод!J47</f>
        <v>1</v>
      </c>
      <c r="K77" s="373">
        <f>МСФО_ввод!K47</f>
        <v>1</v>
      </c>
      <c r="L77" s="302"/>
      <c r="M77" s="634">
        <f t="shared" si="22"/>
        <v>2.968973619760519E-4</v>
      </c>
      <c r="N77" s="634">
        <f t="shared" si="16"/>
        <v>5.0501958863858958E-4</v>
      </c>
      <c r="O77" s="634">
        <f t="shared" si="17"/>
        <v>2.2924290408307083E-4</v>
      </c>
      <c r="P77" s="634">
        <f t="shared" si="18"/>
        <v>1.2065114494842935E-4</v>
      </c>
      <c r="Q77" s="634">
        <f t="shared" si="19"/>
        <v>4.3467628864789454E-4</v>
      </c>
      <c r="R77" s="634">
        <f t="shared" si="20"/>
        <v>4.6968202526889296E-4</v>
      </c>
      <c r="S77" s="634">
        <f t="shared" si="21"/>
        <v>6.6260270341902993E-4</v>
      </c>
      <c r="U77" s="200"/>
      <c r="V77" s="41"/>
      <c r="X77" s="7"/>
    </row>
    <row r="78" spans="1:24" s="367" customFormat="1" ht="26.25" customHeight="1" x14ac:dyDescent="0.25">
      <c r="A78" s="363"/>
      <c r="B78" s="364" t="s">
        <v>365</v>
      </c>
      <c r="C78" s="365"/>
      <c r="D78" s="366"/>
      <c r="E78" s="374">
        <f>SUM(E41,E45,E48,E55,E62,E68:E69)</f>
        <v>825.20099999999991</v>
      </c>
      <c r="F78" s="374">
        <f t="shared" ref="F78:S78" si="31">SUM(F41,F45,F48,F55,F62,F68:F69)</f>
        <v>849.47199999999998</v>
      </c>
      <c r="G78" s="374">
        <f t="shared" si="31"/>
        <v>1060.011</v>
      </c>
      <c r="H78" s="374">
        <f t="shared" si="31"/>
        <v>1292.9840000000002</v>
      </c>
      <c r="I78" s="374">
        <f t="shared" si="31"/>
        <v>1628.7983000000002</v>
      </c>
      <c r="J78" s="374">
        <f t="shared" si="31"/>
        <v>2129.1</v>
      </c>
      <c r="K78" s="374">
        <f t="shared" si="31"/>
        <v>1509.2</v>
      </c>
      <c r="L78" s="300"/>
      <c r="M78" s="637">
        <f t="shared" si="31"/>
        <v>1</v>
      </c>
      <c r="N78" s="637">
        <f t="shared" si="31"/>
        <v>1</v>
      </c>
      <c r="O78" s="637">
        <f t="shared" si="31"/>
        <v>1</v>
      </c>
      <c r="P78" s="637">
        <f t="shared" si="31"/>
        <v>1</v>
      </c>
      <c r="Q78" s="637">
        <f t="shared" si="31"/>
        <v>1</v>
      </c>
      <c r="R78" s="638">
        <f t="shared" si="31"/>
        <v>0.99999999999999989</v>
      </c>
      <c r="S78" s="638">
        <f t="shared" si="31"/>
        <v>1</v>
      </c>
      <c r="U78" s="355"/>
      <c r="V78" s="356"/>
      <c r="X78" s="368"/>
    </row>
    <row r="79" spans="1:24" s="305" customFormat="1" ht="15.75" x14ac:dyDescent="0.25">
      <c r="A79" s="359"/>
      <c r="B79" s="359" t="s">
        <v>488</v>
      </c>
      <c r="C79" s="360"/>
      <c r="D79" s="361"/>
      <c r="E79" s="406">
        <f>E78-МСФО_ввод!E49</f>
        <v>-5.0000000001091394E-3</v>
      </c>
      <c r="F79" s="406">
        <f>F78-МСФО_ввод!F49</f>
        <v>-5.9999999998581188E-3</v>
      </c>
      <c r="G79" s="406">
        <f>G78-МСФО_ввод!G49</f>
        <v>-6.0000000000854925E-3</v>
      </c>
      <c r="H79" s="406">
        <f>H78-МСФО_ввод!H49</f>
        <v>-3.1999999999698048E-2</v>
      </c>
      <c r="I79" s="406">
        <f>I78-МСФО_ввод!I49</f>
        <v>0.1430000000000291</v>
      </c>
      <c r="J79" s="406">
        <f>J78-МСФО_ввод!J49</f>
        <v>0</v>
      </c>
      <c r="K79" s="406">
        <f>K78-МСФО_ввод!K49</f>
        <v>0</v>
      </c>
      <c r="L79" s="358"/>
      <c r="M79" s="362"/>
      <c r="N79" s="362"/>
      <c r="O79" s="362"/>
      <c r="P79" s="362"/>
      <c r="Q79" s="304"/>
      <c r="R79" s="304"/>
      <c r="S79" s="304"/>
    </row>
    <row r="80" spans="1:24" s="239" customFormat="1" x14ac:dyDescent="0.2">
      <c r="A80" s="352"/>
      <c r="B80" s="352"/>
      <c r="C80" s="353"/>
      <c r="D80" s="354"/>
      <c r="E80" s="407"/>
      <c r="F80" s="407"/>
      <c r="G80" s="407"/>
      <c r="H80" s="407"/>
      <c r="I80" s="407"/>
      <c r="J80" s="407"/>
      <c r="K80" s="407"/>
      <c r="L80" s="237"/>
      <c r="M80" s="238"/>
      <c r="N80" s="238"/>
      <c r="O80" s="238"/>
      <c r="P80" s="238"/>
      <c r="Q80" s="238"/>
      <c r="R80" s="238"/>
      <c r="S80" s="238"/>
    </row>
    <row r="81" spans="1:19" x14ac:dyDescent="0.2">
      <c r="A81" s="349"/>
      <c r="B81" s="349"/>
      <c r="C81" s="350"/>
      <c r="D81" s="351"/>
      <c r="E81" s="5"/>
      <c r="F81" s="5"/>
      <c r="G81" s="5"/>
      <c r="H81" s="5"/>
      <c r="I81" s="5"/>
      <c r="J81" s="225"/>
      <c r="K81" s="228"/>
      <c r="L81" s="6"/>
      <c r="M81" s="6"/>
      <c r="N81" s="6"/>
      <c r="O81" s="6"/>
      <c r="P81" s="6"/>
      <c r="Q81" s="4"/>
      <c r="R81" s="71"/>
      <c r="S81" s="71"/>
    </row>
    <row r="82" spans="1:19" x14ac:dyDescent="0.2">
      <c r="A82" s="349"/>
      <c r="B82" s="349"/>
      <c r="C82" s="350"/>
      <c r="D82" s="351"/>
      <c r="E82" s="5"/>
      <c r="F82" s="5"/>
      <c r="G82" s="5"/>
      <c r="H82" s="5"/>
      <c r="I82" s="5"/>
      <c r="J82" s="225"/>
      <c r="K82" s="228"/>
      <c r="L82" s="6"/>
      <c r="M82" s="6"/>
      <c r="N82" s="6"/>
      <c r="O82" s="6"/>
      <c r="P82" s="6"/>
      <c r="Q82" s="4"/>
      <c r="R82" s="71"/>
      <c r="S82" s="71"/>
    </row>
    <row r="83" spans="1:19" s="409" customFormat="1" ht="15.75" x14ac:dyDescent="0.2">
      <c r="A83" s="408"/>
      <c r="B83" s="412" t="s">
        <v>542</v>
      </c>
      <c r="C83" s="408"/>
      <c r="D83" s="408"/>
      <c r="J83" s="410"/>
      <c r="K83" s="411"/>
      <c r="R83" s="411"/>
      <c r="S83" s="411"/>
    </row>
    <row r="84" spans="1:19" s="4" customFormat="1" ht="15.75" outlineLevel="1" x14ac:dyDescent="0.2">
      <c r="A84" s="350"/>
      <c r="B84" s="343"/>
      <c r="C84" s="345"/>
      <c r="D84" s="345"/>
      <c r="E84" s="21" t="s">
        <v>348</v>
      </c>
      <c r="F84" s="21"/>
      <c r="G84" s="21"/>
      <c r="H84" s="21"/>
      <c r="I84" s="21"/>
      <c r="J84" s="21"/>
      <c r="K84" s="21"/>
      <c r="R84" s="71"/>
      <c r="S84" s="71"/>
    </row>
    <row r="85" spans="1:19" ht="16.5" outlineLevel="1" thickBot="1" x14ac:dyDescent="0.25">
      <c r="A85" s="350"/>
      <c r="B85" s="414" t="s">
        <v>0</v>
      </c>
      <c r="C85" s="415"/>
      <c r="D85" s="415"/>
      <c r="E85" s="413">
        <f>E8</f>
        <v>2009</v>
      </c>
      <c r="F85" s="413">
        <f t="shared" ref="F85:K85" si="32">F8</f>
        <v>2010</v>
      </c>
      <c r="G85" s="413">
        <f t="shared" si="32"/>
        <v>2011</v>
      </c>
      <c r="H85" s="413">
        <f t="shared" si="32"/>
        <v>2012</v>
      </c>
      <c r="I85" s="413">
        <f t="shared" si="32"/>
        <v>2013</v>
      </c>
      <c r="J85" s="413">
        <f t="shared" si="32"/>
        <v>2014</v>
      </c>
      <c r="K85" s="413">
        <f t="shared" si="32"/>
        <v>2015</v>
      </c>
      <c r="L85" s="4"/>
      <c r="M85" s="4"/>
      <c r="N85" s="4"/>
      <c r="O85" s="4"/>
      <c r="P85" s="4"/>
      <c r="Q85" s="4"/>
      <c r="R85" s="71"/>
      <c r="S85" s="71"/>
    </row>
    <row r="86" spans="1:19" ht="15.75" outlineLevel="1" x14ac:dyDescent="0.2">
      <c r="A86" s="350"/>
      <c r="B86" s="420" t="s">
        <v>968</v>
      </c>
      <c r="C86" s="416"/>
      <c r="D86" s="416"/>
      <c r="E86" s="417"/>
      <c r="F86" s="417"/>
      <c r="G86" s="417"/>
      <c r="H86" s="417"/>
      <c r="I86" s="417"/>
      <c r="J86" s="417"/>
      <c r="K86" s="417"/>
      <c r="L86" s="4"/>
      <c r="M86" s="4"/>
      <c r="N86" s="4"/>
      <c r="O86" s="4"/>
      <c r="P86" s="4"/>
      <c r="Q86" s="4"/>
      <c r="R86" s="71"/>
      <c r="S86" s="71"/>
    </row>
    <row r="87" spans="1:19" ht="15" outlineLevel="1" x14ac:dyDescent="0.2">
      <c r="A87" s="350"/>
      <c r="B87" s="416"/>
      <c r="C87" s="421" t="str">
        <f>B36</f>
        <v>Итого портфель активов</v>
      </c>
      <c r="D87" s="416"/>
      <c r="E87" s="417"/>
      <c r="F87" s="417">
        <f t="shared" ref="F87:K87" si="33">AVERAGE(E36:F36)</f>
        <v>837.31825000000003</v>
      </c>
      <c r="G87" s="417">
        <f t="shared" si="33"/>
        <v>954.71680000000015</v>
      </c>
      <c r="H87" s="417">
        <f t="shared" si="33"/>
        <v>1176.5088000000001</v>
      </c>
      <c r="I87" s="417">
        <f t="shared" si="33"/>
        <v>1460.8415</v>
      </c>
      <c r="J87" s="417">
        <f t="shared" si="33"/>
        <v>1878.884</v>
      </c>
      <c r="K87" s="417">
        <f t="shared" si="33"/>
        <v>1819.15</v>
      </c>
      <c r="L87" s="4"/>
      <c r="M87" s="4"/>
      <c r="N87" s="4"/>
      <c r="O87" s="4"/>
      <c r="P87" s="4"/>
      <c r="Q87" s="4"/>
      <c r="R87" s="71"/>
      <c r="S87" s="71"/>
    </row>
    <row r="88" spans="1:19" ht="15" outlineLevel="1" x14ac:dyDescent="0.2">
      <c r="A88" s="350"/>
      <c r="B88" s="416"/>
      <c r="C88" s="416" t="str">
        <f>МСФО_ввод!D200</f>
        <v>Итого кредиты и авансы клиентам (брутто)</v>
      </c>
      <c r="D88" s="416"/>
      <c r="E88" s="417"/>
      <c r="F88" s="417">
        <f>AVERAGE(МСФО_ввод!E200:F200)</f>
        <v>627.8365</v>
      </c>
      <c r="G88" s="417">
        <f>AVERAGE(МСФО_ввод!F200:G200)</f>
        <v>721.64250000000004</v>
      </c>
      <c r="H88" s="417">
        <f>AVERAGE(МСФО_ввод!G200:H200)</f>
        <v>832.96350000000007</v>
      </c>
      <c r="I88" s="417">
        <f>AVERAGE(МСФО_ввод!H200:I200)</f>
        <v>999.52649999999994</v>
      </c>
      <c r="J88" s="417">
        <f>AVERAGE(МСФО_ввод!I200:J200)</f>
        <v>1249.5025000000001</v>
      </c>
      <c r="K88" s="417">
        <f>AVERAGE(МСФО_ввод!J200:K200)</f>
        <v>1326.65</v>
      </c>
      <c r="L88" s="4"/>
      <c r="M88" s="4"/>
      <c r="N88" s="4"/>
      <c r="O88" s="4"/>
      <c r="P88" s="4"/>
      <c r="Q88" s="4"/>
      <c r="R88" s="71"/>
      <c r="S88" s="71"/>
    </row>
    <row r="89" spans="1:19" ht="15" outlineLevel="1" x14ac:dyDescent="0.2">
      <c r="A89" s="350"/>
      <c r="B89" s="416"/>
      <c r="C89" s="416" t="str">
        <f>МСФО_ввод!D202</f>
        <v>Итого кредиты и авансы клиентам (нетто)</v>
      </c>
      <c r="D89" s="416"/>
      <c r="E89" s="417"/>
      <c r="F89" s="417">
        <f>AVERAGE(МСФО_ввод!E202:F202)</f>
        <v>531.91674999999998</v>
      </c>
      <c r="G89" s="417">
        <f>AVERAGE(МСФО_ввод!F202:G202)</f>
        <v>519.7020500000001</v>
      </c>
      <c r="H89" s="417">
        <f>AVERAGE(МСФО_ввод!G202:H202)</f>
        <v>591.86200000000008</v>
      </c>
      <c r="I89" s="417">
        <f>AVERAGE(МСФО_ввод!H202:I202)</f>
        <v>779.52500000000009</v>
      </c>
      <c r="J89" s="417">
        <f>AVERAGE(МСФО_ввод!I202:J202)</f>
        <v>1002.679</v>
      </c>
      <c r="K89" s="417">
        <f>AVERAGE(МСФО_ввод!J202:K202)</f>
        <v>1025.3499999999999</v>
      </c>
      <c r="L89" s="4"/>
      <c r="M89" s="4"/>
      <c r="N89" s="4"/>
      <c r="O89" s="4"/>
      <c r="P89" s="4"/>
      <c r="Q89" s="4"/>
      <c r="R89" s="71"/>
      <c r="S89" s="71"/>
    </row>
    <row r="90" spans="1:19" ht="15" outlineLevel="1" x14ac:dyDescent="0.2">
      <c r="A90" s="350"/>
      <c r="B90" s="416"/>
      <c r="C90" s="416" t="str">
        <f>C12</f>
        <v>Средства в банках (кредиты и депозиты)</v>
      </c>
      <c r="D90" s="416"/>
      <c r="E90" s="417"/>
      <c r="F90" s="417">
        <f t="shared" ref="F90:K90" si="34">AVERAGE(E12:F12)</f>
        <v>65.093999999999994</v>
      </c>
      <c r="G90" s="417">
        <f t="shared" si="34"/>
        <v>119.155</v>
      </c>
      <c r="H90" s="417">
        <f t="shared" si="34"/>
        <v>163.16399999999999</v>
      </c>
      <c r="I90" s="417">
        <f t="shared" si="34"/>
        <v>165.1815</v>
      </c>
      <c r="J90" s="417">
        <f t="shared" si="34"/>
        <v>335.88</v>
      </c>
      <c r="K90" s="417">
        <f t="shared" si="34"/>
        <v>343.04999999999995</v>
      </c>
      <c r="L90" s="4"/>
      <c r="M90" s="4"/>
      <c r="N90" s="4"/>
      <c r="O90" s="4"/>
      <c r="P90" s="4"/>
      <c r="Q90" s="4"/>
      <c r="R90" s="71"/>
      <c r="S90" s="71"/>
    </row>
    <row r="91" spans="1:19" ht="15" outlineLevel="1" x14ac:dyDescent="0.2">
      <c r="A91" s="350"/>
      <c r="B91" s="416"/>
      <c r="C91" s="416" t="str">
        <f>C14</f>
        <v>Финансовые активы, предназначенные для торговли</v>
      </c>
      <c r="D91" s="416"/>
      <c r="E91" s="417"/>
      <c r="F91" s="417">
        <f t="shared" ref="F91:K91" si="35">AVERAGE(E14:F14)</f>
        <v>88.525000000000006</v>
      </c>
      <c r="G91" s="417">
        <f t="shared" si="35"/>
        <v>60.021499999999996</v>
      </c>
      <c r="H91" s="417">
        <f t="shared" si="35"/>
        <v>33.142499999999998</v>
      </c>
      <c r="I91" s="417">
        <f t="shared" si="35"/>
        <v>45.728499999999997</v>
      </c>
      <c r="J91" s="417">
        <f t="shared" si="35"/>
        <v>42.103000000000002</v>
      </c>
      <c r="K91" s="417">
        <f t="shared" si="35"/>
        <v>19.850000000000001</v>
      </c>
      <c r="L91" s="4"/>
      <c r="M91" s="4"/>
      <c r="N91" s="4"/>
      <c r="O91" s="4"/>
      <c r="P91" s="4"/>
      <c r="Q91" s="4"/>
      <c r="R91" s="71"/>
      <c r="S91" s="71"/>
    </row>
    <row r="92" spans="1:19" ht="15" outlineLevel="1" x14ac:dyDescent="0.2">
      <c r="A92" s="350"/>
      <c r="B92" s="416"/>
      <c r="C92" s="416" t="str">
        <f>C17</f>
        <v>Финансовые активы, имеющиеся в наличии для продажи</v>
      </c>
      <c r="D92" s="416"/>
      <c r="E92" s="417"/>
      <c r="F92" s="417">
        <f t="shared" ref="F92:K92" si="36">AVERAGE(E17:F17)</f>
        <v>14.877500000000001</v>
      </c>
      <c r="G92" s="417">
        <f t="shared" si="36"/>
        <v>16.490500000000001</v>
      </c>
      <c r="H92" s="417">
        <f t="shared" si="36"/>
        <v>22.024999999999999</v>
      </c>
      <c r="I92" s="417">
        <f t="shared" si="36"/>
        <v>27.310000000000002</v>
      </c>
      <c r="J92" s="417">
        <f t="shared" si="36"/>
        <v>19.814</v>
      </c>
      <c r="K92" s="417">
        <f t="shared" si="36"/>
        <v>18.3</v>
      </c>
      <c r="L92" s="4"/>
      <c r="M92" s="4"/>
      <c r="N92" s="4"/>
      <c r="O92" s="4"/>
      <c r="P92" s="4"/>
      <c r="Q92" s="4"/>
      <c r="R92" s="71"/>
      <c r="S92" s="71"/>
    </row>
    <row r="93" spans="1:19" ht="15" outlineLevel="1" x14ac:dyDescent="0.2">
      <c r="A93" s="350"/>
      <c r="B93" s="416"/>
      <c r="C93" s="416" t="str">
        <f>C20</f>
        <v>Инвестиционные ценные бумаги, удерживаемые для погашения</v>
      </c>
      <c r="D93" s="416"/>
      <c r="E93" s="417"/>
      <c r="F93" s="417">
        <f t="shared" ref="F93:K93" si="37">AVERAGE(E20:F20)</f>
        <v>0.34150000000000003</v>
      </c>
      <c r="G93" s="417">
        <f t="shared" si="37"/>
        <v>0.371</v>
      </c>
      <c r="H93" s="417">
        <f t="shared" si="37"/>
        <v>0.22800000000000001</v>
      </c>
      <c r="I93" s="417">
        <f t="shared" si="37"/>
        <v>6.8000000000000005E-2</v>
      </c>
      <c r="J93" s="417">
        <f t="shared" si="37"/>
        <v>2E-3</v>
      </c>
      <c r="K93" s="417">
        <f t="shared" si="37"/>
        <v>8</v>
      </c>
      <c r="L93" s="4"/>
      <c r="M93" s="4"/>
      <c r="N93" s="4"/>
      <c r="O93" s="4"/>
      <c r="P93" s="4"/>
      <c r="Q93" s="4"/>
      <c r="R93" s="71"/>
      <c r="S93" s="71"/>
    </row>
    <row r="94" spans="1:19" ht="15" outlineLevel="1" x14ac:dyDescent="0.2">
      <c r="A94" s="350"/>
      <c r="B94" s="416"/>
      <c r="C94" s="416" t="str">
        <f>C23</f>
        <v>Финансовые активы, заложенные по договорам "репо"</v>
      </c>
      <c r="D94" s="416"/>
      <c r="E94" s="417"/>
      <c r="F94" s="417">
        <f t="shared" ref="F94:K94" si="38">AVERAGE(E23:F23)</f>
        <v>21.555499999999999</v>
      </c>
      <c r="G94" s="417">
        <f t="shared" si="38"/>
        <v>111.71100000000001</v>
      </c>
      <c r="H94" s="417">
        <f t="shared" si="38"/>
        <v>224.17250000000001</v>
      </c>
      <c r="I94" s="417">
        <f t="shared" si="38"/>
        <v>268.12149999999997</v>
      </c>
      <c r="J94" s="417">
        <f t="shared" si="38"/>
        <v>277.32249999999999</v>
      </c>
      <c r="K94" s="417">
        <f t="shared" si="38"/>
        <v>204.1</v>
      </c>
      <c r="L94" s="4"/>
      <c r="M94" s="4"/>
      <c r="N94" s="4"/>
      <c r="O94" s="4"/>
      <c r="P94" s="4"/>
      <c r="Q94" s="4"/>
      <c r="R94" s="71"/>
      <c r="S94" s="71"/>
    </row>
    <row r="95" spans="1:19" ht="15" outlineLevel="1" x14ac:dyDescent="0.2">
      <c r="A95" s="350"/>
      <c r="B95" s="416"/>
      <c r="C95" s="416" t="s">
        <v>970</v>
      </c>
      <c r="D95" s="416"/>
      <c r="E95" s="417"/>
      <c r="F95" s="417">
        <f t="shared" ref="F95:K95" si="39">AVERAGE(E12:F12)+AVERAGE(E25:F25)</f>
        <v>597.01375000000007</v>
      </c>
      <c r="G95" s="417">
        <f t="shared" si="39"/>
        <v>638.86030000000005</v>
      </c>
      <c r="H95" s="417">
        <f t="shared" si="39"/>
        <v>755.02880000000005</v>
      </c>
      <c r="I95" s="417">
        <f t="shared" si="39"/>
        <v>944.71650000000011</v>
      </c>
      <c r="J95" s="417">
        <f t="shared" si="39"/>
        <v>1338.568</v>
      </c>
      <c r="K95" s="417">
        <f t="shared" si="39"/>
        <v>1368.3999999999999</v>
      </c>
      <c r="L95" s="4"/>
      <c r="M95" s="4"/>
      <c r="N95" s="4"/>
      <c r="O95" s="4"/>
      <c r="P95" s="4"/>
      <c r="Q95" s="4"/>
      <c r="R95" s="71"/>
      <c r="S95" s="71"/>
    </row>
    <row r="96" spans="1:19" ht="15" outlineLevel="1" x14ac:dyDescent="0.2">
      <c r="A96" s="350"/>
      <c r="B96" s="416"/>
      <c r="C96" s="416"/>
      <c r="D96" s="416"/>
      <c r="E96" s="417"/>
      <c r="F96" s="417"/>
      <c r="G96" s="417"/>
      <c r="H96" s="417"/>
      <c r="I96" s="417"/>
      <c r="J96" s="417"/>
      <c r="K96" s="417"/>
      <c r="L96" s="4"/>
      <c r="M96" s="4"/>
      <c r="N96" s="4"/>
      <c r="O96" s="4"/>
      <c r="P96" s="4"/>
      <c r="Q96" s="4"/>
      <c r="R96" s="71"/>
      <c r="S96" s="71"/>
    </row>
    <row r="97" spans="1:19" ht="15" outlineLevel="1" x14ac:dyDescent="0.2">
      <c r="A97" s="350"/>
      <c r="B97" s="416"/>
      <c r="C97" s="416" t="str">
        <f>B41</f>
        <v>Средства банков</v>
      </c>
      <c r="D97" s="416"/>
      <c r="E97" s="417"/>
      <c r="F97" s="417">
        <f t="shared" ref="F97:K97" si="40">AVERAGE(E41:F41)</f>
        <v>115.1455</v>
      </c>
      <c r="G97" s="417">
        <f t="shared" si="40"/>
        <v>86.736500000000007</v>
      </c>
      <c r="H97" s="417">
        <f t="shared" si="40"/>
        <v>72.8245</v>
      </c>
      <c r="I97" s="417">
        <f t="shared" si="40"/>
        <v>153.32500000000002</v>
      </c>
      <c r="J97" s="417">
        <f t="shared" si="40"/>
        <v>374.34999999999997</v>
      </c>
      <c r="K97" s="417">
        <f t="shared" si="40"/>
        <v>306.29999999999995</v>
      </c>
      <c r="L97" s="4"/>
      <c r="M97" s="4"/>
      <c r="N97" s="4"/>
      <c r="O97" s="4"/>
      <c r="P97" s="4"/>
      <c r="Q97" s="4"/>
      <c r="R97" s="71"/>
      <c r="S97" s="71"/>
    </row>
    <row r="98" spans="1:19" ht="15" outlineLevel="1" x14ac:dyDescent="0.2">
      <c r="A98" s="350"/>
      <c r="B98" s="416"/>
      <c r="C98" s="416" t="str">
        <f>B45</f>
        <v>Средства, привлеченные от ЦБ РФ</v>
      </c>
      <c r="D98" s="416"/>
      <c r="E98" s="417"/>
      <c r="F98" s="417">
        <f t="shared" ref="F98:K98" si="41">AVERAGE(E45:F45)</f>
        <v>36.922499999999999</v>
      </c>
      <c r="G98" s="417">
        <f t="shared" si="41"/>
        <v>79.872500000000002</v>
      </c>
      <c r="H98" s="417">
        <f t="shared" si="41"/>
        <v>212.21450000000002</v>
      </c>
      <c r="I98" s="417">
        <f t="shared" si="41"/>
        <v>268.59199999999998</v>
      </c>
      <c r="J98" s="417">
        <f t="shared" si="41"/>
        <v>339.3</v>
      </c>
      <c r="K98" s="417">
        <f t="shared" si="41"/>
        <v>308.60000000000002</v>
      </c>
      <c r="L98" s="4"/>
      <c r="M98" s="4"/>
      <c r="N98" s="4"/>
      <c r="O98" s="4"/>
      <c r="P98" s="4"/>
      <c r="Q98" s="4"/>
      <c r="R98" s="71"/>
      <c r="S98" s="71"/>
    </row>
    <row r="99" spans="1:19" ht="15" outlineLevel="1" x14ac:dyDescent="0.2">
      <c r="A99" s="350"/>
      <c r="B99" s="416"/>
      <c r="C99" s="416" t="str">
        <f>B48</f>
        <v>Средства клиентов</v>
      </c>
      <c r="D99" s="416"/>
      <c r="E99" s="417"/>
      <c r="F99" s="417">
        <f t="shared" ref="F99:K99" si="42">AVERAGE(E48:F48)</f>
        <v>485.58</v>
      </c>
      <c r="G99" s="417">
        <f t="shared" si="42"/>
        <v>480.90999999999997</v>
      </c>
      <c r="H99" s="417">
        <f t="shared" si="42"/>
        <v>441.35199999999998</v>
      </c>
      <c r="I99" s="417">
        <f t="shared" si="42"/>
        <v>539.85950000000003</v>
      </c>
      <c r="J99" s="417">
        <f t="shared" si="42"/>
        <v>623.75</v>
      </c>
      <c r="K99" s="417">
        <f t="shared" si="42"/>
        <v>659.34999999999991</v>
      </c>
      <c r="L99" s="4"/>
      <c r="M99" s="4"/>
      <c r="N99" s="4"/>
      <c r="O99" s="4"/>
      <c r="P99" s="4"/>
      <c r="Q99" s="4"/>
      <c r="R99" s="71"/>
      <c r="S99" s="71"/>
    </row>
    <row r="100" spans="1:19" ht="15" outlineLevel="1" x14ac:dyDescent="0.2">
      <c r="A100" s="350"/>
      <c r="B100" s="416"/>
      <c r="C100" s="416" t="str">
        <f>C57</f>
        <v>Выпущенные долговые ценные бумаги</v>
      </c>
      <c r="D100" s="416"/>
      <c r="E100" s="417"/>
      <c r="F100" s="417">
        <f t="shared" ref="F100:K100" si="43">AVERAGE(E57:F57)</f>
        <v>68.981999999999999</v>
      </c>
      <c r="G100" s="417">
        <f t="shared" si="43"/>
        <v>77.359000000000009</v>
      </c>
      <c r="H100" s="417">
        <f t="shared" si="43"/>
        <v>70.293000000000006</v>
      </c>
      <c r="I100" s="417">
        <f t="shared" si="43"/>
        <v>68.485500000000002</v>
      </c>
      <c r="J100" s="417">
        <f t="shared" si="43"/>
        <v>85.75</v>
      </c>
      <c r="K100" s="417">
        <f t="shared" si="43"/>
        <v>76.900000000000006</v>
      </c>
      <c r="L100" s="4"/>
      <c r="M100" s="4"/>
      <c r="N100" s="4"/>
      <c r="O100" s="4"/>
      <c r="P100" s="4"/>
      <c r="Q100" s="4"/>
      <c r="R100" s="71"/>
      <c r="S100" s="71"/>
    </row>
    <row r="101" spans="1:19" ht="15" outlineLevel="1" x14ac:dyDescent="0.2">
      <c r="A101" s="350"/>
      <c r="B101" s="416"/>
      <c r="C101" s="416" t="str">
        <f>C63</f>
        <v>Средства, привлеченные от ГК "АСВ"</v>
      </c>
      <c r="D101" s="416"/>
      <c r="E101" s="417"/>
      <c r="F101" s="417">
        <f t="shared" ref="F101:K101" si="44">AVERAGE(E63:F63)</f>
        <v>0</v>
      </c>
      <c r="G101" s="417">
        <f t="shared" si="44"/>
        <v>72.192999999999998</v>
      </c>
      <c r="H101" s="417">
        <f t="shared" si="44"/>
        <v>148.90600000000001</v>
      </c>
      <c r="I101" s="417">
        <f t="shared" si="44"/>
        <v>156.23349999999999</v>
      </c>
      <c r="J101" s="417">
        <f t="shared" si="44"/>
        <v>113.37049999999999</v>
      </c>
      <c r="K101" s="417">
        <f t="shared" si="44"/>
        <v>70.7</v>
      </c>
      <c r="L101" s="4"/>
      <c r="M101" s="4"/>
      <c r="N101" s="4"/>
      <c r="O101" s="4"/>
      <c r="P101" s="4"/>
      <c r="Q101" s="4"/>
      <c r="R101" s="71"/>
      <c r="S101" s="71"/>
    </row>
    <row r="102" spans="1:19" ht="15" outlineLevel="1" x14ac:dyDescent="0.2">
      <c r="A102" s="350"/>
      <c r="B102" s="416"/>
      <c r="C102" s="416" t="str">
        <f>B68</f>
        <v>Субординированная задолженность</v>
      </c>
      <c r="D102" s="416"/>
      <c r="E102" s="417"/>
      <c r="F102" s="417">
        <f t="shared" ref="F102:K103" si="45">AVERAGE(E68:F68)</f>
        <v>61.091999999999999</v>
      </c>
      <c r="G102" s="417">
        <f t="shared" si="45"/>
        <v>42.858499999999999</v>
      </c>
      <c r="H102" s="417">
        <f t="shared" si="45"/>
        <v>35.167500000000004</v>
      </c>
      <c r="I102" s="417">
        <f t="shared" si="45"/>
        <v>35.481000000000002</v>
      </c>
      <c r="J102" s="417">
        <f t="shared" si="45"/>
        <v>51.974000000000004</v>
      </c>
      <c r="K102" s="417">
        <f t="shared" si="45"/>
        <v>102.95</v>
      </c>
      <c r="L102" s="4"/>
      <c r="M102" s="4"/>
      <c r="N102" s="4"/>
      <c r="O102" s="4"/>
      <c r="P102" s="4"/>
      <c r="Q102" s="4"/>
      <c r="R102" s="71"/>
      <c r="S102" s="71"/>
    </row>
    <row r="103" spans="1:19" ht="15" outlineLevel="1" x14ac:dyDescent="0.2">
      <c r="A103" s="350"/>
      <c r="B103" s="416"/>
      <c r="C103" s="416" t="str">
        <f>B69</f>
        <v>Собственные средства</v>
      </c>
      <c r="D103" s="416"/>
      <c r="E103" s="417"/>
      <c r="F103" s="417">
        <f t="shared" si="45"/>
        <v>60.839500000000008</v>
      </c>
      <c r="G103" s="417">
        <f t="shared" si="45"/>
        <v>99.920000000000016</v>
      </c>
      <c r="H103" s="417">
        <f t="shared" si="45"/>
        <v>175.93300000000005</v>
      </c>
      <c r="I103" s="417">
        <f t="shared" si="45"/>
        <v>202.52465000000004</v>
      </c>
      <c r="J103" s="417">
        <f t="shared" si="45"/>
        <v>201.83565000000002</v>
      </c>
      <c r="K103" s="417">
        <f t="shared" si="45"/>
        <v>190.7</v>
      </c>
      <c r="L103" s="4"/>
      <c r="M103" s="4"/>
      <c r="N103" s="4"/>
      <c r="O103" s="4"/>
      <c r="P103" s="4"/>
      <c r="Q103" s="4"/>
      <c r="R103" s="71"/>
      <c r="S103" s="71"/>
    </row>
    <row r="104" spans="1:19" ht="15" outlineLevel="1" x14ac:dyDescent="0.2">
      <c r="A104" s="350"/>
      <c r="B104" s="416"/>
      <c r="C104" s="416" t="s">
        <v>845</v>
      </c>
      <c r="D104" s="416"/>
      <c r="E104" s="417"/>
      <c r="F104" s="417">
        <f t="shared" ref="F104:K104" si="46">F97+F98+F99+F100+F101+F102</f>
        <v>767.72199999999987</v>
      </c>
      <c r="G104" s="417">
        <f t="shared" si="46"/>
        <v>839.92950000000008</v>
      </c>
      <c r="H104" s="417">
        <f t="shared" si="46"/>
        <v>980.75749999999994</v>
      </c>
      <c r="I104" s="417">
        <f t="shared" si="46"/>
        <v>1221.9765000000002</v>
      </c>
      <c r="J104" s="417">
        <f t="shared" si="46"/>
        <v>1588.4945</v>
      </c>
      <c r="K104" s="417">
        <f t="shared" si="46"/>
        <v>1524.8000000000002</v>
      </c>
      <c r="L104" s="4"/>
      <c r="M104" s="4"/>
      <c r="N104" s="4"/>
      <c r="O104" s="4"/>
      <c r="P104" s="4"/>
      <c r="Q104" s="4"/>
      <c r="R104" s="71"/>
      <c r="S104" s="71"/>
    </row>
    <row r="105" spans="1:19" ht="15" outlineLevel="1" x14ac:dyDescent="0.2">
      <c r="A105" s="350"/>
      <c r="B105" s="416"/>
      <c r="C105" s="416"/>
      <c r="D105" s="416"/>
      <c r="E105" s="417"/>
      <c r="F105" s="417"/>
      <c r="G105" s="417"/>
      <c r="H105" s="417"/>
      <c r="I105" s="417"/>
      <c r="J105" s="417"/>
      <c r="K105" s="417"/>
      <c r="L105" s="4"/>
      <c r="M105" s="4"/>
      <c r="N105" s="4"/>
      <c r="O105" s="4"/>
      <c r="P105" s="4"/>
      <c r="Q105" s="4"/>
      <c r="R105" s="71"/>
      <c r="S105" s="71"/>
    </row>
    <row r="106" spans="1:19" ht="15" outlineLevel="1" x14ac:dyDescent="0.2">
      <c r="A106" s="350"/>
      <c r="B106" s="416"/>
      <c r="C106" s="416"/>
      <c r="D106" s="416"/>
      <c r="E106" s="417"/>
      <c r="F106" s="417"/>
      <c r="G106" s="417"/>
      <c r="H106" s="417"/>
      <c r="I106" s="417"/>
      <c r="J106" s="417"/>
      <c r="K106" s="417"/>
      <c r="L106" s="4"/>
      <c r="M106" s="4"/>
      <c r="N106" s="4"/>
      <c r="O106" s="4"/>
      <c r="P106" s="4"/>
      <c r="Q106" s="4"/>
      <c r="R106" s="71"/>
      <c r="S106" s="71"/>
    </row>
    <row r="107" spans="1:19" ht="15.75" outlineLevel="1" x14ac:dyDescent="0.2">
      <c r="A107" s="350"/>
      <c r="B107" s="420" t="s">
        <v>544</v>
      </c>
      <c r="C107" s="416"/>
      <c r="D107" s="416"/>
      <c r="E107" s="417"/>
      <c r="F107" s="417"/>
      <c r="G107" s="417"/>
      <c r="H107" s="417"/>
      <c r="I107" s="417"/>
      <c r="J107" s="417"/>
      <c r="K107" s="417"/>
      <c r="L107" s="4"/>
      <c r="M107" s="4"/>
      <c r="N107" s="4"/>
      <c r="O107" s="4"/>
      <c r="P107" s="4"/>
      <c r="Q107" s="4"/>
      <c r="R107" s="71"/>
      <c r="S107" s="71"/>
    </row>
    <row r="108" spans="1:19" ht="15" outlineLevel="1" x14ac:dyDescent="0.2">
      <c r="A108" s="350"/>
      <c r="B108" s="416"/>
      <c r="C108" s="416" t="s">
        <v>222</v>
      </c>
      <c r="D108" s="416"/>
      <c r="E108" s="417">
        <f t="shared" ref="E108:K108" si="47">E12+E13+E25+E30</f>
        <v>723.36149999999998</v>
      </c>
      <c r="F108" s="417">
        <f t="shared" si="47"/>
        <v>731.97000000000014</v>
      </c>
      <c r="G108" s="417">
        <f t="shared" si="47"/>
        <v>936.7296</v>
      </c>
      <c r="H108" s="417">
        <f t="shared" si="47"/>
        <v>1145.202</v>
      </c>
      <c r="I108" s="417">
        <f t="shared" si="47"/>
        <v>1447.5610000000001</v>
      </c>
      <c r="J108" s="417">
        <f t="shared" si="47"/>
        <v>1943.9999999999998</v>
      </c>
      <c r="K108" s="417">
        <f t="shared" si="47"/>
        <v>1344.6000000000001</v>
      </c>
      <c r="L108" s="4"/>
      <c r="M108" s="4"/>
      <c r="N108" s="4"/>
      <c r="O108" s="4"/>
      <c r="P108" s="4"/>
      <c r="Q108" s="4"/>
      <c r="R108" s="71"/>
      <c r="S108" s="71"/>
    </row>
    <row r="109" spans="1:19" ht="15" outlineLevel="1" x14ac:dyDescent="0.2">
      <c r="A109" s="350"/>
      <c r="B109" s="416"/>
      <c r="C109" s="416" t="s">
        <v>547</v>
      </c>
      <c r="D109" s="416"/>
      <c r="E109" s="417">
        <f t="shared" ref="E109:K109" si="48">SUM(E43,E50,E53)</f>
        <v>152.62099999999998</v>
      </c>
      <c r="F109" s="417">
        <f t="shared" si="48"/>
        <v>213.15999999999997</v>
      </c>
      <c r="G109" s="417">
        <f t="shared" si="48"/>
        <v>193.71899999999999</v>
      </c>
      <c r="H109" s="417">
        <f t="shared" si="48"/>
        <v>226.31200000000001</v>
      </c>
      <c r="I109" s="417">
        <f t="shared" si="48"/>
        <v>288.09999999999997</v>
      </c>
      <c r="J109" s="417">
        <f t="shared" si="48"/>
        <v>207.7</v>
      </c>
      <c r="K109" s="417">
        <f t="shared" si="48"/>
        <v>173.9</v>
      </c>
      <c r="L109" s="4"/>
      <c r="M109" s="4"/>
      <c r="N109" s="4"/>
      <c r="O109" s="4"/>
      <c r="P109" s="4"/>
      <c r="Q109" s="4"/>
      <c r="R109" s="71"/>
      <c r="S109" s="71"/>
    </row>
    <row r="110" spans="1:19" ht="15" outlineLevel="1" x14ac:dyDescent="0.2">
      <c r="A110" s="350"/>
      <c r="B110" s="416"/>
      <c r="C110" s="416" t="s">
        <v>548</v>
      </c>
      <c r="D110" s="416"/>
      <c r="E110" s="417">
        <f t="shared" ref="E110:K110" si="49">SUM(E42,E44,E45)</f>
        <v>169.678</v>
      </c>
      <c r="F110" s="417">
        <f t="shared" si="49"/>
        <v>118.036</v>
      </c>
      <c r="G110" s="417">
        <f t="shared" si="49"/>
        <v>198.995</v>
      </c>
      <c r="H110" s="417">
        <f t="shared" si="49"/>
        <v>363.28700000000003</v>
      </c>
      <c r="I110" s="417">
        <f t="shared" si="49"/>
        <v>437.8</v>
      </c>
      <c r="J110" s="417">
        <f t="shared" si="49"/>
        <v>937.9</v>
      </c>
      <c r="K110" s="417">
        <f t="shared" si="49"/>
        <v>274.8</v>
      </c>
      <c r="L110" s="4"/>
      <c r="M110" s="4"/>
      <c r="N110" s="4"/>
      <c r="O110" s="4"/>
      <c r="P110" s="4"/>
      <c r="Q110" s="4"/>
      <c r="R110" s="71"/>
      <c r="S110" s="71"/>
    </row>
    <row r="111" spans="1:19" ht="15" outlineLevel="1" x14ac:dyDescent="0.2">
      <c r="A111" s="350"/>
      <c r="B111" s="416"/>
      <c r="C111" s="416" t="s">
        <v>549</v>
      </c>
      <c r="D111" s="416"/>
      <c r="E111" s="417">
        <f t="shared" ref="E111:K111" si="50">E78-E69</f>
        <v>740.47399999999993</v>
      </c>
      <c r="F111" s="417">
        <f t="shared" si="50"/>
        <v>812.52</v>
      </c>
      <c r="G111" s="417">
        <f t="shared" si="50"/>
        <v>897.12299999999993</v>
      </c>
      <c r="H111" s="417">
        <f t="shared" si="50"/>
        <v>1104.0060000000001</v>
      </c>
      <c r="I111" s="417">
        <f t="shared" si="50"/>
        <v>1412.7270000000001</v>
      </c>
      <c r="J111" s="417">
        <f t="shared" si="50"/>
        <v>1941.5</v>
      </c>
      <c r="K111" s="417">
        <f t="shared" si="50"/>
        <v>1315.4</v>
      </c>
      <c r="L111" s="4"/>
      <c r="M111" s="4"/>
      <c r="N111" s="4"/>
      <c r="O111" s="4"/>
      <c r="P111" s="4"/>
      <c r="Q111" s="4"/>
      <c r="R111" s="71"/>
      <c r="S111" s="71"/>
    </row>
    <row r="112" spans="1:19" ht="15" outlineLevel="1" x14ac:dyDescent="0.2">
      <c r="A112" s="350"/>
      <c r="B112" s="416"/>
      <c r="C112" s="416"/>
      <c r="D112" s="416"/>
      <c r="E112" s="417"/>
      <c r="F112" s="417"/>
      <c r="G112" s="417"/>
      <c r="H112" s="417"/>
      <c r="I112" s="417"/>
      <c r="J112" s="417"/>
      <c r="K112" s="417"/>
      <c r="L112" s="4"/>
      <c r="M112" s="4"/>
      <c r="N112" s="4"/>
      <c r="O112" s="4"/>
      <c r="P112" s="4"/>
      <c r="Q112" s="4"/>
      <c r="R112" s="71"/>
      <c r="S112" s="71"/>
    </row>
    <row r="113" spans="1:19" ht="15.75" outlineLevel="1" x14ac:dyDescent="0.2">
      <c r="A113" s="350"/>
      <c r="B113" s="420" t="s">
        <v>870</v>
      </c>
      <c r="C113" s="416"/>
      <c r="D113" s="416"/>
      <c r="E113" s="417"/>
      <c r="F113" s="417"/>
      <c r="G113" s="417"/>
      <c r="H113" s="417"/>
      <c r="I113" s="417"/>
      <c r="J113" s="417"/>
      <c r="K113" s="417"/>
      <c r="L113" s="4"/>
      <c r="M113" s="4"/>
      <c r="N113" s="4"/>
      <c r="O113" s="4"/>
      <c r="P113" s="4"/>
      <c r="Q113" s="4"/>
      <c r="R113" s="71"/>
      <c r="S113" s="71"/>
    </row>
    <row r="114" spans="1:19" ht="15" outlineLevel="1" x14ac:dyDescent="0.2">
      <c r="A114" s="350"/>
      <c r="B114" s="416"/>
      <c r="C114" s="416" t="s">
        <v>219</v>
      </c>
      <c r="D114" s="416"/>
      <c r="E114" s="417"/>
      <c r="F114" s="417">
        <f>ОПиУ_МСФО!F126</f>
        <v>84.328000000000003</v>
      </c>
      <c r="G114" s="417">
        <f>ОПиУ_МСФО!G126</f>
        <v>66.742999999999995</v>
      </c>
      <c r="H114" s="417">
        <f>ОПиУ_МСФО!H126</f>
        <v>98.37299999999999</v>
      </c>
      <c r="I114" s="417">
        <f>ОПиУ_МСФО!I126</f>
        <v>135.17400000000001</v>
      </c>
      <c r="J114" s="417">
        <f>ОПиУ_МСФО!J126</f>
        <v>181.4</v>
      </c>
      <c r="K114" s="417">
        <f>ОПиУ_МСФО!K126</f>
        <v>193.9</v>
      </c>
      <c r="L114" s="4"/>
      <c r="M114" s="4"/>
      <c r="N114" s="4"/>
      <c r="O114" s="4"/>
      <c r="P114" s="4"/>
      <c r="Q114" s="4"/>
      <c r="R114" s="71"/>
      <c r="S114" s="71"/>
    </row>
    <row r="115" spans="1:19" ht="15" outlineLevel="1" x14ac:dyDescent="0.2">
      <c r="A115" s="350"/>
      <c r="B115" s="416"/>
      <c r="C115" s="416" t="s">
        <v>35</v>
      </c>
      <c r="D115" s="416"/>
      <c r="E115" s="417"/>
      <c r="F115" s="417">
        <f>МСФО_ввод!F56</f>
        <v>77.192999999999998</v>
      </c>
      <c r="G115" s="417">
        <f>МСФО_ввод!G56</f>
        <v>58.912999999999997</v>
      </c>
      <c r="H115" s="417">
        <f>МСФО_ввод!H56</f>
        <v>90.147999999999996</v>
      </c>
      <c r="I115" s="417">
        <f>МСФО_ввод!I56</f>
        <v>124.774</v>
      </c>
      <c r="J115" s="417">
        <f>МСФО_ввод!J56</f>
        <v>166.8</v>
      </c>
      <c r="K115" s="417">
        <f>МСФО_ввод!K56</f>
        <v>176.4</v>
      </c>
      <c r="L115" s="4"/>
      <c r="M115" s="4"/>
      <c r="N115" s="4"/>
      <c r="O115" s="4"/>
      <c r="P115" s="4"/>
      <c r="Q115" s="4"/>
      <c r="R115" s="71"/>
      <c r="S115" s="71"/>
    </row>
    <row r="116" spans="1:19" ht="15" outlineLevel="1" x14ac:dyDescent="0.2">
      <c r="A116" s="350"/>
      <c r="B116" s="416"/>
      <c r="C116" s="416" t="s">
        <v>221</v>
      </c>
      <c r="D116" s="416"/>
      <c r="E116" s="417"/>
      <c r="F116" s="417">
        <f>МСФО_ввод!F57</f>
        <v>-37.569000000000003</v>
      </c>
      <c r="G116" s="417">
        <f>МСФО_ввод!G57</f>
        <v>-35.094999999999999</v>
      </c>
      <c r="H116" s="417">
        <f>МСФО_ввод!H57</f>
        <v>-50.622999999999998</v>
      </c>
      <c r="I116" s="417">
        <f>МСФО_ввод!I57</f>
        <v>-64.599999999999994</v>
      </c>
      <c r="J116" s="417">
        <f>МСФО_ввод!J57</f>
        <v>-104.4</v>
      </c>
      <c r="K116" s="417">
        <f>МСФО_ввод!K57</f>
        <v>-130.4</v>
      </c>
      <c r="L116" s="4"/>
      <c r="M116" s="4"/>
      <c r="N116" s="4"/>
      <c r="O116" s="4"/>
      <c r="P116" s="4"/>
      <c r="Q116" s="4"/>
      <c r="R116" s="71"/>
      <c r="S116" s="71"/>
    </row>
    <row r="117" spans="1:19" ht="15" outlineLevel="1" x14ac:dyDescent="0.2">
      <c r="A117" s="350"/>
      <c r="B117" s="416"/>
      <c r="C117" s="416" t="s">
        <v>36</v>
      </c>
      <c r="D117" s="416"/>
      <c r="E117" s="417"/>
      <c r="F117" s="417">
        <f>МСФО_ввод!F58</f>
        <v>39.623999999999995</v>
      </c>
      <c r="G117" s="417">
        <f>МСФО_ввод!G58</f>
        <v>23.817999999999998</v>
      </c>
      <c r="H117" s="417">
        <f>МСФО_ввод!H58</f>
        <v>39.524999999999999</v>
      </c>
      <c r="I117" s="417">
        <f>МСФО_ввод!I58</f>
        <v>60.174000000000007</v>
      </c>
      <c r="J117" s="417">
        <f>МСФО_ввод!J58</f>
        <v>62.400000000000006</v>
      </c>
      <c r="K117" s="417">
        <f>МСФО_ввод!K58</f>
        <v>46</v>
      </c>
      <c r="L117" s="4"/>
      <c r="M117" s="4"/>
      <c r="N117" s="4"/>
      <c r="O117" s="4"/>
      <c r="P117" s="4"/>
      <c r="Q117" s="4"/>
      <c r="R117" s="71"/>
      <c r="S117" s="71"/>
    </row>
    <row r="118" spans="1:19" ht="15" outlineLevel="1" x14ac:dyDescent="0.2">
      <c r="A118" s="350"/>
      <c r="B118" s="416"/>
      <c r="C118" s="416" t="s">
        <v>152</v>
      </c>
      <c r="D118" s="416"/>
      <c r="E118" s="417"/>
      <c r="F118" s="417">
        <f>МСФО_ввод!F89</f>
        <v>-69.742000000000004</v>
      </c>
      <c r="G118" s="417">
        <f>МСФО_ввод!G89</f>
        <v>24.617000000000026</v>
      </c>
      <c r="H118" s="417">
        <f>МСФО_ввод!H89</f>
        <v>28.318999999999988</v>
      </c>
      <c r="I118" s="417">
        <f>МСФО_ввод!I89</f>
        <v>37.699000000000005</v>
      </c>
      <c r="J118" s="417">
        <f>МСФО_ввод!J89</f>
        <v>2.4000000000000012</v>
      </c>
      <c r="K118" s="417">
        <f>МСФО_ввод!K89</f>
        <v>1.1999999999999902</v>
      </c>
      <c r="L118" s="4"/>
      <c r="M118" s="4"/>
      <c r="N118" s="4"/>
      <c r="O118" s="4"/>
      <c r="P118" s="4"/>
      <c r="Q118" s="4"/>
      <c r="R118" s="71"/>
      <c r="S118" s="71"/>
    </row>
    <row r="119" spans="1:19" ht="15" outlineLevel="1" x14ac:dyDescent="0.2">
      <c r="A119" s="350"/>
      <c r="B119" s="416"/>
      <c r="C119" s="416"/>
      <c r="D119" s="416"/>
      <c r="E119" s="417"/>
      <c r="F119" s="417"/>
      <c r="G119" s="417"/>
      <c r="H119" s="417"/>
      <c r="I119" s="417"/>
      <c r="J119" s="417"/>
      <c r="K119" s="417"/>
      <c r="L119" s="4"/>
      <c r="M119" s="4"/>
      <c r="N119" s="4"/>
      <c r="O119" s="4"/>
      <c r="P119" s="4"/>
      <c r="Q119" s="4"/>
      <c r="R119" s="71"/>
      <c r="S119" s="71"/>
    </row>
    <row r="120" spans="1:19" x14ac:dyDescent="0.2">
      <c r="A120" s="4"/>
      <c r="B120" s="4"/>
      <c r="C120" s="4"/>
      <c r="D120" s="4"/>
      <c r="E120" s="418"/>
      <c r="F120" s="418"/>
      <c r="G120" s="418"/>
      <c r="H120" s="418"/>
      <c r="I120" s="418"/>
      <c r="J120" s="419"/>
      <c r="K120" s="419"/>
      <c r="L120" s="4"/>
      <c r="M120" s="4"/>
      <c r="N120" s="4"/>
      <c r="O120" s="4"/>
      <c r="P120" s="4"/>
      <c r="Q120" s="4"/>
      <c r="R120" s="71"/>
      <c r="S120" s="71"/>
    </row>
    <row r="121" spans="1:19" s="22" customFormat="1" ht="15.75" x14ac:dyDescent="0.25">
      <c r="A121" s="672"/>
      <c r="B121" s="534" t="s">
        <v>839</v>
      </c>
      <c r="C121" s="672"/>
      <c r="D121" s="672"/>
      <c r="E121" s="672"/>
      <c r="F121" s="672"/>
      <c r="G121" s="672"/>
      <c r="H121" s="672"/>
      <c r="I121" s="672"/>
      <c r="J121" s="672"/>
      <c r="K121" s="672"/>
      <c r="L121" s="672"/>
      <c r="M121" s="672"/>
      <c r="N121" s="672"/>
      <c r="O121" s="672"/>
      <c r="P121" s="672"/>
      <c r="Q121" s="672"/>
      <c r="R121" s="672"/>
      <c r="S121" s="672"/>
    </row>
    <row r="122" spans="1:19" x14ac:dyDescent="0.2">
      <c r="A122" s="4"/>
      <c r="B122" s="4"/>
      <c r="C122" s="4"/>
      <c r="D122" s="4"/>
      <c r="E122" s="4" t="s">
        <v>348</v>
      </c>
      <c r="F122" s="4"/>
      <c r="G122" s="4"/>
      <c r="H122" s="4"/>
      <c r="I122" s="4"/>
      <c r="J122" s="4"/>
      <c r="K122" s="4"/>
      <c r="L122" s="4"/>
      <c r="M122" s="4"/>
      <c r="N122" s="4"/>
      <c r="O122" s="4"/>
      <c r="P122" s="4"/>
      <c r="Q122" s="4"/>
      <c r="R122" s="71"/>
      <c r="S122" s="71"/>
    </row>
    <row r="123" spans="1:19" x14ac:dyDescent="0.2">
      <c r="A123" s="15"/>
      <c r="B123" s="15"/>
      <c r="C123" s="15"/>
      <c r="D123" s="15"/>
      <c r="E123" s="539">
        <f>E8</f>
        <v>2009</v>
      </c>
      <c r="F123" s="539">
        <f t="shared" ref="F123:K123" si="51">F8</f>
        <v>2010</v>
      </c>
      <c r="G123" s="539">
        <f t="shared" si="51"/>
        <v>2011</v>
      </c>
      <c r="H123" s="539">
        <f t="shared" si="51"/>
        <v>2012</v>
      </c>
      <c r="I123" s="539">
        <f t="shared" si="51"/>
        <v>2013</v>
      </c>
      <c r="J123" s="539">
        <f t="shared" si="51"/>
        <v>2014</v>
      </c>
      <c r="K123" s="539">
        <f t="shared" si="51"/>
        <v>2015</v>
      </c>
      <c r="L123" s="4"/>
      <c r="M123" s="4"/>
      <c r="N123" s="4"/>
      <c r="O123" s="4"/>
      <c r="P123" s="4"/>
      <c r="Q123" s="4"/>
      <c r="R123" s="71"/>
      <c r="S123" s="71"/>
    </row>
    <row r="124" spans="1:19" x14ac:dyDescent="0.2">
      <c r="A124" s="4"/>
      <c r="B124" s="4" t="s">
        <v>972</v>
      </c>
      <c r="C124" s="4"/>
      <c r="D124" s="4"/>
      <c r="E124" s="97">
        <f>МСФО_ввод!E14/МСФО_ввод!E29</f>
        <v>1.3040385208444305</v>
      </c>
      <c r="F124" s="97">
        <f>МСФО_ввод!F14/МСФО_ввод!F29</f>
        <v>0.93110431932835003</v>
      </c>
      <c r="G124" s="97">
        <f>МСФО_ввод!G14/МСФО_ввод!G29</f>
        <v>1.2747797882910425</v>
      </c>
      <c r="H124" s="97">
        <f>МСФО_ввод!H14/МСФО_ввод!H29</f>
        <v>1.4007827215088942</v>
      </c>
      <c r="I124" s="97">
        <f>МСФО_ввод!I14/МСФО_ввод!I29</f>
        <v>1.4766545055244942</v>
      </c>
      <c r="J124" s="97">
        <f>МСФО_ввод!J14/МСФО_ввод!J29</f>
        <v>1.7352010129787907</v>
      </c>
      <c r="K124" s="97">
        <f>МСФО_ввод!K14/МСФО_ввод!K29</f>
        <v>1.38943077594992</v>
      </c>
      <c r="L124" s="4"/>
      <c r="M124" s="4"/>
      <c r="N124" s="4"/>
      <c r="O124" s="4"/>
      <c r="P124" s="4"/>
      <c r="Q124" s="4"/>
      <c r="R124" s="71"/>
      <c r="S124" s="71"/>
    </row>
    <row r="125" spans="1:19" ht="15" x14ac:dyDescent="0.25">
      <c r="A125" s="4"/>
      <c r="B125" s="93" t="s">
        <v>491</v>
      </c>
      <c r="C125" s="336"/>
      <c r="D125" s="336"/>
      <c r="E125" s="671">
        <f>МСФО_ввод!E14/SUM(МСФО_ввод!E29,МСФО_ввод!E31)</f>
        <v>1.3040385208444305</v>
      </c>
      <c r="F125" s="671">
        <f>МСФО_ввод!F14/SUM(МСФО_ввод!F29,МСФО_ввод!F31)</f>
        <v>0.93110431932835003</v>
      </c>
      <c r="G125" s="671">
        <f>МСФО_ввод!G14/SUM(МСФО_ввод!G29,МСФО_ввод!G31)</f>
        <v>0.94789494808852848</v>
      </c>
      <c r="H125" s="671">
        <f>МСФО_ввод!H14/SUM(МСФО_ввод!H29,МСФО_ввод!H31)</f>
        <v>1.0527105116544229</v>
      </c>
      <c r="I125" s="671">
        <f>МСФО_ввод!I14/SUM(МСФО_ввод!I29,МСФО_ввод!I31)</f>
        <v>1.1734922153245992</v>
      </c>
      <c r="J125" s="671">
        <f>МСФО_ввод!J14/SUM(МСФО_ввод!J29,МСФО_ввод!J31)</f>
        <v>1.5672623302358828</v>
      </c>
      <c r="K125" s="671">
        <f>МСФО_ввод!K14/SUM(МСФО_ввод!K29,МСФО_ввод!K31)</f>
        <v>1.2547988430186694</v>
      </c>
      <c r="L125" s="4"/>
      <c r="M125" s="4"/>
      <c r="N125" s="4"/>
      <c r="O125" s="4"/>
      <c r="P125" s="4"/>
      <c r="Q125" s="4"/>
      <c r="R125" s="71"/>
      <c r="S125" s="71"/>
    </row>
    <row r="126" spans="1:19" ht="15" x14ac:dyDescent="0.25">
      <c r="A126" s="4"/>
      <c r="B126" s="4" t="s">
        <v>492</v>
      </c>
      <c r="C126" s="95"/>
      <c r="D126" s="95"/>
      <c r="E126" s="673">
        <f t="shared" ref="E126:K126" si="52">(E9-E11)/E36</f>
        <v>0.15252806725112714</v>
      </c>
      <c r="F126" s="673">
        <f t="shared" si="52"/>
        <v>0.17778371639368001</v>
      </c>
      <c r="G126" s="673">
        <f t="shared" si="52"/>
        <v>0.20912778893183839</v>
      </c>
      <c r="H126" s="673">
        <f t="shared" si="52"/>
        <v>0.18385169545596919</v>
      </c>
      <c r="I126" s="673">
        <f t="shared" si="52"/>
        <v>0.15511264419758969</v>
      </c>
      <c r="J126" s="673">
        <f t="shared" si="52"/>
        <v>0.27626696726316285</v>
      </c>
      <c r="K126" s="673">
        <f t="shared" si="52"/>
        <v>0.16883116883116883</v>
      </c>
      <c r="L126" s="4"/>
      <c r="M126" s="4"/>
      <c r="N126" s="4"/>
      <c r="O126" s="4"/>
      <c r="P126" s="4"/>
      <c r="Q126" s="4"/>
      <c r="R126" s="71"/>
      <c r="S126" s="71"/>
    </row>
    <row r="127" spans="1:19" ht="15" x14ac:dyDescent="0.25">
      <c r="A127" s="4"/>
      <c r="B127" s="93" t="s">
        <v>493</v>
      </c>
      <c r="C127" s="336"/>
      <c r="D127" s="336"/>
      <c r="E127" s="674">
        <f t="shared" ref="E127:K127" si="53">SUM(E9,E15:E16,E18:E19,E21:E22,-E11)/E36</f>
        <v>0.20266345776900421</v>
      </c>
      <c r="F127" s="674">
        <f t="shared" si="53"/>
        <v>0.21025309883910526</v>
      </c>
      <c r="G127" s="674">
        <f t="shared" si="53"/>
        <v>0.22734566877477461</v>
      </c>
      <c r="H127" s="674">
        <f t="shared" si="53"/>
        <v>0.19931740931079692</v>
      </c>
      <c r="I127" s="674">
        <f t="shared" si="53"/>
        <v>0.16986396245275284</v>
      </c>
      <c r="J127" s="674">
        <f t="shared" si="53"/>
        <v>0.27936686862993759</v>
      </c>
      <c r="K127" s="674">
        <f t="shared" si="53"/>
        <v>0.19361250993904053</v>
      </c>
      <c r="L127" s="4"/>
      <c r="M127" s="4"/>
      <c r="N127" s="4"/>
      <c r="O127" s="4"/>
      <c r="P127" s="4"/>
      <c r="Q127" s="4"/>
      <c r="R127" s="71"/>
      <c r="S127" s="71"/>
    </row>
    <row r="128" spans="1:19" x14ac:dyDescent="0.2">
      <c r="A128" s="4"/>
      <c r="B128" s="4" t="s">
        <v>38</v>
      </c>
      <c r="C128" s="4"/>
      <c r="D128" s="4"/>
      <c r="E128" s="656">
        <f>(E9-E11)/МСФО_ввод!E29</f>
        <v>0.29406253796480603</v>
      </c>
      <c r="F128" s="656">
        <f>(F9-F11)/МСФО_ввод!F29</f>
        <v>0.27804065250211735</v>
      </c>
      <c r="G128" s="656">
        <f>(G9-G11)/МСФО_ввод!G29</f>
        <v>0.52945391317639867</v>
      </c>
      <c r="H128" s="656">
        <f>(H9-H11)/МСФО_ввод!H29</f>
        <v>0.51230976117511673</v>
      </c>
      <c r="I128" s="656">
        <f>(I9-I11)/МСФО_ввод!I29</f>
        <v>0.41036057840687956</v>
      </c>
      <c r="J128" s="656">
        <f>(J9-J11)/МСФО_ввод!J29</f>
        <v>0.93099081987970889</v>
      </c>
      <c r="K128" s="656">
        <f>(K9-K11)/МСФО_ввод!K29</f>
        <v>0.37094191294220413</v>
      </c>
      <c r="L128" s="4"/>
      <c r="M128" s="4"/>
      <c r="N128" s="4"/>
      <c r="O128" s="4"/>
      <c r="P128" s="4"/>
      <c r="Q128" s="4"/>
      <c r="R128" s="71"/>
      <c r="S128" s="71"/>
    </row>
    <row r="129" spans="1:19" x14ac:dyDescent="0.2">
      <c r="A129" s="4"/>
      <c r="B129" s="93" t="s">
        <v>39</v>
      </c>
      <c r="C129" s="93"/>
      <c r="D129" s="93"/>
      <c r="E129" s="661">
        <f>SUM(E9,E15:E16,E18:E19,E21:E22,-E11)/МСФО_ввод!E29</f>
        <v>0.39071976599661706</v>
      </c>
      <c r="F129" s="661">
        <f>SUM(F9,F15:F16,F18:F19,F21:F22,-F11)/МСФО_ввод!F29</f>
        <v>0.32882037780314471</v>
      </c>
      <c r="G129" s="661">
        <f>SUM(G9,G15:G16,G18:G19,G21:G22,-G11)/МСФО_ввод!G29</f>
        <v>0.57557656297768256</v>
      </c>
      <c r="H129" s="661">
        <f>SUM(H9,H15:H16,H18:H19,H21:H22,-H11)/МСФО_ввод!H29</f>
        <v>0.55540556266728747</v>
      </c>
      <c r="I129" s="661">
        <f>SUM(I9,I15:I16,I18:I19,I21:I22,-I11)/МСФО_ввод!I29</f>
        <v>0.44938614929291038</v>
      </c>
      <c r="J129" s="661">
        <f>SUM(J9,J15:J16,J18:J19,J21:J22,-J11)/МСФО_ввод!J29</f>
        <v>0.94143716365938601</v>
      </c>
      <c r="K129" s="661">
        <f>SUM(K9,K15:K16,K18:K19,K21:K22,-K11)/МСФО_ввод!K29</f>
        <v>0.42538943077594993</v>
      </c>
      <c r="L129" s="4"/>
      <c r="M129" s="4"/>
      <c r="N129" s="4"/>
      <c r="O129" s="4"/>
      <c r="P129" s="4"/>
      <c r="Q129" s="4"/>
      <c r="R129" s="71"/>
      <c r="S129" s="71"/>
    </row>
    <row r="130" spans="1:19" x14ac:dyDescent="0.2">
      <c r="A130" s="4"/>
      <c r="B130" s="4" t="s">
        <v>489</v>
      </c>
      <c r="C130" s="4"/>
      <c r="D130" s="4"/>
      <c r="E130" s="656">
        <f>SUM(МСФО_ввод!E174,МСФО_ввод!E176)/SUM(МСФО_ввод!E174,МСФО_ввод!E176,МСФО_ввод!E11,МСФО_ввод!E15,МСФО_ввод!E16)</f>
        <v>4.4589958336684055E-2</v>
      </c>
      <c r="F130" s="656">
        <f>SUM(МСФО_ввод!F174,МСФО_ввод!F176)/SUM(МСФО_ввод!F174,МСФО_ввод!F176,МСФО_ввод!F11,МСФО_ввод!F15,МСФО_ввод!F16)</f>
        <v>0.17763822547664657</v>
      </c>
      <c r="G130" s="656">
        <f>SUM(МСФО_ввод!G174,МСФО_ввод!G176)/SUM(МСФО_ввод!G174,МСФО_ввод!G176,МСФО_ввод!G11,МСФО_ввод!G15,МСФО_ввод!G16)</f>
        <v>7.2714086684352169E-3</v>
      </c>
      <c r="H130" s="656">
        <f>SUM(МСФО_ввод!H174,МСФО_ввод!H176)/SUM(МСФО_ввод!H174,МСФО_ввод!H176,МСФО_ввод!H11,МСФО_ввод!H15,МСФО_ввод!H16)</f>
        <v>0.2306836476917237</v>
      </c>
      <c r="I130" s="656">
        <f>SUM(МСФО_ввод!I174,МСФО_ввод!I176)/SUM(МСФО_ввод!I174,МСФО_ввод!I176,МСФО_ввод!I11,МСФО_ввод!I15,МСФО_ввод!I16)</f>
        <v>0.1374115836514842</v>
      </c>
      <c r="J130" s="656">
        <f>SUM(МСФО_ввод!J174,МСФО_ввод!J176)/SUM(МСФО_ввод!J174,МСФО_ввод!J176,МСФО_ввод!J11,МСФО_ввод!J15,МСФО_ввод!J16)</f>
        <v>0.30401529636711278</v>
      </c>
      <c r="K130" s="656">
        <f>SUM(МСФО_ввод!K174,МСФО_ввод!K176)/SUM(МСФО_ввод!K174,МСФО_ввод!K176,МСФО_ввод!K11,МСФО_ввод!K15,МСФО_ввод!K16)</f>
        <v>0</v>
      </c>
      <c r="L130" s="4"/>
      <c r="M130" s="4"/>
      <c r="N130" s="4"/>
      <c r="O130" s="4"/>
      <c r="P130" s="4"/>
      <c r="Q130" s="4"/>
      <c r="R130" s="71"/>
      <c r="S130" s="71"/>
    </row>
    <row r="131" spans="1:19" ht="15" x14ac:dyDescent="0.2">
      <c r="A131" s="21"/>
      <c r="B131" s="21"/>
      <c r="C131" s="21"/>
      <c r="D131" s="21"/>
      <c r="E131" s="424"/>
      <c r="F131" s="424"/>
      <c r="G131" s="424"/>
      <c r="H131" s="424"/>
      <c r="I131" s="424"/>
      <c r="J131" s="425"/>
      <c r="K131" s="426"/>
      <c r="L131" s="21"/>
      <c r="M131" s="21"/>
      <c r="N131" s="21"/>
      <c r="O131" s="4"/>
      <c r="P131" s="4"/>
      <c r="Q131" s="4"/>
      <c r="R131" s="71"/>
      <c r="S131" s="71"/>
    </row>
    <row r="132" spans="1:19" x14ac:dyDescent="0.2">
      <c r="A132" s="4"/>
      <c r="B132" s="4"/>
      <c r="C132" s="4"/>
      <c r="D132" s="4"/>
      <c r="E132" s="4" t="s">
        <v>348</v>
      </c>
      <c r="F132" s="4"/>
      <c r="G132" s="4"/>
      <c r="H132" s="4"/>
      <c r="I132" s="4"/>
      <c r="J132" s="4"/>
      <c r="K132" s="4"/>
      <c r="L132" s="4"/>
      <c r="M132" s="4"/>
      <c r="N132" s="4"/>
      <c r="O132" s="4"/>
      <c r="P132" s="4"/>
      <c r="Q132" s="4"/>
      <c r="R132" s="71"/>
      <c r="S132" s="71"/>
    </row>
    <row r="133" spans="1:19" x14ac:dyDescent="0.2">
      <c r="A133" s="15"/>
      <c r="B133" s="15"/>
      <c r="C133" s="15"/>
      <c r="D133" s="15"/>
      <c r="E133" s="539">
        <f t="shared" ref="E133:K133" si="54">E8</f>
        <v>2009</v>
      </c>
      <c r="F133" s="539">
        <f t="shared" si="54"/>
        <v>2010</v>
      </c>
      <c r="G133" s="539">
        <f t="shared" si="54"/>
        <v>2011</v>
      </c>
      <c r="H133" s="539">
        <f t="shared" si="54"/>
        <v>2012</v>
      </c>
      <c r="I133" s="539">
        <f t="shared" si="54"/>
        <v>2013</v>
      </c>
      <c r="J133" s="539">
        <f t="shared" si="54"/>
        <v>2014</v>
      </c>
      <c r="K133" s="539">
        <f t="shared" si="54"/>
        <v>2015</v>
      </c>
      <c r="L133" s="4"/>
      <c r="M133" s="4" t="s">
        <v>67</v>
      </c>
      <c r="N133" s="4"/>
      <c r="O133" s="4"/>
      <c r="P133" s="4"/>
      <c r="Q133" s="4"/>
      <c r="R133" s="71"/>
      <c r="S133" s="71"/>
    </row>
    <row r="134" spans="1:19" x14ac:dyDescent="0.2">
      <c r="A134" s="36"/>
      <c r="B134" s="4" t="s">
        <v>2</v>
      </c>
      <c r="C134" s="4" t="s">
        <v>68</v>
      </c>
      <c r="D134" s="4"/>
      <c r="E134" s="35">
        <f t="shared" ref="E134:K134" si="55">E109/E111</f>
        <v>0.20611257113686637</v>
      </c>
      <c r="F134" s="35">
        <f t="shared" si="55"/>
        <v>0.26234431152463938</v>
      </c>
      <c r="G134" s="35">
        <f t="shared" si="55"/>
        <v>0.21593360107811305</v>
      </c>
      <c r="H134" s="35">
        <f t="shared" si="55"/>
        <v>0.20499163953819091</v>
      </c>
      <c r="I134" s="35">
        <f t="shared" si="55"/>
        <v>0.20393182830086773</v>
      </c>
      <c r="J134" s="35">
        <f t="shared" si="55"/>
        <v>0.10697913984032964</v>
      </c>
      <c r="K134" s="35">
        <f t="shared" si="55"/>
        <v>0.13220313212710963</v>
      </c>
      <c r="L134" s="33"/>
      <c r="M134" s="33" t="s">
        <v>70</v>
      </c>
      <c r="N134" s="33"/>
      <c r="O134" s="33"/>
      <c r="P134" s="33"/>
      <c r="Q134" s="4"/>
      <c r="R134" s="71"/>
      <c r="S134" s="71"/>
    </row>
    <row r="135" spans="1:19" x14ac:dyDescent="0.2">
      <c r="A135" s="36"/>
      <c r="B135" s="93" t="s">
        <v>15</v>
      </c>
      <c r="C135" s="93" t="s">
        <v>546</v>
      </c>
      <c r="D135" s="93"/>
      <c r="E135" s="675">
        <f>E110/E111</f>
        <v>0.22914781612858792</v>
      </c>
      <c r="F135" s="675">
        <f t="shared" ref="F135:K135" si="56">SUM(F42,F44,F45)/(F78-F69)</f>
        <v>0.14527150100920594</v>
      </c>
      <c r="G135" s="675">
        <f t="shared" si="56"/>
        <v>0.22181462296697332</v>
      </c>
      <c r="H135" s="675">
        <f t="shared" si="56"/>
        <v>0.32906252321092461</v>
      </c>
      <c r="I135" s="675">
        <f t="shared" si="56"/>
        <v>0.30989709972273483</v>
      </c>
      <c r="J135" s="675">
        <f t="shared" si="56"/>
        <v>0.48308009271182073</v>
      </c>
      <c r="K135" s="675">
        <f t="shared" si="56"/>
        <v>0.20890983731184429</v>
      </c>
      <c r="L135" s="33"/>
      <c r="M135" s="33" t="s">
        <v>71</v>
      </c>
      <c r="N135" s="33"/>
      <c r="O135" s="33"/>
      <c r="P135" s="33"/>
      <c r="Q135" s="4"/>
      <c r="R135" s="71"/>
      <c r="S135" s="71"/>
    </row>
    <row r="136" spans="1:19" x14ac:dyDescent="0.2">
      <c r="A136" s="4"/>
      <c r="B136" s="4" t="s">
        <v>16</v>
      </c>
      <c r="C136" s="4" t="s">
        <v>69</v>
      </c>
      <c r="D136" s="4"/>
      <c r="E136" s="35">
        <f t="shared" ref="E136:K136" si="57">(E111-E109-E110)/E111</f>
        <v>0.56473961273454565</v>
      </c>
      <c r="F136" s="35">
        <f t="shared" si="57"/>
        <v>0.59238418746615473</v>
      </c>
      <c r="G136" s="35">
        <f t="shared" si="57"/>
        <v>0.56225177595491371</v>
      </c>
      <c r="H136" s="35">
        <f t="shared" si="57"/>
        <v>0.46594583725088451</v>
      </c>
      <c r="I136" s="35">
        <f t="shared" si="57"/>
        <v>0.48617107197639753</v>
      </c>
      <c r="J136" s="35">
        <f t="shared" si="57"/>
        <v>0.40994076744784957</v>
      </c>
      <c r="K136" s="35">
        <f t="shared" si="57"/>
        <v>0.65888703056104603</v>
      </c>
      <c r="L136" s="33"/>
      <c r="M136" s="33" t="s">
        <v>72</v>
      </c>
      <c r="N136" s="33"/>
      <c r="O136" s="33"/>
      <c r="P136" s="33"/>
      <c r="Q136" s="4"/>
      <c r="R136" s="71"/>
      <c r="S136" s="71"/>
    </row>
    <row r="137" spans="1:19" x14ac:dyDescent="0.2">
      <c r="A137" s="4"/>
      <c r="B137" s="4"/>
      <c r="C137" s="4"/>
      <c r="D137" s="4"/>
      <c r="E137" s="33"/>
      <c r="F137" s="33"/>
      <c r="G137" s="33"/>
      <c r="H137" s="33"/>
      <c r="I137" s="33"/>
      <c r="J137" s="226"/>
      <c r="K137" s="235"/>
      <c r="L137" s="33"/>
      <c r="M137" s="33"/>
      <c r="N137" s="33"/>
      <c r="O137" s="33"/>
      <c r="P137" s="33"/>
      <c r="Q137" s="4"/>
      <c r="R137" s="71"/>
      <c r="S137" s="71"/>
    </row>
    <row r="138" spans="1:19" x14ac:dyDescent="0.2">
      <c r="A138" s="4"/>
      <c r="B138" s="4"/>
      <c r="C138" s="4" t="s">
        <v>917</v>
      </c>
      <c r="D138" s="4"/>
      <c r="E138" s="33">
        <f t="shared" ref="E138:K138" si="58">E69/E78</f>
        <v>0.10267437872712226</v>
      </c>
      <c r="F138" s="33">
        <f t="shared" si="58"/>
        <v>4.3499962329541189E-2</v>
      </c>
      <c r="G138" s="33">
        <f t="shared" si="58"/>
        <v>0.15366632987770884</v>
      </c>
      <c r="H138" s="33">
        <f t="shared" si="58"/>
        <v>0.14615648762861722</v>
      </c>
      <c r="I138" s="33">
        <f t="shared" si="58"/>
        <v>0.132656879614867</v>
      </c>
      <c r="J138" s="33">
        <f t="shared" si="58"/>
        <v>8.8112347940444327E-2</v>
      </c>
      <c r="K138" s="33">
        <f t="shared" si="58"/>
        <v>0.128412403922608</v>
      </c>
      <c r="L138" s="33"/>
      <c r="M138" s="33" t="s">
        <v>545</v>
      </c>
      <c r="N138" s="33"/>
      <c r="O138" s="33"/>
      <c r="P138" s="33"/>
      <c r="Q138" s="4"/>
      <c r="R138" s="71"/>
      <c r="S138" s="71"/>
    </row>
    <row r="139" spans="1:19" x14ac:dyDescent="0.2">
      <c r="A139" s="4"/>
      <c r="B139" s="4"/>
      <c r="C139" s="4"/>
      <c r="D139" s="4"/>
      <c r="E139" s="33"/>
      <c r="F139" s="33"/>
      <c r="G139" s="33"/>
      <c r="H139" s="33"/>
      <c r="I139" s="33"/>
      <c r="J139" s="226"/>
      <c r="K139" s="235"/>
      <c r="L139" s="33"/>
      <c r="M139" s="33"/>
      <c r="N139" s="33"/>
      <c r="O139" s="33"/>
      <c r="P139" s="33"/>
      <c r="Q139" s="4"/>
      <c r="R139" s="71"/>
      <c r="S139" s="71"/>
    </row>
    <row r="140" spans="1:19" x14ac:dyDescent="0.2">
      <c r="A140" s="4"/>
      <c r="B140" s="4"/>
      <c r="C140" s="4"/>
      <c r="D140" s="4"/>
      <c r="E140" s="33"/>
      <c r="F140" s="33"/>
      <c r="G140" s="33"/>
      <c r="H140" s="33"/>
      <c r="I140" s="33"/>
      <c r="J140" s="226"/>
      <c r="K140" s="235"/>
      <c r="L140" s="33"/>
      <c r="M140" s="33"/>
      <c r="N140" s="33"/>
      <c r="O140" s="33"/>
      <c r="P140" s="33"/>
      <c r="Q140" s="4"/>
      <c r="R140" s="71"/>
      <c r="S140" s="71"/>
    </row>
    <row r="141" spans="1:19" x14ac:dyDescent="0.2">
      <c r="A141" s="4"/>
      <c r="B141" s="4"/>
      <c r="C141" s="4"/>
      <c r="D141" s="4"/>
      <c r="E141" s="33"/>
      <c r="F141" s="33"/>
      <c r="G141" s="33"/>
      <c r="H141" s="33"/>
      <c r="I141" s="33"/>
      <c r="J141" s="226"/>
      <c r="K141" s="235"/>
      <c r="L141" s="33"/>
      <c r="M141" s="33"/>
      <c r="N141" s="33"/>
      <c r="O141" s="33"/>
      <c r="P141" s="33"/>
      <c r="Q141" s="4"/>
      <c r="R141" s="71"/>
      <c r="S141" s="71"/>
    </row>
    <row r="142" spans="1:19" x14ac:dyDescent="0.2">
      <c r="A142" s="4"/>
      <c r="B142" s="4"/>
      <c r="C142" s="4"/>
      <c r="D142" s="4"/>
      <c r="E142" s="33"/>
      <c r="F142" s="33"/>
      <c r="G142" s="33"/>
      <c r="H142" s="33"/>
      <c r="I142" s="33"/>
      <c r="J142" s="226"/>
      <c r="K142" s="235"/>
      <c r="L142" s="33"/>
      <c r="M142" s="33"/>
      <c r="N142" s="33"/>
      <c r="O142" s="33"/>
      <c r="P142" s="33"/>
      <c r="Q142" s="4"/>
      <c r="R142" s="71"/>
      <c r="S142" s="71"/>
    </row>
    <row r="143" spans="1:19" x14ac:dyDescent="0.2">
      <c r="A143" s="4"/>
      <c r="B143" s="4"/>
      <c r="C143" s="4"/>
      <c r="D143" s="4"/>
      <c r="E143" s="33"/>
      <c r="F143" s="33"/>
      <c r="G143" s="33"/>
      <c r="H143" s="33"/>
      <c r="I143" s="33"/>
      <c r="J143" s="226"/>
      <c r="K143" s="235"/>
      <c r="L143" s="33"/>
      <c r="M143" s="33"/>
      <c r="N143" s="33"/>
      <c r="O143" s="33"/>
      <c r="P143" s="33"/>
      <c r="Q143" s="4"/>
      <c r="R143" s="71"/>
      <c r="S143" s="71"/>
    </row>
    <row r="144" spans="1:19" ht="15" x14ac:dyDescent="0.2">
      <c r="A144" s="616"/>
      <c r="B144" s="617" t="s">
        <v>975</v>
      </c>
      <c r="C144" s="507"/>
      <c r="D144" s="507"/>
      <c r="E144" s="618"/>
      <c r="F144" s="618"/>
      <c r="G144" s="618"/>
      <c r="H144" s="618"/>
      <c r="I144" s="618"/>
      <c r="J144" s="618"/>
      <c r="K144" s="618"/>
      <c r="L144" s="618"/>
      <c r="M144" s="619"/>
      <c r="N144" s="619"/>
      <c r="O144" s="619"/>
      <c r="P144" s="619"/>
      <c r="Q144" s="619"/>
      <c r="R144" s="619"/>
      <c r="S144" s="619"/>
    </row>
    <row r="145" spans="1:19" x14ac:dyDescent="0.2">
      <c r="A145" s="4"/>
      <c r="B145" s="4"/>
      <c r="C145" s="4"/>
      <c r="D145" s="4" t="s">
        <v>286</v>
      </c>
      <c r="E145" s="4" t="s">
        <v>348</v>
      </c>
      <c r="F145" s="4"/>
      <c r="G145" s="4"/>
      <c r="H145" s="4"/>
      <c r="I145" s="4"/>
      <c r="J145" s="4"/>
      <c r="K145" s="4"/>
      <c r="L145" s="4"/>
      <c r="M145" s="4" t="s">
        <v>17</v>
      </c>
      <c r="N145" s="4"/>
      <c r="O145" s="4"/>
      <c r="P145" s="4"/>
      <c r="Q145" s="4"/>
      <c r="R145" s="71"/>
      <c r="S145" s="71"/>
    </row>
    <row r="146" spans="1:19" x14ac:dyDescent="0.2">
      <c r="A146" s="15"/>
      <c r="B146" s="15"/>
      <c r="C146" s="15"/>
      <c r="D146" s="15"/>
      <c r="E146" s="539">
        <f t="shared" ref="E146:J146" si="59">E8</f>
        <v>2009</v>
      </c>
      <c r="F146" s="539">
        <f t="shared" si="59"/>
        <v>2010</v>
      </c>
      <c r="G146" s="539">
        <f t="shared" si="59"/>
        <v>2011</v>
      </c>
      <c r="H146" s="539">
        <f t="shared" si="59"/>
        <v>2012</v>
      </c>
      <c r="I146" s="539">
        <f t="shared" si="59"/>
        <v>2013</v>
      </c>
      <c r="J146" s="539">
        <f t="shared" si="59"/>
        <v>2014</v>
      </c>
      <c r="K146" s="539">
        <f>K8</f>
        <v>2015</v>
      </c>
      <c r="L146" s="15"/>
      <c r="M146" s="539">
        <f t="shared" ref="M146:R146" si="60">M8</f>
        <v>2009</v>
      </c>
      <c r="N146" s="539">
        <f t="shared" si="60"/>
        <v>2010</v>
      </c>
      <c r="O146" s="539">
        <f t="shared" si="60"/>
        <v>2011</v>
      </c>
      <c r="P146" s="539">
        <f t="shared" si="60"/>
        <v>2012</v>
      </c>
      <c r="Q146" s="539">
        <f t="shared" si="60"/>
        <v>2013</v>
      </c>
      <c r="R146" s="539">
        <f t="shared" si="60"/>
        <v>2014</v>
      </c>
      <c r="S146" s="539">
        <f>S8</f>
        <v>2015</v>
      </c>
    </row>
    <row r="147" spans="1:19" ht="15" x14ac:dyDescent="0.25">
      <c r="A147" s="4"/>
      <c r="B147" s="685" t="str">
        <f>МСФО_ввод!D349</f>
        <v>Физические лица</v>
      </c>
      <c r="C147" s="685"/>
      <c r="D147" s="685"/>
      <c r="E147" s="686">
        <f>МСФО_ввод!E349</f>
        <v>177.47</v>
      </c>
      <c r="F147" s="686">
        <f>МСФО_ввод!F349</f>
        <v>181.619</v>
      </c>
      <c r="G147" s="686">
        <f>МСФО_ввод!G349</f>
        <v>162.977</v>
      </c>
      <c r="H147" s="687">
        <f>МСФО_ввод!H349</f>
        <v>184.35300000000001</v>
      </c>
      <c r="I147" s="687">
        <f>МСФО_ввод!I349</f>
        <v>227.1</v>
      </c>
      <c r="J147" s="687">
        <f>МСФО_ввод!J349</f>
        <v>269.60000000000002</v>
      </c>
      <c r="K147" s="687">
        <f>МСФО_ввод!K349</f>
        <v>412</v>
      </c>
      <c r="L147" s="685"/>
      <c r="M147" s="688">
        <f>E147/E$160</f>
        <v>0.41463015746927717</v>
      </c>
      <c r="N147" s="688">
        <f t="shared" ref="N147:N158" si="61">F147/F$160</f>
        <v>0.33439077649346211</v>
      </c>
      <c r="O147" s="688">
        <f t="shared" ref="O147:O158" si="62">G147/G$160</f>
        <v>0.38926108774418833</v>
      </c>
      <c r="P147" s="689">
        <f t="shared" ref="P147:P158" si="63">H147/H$160</f>
        <v>0.39729880004137791</v>
      </c>
      <c r="Q147" s="689">
        <f t="shared" ref="Q147:Q158" si="64">I147/I$160</f>
        <v>0.36890838206627669</v>
      </c>
      <c r="R147" s="689">
        <f t="shared" ref="R147:R158" si="65">J147/J$160</f>
        <v>0.42671731560620446</v>
      </c>
      <c r="S147" s="689">
        <f t="shared" ref="S147:S158" si="66">K147/K$160</f>
        <v>0.59979618576211957</v>
      </c>
    </row>
    <row r="148" spans="1:19" x14ac:dyDescent="0.2">
      <c r="A148" s="4"/>
      <c r="B148" s="4" t="str">
        <f>МСФО_ввод!D350</f>
        <v>Государственные органы</v>
      </c>
      <c r="C148" s="4"/>
      <c r="D148" s="4"/>
      <c r="E148" s="620">
        <f>МСФО_ввод!E350</f>
        <v>66.287000000000006</v>
      </c>
      <c r="F148" s="620">
        <f>МСФО_ввод!F350</f>
        <v>141.75299999999999</v>
      </c>
      <c r="G148" s="620">
        <f>МСФО_ввод!G350</f>
        <v>61.485999999999997</v>
      </c>
      <c r="H148" s="620">
        <f>МСФО_ввод!H350</f>
        <v>44.015999999999998</v>
      </c>
      <c r="I148" s="620">
        <f>МСФО_ввод!I350</f>
        <v>153.4</v>
      </c>
      <c r="J148" s="620">
        <f>МСФО_ввод!J350</f>
        <v>143.30000000000001</v>
      </c>
      <c r="K148" s="620">
        <f>МСФО_ввод!K350</f>
        <v>116.8</v>
      </c>
      <c r="L148" s="4"/>
      <c r="M148" s="624">
        <f t="shared" ref="M148:M158" si="67">E148/E$160</f>
        <v>0.15486893135834776</v>
      </c>
      <c r="N148" s="624">
        <f t="shared" si="61"/>
        <v>0.26099084203898121</v>
      </c>
      <c r="O148" s="624">
        <f t="shared" si="62"/>
        <v>0.14685573572368593</v>
      </c>
      <c r="P148" s="624">
        <f t="shared" si="63"/>
        <v>9.4858797972483699E-2</v>
      </c>
      <c r="Q148" s="624">
        <f t="shared" si="64"/>
        <v>0.24918778427550353</v>
      </c>
      <c r="R148" s="624">
        <f t="shared" si="65"/>
        <v>0.22681228236783793</v>
      </c>
      <c r="S148" s="624">
        <f t="shared" si="66"/>
        <v>0.17003930703159117</v>
      </c>
    </row>
    <row r="149" spans="1:19" x14ac:dyDescent="0.2">
      <c r="A149" s="4"/>
      <c r="B149" s="4" t="str">
        <f>МСФО_ввод!D351</f>
        <v>Строительство</v>
      </c>
      <c r="C149" s="4"/>
      <c r="D149" s="4"/>
      <c r="E149" s="620">
        <f>МСФО_ввод!E351</f>
        <v>19.849</v>
      </c>
      <c r="F149" s="620">
        <f>МСФО_ввод!F351</f>
        <v>33.622</v>
      </c>
      <c r="G149" s="620">
        <f>МСФО_ввод!G351</f>
        <v>33.558999999999997</v>
      </c>
      <c r="H149" s="620">
        <f>МСФО_ввод!H351</f>
        <v>42.418999999999997</v>
      </c>
      <c r="I149" s="620">
        <f>МСФО_ввод!I351</f>
        <v>65</v>
      </c>
      <c r="J149" s="620">
        <f>МСФО_ввод!J351</f>
        <v>97.2</v>
      </c>
      <c r="K149" s="620">
        <f>МСФО_ввод!K351</f>
        <v>54.4</v>
      </c>
      <c r="L149" s="4"/>
      <c r="M149" s="624">
        <f t="shared" si="67"/>
        <v>4.6374001214896501E-2</v>
      </c>
      <c r="N149" s="624">
        <f t="shared" si="61"/>
        <v>6.1903692274834582E-2</v>
      </c>
      <c r="O149" s="624">
        <f t="shared" si="62"/>
        <v>8.0153720117606866E-2</v>
      </c>
      <c r="P149" s="624">
        <f t="shared" si="63"/>
        <v>9.1417106306679069E-2</v>
      </c>
      <c r="Q149" s="624">
        <f t="shared" si="64"/>
        <v>0.10558804418453539</v>
      </c>
      <c r="R149" s="624">
        <f t="shared" si="65"/>
        <v>0.15384615384615383</v>
      </c>
      <c r="S149" s="624">
        <f t="shared" si="66"/>
        <v>7.9196389576357537E-2</v>
      </c>
    </row>
    <row r="150" spans="1:19" x14ac:dyDescent="0.2">
      <c r="A150" s="4"/>
      <c r="B150" s="4" t="str">
        <f>МСФО_ввод!D352</f>
        <v>Финансовые и прочие услуги</v>
      </c>
      <c r="C150" s="4"/>
      <c r="D150" s="4"/>
      <c r="E150" s="620">
        <f>МСФО_ввод!E352</f>
        <v>45.798000000000002</v>
      </c>
      <c r="F150" s="620">
        <f>МСФО_ввод!F352</f>
        <v>25.21</v>
      </c>
      <c r="G150" s="620">
        <f>МСФО_ввод!G352</f>
        <v>29.977</v>
      </c>
      <c r="H150" s="620">
        <f>МСФО_ввод!H352</f>
        <v>34.886000000000003</v>
      </c>
      <c r="I150" s="620">
        <f>МСФО_ввод!I352</f>
        <v>50.1</v>
      </c>
      <c r="J150" s="620">
        <f>МСФО_ввод!J352</f>
        <v>27.9</v>
      </c>
      <c r="K150" s="620">
        <f>МСФО_ввод!K352</f>
        <v>31.7</v>
      </c>
      <c r="L150" s="4"/>
      <c r="M150" s="624">
        <f t="shared" si="67"/>
        <v>0.10699967291248073</v>
      </c>
      <c r="N150" s="624">
        <f t="shared" si="61"/>
        <v>4.6415801625381593E-2</v>
      </c>
      <c r="O150" s="624">
        <f t="shared" si="62"/>
        <v>7.1598321403066281E-2</v>
      </c>
      <c r="P150" s="624">
        <f t="shared" si="63"/>
        <v>7.5182752318885562E-2</v>
      </c>
      <c r="Q150" s="624">
        <f t="shared" si="64"/>
        <v>8.1384015594541892E-2</v>
      </c>
      <c r="R150" s="624">
        <f t="shared" si="65"/>
        <v>4.4159544159544151E-2</v>
      </c>
      <c r="S150" s="624">
        <f t="shared" si="66"/>
        <v>4.6149366720046582E-2</v>
      </c>
    </row>
    <row r="151" spans="1:19" x14ac:dyDescent="0.2">
      <c r="A151" s="4"/>
      <c r="B151" s="4" t="str">
        <f>МСФО_ввод!D353</f>
        <v>Торговля</v>
      </c>
      <c r="C151" s="4"/>
      <c r="D151" s="4"/>
      <c r="E151" s="620">
        <f>МСФО_ввод!E353</f>
        <v>13.455</v>
      </c>
      <c r="F151" s="620">
        <f>МСФО_ввод!F353</f>
        <v>15.531000000000001</v>
      </c>
      <c r="G151" s="620">
        <f>МСФО_ввод!G353</f>
        <v>14.89</v>
      </c>
      <c r="H151" s="620">
        <f>МСФО_ввод!H353</f>
        <v>24.544</v>
      </c>
      <c r="I151" s="620">
        <f>МСФО_ввод!I353</f>
        <v>24.7</v>
      </c>
      <c r="J151" s="620">
        <f>МСФО_ввод!J353</f>
        <v>29.8</v>
      </c>
      <c r="K151" s="620">
        <f>МСФО_ввод!K353</f>
        <v>23.2</v>
      </c>
      <c r="L151" s="4"/>
      <c r="M151" s="624">
        <f t="shared" si="67"/>
        <v>3.1435446941731698E-2</v>
      </c>
      <c r="N151" s="624">
        <f t="shared" si="61"/>
        <v>2.8595153313915173E-2</v>
      </c>
      <c r="O151" s="624">
        <f t="shared" si="62"/>
        <v>3.5563899179092535E-2</v>
      </c>
      <c r="P151" s="624">
        <f t="shared" si="63"/>
        <v>5.2894727768008E-2</v>
      </c>
      <c r="Q151" s="624">
        <f t="shared" si="64"/>
        <v>4.0123456790123448E-2</v>
      </c>
      <c r="R151" s="624">
        <f t="shared" si="65"/>
        <v>4.7166824944602719E-2</v>
      </c>
      <c r="S151" s="624">
        <f t="shared" si="66"/>
        <v>3.3774930848740711E-2</v>
      </c>
    </row>
    <row r="152" spans="1:19" x14ac:dyDescent="0.2">
      <c r="A152" s="4"/>
      <c r="B152" s="4" t="str">
        <f>МСФО_ввод!D354</f>
        <v>Транспорт и связь</v>
      </c>
      <c r="C152" s="4"/>
      <c r="D152" s="4"/>
      <c r="E152" s="620">
        <f>МСФО_ввод!E354</f>
        <v>30.881</v>
      </c>
      <c r="F152" s="620">
        <f>МСФО_ввод!F354</f>
        <v>26.07</v>
      </c>
      <c r="G152" s="620">
        <f>МСФО_ввод!G354</f>
        <v>43.189</v>
      </c>
      <c r="H152" s="620">
        <f>МСФО_ввод!H354</f>
        <v>79.778999999999996</v>
      </c>
      <c r="I152" s="620">
        <f>МСФО_ввод!I354</f>
        <v>49.6</v>
      </c>
      <c r="J152" s="620">
        <f>МСФО_ввод!J354</f>
        <v>20.7</v>
      </c>
      <c r="K152" s="620">
        <f>МСФО_ввод!K354</f>
        <v>20.399999999999999</v>
      </c>
      <c r="L152" s="4"/>
      <c r="M152" s="624">
        <f t="shared" si="67"/>
        <v>7.214849773375076E-2</v>
      </c>
      <c r="N152" s="624">
        <f t="shared" si="61"/>
        <v>4.7999204616172075E-2</v>
      </c>
      <c r="O152" s="624">
        <f t="shared" si="62"/>
        <v>0.10315441515418587</v>
      </c>
      <c r="P152" s="624">
        <f t="shared" si="63"/>
        <v>0.17193157132512671</v>
      </c>
      <c r="Q152" s="624">
        <f t="shared" si="64"/>
        <v>8.0571799870045466E-2</v>
      </c>
      <c r="R152" s="624">
        <f t="shared" si="65"/>
        <v>3.2763532763532756E-2</v>
      </c>
      <c r="S152" s="624">
        <f t="shared" si="66"/>
        <v>2.9698646091134075E-2</v>
      </c>
    </row>
    <row r="153" spans="1:19" x14ac:dyDescent="0.2">
      <c r="A153" s="4"/>
      <c r="B153" s="4" t="str">
        <f>МСФО_ввод!D355</f>
        <v>Производство</v>
      </c>
      <c r="C153" s="4"/>
      <c r="D153" s="4"/>
      <c r="E153" s="620">
        <f>МСФО_ввод!E355</f>
        <v>12.173999999999999</v>
      </c>
      <c r="F153" s="620">
        <f>МСФО_ввод!F355</f>
        <v>25.085000000000001</v>
      </c>
      <c r="G153" s="620">
        <f>МСФО_ввод!G355</f>
        <v>26.239000000000001</v>
      </c>
      <c r="H153" s="620">
        <f>МСФО_ввод!H355</f>
        <v>6.1139999999999999</v>
      </c>
      <c r="I153" s="620">
        <f>МСФО_ввод!I355</f>
        <v>22.7</v>
      </c>
      <c r="J153" s="620">
        <f>МСФО_ввод!J355</f>
        <v>11.3</v>
      </c>
      <c r="K153" s="620">
        <f>МСФО_ввод!K355</f>
        <v>5.7</v>
      </c>
      <c r="L153" s="4"/>
      <c r="M153" s="624">
        <f t="shared" si="67"/>
        <v>2.8442596140367274E-2</v>
      </c>
      <c r="N153" s="624">
        <f t="shared" si="61"/>
        <v>4.6185655841836461E-2</v>
      </c>
      <c r="O153" s="624">
        <f t="shared" si="62"/>
        <v>6.2670325759584228E-2</v>
      </c>
      <c r="P153" s="624">
        <f t="shared" si="63"/>
        <v>1.3176269783800558E-2</v>
      </c>
      <c r="Q153" s="624">
        <f t="shared" si="64"/>
        <v>3.6874593892137743E-2</v>
      </c>
      <c r="R153" s="624">
        <f t="shared" si="65"/>
        <v>1.7885406774295662E-2</v>
      </c>
      <c r="S153" s="624">
        <f t="shared" si="66"/>
        <v>8.2981511136992273E-3</v>
      </c>
    </row>
    <row r="154" spans="1:19" x14ac:dyDescent="0.2">
      <c r="A154" s="4"/>
      <c r="B154" s="4" t="str">
        <f>МСФО_ввод!D356</f>
        <v>Топливно-энергетические комплекс</v>
      </c>
      <c r="C154" s="4"/>
      <c r="D154" s="4"/>
      <c r="E154" s="620">
        <f>МСФО_ввод!E356</f>
        <v>39.32</v>
      </c>
      <c r="F154" s="620">
        <f>МСФО_ввод!F356</f>
        <v>53.305</v>
      </c>
      <c r="G154" s="620">
        <f>МСФО_ввод!G356</f>
        <v>23.059000000000001</v>
      </c>
      <c r="H154" s="620">
        <f>МСФО_ввод!H356</f>
        <v>5.2510000000000003</v>
      </c>
      <c r="I154" s="620">
        <f>МСФО_ввод!I356</f>
        <v>6.7</v>
      </c>
      <c r="J154" s="620">
        <f>МСФО_ввод!J356</f>
        <v>4.5999999999999996</v>
      </c>
      <c r="K154" s="620">
        <f>МСФО_ввод!K356</f>
        <v>2.5</v>
      </c>
      <c r="L154" s="4"/>
      <c r="M154" s="624">
        <f t="shared" si="67"/>
        <v>9.1864866127751049E-2</v>
      </c>
      <c r="N154" s="624">
        <f t="shared" si="61"/>
        <v>9.8143367934984752E-2</v>
      </c>
      <c r="O154" s="624">
        <f t="shared" si="62"/>
        <v>5.5075080669623563E-2</v>
      </c>
      <c r="P154" s="624">
        <f t="shared" si="63"/>
        <v>1.131642012344402E-2</v>
      </c>
      <c r="Q154" s="624">
        <f t="shared" si="64"/>
        <v>1.0883690708252109E-2</v>
      </c>
      <c r="R154" s="624">
        <f t="shared" si="65"/>
        <v>7.2807850585628348E-3</v>
      </c>
      <c r="S154" s="624">
        <f t="shared" si="66"/>
        <v>3.6395399621487841E-3</v>
      </c>
    </row>
    <row r="155" spans="1:19" x14ac:dyDescent="0.2">
      <c r="A155" s="4"/>
      <c r="B155" s="4" t="str">
        <f>МСФО_ввод!D357</f>
        <v>Сельское хозяйство и рыболовство</v>
      </c>
      <c r="C155" s="4"/>
      <c r="D155" s="4"/>
      <c r="E155" s="620">
        <f>МСФО_ввод!E357</f>
        <v>1.657</v>
      </c>
      <c r="F155" s="620">
        <f>МСФО_ввод!F357</f>
        <v>1.385</v>
      </c>
      <c r="G155" s="620">
        <f>МСФО_ввод!G357</f>
        <v>0.30499999999999999</v>
      </c>
      <c r="H155" s="620">
        <f>МСФО_ввод!H357</f>
        <v>0.38700000000000001</v>
      </c>
      <c r="I155" s="620">
        <f>МСФО_ввод!I357</f>
        <v>0.3</v>
      </c>
      <c r="J155" s="620">
        <f>МСФО_ввод!J357</f>
        <v>1</v>
      </c>
      <c r="K155" s="620">
        <f>МСФО_ввод!K357</f>
        <v>1.2</v>
      </c>
      <c r="L155" s="4"/>
      <c r="M155" s="624">
        <f t="shared" si="67"/>
        <v>3.8713144245596004E-3</v>
      </c>
      <c r="N155" s="624">
        <f t="shared" si="61"/>
        <v>2.5500152816800279E-3</v>
      </c>
      <c r="O155" s="624">
        <f t="shared" si="62"/>
        <v>7.284747649176107E-4</v>
      </c>
      <c r="P155" s="624">
        <f t="shared" si="63"/>
        <v>8.3402296472535431E-4</v>
      </c>
      <c r="Q155" s="624">
        <f t="shared" si="64"/>
        <v>4.8732943469785562E-4</v>
      </c>
      <c r="R155" s="624">
        <f t="shared" si="65"/>
        <v>1.5827793605571383E-3</v>
      </c>
      <c r="S155" s="624">
        <f t="shared" si="66"/>
        <v>1.7469791818314163E-3</v>
      </c>
    </row>
    <row r="156" spans="1:19" x14ac:dyDescent="0.2">
      <c r="A156" s="4"/>
      <c r="B156" s="4" t="str">
        <f>МСФО_ввод!D358</f>
        <v>Пищевая промышленность</v>
      </c>
      <c r="C156" s="4"/>
      <c r="D156" s="4"/>
      <c r="E156" s="620">
        <f>МСФО_ввод!E358</f>
        <v>0.64100000000000001</v>
      </c>
      <c r="F156" s="620">
        <f>МСФО_ввод!F358</f>
        <v>0.43</v>
      </c>
      <c r="G156" s="620">
        <f>МСФО_ввод!G358</f>
        <v>0.503</v>
      </c>
      <c r="H156" s="620">
        <f>МСФО_ввод!H358</f>
        <v>1.2609999999999999</v>
      </c>
      <c r="I156" s="620">
        <f>МСФО_ввод!I358</f>
        <v>1.1000000000000001</v>
      </c>
      <c r="J156" s="620">
        <f>МСФО_ввод!J358</f>
        <v>1.1000000000000001</v>
      </c>
      <c r="K156" s="620">
        <f>МСФО_ввод!K358</f>
        <v>0.8</v>
      </c>
      <c r="L156" s="4"/>
      <c r="M156" s="624">
        <f t="shared" si="67"/>
        <v>1.497593570393907E-3</v>
      </c>
      <c r="N156" s="624">
        <f t="shared" si="61"/>
        <v>7.9170149539524329E-4</v>
      </c>
      <c r="O156" s="624">
        <f t="shared" si="62"/>
        <v>1.2013862516510104E-3</v>
      </c>
      <c r="P156" s="624">
        <f t="shared" si="63"/>
        <v>2.7175787041826141E-3</v>
      </c>
      <c r="Q156" s="624">
        <f t="shared" si="64"/>
        <v>1.7868745938921374E-3</v>
      </c>
      <c r="R156" s="624">
        <f t="shared" si="65"/>
        <v>1.7410572966128522E-3</v>
      </c>
      <c r="S156" s="624">
        <f t="shared" si="66"/>
        <v>1.164652787887611E-3</v>
      </c>
    </row>
    <row r="157" spans="1:19" x14ac:dyDescent="0.2">
      <c r="A157" s="4"/>
      <c r="B157" s="4" t="str">
        <f>МСФО_ввод!D359</f>
        <v>Металлургия</v>
      </c>
      <c r="C157" s="4"/>
      <c r="D157" s="4"/>
      <c r="E157" s="620">
        <f>МСФО_ввод!E359</f>
        <v>0.34899999999999998</v>
      </c>
      <c r="F157" s="620">
        <f>МСФО_ввод!F359</f>
        <v>0.436</v>
      </c>
      <c r="G157" s="620">
        <f>МСФО_ввод!G359</f>
        <v>1.2829999999999999</v>
      </c>
      <c r="H157" s="620">
        <f>МСФО_ввод!H359</f>
        <v>0.80500000000000005</v>
      </c>
      <c r="I157" s="620">
        <f>МСФО_ввод!I359</f>
        <v>0.6</v>
      </c>
      <c r="J157" s="620">
        <f>МСФО_ввод!J359</f>
        <v>0.7</v>
      </c>
      <c r="K157" s="620">
        <f>МСФО_ввод!K359</f>
        <v>0.2</v>
      </c>
      <c r="L157" s="4"/>
      <c r="M157" s="624">
        <f t="shared" si="67"/>
        <v>8.1538245876360915E-4</v>
      </c>
      <c r="N157" s="624">
        <f t="shared" si="61"/>
        <v>8.0274849300540944E-4</v>
      </c>
      <c r="O157" s="624">
        <f t="shared" si="62"/>
        <v>3.0643708963583424E-3</v>
      </c>
      <c r="P157" s="624">
        <f t="shared" si="63"/>
        <v>1.7348539705527397E-3</v>
      </c>
      <c r="Q157" s="624">
        <f t="shared" si="64"/>
        <v>9.7465886939571123E-4</v>
      </c>
      <c r="R157" s="624">
        <f t="shared" si="65"/>
        <v>1.1079455523899967E-3</v>
      </c>
      <c r="S157" s="624">
        <f t="shared" si="66"/>
        <v>2.9116319697190275E-4</v>
      </c>
    </row>
    <row r="158" spans="1:19" x14ac:dyDescent="0.2">
      <c r="A158" s="4"/>
      <c r="B158" s="4" t="str">
        <f>МСФО_ввод!D360</f>
        <v>Прочие</v>
      </c>
      <c r="C158" s="4"/>
      <c r="D158" s="4"/>
      <c r="E158" s="620">
        <f>МСФО_ввод!E360</f>
        <v>20.138999999999999</v>
      </c>
      <c r="F158" s="620">
        <f>МСФО_ввод!F360</f>
        <v>38.688000000000002</v>
      </c>
      <c r="G158" s="620">
        <f>МСФО_ввод!G360</f>
        <v>21.216000000000001</v>
      </c>
      <c r="H158" s="620">
        <f>МСФО_ввод!H360</f>
        <v>40.201000000000001</v>
      </c>
      <c r="I158" s="620">
        <f>МСФО_ввод!I360</f>
        <v>14.3</v>
      </c>
      <c r="J158" s="620">
        <f>МСФО_ввод!J360</f>
        <v>24.6</v>
      </c>
      <c r="K158" s="620">
        <f>МСФО_ввод!K360</f>
        <v>18</v>
      </c>
      <c r="L158" s="4"/>
      <c r="M158" s="624">
        <f t="shared" si="67"/>
        <v>4.7051539647680017E-2</v>
      </c>
      <c r="N158" s="624">
        <f t="shared" si="61"/>
        <v>7.1231040590351569E-2</v>
      </c>
      <c r="O158" s="624">
        <f t="shared" si="62"/>
        <v>5.0673182336039443E-2</v>
      </c>
      <c r="P158" s="624">
        <f t="shared" si="63"/>
        <v>8.663709872073376E-2</v>
      </c>
      <c r="Q158" s="624">
        <f t="shared" si="64"/>
        <v>2.3229369720597786E-2</v>
      </c>
      <c r="R158" s="624">
        <f t="shared" si="65"/>
        <v>3.8936372269705602E-2</v>
      </c>
      <c r="S158" s="624">
        <f t="shared" si="66"/>
        <v>2.6204687727471244E-2</v>
      </c>
    </row>
    <row r="159" spans="1:19" ht="15" x14ac:dyDescent="0.2">
      <c r="A159" s="4"/>
      <c r="B159" s="4"/>
      <c r="C159" s="4"/>
      <c r="D159" s="4"/>
      <c r="E159" s="683"/>
      <c r="F159" s="683"/>
      <c r="G159" s="683"/>
      <c r="H159" s="620"/>
      <c r="I159" s="620"/>
      <c r="J159" s="620"/>
      <c r="K159" s="620"/>
      <c r="L159" s="4"/>
      <c r="M159" s="684"/>
      <c r="N159" s="684"/>
      <c r="O159" s="684"/>
      <c r="P159" s="624"/>
      <c r="Q159" s="624"/>
      <c r="R159" s="624"/>
      <c r="S159" s="624"/>
    </row>
    <row r="160" spans="1:19" ht="15" x14ac:dyDescent="0.2">
      <c r="A160" s="515"/>
      <c r="B160" s="516" t="s">
        <v>1026</v>
      </c>
      <c r="C160" s="517"/>
      <c r="D160" s="517"/>
      <c r="E160" s="518">
        <f t="shared" ref="E160:K160" si="68">SUM(E147:E159)</f>
        <v>428.02</v>
      </c>
      <c r="F160" s="518">
        <f t="shared" si="68"/>
        <v>543.1339999999999</v>
      </c>
      <c r="G160" s="518">
        <f t="shared" si="68"/>
        <v>418.68299999999999</v>
      </c>
      <c r="H160" s="518">
        <f t="shared" si="68"/>
        <v>464.01600000000002</v>
      </c>
      <c r="I160" s="518">
        <f t="shared" si="68"/>
        <v>615.60000000000014</v>
      </c>
      <c r="J160" s="518">
        <f t="shared" si="68"/>
        <v>631.80000000000007</v>
      </c>
      <c r="K160" s="518">
        <f t="shared" si="68"/>
        <v>686.90000000000009</v>
      </c>
      <c r="L160" s="604"/>
      <c r="M160" s="608">
        <f t="shared" ref="M160:S160" si="69">SUM(M147:M159)</f>
        <v>1</v>
      </c>
      <c r="N160" s="608">
        <f t="shared" si="69"/>
        <v>1</v>
      </c>
      <c r="O160" s="608">
        <f t="shared" si="69"/>
        <v>1</v>
      </c>
      <c r="P160" s="608">
        <f t="shared" si="69"/>
        <v>1</v>
      </c>
      <c r="Q160" s="608">
        <f t="shared" si="69"/>
        <v>0.99999999999999978</v>
      </c>
      <c r="R160" s="608">
        <f t="shared" si="69"/>
        <v>1</v>
      </c>
      <c r="S160" s="608">
        <f t="shared" si="69"/>
        <v>0.99999999999999978</v>
      </c>
    </row>
    <row r="161" spans="1:19" ht="15.75" x14ac:dyDescent="0.25">
      <c r="A161" s="4"/>
      <c r="B161" s="304" t="s">
        <v>458</v>
      </c>
      <c r="C161" s="386"/>
      <c r="D161" s="386"/>
      <c r="E161" s="386">
        <f>МСФО_ввод!E361-E160</f>
        <v>0</v>
      </c>
      <c r="F161" s="386">
        <f>МСФО_ввод!F361-F160</f>
        <v>0</v>
      </c>
      <c r="G161" s="386">
        <f>МСФО_ввод!G361-G160</f>
        <v>0</v>
      </c>
      <c r="H161" s="386">
        <f>МСФО_ввод!H361-H160</f>
        <v>0</v>
      </c>
      <c r="I161" s="386">
        <f>МСФО_ввод!I361-I160</f>
        <v>0</v>
      </c>
      <c r="J161" s="386">
        <f>МСФО_ввод!J361-J160</f>
        <v>0</v>
      </c>
      <c r="K161" s="386">
        <f>МСФО_ввод!K361-K160</f>
        <v>0</v>
      </c>
      <c r="L161" s="4"/>
      <c r="M161" s="4"/>
      <c r="N161" s="4"/>
      <c r="O161" s="4"/>
      <c r="P161" s="4"/>
      <c r="Q161" s="4"/>
      <c r="R161" s="4"/>
      <c r="S161" s="4"/>
    </row>
    <row r="162" spans="1:19" x14ac:dyDescent="0.2">
      <c r="A162" s="4"/>
      <c r="B162" s="4"/>
      <c r="C162" s="4"/>
      <c r="D162" s="4"/>
      <c r="E162" s="4"/>
      <c r="F162" s="4"/>
      <c r="G162" s="4"/>
      <c r="H162" s="4"/>
      <c r="I162" s="4"/>
      <c r="J162" s="4"/>
      <c r="K162" s="4"/>
      <c r="L162" s="4"/>
      <c r="M162" s="4"/>
      <c r="N162" s="4"/>
      <c r="O162" s="4"/>
      <c r="P162" s="4"/>
      <c r="Q162" s="4"/>
      <c r="R162" s="4"/>
      <c r="S162" s="4"/>
    </row>
    <row r="163" spans="1:19" x14ac:dyDescent="0.2">
      <c r="A163" s="4"/>
      <c r="B163" s="4"/>
      <c r="C163" s="4"/>
      <c r="D163" s="4"/>
      <c r="E163" s="4"/>
      <c r="F163" s="4"/>
      <c r="G163" s="4"/>
      <c r="H163" s="4"/>
      <c r="I163" s="4"/>
      <c r="J163" s="4"/>
      <c r="K163" s="4"/>
      <c r="L163" s="4"/>
      <c r="M163" s="4"/>
      <c r="N163" s="4"/>
      <c r="O163" s="4"/>
      <c r="P163" s="4"/>
      <c r="Q163" s="4"/>
      <c r="R163" s="4"/>
      <c r="S163" s="4"/>
    </row>
    <row r="164" spans="1:19" ht="15" x14ac:dyDescent="0.2">
      <c r="A164" s="616"/>
      <c r="B164" s="617" t="s">
        <v>976</v>
      </c>
      <c r="C164" s="507"/>
      <c r="D164" s="507"/>
      <c r="E164" s="618"/>
      <c r="F164" s="618"/>
      <c r="G164" s="618"/>
      <c r="H164" s="618"/>
      <c r="I164" s="618"/>
      <c r="J164" s="618"/>
      <c r="K164" s="618"/>
      <c r="L164" s="618"/>
      <c r="M164" s="619"/>
      <c r="N164" s="619"/>
      <c r="O164" s="619"/>
      <c r="P164" s="619"/>
      <c r="Q164" s="619"/>
      <c r="R164" s="619"/>
      <c r="S164" s="619"/>
    </row>
    <row r="165" spans="1:19" x14ac:dyDescent="0.2">
      <c r="A165" s="4"/>
      <c r="B165" s="4"/>
      <c r="C165" s="4"/>
      <c r="D165" s="4" t="s">
        <v>286</v>
      </c>
      <c r="E165" s="4" t="s">
        <v>348</v>
      </c>
      <c r="F165" s="4"/>
      <c r="G165" s="4"/>
      <c r="H165" s="4"/>
      <c r="I165" s="4"/>
      <c r="J165" s="4"/>
      <c r="K165" s="4"/>
      <c r="L165" s="4"/>
      <c r="M165" s="4" t="s">
        <v>17</v>
      </c>
      <c r="N165" s="4"/>
      <c r="O165" s="4"/>
      <c r="P165" s="4"/>
      <c r="Q165" s="4"/>
      <c r="R165" s="71"/>
      <c r="S165" s="71"/>
    </row>
    <row r="166" spans="1:19" x14ac:dyDescent="0.2">
      <c r="A166" s="15"/>
      <c r="B166" s="15"/>
      <c r="C166" s="15"/>
      <c r="D166" s="15"/>
      <c r="E166" s="539">
        <f t="shared" ref="E166:J166" si="70">E8</f>
        <v>2009</v>
      </c>
      <c r="F166" s="539">
        <f t="shared" si="70"/>
        <v>2010</v>
      </c>
      <c r="G166" s="539">
        <f t="shared" si="70"/>
        <v>2011</v>
      </c>
      <c r="H166" s="539">
        <f t="shared" si="70"/>
        <v>2012</v>
      </c>
      <c r="I166" s="539">
        <f t="shared" si="70"/>
        <v>2013</v>
      </c>
      <c r="J166" s="539">
        <f t="shared" si="70"/>
        <v>2014</v>
      </c>
      <c r="K166" s="539">
        <f>K8</f>
        <v>2015</v>
      </c>
      <c r="L166" s="15"/>
      <c r="M166" s="539">
        <f t="shared" ref="M166:R166" si="71">M8</f>
        <v>2009</v>
      </c>
      <c r="N166" s="539">
        <f t="shared" si="71"/>
        <v>2010</v>
      </c>
      <c r="O166" s="539">
        <f t="shared" si="71"/>
        <v>2011</v>
      </c>
      <c r="P166" s="539">
        <f t="shared" si="71"/>
        <v>2012</v>
      </c>
      <c r="Q166" s="539">
        <f t="shared" si="71"/>
        <v>2013</v>
      </c>
      <c r="R166" s="539">
        <f t="shared" si="71"/>
        <v>2014</v>
      </c>
      <c r="S166" s="539">
        <f>S8</f>
        <v>2015</v>
      </c>
    </row>
    <row r="167" spans="1:19" x14ac:dyDescent="0.2">
      <c r="A167" s="71"/>
      <c r="B167" s="71" t="s">
        <v>434</v>
      </c>
      <c r="C167" s="71"/>
      <c r="D167" s="71"/>
      <c r="E167" s="498">
        <f t="shared" ref="E167:J167" si="72">E148</f>
        <v>66.287000000000006</v>
      </c>
      <c r="F167" s="498">
        <f t="shared" si="72"/>
        <v>141.75299999999999</v>
      </c>
      <c r="G167" s="498">
        <f t="shared" si="72"/>
        <v>61.485999999999997</v>
      </c>
      <c r="H167" s="498">
        <f t="shared" si="72"/>
        <v>44.015999999999998</v>
      </c>
      <c r="I167" s="498">
        <f t="shared" si="72"/>
        <v>153.4</v>
      </c>
      <c r="J167" s="498">
        <f t="shared" si="72"/>
        <v>143.30000000000001</v>
      </c>
      <c r="K167" s="498">
        <f>K148</f>
        <v>116.8</v>
      </c>
      <c r="L167" s="71"/>
      <c r="M167" s="624">
        <f t="shared" ref="M167:M173" si="73">E167/E$175</f>
        <v>0.26456595489922174</v>
      </c>
      <c r="N167" s="624">
        <f t="shared" ref="N167:N173" si="74">F167/F$175</f>
        <v>0.39210821127754047</v>
      </c>
      <c r="O167" s="624">
        <f t="shared" ref="O167:O173" si="75">G167/G$175</f>
        <v>0.24045583599915527</v>
      </c>
      <c r="P167" s="624">
        <f t="shared" ref="P167:P173" si="76">H167/H$175</f>
        <v>0.15738942942040957</v>
      </c>
      <c r="Q167" s="624">
        <f t="shared" ref="Q167:Q173" si="77">I167/I$175</f>
        <v>0.39485199485199474</v>
      </c>
      <c r="R167" s="624">
        <f t="shared" ref="R167:R173" si="78">J167/J$175</f>
        <v>0.39563776918829374</v>
      </c>
      <c r="S167" s="624">
        <f>K167/K$175</f>
        <v>0.42488177519097836</v>
      </c>
    </row>
    <row r="168" spans="1:19" x14ac:dyDescent="0.2">
      <c r="A168" s="71"/>
      <c r="B168" s="71" t="s">
        <v>307</v>
      </c>
      <c r="C168" s="71"/>
      <c r="D168" s="71"/>
      <c r="E168" s="498">
        <f t="shared" ref="E168:K168" si="79">E149</f>
        <v>19.849</v>
      </c>
      <c r="F168" s="498">
        <f t="shared" si="79"/>
        <v>33.622</v>
      </c>
      <c r="G168" s="498">
        <f t="shared" si="79"/>
        <v>33.558999999999997</v>
      </c>
      <c r="H168" s="498">
        <f t="shared" si="79"/>
        <v>42.418999999999997</v>
      </c>
      <c r="I168" s="498">
        <f t="shared" si="79"/>
        <v>65</v>
      </c>
      <c r="J168" s="498">
        <f t="shared" si="79"/>
        <v>97.2</v>
      </c>
      <c r="K168" s="498">
        <f t="shared" si="79"/>
        <v>54.4</v>
      </c>
      <c r="L168" s="71"/>
      <c r="M168" s="624">
        <f t="shared" si="73"/>
        <v>7.9221712233087216E-2</v>
      </c>
      <c r="N168" s="624">
        <f t="shared" si="74"/>
        <v>9.3003056581331373E-2</v>
      </c>
      <c r="O168" s="624">
        <f t="shared" si="75"/>
        <v>0.13124056533675393</v>
      </c>
      <c r="P168" s="624">
        <f t="shared" si="76"/>
        <v>0.15167898506416649</v>
      </c>
      <c r="Q168" s="624">
        <f t="shared" si="77"/>
        <v>0.16731016731016726</v>
      </c>
      <c r="R168" s="624">
        <f t="shared" si="78"/>
        <v>0.26836002208724458</v>
      </c>
      <c r="S168" s="624">
        <f t="shared" ref="S168:S173" si="80">K168/K$175</f>
        <v>0.19789014186977075</v>
      </c>
    </row>
    <row r="169" spans="1:19" x14ac:dyDescent="0.2">
      <c r="A169" s="71"/>
      <c r="B169" s="71" t="s">
        <v>505</v>
      </c>
      <c r="C169" s="71"/>
      <c r="D169" s="71"/>
      <c r="E169" s="498">
        <f t="shared" ref="E169:K169" si="81">E150</f>
        <v>45.798000000000002</v>
      </c>
      <c r="F169" s="498">
        <f t="shared" si="81"/>
        <v>25.21</v>
      </c>
      <c r="G169" s="498">
        <f t="shared" si="81"/>
        <v>29.977</v>
      </c>
      <c r="H169" s="498">
        <f t="shared" si="81"/>
        <v>34.886000000000003</v>
      </c>
      <c r="I169" s="498">
        <f t="shared" si="81"/>
        <v>50.1</v>
      </c>
      <c r="J169" s="498">
        <f t="shared" si="81"/>
        <v>27.9</v>
      </c>
      <c r="K169" s="498">
        <f t="shared" si="81"/>
        <v>31.7</v>
      </c>
      <c r="L169" s="71"/>
      <c r="M169" s="624">
        <f t="shared" si="73"/>
        <v>0.18278986230293356</v>
      </c>
      <c r="N169" s="624">
        <f t="shared" si="74"/>
        <v>6.9734312545814164E-2</v>
      </c>
      <c r="O169" s="624">
        <f t="shared" si="75"/>
        <v>0.11723229020828609</v>
      </c>
      <c r="P169" s="624">
        <f t="shared" si="76"/>
        <v>0.12474299424664687</v>
      </c>
      <c r="Q169" s="624">
        <f t="shared" si="77"/>
        <v>0.12895752895752893</v>
      </c>
      <c r="R169" s="624">
        <f t="shared" si="78"/>
        <v>7.7029265599116492E-2</v>
      </c>
      <c r="S169" s="624">
        <f t="shared" si="80"/>
        <v>0.11531465987631861</v>
      </c>
    </row>
    <row r="170" spans="1:19" x14ac:dyDescent="0.2">
      <c r="A170" s="71"/>
      <c r="B170" s="71" t="s">
        <v>309</v>
      </c>
      <c r="C170" s="71"/>
      <c r="D170" s="71"/>
      <c r="E170" s="498">
        <f t="shared" ref="E170:K170" si="82">E151</f>
        <v>13.455</v>
      </c>
      <c r="F170" s="498">
        <f t="shared" si="82"/>
        <v>15.531000000000001</v>
      </c>
      <c r="G170" s="498">
        <f t="shared" si="82"/>
        <v>14.89</v>
      </c>
      <c r="H170" s="498">
        <f t="shared" si="82"/>
        <v>24.544</v>
      </c>
      <c r="I170" s="498">
        <f t="shared" si="82"/>
        <v>24.7</v>
      </c>
      <c r="J170" s="498">
        <f t="shared" si="82"/>
        <v>29.8</v>
      </c>
      <c r="K170" s="498">
        <f t="shared" si="82"/>
        <v>23.2</v>
      </c>
      <c r="L170" s="71"/>
      <c r="M170" s="624">
        <f t="shared" si="73"/>
        <v>5.3701855916982642E-2</v>
      </c>
      <c r="N170" s="624">
        <f t="shared" si="74"/>
        <v>4.2960872992821891E-2</v>
      </c>
      <c r="O170" s="624">
        <f t="shared" si="75"/>
        <v>5.8230937091816384E-2</v>
      </c>
      <c r="P170" s="624">
        <f t="shared" si="76"/>
        <v>8.7762771621558808E-2</v>
      </c>
      <c r="Q170" s="624">
        <f t="shared" si="77"/>
        <v>6.3577863577863561E-2</v>
      </c>
      <c r="R170" s="624">
        <f t="shared" si="78"/>
        <v>8.2274986195472105E-2</v>
      </c>
      <c r="S170" s="624">
        <f t="shared" si="80"/>
        <v>8.439432520916694E-2</v>
      </c>
    </row>
    <row r="171" spans="1:19" x14ac:dyDescent="0.2">
      <c r="A171" s="71"/>
      <c r="B171" s="71" t="s">
        <v>308</v>
      </c>
      <c r="C171" s="71"/>
      <c r="D171" s="71"/>
      <c r="E171" s="498">
        <f t="shared" ref="E171:K171" si="83">E152</f>
        <v>30.881</v>
      </c>
      <c r="F171" s="498">
        <f t="shared" si="83"/>
        <v>26.07</v>
      </c>
      <c r="G171" s="498">
        <f t="shared" si="83"/>
        <v>43.189</v>
      </c>
      <c r="H171" s="498">
        <f t="shared" si="83"/>
        <v>79.778999999999996</v>
      </c>
      <c r="I171" s="498">
        <f t="shared" si="83"/>
        <v>49.6</v>
      </c>
      <c r="J171" s="498">
        <f t="shared" si="83"/>
        <v>20.7</v>
      </c>
      <c r="K171" s="498">
        <f t="shared" si="83"/>
        <v>20.399999999999999</v>
      </c>
      <c r="L171" s="71"/>
      <c r="M171" s="624">
        <f t="shared" si="73"/>
        <v>0.12325284374376373</v>
      </c>
      <c r="N171" s="624">
        <f t="shared" si="74"/>
        <v>7.2113190324052973E-2</v>
      </c>
      <c r="O171" s="624">
        <f t="shared" si="75"/>
        <v>0.16890100349620268</v>
      </c>
      <c r="P171" s="624">
        <f t="shared" si="76"/>
        <v>0.28526834082449232</v>
      </c>
      <c r="Q171" s="624">
        <f t="shared" si="77"/>
        <v>0.12767052767052764</v>
      </c>
      <c r="R171" s="624">
        <f t="shared" si="78"/>
        <v>5.7150745444505789E-2</v>
      </c>
      <c r="S171" s="624">
        <f t="shared" si="80"/>
        <v>7.4208803201164034E-2</v>
      </c>
    </row>
    <row r="172" spans="1:19" x14ac:dyDescent="0.2">
      <c r="A172" s="71"/>
      <c r="B172" s="71" t="s">
        <v>435</v>
      </c>
      <c r="C172" s="71"/>
      <c r="D172" s="71"/>
      <c r="E172" s="498">
        <f t="shared" ref="E172:K172" si="84">E153</f>
        <v>12.173999999999999</v>
      </c>
      <c r="F172" s="498">
        <f t="shared" si="84"/>
        <v>25.085000000000001</v>
      </c>
      <c r="G172" s="498">
        <f t="shared" si="84"/>
        <v>26.239000000000001</v>
      </c>
      <c r="H172" s="498">
        <f t="shared" si="84"/>
        <v>6.1139999999999999</v>
      </c>
      <c r="I172" s="498">
        <f t="shared" si="84"/>
        <v>22.7</v>
      </c>
      <c r="J172" s="498">
        <f t="shared" si="84"/>
        <v>11.3</v>
      </c>
      <c r="K172" s="498">
        <f t="shared" si="84"/>
        <v>5.7</v>
      </c>
      <c r="L172" s="71"/>
      <c r="M172" s="624">
        <f t="shared" si="73"/>
        <v>4.8589103971263224E-2</v>
      </c>
      <c r="N172" s="624">
        <f t="shared" si="74"/>
        <v>6.9388545426884107E-2</v>
      </c>
      <c r="O172" s="624">
        <f t="shared" si="75"/>
        <v>0.10261393944608262</v>
      </c>
      <c r="P172" s="624">
        <f t="shared" si="76"/>
        <v>2.1862026796537259E-2</v>
      </c>
      <c r="Q172" s="624">
        <f t="shared" si="77"/>
        <v>5.8429858429858414E-2</v>
      </c>
      <c r="R172" s="624">
        <f t="shared" si="78"/>
        <v>3.1198233020430698E-2</v>
      </c>
      <c r="S172" s="624">
        <f t="shared" si="80"/>
        <v>2.0734812659148776E-2</v>
      </c>
    </row>
    <row r="173" spans="1:19" x14ac:dyDescent="0.2">
      <c r="A173" s="71"/>
      <c r="B173" s="71" t="s">
        <v>294</v>
      </c>
      <c r="C173" s="71"/>
      <c r="D173" s="71"/>
      <c r="E173" s="498">
        <f>E160-SUM(E167:E172)-E147</f>
        <v>62.105999999999938</v>
      </c>
      <c r="F173" s="498">
        <f t="shared" ref="F173:K173" si="85">F160-SUM(F167:F172)-F147</f>
        <v>94.243999999999886</v>
      </c>
      <c r="G173" s="498">
        <f t="shared" si="85"/>
        <v>46.366000000000014</v>
      </c>
      <c r="H173" s="498">
        <f t="shared" si="85"/>
        <v>47.905000000000001</v>
      </c>
      <c r="I173" s="498">
        <f t="shared" si="85"/>
        <v>23.000000000000142</v>
      </c>
      <c r="J173" s="498">
        <f t="shared" si="85"/>
        <v>32.000000000000057</v>
      </c>
      <c r="K173" s="498">
        <f t="shared" si="85"/>
        <v>22.700000000000159</v>
      </c>
      <c r="L173" s="71"/>
      <c r="M173" s="624">
        <f t="shared" si="73"/>
        <v>0.24787866693274771</v>
      </c>
      <c r="N173" s="624">
        <f t="shared" si="74"/>
        <v>0.26069181085155502</v>
      </c>
      <c r="O173" s="624">
        <f t="shared" si="75"/>
        <v>0.1813254284217031</v>
      </c>
      <c r="P173" s="624">
        <f t="shared" si="76"/>
        <v>0.17129545202618865</v>
      </c>
      <c r="Q173" s="624">
        <f t="shared" si="77"/>
        <v>5.9202059202059551E-2</v>
      </c>
      <c r="R173" s="624">
        <f t="shared" si="78"/>
        <v>8.8348978464936639E-2</v>
      </c>
      <c r="S173" s="624">
        <f t="shared" si="80"/>
        <v>8.2575481993452715E-2</v>
      </c>
    </row>
    <row r="174" spans="1:19" x14ac:dyDescent="0.2">
      <c r="A174" s="71"/>
      <c r="B174" s="71"/>
      <c r="C174" s="71"/>
      <c r="D174" s="71"/>
      <c r="E174" s="498"/>
      <c r="F174" s="498"/>
      <c r="G174" s="498"/>
      <c r="H174" s="498"/>
      <c r="I174" s="498"/>
      <c r="J174" s="498"/>
      <c r="K174" s="498"/>
      <c r="L174" s="71"/>
      <c r="M174" s="624"/>
      <c r="N174" s="624"/>
      <c r="O174" s="624"/>
      <c r="P174" s="624"/>
      <c r="Q174" s="624"/>
      <c r="R174" s="624"/>
      <c r="S174" s="624"/>
    </row>
    <row r="175" spans="1:19" ht="15" x14ac:dyDescent="0.2">
      <c r="A175" s="515"/>
      <c r="B175" s="516" t="s">
        <v>1027</v>
      </c>
      <c r="C175" s="517"/>
      <c r="D175" s="517"/>
      <c r="E175" s="518">
        <f t="shared" ref="E175:K175" si="86">SUM(E167:E174)</f>
        <v>250.54999999999998</v>
      </c>
      <c r="F175" s="518">
        <f t="shared" si="86"/>
        <v>361.51499999999987</v>
      </c>
      <c r="G175" s="518">
        <f t="shared" si="86"/>
        <v>255.70599999999999</v>
      </c>
      <c r="H175" s="518">
        <f t="shared" si="86"/>
        <v>279.66300000000001</v>
      </c>
      <c r="I175" s="518">
        <f t="shared" si="86"/>
        <v>388.50000000000011</v>
      </c>
      <c r="J175" s="518">
        <f t="shared" si="86"/>
        <v>362.20000000000005</v>
      </c>
      <c r="K175" s="518">
        <f t="shared" si="86"/>
        <v>274.90000000000009</v>
      </c>
      <c r="L175" s="604"/>
      <c r="M175" s="608">
        <f>SUM(M167:M174)</f>
        <v>0.99999999999999989</v>
      </c>
      <c r="N175" s="608">
        <f t="shared" ref="N175:S175" si="87">SUM(N167:N174)</f>
        <v>1</v>
      </c>
      <c r="O175" s="608">
        <f t="shared" si="87"/>
        <v>1</v>
      </c>
      <c r="P175" s="608">
        <f t="shared" si="87"/>
        <v>1</v>
      </c>
      <c r="Q175" s="608">
        <f t="shared" si="87"/>
        <v>1</v>
      </c>
      <c r="R175" s="608">
        <f t="shared" si="87"/>
        <v>1.0000000000000002</v>
      </c>
      <c r="S175" s="608">
        <f t="shared" si="87"/>
        <v>1.0000000000000002</v>
      </c>
    </row>
    <row r="176" spans="1:19" x14ac:dyDescent="0.2">
      <c r="A176" s="4"/>
      <c r="B176" s="4"/>
      <c r="C176" s="4"/>
      <c r="D176" s="4"/>
      <c r="E176" s="33"/>
      <c r="F176" s="33"/>
      <c r="G176" s="33"/>
      <c r="H176" s="33"/>
      <c r="I176" s="33"/>
      <c r="J176" s="226"/>
      <c r="K176" s="235"/>
      <c r="L176" s="33"/>
      <c r="M176" s="33"/>
      <c r="N176" s="33"/>
      <c r="O176" s="33"/>
      <c r="P176" s="33"/>
      <c r="Q176" s="4"/>
      <c r="R176" s="71"/>
      <c r="S176" s="71"/>
    </row>
    <row r="177" spans="1:19" x14ac:dyDescent="0.2">
      <c r="A177" s="4"/>
      <c r="B177" s="4"/>
      <c r="C177" s="4"/>
      <c r="D177" s="4"/>
      <c r="E177" s="33"/>
      <c r="F177" s="33"/>
      <c r="G177" s="33"/>
      <c r="H177" s="33"/>
      <c r="I177" s="33"/>
      <c r="J177" s="226"/>
      <c r="K177" s="235"/>
      <c r="L177" s="33"/>
      <c r="M177" s="33"/>
      <c r="N177" s="33"/>
      <c r="O177" s="33"/>
      <c r="P177" s="33"/>
      <c r="Q177" s="4"/>
      <c r="R177" s="71"/>
      <c r="S177" s="71"/>
    </row>
    <row r="178" spans="1:19" x14ac:dyDescent="0.2">
      <c r="A178" s="4"/>
      <c r="B178" s="4"/>
      <c r="C178" s="4"/>
      <c r="D178" s="4"/>
      <c r="E178" s="33"/>
      <c r="F178" s="33"/>
      <c r="G178" s="33"/>
      <c r="H178" s="33"/>
      <c r="I178" s="33"/>
      <c r="J178" s="226"/>
      <c r="K178" s="235"/>
      <c r="L178" s="33"/>
      <c r="M178" s="33"/>
      <c r="N178" s="33"/>
      <c r="O178" s="33"/>
      <c r="P178" s="33"/>
      <c r="Q178" s="4"/>
      <c r="R178" s="71"/>
      <c r="S178" s="71"/>
    </row>
    <row r="179" spans="1:19" x14ac:dyDescent="0.2">
      <c r="A179" s="4"/>
      <c r="B179" s="4"/>
      <c r="C179" s="4"/>
      <c r="D179" s="4"/>
      <c r="E179" s="33"/>
      <c r="F179" s="33"/>
      <c r="G179" s="33"/>
      <c r="H179" s="33"/>
      <c r="I179" s="33"/>
      <c r="J179" s="226"/>
      <c r="K179" s="235"/>
      <c r="L179" s="33"/>
      <c r="M179" s="33"/>
      <c r="N179" s="33"/>
      <c r="O179" s="33"/>
      <c r="P179" s="33"/>
      <c r="Q179" s="4"/>
      <c r="R179" s="71"/>
      <c r="S179" s="71"/>
    </row>
    <row r="180" spans="1:19" x14ac:dyDescent="0.2">
      <c r="A180" s="4"/>
      <c r="B180" s="4"/>
      <c r="C180" s="4"/>
      <c r="D180" s="4"/>
      <c r="E180" s="33"/>
      <c r="F180" s="33"/>
      <c r="G180" s="33"/>
      <c r="H180" s="33"/>
      <c r="I180" s="33"/>
      <c r="J180" s="226"/>
      <c r="K180" s="235"/>
      <c r="L180" s="33"/>
      <c r="M180" s="33"/>
      <c r="N180" s="33"/>
      <c r="O180" s="33"/>
      <c r="P180" s="33"/>
      <c r="Q180" s="4"/>
      <c r="R180" s="71"/>
      <c r="S180" s="71"/>
    </row>
    <row r="181" spans="1:19" x14ac:dyDescent="0.2">
      <c r="A181" s="4"/>
      <c r="B181" s="4"/>
      <c r="C181" s="4"/>
      <c r="D181" s="4"/>
      <c r="E181" s="33"/>
      <c r="F181" s="33"/>
      <c r="G181" s="33"/>
      <c r="H181" s="33"/>
      <c r="I181" s="33"/>
      <c r="J181" s="226"/>
      <c r="K181" s="235"/>
      <c r="L181" s="33"/>
      <c r="M181" s="33"/>
      <c r="N181" s="33"/>
      <c r="O181" s="33"/>
      <c r="P181" s="33"/>
      <c r="Q181" s="4"/>
      <c r="R181" s="71"/>
      <c r="S181" s="71"/>
    </row>
    <row r="182" spans="1:19" x14ac:dyDescent="0.2">
      <c r="A182" s="4"/>
      <c r="B182" s="4"/>
      <c r="C182" s="4"/>
      <c r="D182" s="4"/>
      <c r="E182" s="33"/>
      <c r="F182" s="33"/>
      <c r="G182" s="33"/>
      <c r="H182" s="33"/>
      <c r="I182" s="33"/>
      <c r="J182" s="226"/>
      <c r="K182" s="235"/>
      <c r="L182" s="33"/>
      <c r="M182" s="33"/>
      <c r="N182" s="33"/>
      <c r="O182" s="33"/>
      <c r="P182" s="33"/>
      <c r="Q182" s="4"/>
      <c r="R182" s="71"/>
      <c r="S182" s="71"/>
    </row>
    <row r="183" spans="1:19" x14ac:dyDescent="0.2">
      <c r="A183" s="4"/>
      <c r="B183" s="4"/>
      <c r="C183" s="4"/>
      <c r="D183" s="4"/>
      <c r="E183" s="33"/>
      <c r="F183" s="33"/>
      <c r="G183" s="33"/>
      <c r="H183" s="33"/>
      <c r="I183" s="33"/>
      <c r="J183" s="226"/>
      <c r="K183" s="235"/>
      <c r="L183" s="33"/>
      <c r="M183" s="33"/>
      <c r="N183" s="33"/>
      <c r="O183" s="33"/>
      <c r="P183" s="33"/>
      <c r="Q183" s="4"/>
      <c r="R183" s="71"/>
      <c r="S183" s="71"/>
    </row>
    <row r="184" spans="1:19" x14ac:dyDescent="0.2">
      <c r="A184" s="4"/>
      <c r="B184" s="4"/>
      <c r="C184" s="4"/>
      <c r="D184" s="4"/>
      <c r="E184" s="33"/>
      <c r="F184" s="33"/>
      <c r="G184" s="33"/>
      <c r="H184" s="33"/>
      <c r="I184" s="33"/>
      <c r="J184" s="226"/>
      <c r="K184" s="235"/>
      <c r="L184" s="33"/>
      <c r="M184" s="33"/>
      <c r="N184" s="33"/>
      <c r="O184" s="33"/>
      <c r="P184" s="33"/>
      <c r="Q184" s="4"/>
      <c r="R184" s="71"/>
      <c r="S184" s="71"/>
    </row>
    <row r="185" spans="1:19" x14ac:dyDescent="0.2">
      <c r="A185" s="4"/>
      <c r="B185" s="4"/>
      <c r="C185" s="4"/>
      <c r="D185" s="4"/>
      <c r="E185" s="33"/>
      <c r="F185" s="33"/>
      <c r="G185" s="33"/>
      <c r="H185" s="33"/>
      <c r="I185" s="33"/>
      <c r="J185" s="226"/>
      <c r="K185" s="235"/>
      <c r="L185" s="33"/>
      <c r="M185" s="33"/>
      <c r="N185" s="33"/>
      <c r="O185" s="33"/>
      <c r="P185" s="33"/>
      <c r="Q185" s="4"/>
      <c r="R185" s="71"/>
      <c r="S185" s="71"/>
    </row>
    <row r="186" spans="1:19" x14ac:dyDescent="0.2">
      <c r="A186" s="4"/>
      <c r="B186" s="4"/>
      <c r="C186" s="4"/>
      <c r="D186" s="4"/>
      <c r="E186" s="33"/>
      <c r="F186" s="33"/>
      <c r="G186" s="33"/>
      <c r="H186" s="33"/>
      <c r="I186" s="33"/>
      <c r="J186" s="226"/>
      <c r="K186" s="235"/>
      <c r="L186" s="33"/>
      <c r="M186" s="33"/>
      <c r="N186" s="33"/>
      <c r="O186" s="33"/>
      <c r="P186" s="33"/>
      <c r="Q186" s="4"/>
      <c r="R186" s="71"/>
      <c r="S186" s="71"/>
    </row>
    <row r="187" spans="1:19" x14ac:dyDescent="0.2">
      <c r="A187" s="4"/>
      <c r="B187" s="4"/>
      <c r="C187" s="4"/>
      <c r="D187" s="4"/>
      <c r="E187" s="33"/>
      <c r="F187" s="33"/>
      <c r="G187" s="33"/>
      <c r="H187" s="33"/>
      <c r="I187" s="33"/>
      <c r="J187" s="226"/>
      <c r="K187" s="235"/>
      <c r="L187" s="33"/>
      <c r="M187" s="33"/>
      <c r="N187" s="33"/>
      <c r="O187" s="33"/>
      <c r="P187" s="33"/>
      <c r="Q187" s="4"/>
      <c r="R187" s="71"/>
      <c r="S187" s="71"/>
    </row>
    <row r="188" spans="1:19" x14ac:dyDescent="0.2">
      <c r="A188" s="4"/>
      <c r="B188" s="4"/>
      <c r="C188" s="4"/>
      <c r="D188" s="4"/>
      <c r="E188" s="33"/>
      <c r="F188" s="33"/>
      <c r="G188" s="33"/>
      <c r="H188" s="33"/>
      <c r="I188" s="33"/>
      <c r="J188" s="226"/>
      <c r="K188" s="235"/>
      <c r="L188" s="33"/>
      <c r="M188" s="33"/>
      <c r="N188" s="33"/>
      <c r="O188" s="33"/>
      <c r="P188" s="33"/>
      <c r="Q188" s="4"/>
      <c r="R188" s="71"/>
      <c r="S188" s="71"/>
    </row>
    <row r="189" spans="1:19" x14ac:dyDescent="0.2">
      <c r="A189" s="4"/>
      <c r="B189" s="4"/>
      <c r="C189" s="4"/>
      <c r="D189" s="4"/>
      <c r="E189" s="33"/>
      <c r="F189" s="33"/>
      <c r="G189" s="33"/>
      <c r="H189" s="33"/>
      <c r="I189" s="33"/>
      <c r="J189" s="226"/>
      <c r="K189" s="235"/>
      <c r="L189" s="33"/>
      <c r="M189" s="33"/>
      <c r="N189" s="33"/>
      <c r="O189" s="33"/>
      <c r="P189" s="33"/>
      <c r="Q189" s="4"/>
      <c r="R189" s="71"/>
      <c r="S189" s="71"/>
    </row>
    <row r="190" spans="1:19" x14ac:dyDescent="0.2">
      <c r="A190" s="4"/>
      <c r="B190" s="4"/>
      <c r="C190" s="4"/>
      <c r="D190" s="4"/>
      <c r="E190" s="33"/>
      <c r="F190" s="33"/>
      <c r="G190" s="33"/>
      <c r="H190" s="33"/>
      <c r="I190" s="33"/>
      <c r="J190" s="226"/>
      <c r="K190" s="235"/>
      <c r="L190" s="33"/>
      <c r="M190" s="33"/>
      <c r="N190" s="33"/>
      <c r="O190" s="33"/>
      <c r="P190" s="33"/>
      <c r="Q190" s="4"/>
      <c r="R190" s="71"/>
      <c r="S190" s="71"/>
    </row>
    <row r="191" spans="1:19" x14ac:dyDescent="0.2">
      <c r="A191" s="4"/>
      <c r="B191" s="4"/>
      <c r="C191" s="4"/>
      <c r="D191" s="4"/>
      <c r="E191" s="33"/>
      <c r="F191" s="33"/>
      <c r="G191" s="33"/>
      <c r="H191" s="33"/>
      <c r="I191" s="33"/>
      <c r="J191" s="226"/>
      <c r="K191" s="235"/>
      <c r="L191" s="33"/>
      <c r="M191" s="33"/>
      <c r="N191" s="33"/>
      <c r="O191" s="33"/>
      <c r="P191" s="33"/>
      <c r="Q191" s="4"/>
      <c r="R191" s="71"/>
      <c r="S191" s="71"/>
    </row>
    <row r="192" spans="1:19" x14ac:dyDescent="0.2">
      <c r="A192" s="4"/>
      <c r="B192" s="4"/>
      <c r="C192" s="4"/>
      <c r="D192" s="4"/>
      <c r="E192" s="33"/>
      <c r="F192" s="33"/>
      <c r="G192" s="33"/>
      <c r="H192" s="33"/>
      <c r="I192" s="33"/>
      <c r="J192" s="226"/>
      <c r="K192" s="235"/>
      <c r="L192" s="33"/>
      <c r="M192" s="33"/>
      <c r="N192" s="33"/>
      <c r="O192" s="33"/>
      <c r="P192" s="33"/>
      <c r="Q192" s="4"/>
      <c r="R192" s="71"/>
      <c r="S192" s="71"/>
    </row>
    <row r="193" spans="1:19" x14ac:dyDescent="0.2">
      <c r="A193" s="4"/>
      <c r="B193" s="4"/>
      <c r="C193" s="4"/>
      <c r="D193" s="4"/>
      <c r="E193" s="33"/>
      <c r="F193" s="33"/>
      <c r="G193" s="33"/>
      <c r="H193" s="33"/>
      <c r="I193" s="33"/>
      <c r="J193" s="226"/>
      <c r="K193" s="235"/>
      <c r="L193" s="33"/>
      <c r="M193" s="33"/>
      <c r="N193" s="33"/>
      <c r="O193" s="33"/>
      <c r="P193" s="33"/>
      <c r="Q193" s="4"/>
      <c r="R193" s="71"/>
      <c r="S193" s="71"/>
    </row>
    <row r="194" spans="1:19" x14ac:dyDescent="0.2">
      <c r="A194" s="4"/>
      <c r="B194" s="4"/>
      <c r="C194" s="4"/>
      <c r="D194" s="4"/>
      <c r="E194" s="33"/>
      <c r="F194" s="33"/>
      <c r="G194" s="33"/>
      <c r="H194" s="33"/>
      <c r="I194" s="33"/>
      <c r="J194" s="226"/>
      <c r="K194" s="235"/>
      <c r="L194" s="33"/>
      <c r="M194" s="33"/>
      <c r="N194" s="33"/>
      <c r="O194" s="33"/>
      <c r="P194" s="33"/>
      <c r="Q194" s="4"/>
      <c r="R194" s="71"/>
      <c r="S194" s="71"/>
    </row>
    <row r="195" spans="1:19" x14ac:dyDescent="0.2">
      <c r="A195" s="4"/>
      <c r="B195" s="4"/>
      <c r="C195" s="4"/>
      <c r="D195" s="4"/>
      <c r="E195" s="33"/>
      <c r="F195" s="33"/>
      <c r="G195" s="33"/>
      <c r="H195" s="33"/>
      <c r="I195" s="33"/>
      <c r="J195" s="226"/>
      <c r="K195" s="235"/>
      <c r="L195" s="33"/>
      <c r="M195" s="33"/>
      <c r="N195" s="33"/>
      <c r="O195" s="33"/>
      <c r="P195" s="33"/>
      <c r="Q195" s="4"/>
      <c r="R195" s="71"/>
      <c r="S195" s="71"/>
    </row>
    <row r="196" spans="1:19" x14ac:dyDescent="0.2">
      <c r="A196" s="4"/>
      <c r="B196" s="4"/>
      <c r="C196" s="4"/>
      <c r="D196" s="4"/>
      <c r="E196" s="33"/>
      <c r="F196" s="33"/>
      <c r="G196" s="33"/>
      <c r="H196" s="33"/>
      <c r="I196" s="33"/>
      <c r="J196" s="226"/>
      <c r="K196" s="235"/>
      <c r="L196" s="33"/>
      <c r="M196" s="33"/>
      <c r="N196" s="33"/>
      <c r="O196" s="33"/>
      <c r="P196" s="33"/>
      <c r="Q196" s="4"/>
      <c r="R196" s="71"/>
      <c r="S196" s="71"/>
    </row>
    <row r="197" spans="1:19" x14ac:dyDescent="0.2">
      <c r="A197" s="4"/>
      <c r="B197" s="4"/>
      <c r="C197" s="4"/>
      <c r="D197" s="4"/>
      <c r="E197" s="33"/>
      <c r="F197" s="33"/>
      <c r="G197" s="33"/>
      <c r="H197" s="33"/>
      <c r="I197" s="33"/>
      <c r="J197" s="226"/>
      <c r="K197" s="235"/>
      <c r="L197" s="33"/>
      <c r="M197" s="33"/>
      <c r="N197" s="33"/>
      <c r="O197" s="33"/>
      <c r="P197" s="33"/>
      <c r="Q197" s="4"/>
      <c r="R197" s="71"/>
      <c r="S197" s="71"/>
    </row>
    <row r="198" spans="1:19" x14ac:dyDescent="0.2">
      <c r="A198" s="4"/>
      <c r="B198" s="4"/>
      <c r="C198" s="4"/>
      <c r="D198" s="4"/>
      <c r="E198" s="33"/>
      <c r="F198" s="33"/>
      <c r="G198" s="33"/>
      <c r="H198" s="33"/>
      <c r="I198" s="33"/>
      <c r="J198" s="226"/>
      <c r="K198" s="235"/>
      <c r="L198" s="33"/>
      <c r="M198" s="33"/>
      <c r="N198" s="33"/>
      <c r="O198" s="33"/>
      <c r="P198" s="33"/>
      <c r="Q198" s="4"/>
      <c r="R198" s="71"/>
      <c r="S198" s="71"/>
    </row>
    <row r="199" spans="1:19" x14ac:dyDescent="0.2">
      <c r="A199" s="4"/>
      <c r="B199" s="4"/>
      <c r="C199" s="4"/>
      <c r="D199" s="4"/>
      <c r="E199" s="33"/>
      <c r="F199" s="33"/>
      <c r="G199" s="33"/>
      <c r="H199" s="33"/>
      <c r="I199" s="33"/>
      <c r="J199" s="226"/>
      <c r="K199" s="235"/>
      <c r="L199" s="33"/>
      <c r="M199" s="33"/>
      <c r="N199" s="33"/>
      <c r="O199" s="33"/>
      <c r="P199" s="33"/>
      <c r="Q199" s="4"/>
      <c r="R199" s="71"/>
      <c r="S199" s="71"/>
    </row>
    <row r="200" spans="1:19" x14ac:dyDescent="0.2">
      <c r="A200" s="4"/>
      <c r="B200" s="4"/>
      <c r="C200" s="4"/>
      <c r="D200" s="4"/>
      <c r="E200" s="33"/>
      <c r="F200" s="33"/>
      <c r="G200" s="33"/>
      <c r="H200" s="33"/>
      <c r="I200" s="33"/>
      <c r="J200" s="226"/>
      <c r="K200" s="235"/>
      <c r="L200" s="33"/>
      <c r="M200" s="33"/>
      <c r="N200" s="33"/>
      <c r="O200" s="33"/>
      <c r="P200" s="33"/>
      <c r="Q200" s="4"/>
      <c r="R200" s="71"/>
      <c r="S200" s="71"/>
    </row>
    <row r="201" spans="1:19" x14ac:dyDescent="0.2">
      <c r="A201" s="4"/>
      <c r="B201" s="4"/>
      <c r="C201" s="4"/>
      <c r="D201" s="4"/>
      <c r="E201" s="33"/>
      <c r="F201" s="33"/>
      <c r="G201" s="33"/>
      <c r="H201" s="33"/>
      <c r="I201" s="33"/>
      <c r="J201" s="226"/>
      <c r="K201" s="235"/>
      <c r="L201" s="33"/>
      <c r="M201" s="33"/>
      <c r="N201" s="33"/>
      <c r="O201" s="33"/>
      <c r="P201" s="33"/>
      <c r="Q201" s="4"/>
      <c r="R201" s="71"/>
      <c r="S201" s="71"/>
    </row>
    <row r="202" spans="1:19" x14ac:dyDescent="0.2">
      <c r="A202" s="4"/>
      <c r="B202" s="4"/>
      <c r="C202" s="4"/>
      <c r="D202" s="4"/>
      <c r="E202" s="33"/>
      <c r="F202" s="33"/>
      <c r="G202" s="33"/>
      <c r="H202" s="33"/>
      <c r="I202" s="33"/>
      <c r="J202" s="226"/>
      <c r="K202" s="235"/>
      <c r="L202" s="33"/>
      <c r="M202" s="33"/>
      <c r="N202" s="33"/>
      <c r="O202" s="33"/>
      <c r="P202" s="33"/>
      <c r="Q202" s="4"/>
      <c r="R202" s="71"/>
      <c r="S202" s="71"/>
    </row>
    <row r="203" spans="1:19" x14ac:dyDescent="0.2">
      <c r="A203" s="4"/>
      <c r="B203" s="4"/>
      <c r="C203" s="4"/>
      <c r="D203" s="4"/>
      <c r="E203" s="33"/>
      <c r="F203" s="33"/>
      <c r="G203" s="33"/>
      <c r="H203" s="33"/>
      <c r="I203" s="33"/>
      <c r="J203" s="226"/>
      <c r="K203" s="235"/>
      <c r="L203" s="33"/>
      <c r="M203" s="33"/>
      <c r="N203" s="33"/>
      <c r="O203" s="33"/>
      <c r="P203" s="33"/>
      <c r="Q203" s="4"/>
      <c r="R203" s="71"/>
      <c r="S203" s="71"/>
    </row>
    <row r="204" spans="1:19" s="2" customFormat="1" ht="15.75" x14ac:dyDescent="0.25">
      <c r="A204" s="427" t="s">
        <v>92</v>
      </c>
      <c r="B204" s="11" t="s">
        <v>918</v>
      </c>
      <c r="C204" s="11"/>
      <c r="D204" s="11"/>
      <c r="E204" s="428"/>
      <c r="F204" s="428"/>
      <c r="G204" s="428"/>
      <c r="H204" s="428"/>
      <c r="I204" s="428"/>
      <c r="J204" s="429"/>
      <c r="K204" s="430"/>
      <c r="L204" s="11"/>
      <c r="M204" s="11"/>
      <c r="N204" s="11"/>
      <c r="O204" s="12"/>
      <c r="P204" s="12"/>
      <c r="Q204" s="12"/>
      <c r="R204" s="232"/>
      <c r="S204" s="232"/>
    </row>
    <row r="205" spans="1:19" ht="15" x14ac:dyDescent="0.2">
      <c r="A205" s="431"/>
      <c r="B205" s="21" t="s">
        <v>94</v>
      </c>
      <c r="C205" s="21"/>
      <c r="D205" s="21"/>
      <c r="E205" s="424"/>
      <c r="F205" s="424"/>
      <c r="G205" s="424"/>
      <c r="H205" s="424"/>
      <c r="I205" s="424"/>
      <c r="J205" s="425"/>
      <c r="K205" s="426"/>
      <c r="L205" s="21"/>
      <c r="M205" s="21"/>
      <c r="N205" s="21"/>
      <c r="O205" s="4"/>
      <c r="P205" s="4"/>
      <c r="Q205" s="4"/>
      <c r="R205" s="71"/>
      <c r="S205" s="71"/>
    </row>
    <row r="206" spans="1:19" ht="15" x14ac:dyDescent="0.2">
      <c r="A206" s="431"/>
      <c r="B206" s="21" t="s">
        <v>95</v>
      </c>
      <c r="C206" s="21"/>
      <c r="D206" s="21"/>
      <c r="E206" s="424"/>
      <c r="F206" s="424"/>
      <c r="G206" s="424"/>
      <c r="H206" s="424"/>
      <c r="I206" s="424"/>
      <c r="J206" s="425"/>
      <c r="K206" s="426"/>
      <c r="L206" s="21"/>
      <c r="M206" s="21"/>
      <c r="N206" s="21"/>
      <c r="O206" s="4"/>
      <c r="P206" s="4"/>
      <c r="Q206" s="4"/>
      <c r="R206" s="71"/>
      <c r="S206" s="71"/>
    </row>
    <row r="207" spans="1:19" ht="15" x14ac:dyDescent="0.2">
      <c r="A207" s="431"/>
      <c r="B207" s="21"/>
      <c r="C207" s="21"/>
      <c r="D207" s="21"/>
      <c r="E207" s="424"/>
      <c r="F207" s="424"/>
      <c r="G207" s="424"/>
      <c r="H207" s="424"/>
      <c r="I207" s="424"/>
      <c r="J207" s="425"/>
      <c r="K207" s="426"/>
      <c r="L207" s="21"/>
      <c r="M207" s="21"/>
      <c r="N207" s="21"/>
      <c r="O207" s="4"/>
      <c r="P207" s="4"/>
      <c r="Q207" s="4"/>
      <c r="R207" s="71"/>
      <c r="S207" s="71"/>
    </row>
    <row r="208" spans="1:19" ht="15" x14ac:dyDescent="0.2">
      <c r="A208" s="431"/>
      <c r="B208" s="21" t="s">
        <v>74</v>
      </c>
      <c r="C208" s="21" t="s">
        <v>97</v>
      </c>
      <c r="D208" s="21"/>
      <c r="E208" s="424"/>
      <c r="F208" s="424"/>
      <c r="G208" s="424"/>
      <c r="H208" s="424"/>
      <c r="I208" s="424"/>
      <c r="J208" s="425"/>
      <c r="K208" s="426"/>
      <c r="L208" s="21"/>
      <c r="M208" s="21"/>
      <c r="N208" s="21"/>
      <c r="O208" s="4"/>
      <c r="P208" s="4"/>
      <c r="Q208" s="4"/>
      <c r="R208" s="71"/>
      <c r="S208" s="71"/>
    </row>
    <row r="209" spans="1:19" ht="15" x14ac:dyDescent="0.2">
      <c r="A209" s="431"/>
      <c r="B209" s="21" t="s">
        <v>74</v>
      </c>
      <c r="C209" s="21" t="s">
        <v>96</v>
      </c>
      <c r="D209" s="21"/>
      <c r="E209" s="424"/>
      <c r="F209" s="424"/>
      <c r="G209" s="424"/>
      <c r="H209" s="424"/>
      <c r="I209" s="424"/>
      <c r="J209" s="425"/>
      <c r="K209" s="426"/>
      <c r="L209" s="21"/>
      <c r="M209" s="21"/>
      <c r="N209" s="21"/>
      <c r="O209" s="4"/>
      <c r="P209" s="4"/>
      <c r="Q209" s="4"/>
      <c r="R209" s="71"/>
      <c r="S209" s="71"/>
    </row>
    <row r="210" spans="1:19" ht="15" x14ac:dyDescent="0.2">
      <c r="A210" s="431"/>
      <c r="B210" s="21" t="s">
        <v>74</v>
      </c>
      <c r="C210" s="21" t="s">
        <v>98</v>
      </c>
      <c r="D210" s="21"/>
      <c r="E210" s="424"/>
      <c r="F210" s="424"/>
      <c r="G210" s="424"/>
      <c r="H210" s="424"/>
      <c r="I210" s="424"/>
      <c r="J210" s="425"/>
      <c r="K210" s="426"/>
      <c r="L210" s="21"/>
      <c r="M210" s="21"/>
      <c r="N210" s="21"/>
      <c r="O210" s="4"/>
      <c r="P210" s="4"/>
      <c r="Q210" s="4"/>
      <c r="R210" s="71"/>
      <c r="S210" s="71"/>
    </row>
    <row r="211" spans="1:19" ht="15" x14ac:dyDescent="0.2">
      <c r="A211" s="431"/>
      <c r="B211" s="21" t="s">
        <v>74</v>
      </c>
      <c r="C211" s="21" t="s">
        <v>99</v>
      </c>
      <c r="D211" s="21"/>
      <c r="E211" s="424"/>
      <c r="F211" s="424"/>
      <c r="G211" s="424"/>
      <c r="H211" s="424"/>
      <c r="I211" s="424"/>
      <c r="J211" s="425"/>
      <c r="K211" s="426"/>
      <c r="L211" s="21"/>
      <c r="M211" s="21"/>
      <c r="N211" s="21"/>
      <c r="O211" s="4"/>
      <c r="P211" s="4"/>
      <c r="Q211" s="4"/>
      <c r="R211" s="71"/>
      <c r="S211" s="71"/>
    </row>
    <row r="212" spans="1:19" ht="15" x14ac:dyDescent="0.2">
      <c r="A212" s="431"/>
      <c r="B212" s="21" t="s">
        <v>74</v>
      </c>
      <c r="C212" s="21" t="s">
        <v>100</v>
      </c>
      <c r="D212" s="21"/>
      <c r="E212" s="424"/>
      <c r="F212" s="424"/>
      <c r="G212" s="424"/>
      <c r="H212" s="424"/>
      <c r="I212" s="424"/>
      <c r="J212" s="425"/>
      <c r="K212" s="426"/>
      <c r="L212" s="21"/>
      <c r="M212" s="21"/>
      <c r="N212" s="21"/>
      <c r="O212" s="4"/>
      <c r="P212" s="4"/>
      <c r="Q212" s="4"/>
      <c r="R212" s="71"/>
      <c r="S212" s="71"/>
    </row>
    <row r="213" spans="1:19" ht="15" x14ac:dyDescent="0.2">
      <c r="A213" s="431"/>
      <c r="B213" s="432" t="s">
        <v>76</v>
      </c>
      <c r="C213" s="432" t="s">
        <v>101</v>
      </c>
      <c r="D213" s="432"/>
      <c r="E213" s="433"/>
      <c r="F213" s="433"/>
      <c r="G213" s="433"/>
      <c r="H213" s="433"/>
      <c r="I213" s="424"/>
      <c r="J213" s="425"/>
      <c r="K213" s="426"/>
      <c r="L213" s="21"/>
      <c r="M213" s="21"/>
      <c r="N213" s="21"/>
      <c r="O213" s="4"/>
      <c r="P213" s="4"/>
      <c r="Q213" s="4"/>
      <c r="R213" s="71"/>
      <c r="S213" s="71"/>
    </row>
    <row r="214" spans="1:19" ht="15" x14ac:dyDescent="0.2">
      <c r="A214" s="431"/>
      <c r="B214" s="21" t="s">
        <v>76</v>
      </c>
      <c r="C214" s="21" t="s">
        <v>102</v>
      </c>
      <c r="D214" s="21"/>
      <c r="E214" s="424"/>
      <c r="F214" s="424"/>
      <c r="G214" s="424"/>
      <c r="H214" s="424"/>
      <c r="I214" s="424"/>
      <c r="J214" s="425"/>
      <c r="K214" s="426"/>
      <c r="L214" s="21"/>
      <c r="M214" s="21"/>
      <c r="N214" s="21"/>
      <c r="O214" s="4"/>
      <c r="P214" s="4"/>
      <c r="Q214" s="4"/>
      <c r="R214" s="71"/>
      <c r="S214" s="71"/>
    </row>
    <row r="215" spans="1:19" ht="15" x14ac:dyDescent="0.2">
      <c r="A215" s="431"/>
      <c r="B215" s="21" t="s">
        <v>76</v>
      </c>
      <c r="C215" s="21" t="s">
        <v>103</v>
      </c>
      <c r="D215" s="21"/>
      <c r="E215" s="424"/>
      <c r="F215" s="424"/>
      <c r="G215" s="424"/>
      <c r="H215" s="424"/>
      <c r="I215" s="424"/>
      <c r="J215" s="425"/>
      <c r="K215" s="426"/>
      <c r="L215" s="21"/>
      <c r="M215" s="21"/>
      <c r="N215" s="21"/>
      <c r="O215" s="4"/>
      <c r="P215" s="4"/>
      <c r="Q215" s="4"/>
      <c r="R215" s="71"/>
      <c r="S215" s="71"/>
    </row>
    <row r="216" spans="1:19" ht="15" x14ac:dyDescent="0.2">
      <c r="A216" s="431"/>
      <c r="B216" s="21"/>
      <c r="C216" s="21"/>
      <c r="D216" s="21"/>
      <c r="E216" s="424"/>
      <c r="F216" s="424"/>
      <c r="G216" s="424"/>
      <c r="H216" s="424"/>
      <c r="I216" s="424"/>
      <c r="J216" s="425"/>
      <c r="K216" s="426"/>
      <c r="L216" s="21"/>
      <c r="M216" s="21"/>
      <c r="N216" s="21"/>
      <c r="O216" s="4"/>
      <c r="P216" s="4"/>
      <c r="Q216" s="4"/>
      <c r="R216" s="71"/>
      <c r="S216" s="71"/>
    </row>
    <row r="217" spans="1:19" ht="15.75" x14ac:dyDescent="0.25">
      <c r="A217" s="431" t="s">
        <v>93</v>
      </c>
      <c r="B217" s="11" t="s">
        <v>919</v>
      </c>
      <c r="C217" s="21"/>
      <c r="D217" s="21"/>
      <c r="E217" s="424"/>
      <c r="F217" s="424"/>
      <c r="G217" s="424"/>
      <c r="H217" s="424"/>
      <c r="I217" s="424"/>
      <c r="J217" s="425"/>
      <c r="K217" s="426"/>
      <c r="L217" s="21"/>
      <c r="M217" s="21"/>
      <c r="N217" s="21"/>
      <c r="O217" s="4"/>
      <c r="P217" s="4"/>
      <c r="Q217" s="4"/>
      <c r="R217" s="71"/>
      <c r="S217" s="71"/>
    </row>
    <row r="218" spans="1:19" ht="15" x14ac:dyDescent="0.2">
      <c r="A218" s="431"/>
      <c r="B218" s="21"/>
      <c r="C218" s="21"/>
      <c r="D218" s="21"/>
      <c r="E218" s="424"/>
      <c r="F218" s="424"/>
      <c r="G218" s="424"/>
      <c r="H218" s="424"/>
      <c r="I218" s="424"/>
      <c r="J218" s="425"/>
      <c r="K218" s="426"/>
      <c r="L218" s="21"/>
      <c r="M218" s="21"/>
      <c r="N218" s="21"/>
      <c r="O218" s="4"/>
      <c r="P218" s="4"/>
      <c r="Q218" s="4"/>
      <c r="R218" s="71"/>
      <c r="S218" s="71"/>
    </row>
    <row r="219" spans="1:19" ht="15" x14ac:dyDescent="0.2">
      <c r="A219" s="431"/>
      <c r="B219" s="21" t="s">
        <v>74</v>
      </c>
      <c r="C219" s="21" t="s">
        <v>63</v>
      </c>
      <c r="D219" s="21"/>
      <c r="E219" s="424"/>
      <c r="F219" s="424"/>
      <c r="G219" s="424"/>
      <c r="H219" s="424"/>
      <c r="I219" s="424"/>
      <c r="J219" s="425"/>
      <c r="K219" s="426"/>
      <c r="L219" s="21"/>
      <c r="M219" s="21"/>
      <c r="N219" s="21"/>
      <c r="O219" s="4"/>
      <c r="P219" s="4"/>
      <c r="Q219" s="4"/>
      <c r="R219" s="71"/>
      <c r="S219" s="71"/>
    </row>
    <row r="220" spans="1:19" ht="15" x14ac:dyDescent="0.2">
      <c r="A220" s="431"/>
      <c r="B220" s="21" t="s">
        <v>74</v>
      </c>
      <c r="C220" s="21" t="s">
        <v>64</v>
      </c>
      <c r="D220" s="21"/>
      <c r="E220" s="424"/>
      <c r="F220" s="424"/>
      <c r="G220" s="424"/>
      <c r="H220" s="424"/>
      <c r="I220" s="424"/>
      <c r="J220" s="425"/>
      <c r="K220" s="426"/>
      <c r="L220" s="21"/>
      <c r="M220" s="21"/>
      <c r="N220" s="21"/>
      <c r="O220" s="4"/>
      <c r="P220" s="4"/>
      <c r="Q220" s="4"/>
      <c r="R220" s="71"/>
      <c r="S220" s="71"/>
    </row>
    <row r="221" spans="1:19" ht="15" x14ac:dyDescent="0.2">
      <c r="A221" s="431"/>
      <c r="B221" s="21" t="s">
        <v>74</v>
      </c>
      <c r="C221" s="21" t="s">
        <v>65</v>
      </c>
      <c r="D221" s="21"/>
      <c r="E221" s="21"/>
      <c r="F221" s="21"/>
      <c r="G221" s="21"/>
      <c r="H221" s="21"/>
      <c r="I221" s="21"/>
      <c r="J221" s="339"/>
      <c r="K221" s="340"/>
      <c r="L221" s="21"/>
      <c r="M221" s="21"/>
      <c r="N221" s="21"/>
      <c r="O221" s="4"/>
      <c r="P221" s="4"/>
      <c r="Q221" s="4"/>
      <c r="R221" s="71"/>
      <c r="S221" s="71"/>
    </row>
    <row r="222" spans="1:19" ht="15" x14ac:dyDescent="0.2">
      <c r="A222" s="431"/>
      <c r="B222" s="21" t="s">
        <v>74</v>
      </c>
      <c r="C222" s="21" t="s">
        <v>66</v>
      </c>
      <c r="D222" s="21"/>
      <c r="E222" s="21"/>
      <c r="F222" s="21"/>
      <c r="G222" s="21"/>
      <c r="H222" s="21"/>
      <c r="I222" s="21"/>
      <c r="J222" s="339"/>
      <c r="K222" s="340"/>
      <c r="L222" s="21"/>
      <c r="M222" s="21"/>
      <c r="N222" s="21"/>
      <c r="O222" s="4"/>
      <c r="P222" s="4"/>
      <c r="Q222" s="4"/>
      <c r="R222" s="71"/>
      <c r="S222" s="71"/>
    </row>
    <row r="223" spans="1:19" ht="15" x14ac:dyDescent="0.2">
      <c r="A223" s="431"/>
      <c r="B223" s="21" t="s">
        <v>74</v>
      </c>
      <c r="C223" s="21" t="s">
        <v>104</v>
      </c>
      <c r="D223" s="21"/>
      <c r="E223" s="21"/>
      <c r="F223" s="21"/>
      <c r="G223" s="21"/>
      <c r="H223" s="21"/>
      <c r="I223" s="21"/>
      <c r="J223" s="339"/>
      <c r="K223" s="340"/>
      <c r="L223" s="21"/>
      <c r="M223" s="21"/>
      <c r="N223" s="21"/>
      <c r="O223" s="4"/>
      <c r="P223" s="4"/>
      <c r="Q223" s="4"/>
      <c r="R223" s="71"/>
      <c r="S223" s="71"/>
    </row>
    <row r="224" spans="1:19" ht="15" x14ac:dyDescent="0.2">
      <c r="A224" s="21"/>
      <c r="B224" s="21"/>
      <c r="C224" s="21"/>
      <c r="D224" s="21"/>
      <c r="E224" s="422"/>
      <c r="F224" s="422"/>
      <c r="G224" s="422"/>
      <c r="H224" s="422"/>
      <c r="I224" s="422"/>
      <c r="J224" s="434"/>
      <c r="K224" s="423"/>
      <c r="L224" s="422"/>
      <c r="M224" s="422"/>
      <c r="N224" s="422"/>
      <c r="O224" s="33"/>
      <c r="P224" s="33"/>
      <c r="Q224" s="4"/>
      <c r="R224" s="71"/>
      <c r="S224" s="71"/>
    </row>
    <row r="225" spans="1:19" ht="15.75" x14ac:dyDescent="0.25">
      <c r="A225" s="11" t="s">
        <v>107</v>
      </c>
      <c r="B225" s="11" t="s">
        <v>920</v>
      </c>
      <c r="C225" s="21"/>
      <c r="D225" s="21"/>
      <c r="E225" s="21"/>
      <c r="F225" s="21"/>
      <c r="G225" s="21"/>
      <c r="H225" s="21"/>
      <c r="I225" s="21"/>
      <c r="J225" s="339"/>
      <c r="K225" s="340"/>
      <c r="L225" s="21"/>
      <c r="M225" s="21"/>
      <c r="N225" s="21"/>
      <c r="O225" s="4"/>
      <c r="P225" s="4"/>
      <c r="Q225" s="4"/>
      <c r="R225" s="71"/>
      <c r="S225" s="71"/>
    </row>
    <row r="226" spans="1:19" ht="15" x14ac:dyDescent="0.25">
      <c r="A226" s="4"/>
      <c r="B226" s="12" t="s">
        <v>73</v>
      </c>
      <c r="C226" s="4"/>
      <c r="D226" s="4"/>
      <c r="E226" s="4"/>
      <c r="F226" s="4"/>
      <c r="G226" s="4"/>
      <c r="H226" s="4"/>
      <c r="I226" s="4"/>
      <c r="J226" s="38"/>
      <c r="K226" s="71"/>
      <c r="L226" s="4"/>
      <c r="M226" s="4"/>
      <c r="N226" s="4"/>
      <c r="O226" s="4"/>
      <c r="P226" s="4"/>
      <c r="Q226" s="4"/>
      <c r="R226" s="71"/>
      <c r="S226" s="71"/>
    </row>
    <row r="227" spans="1:19" x14ac:dyDescent="0.2">
      <c r="A227" s="4"/>
      <c r="B227" s="4" t="s">
        <v>2</v>
      </c>
      <c r="C227" s="4" t="s">
        <v>105</v>
      </c>
      <c r="D227" s="4"/>
      <c r="E227" s="4"/>
      <c r="F227" s="4"/>
      <c r="G227" s="4"/>
      <c r="H227" s="4"/>
      <c r="I227" s="4"/>
      <c r="J227" s="38"/>
      <c r="K227" s="71"/>
      <c r="L227" s="4"/>
      <c r="M227" s="4"/>
      <c r="N227" s="4"/>
      <c r="O227" s="4"/>
      <c r="P227" s="4"/>
      <c r="Q227" s="4"/>
      <c r="R227" s="71"/>
      <c r="S227" s="71"/>
    </row>
    <row r="228" spans="1:19" x14ac:dyDescent="0.2">
      <c r="A228" s="4"/>
      <c r="B228" s="4"/>
      <c r="C228" s="4"/>
      <c r="D228" s="4"/>
      <c r="E228" s="4"/>
      <c r="F228" s="4"/>
      <c r="G228" s="4"/>
      <c r="H228" s="4"/>
      <c r="I228" s="4"/>
      <c r="J228" s="38"/>
      <c r="K228" s="71"/>
      <c r="L228" s="4"/>
      <c r="M228" s="4"/>
      <c r="N228" s="4"/>
      <c r="O228" s="4"/>
      <c r="P228" s="4"/>
      <c r="Q228" s="4"/>
      <c r="R228" s="71"/>
      <c r="S228" s="71"/>
    </row>
    <row r="229" spans="1:19" ht="15" x14ac:dyDescent="0.25">
      <c r="A229" s="4"/>
      <c r="B229" s="12" t="s">
        <v>106</v>
      </c>
      <c r="C229" s="4"/>
      <c r="D229" s="4"/>
      <c r="E229" s="4"/>
      <c r="F229" s="4"/>
      <c r="G229" s="4"/>
      <c r="H229" s="4"/>
      <c r="I229" s="4"/>
      <c r="J229" s="38"/>
      <c r="K229" s="71"/>
      <c r="L229" s="4"/>
      <c r="M229" s="4"/>
      <c r="N229" s="4"/>
      <c r="O229" s="4"/>
      <c r="P229" s="4"/>
      <c r="Q229" s="4"/>
      <c r="R229" s="71"/>
      <c r="S229" s="71"/>
    </row>
    <row r="230" spans="1:19" x14ac:dyDescent="0.2">
      <c r="A230" s="4"/>
      <c r="B230" s="4" t="s">
        <v>15</v>
      </c>
      <c r="C230" s="4" t="s">
        <v>109</v>
      </c>
      <c r="D230" s="4"/>
      <c r="E230" s="4"/>
      <c r="F230" s="4"/>
      <c r="G230" s="4"/>
      <c r="H230" s="4"/>
      <c r="I230" s="4"/>
      <c r="J230" s="38"/>
      <c r="K230" s="71"/>
      <c r="L230" s="4"/>
      <c r="M230" s="4"/>
      <c r="N230" s="4"/>
      <c r="O230" s="4"/>
      <c r="P230" s="4"/>
      <c r="Q230" s="4"/>
      <c r="R230" s="71"/>
      <c r="S230" s="71"/>
    </row>
    <row r="231" spans="1:19" ht="22.5" customHeight="1" x14ac:dyDescent="0.2">
      <c r="A231" s="4"/>
      <c r="B231" s="4" t="s">
        <v>16</v>
      </c>
      <c r="C231" s="4" t="s">
        <v>108</v>
      </c>
      <c r="D231" s="4"/>
      <c r="E231" s="4"/>
      <c r="F231" s="4"/>
      <c r="G231" s="4"/>
      <c r="H231" s="4"/>
      <c r="I231" s="4"/>
      <c r="J231" s="38"/>
      <c r="K231" s="71"/>
      <c r="L231" s="4"/>
      <c r="M231" s="4"/>
      <c r="N231" s="4"/>
      <c r="O231" s="4"/>
      <c r="P231" s="4"/>
      <c r="Q231" s="4"/>
      <c r="R231" s="71"/>
      <c r="S231" s="71"/>
    </row>
    <row r="232" spans="1:19" x14ac:dyDescent="0.2">
      <c r="A232" s="4"/>
      <c r="B232" s="4"/>
      <c r="C232" s="4"/>
      <c r="D232" s="4"/>
      <c r="E232" s="4"/>
      <c r="F232" s="4"/>
      <c r="G232" s="4"/>
      <c r="H232" s="4"/>
      <c r="I232" s="4"/>
      <c r="J232" s="38"/>
      <c r="K232" s="71"/>
      <c r="L232" s="4"/>
      <c r="M232" s="4"/>
      <c r="N232" s="4"/>
      <c r="O232" s="4"/>
      <c r="P232" s="4"/>
      <c r="Q232" s="4"/>
      <c r="R232" s="71"/>
      <c r="S232" s="71"/>
    </row>
    <row r="233" spans="1:19" x14ac:dyDescent="0.2">
      <c r="A233" s="4"/>
      <c r="B233" s="4" t="s">
        <v>110</v>
      </c>
      <c r="C233" s="4"/>
      <c r="D233" s="4"/>
      <c r="E233" s="4"/>
      <c r="F233" s="4"/>
      <c r="G233" s="4"/>
      <c r="H233" s="4"/>
      <c r="I233" s="4"/>
      <c r="J233" s="38"/>
      <c r="K233" s="71"/>
      <c r="L233" s="4"/>
      <c r="M233" s="4"/>
      <c r="N233" s="4"/>
      <c r="O233" s="4"/>
      <c r="P233" s="4"/>
      <c r="Q233" s="4"/>
      <c r="R233" s="71"/>
      <c r="S233" s="71"/>
    </row>
    <row r="234" spans="1:19" x14ac:dyDescent="0.2">
      <c r="A234" s="4"/>
      <c r="B234" s="4"/>
      <c r="C234" s="4"/>
      <c r="D234" s="4"/>
      <c r="E234" s="4"/>
      <c r="F234" s="4"/>
      <c r="G234" s="4"/>
      <c r="H234" s="4"/>
      <c r="I234" s="4"/>
      <c r="J234" s="38"/>
      <c r="K234" s="71"/>
      <c r="L234" s="4"/>
      <c r="M234" s="4"/>
      <c r="N234" s="4"/>
      <c r="O234" s="4"/>
      <c r="P234" s="4"/>
      <c r="Q234" s="4"/>
      <c r="R234" s="71"/>
      <c r="S234" s="71"/>
    </row>
    <row r="235" spans="1:19" ht="18" x14ac:dyDescent="0.25">
      <c r="A235" s="4"/>
      <c r="B235" s="4" t="s">
        <v>25</v>
      </c>
      <c r="C235" s="4" t="s">
        <v>111</v>
      </c>
      <c r="D235" s="4"/>
      <c r="E235" s="227" t="s">
        <v>114</v>
      </c>
      <c r="F235" s="227"/>
      <c r="G235" s="227"/>
      <c r="H235" s="227"/>
      <c r="I235" s="4"/>
      <c r="J235" s="38"/>
      <c r="K235" s="71"/>
      <c r="L235" s="4"/>
      <c r="M235" s="4"/>
      <c r="N235" s="4"/>
      <c r="O235" s="4"/>
      <c r="P235" s="4"/>
      <c r="Q235" s="4"/>
      <c r="R235" s="71"/>
      <c r="S235" s="71"/>
    </row>
    <row r="236" spans="1:19" ht="15" x14ac:dyDescent="0.25">
      <c r="A236" s="4"/>
      <c r="B236" s="4"/>
      <c r="C236" s="4"/>
      <c r="D236" s="4"/>
      <c r="E236" s="39" t="s">
        <v>120</v>
      </c>
      <c r="F236" s="39"/>
      <c r="G236" s="39"/>
      <c r="H236" s="4"/>
      <c r="I236" s="4"/>
      <c r="J236" s="38"/>
      <c r="K236" s="71"/>
      <c r="L236" s="4"/>
      <c r="M236" s="4"/>
      <c r="N236" s="4"/>
      <c r="O236" s="4"/>
      <c r="P236" s="4"/>
      <c r="Q236" s="4"/>
      <c r="R236" s="71"/>
      <c r="S236" s="71"/>
    </row>
    <row r="237" spans="1:19" ht="15" x14ac:dyDescent="0.25">
      <c r="A237" s="4"/>
      <c r="B237" s="4"/>
      <c r="C237" s="4"/>
      <c r="D237" s="4"/>
      <c r="E237" s="39" t="s">
        <v>121</v>
      </c>
      <c r="F237" s="39"/>
      <c r="G237" s="39"/>
      <c r="H237" s="4"/>
      <c r="I237" s="4"/>
      <c r="J237" s="38"/>
      <c r="K237" s="71"/>
      <c r="L237" s="4"/>
      <c r="M237" s="4"/>
      <c r="N237" s="4"/>
      <c r="O237" s="4"/>
      <c r="P237" s="4"/>
      <c r="Q237" s="4"/>
      <c r="R237" s="71"/>
      <c r="S237" s="71"/>
    </row>
    <row r="238" spans="1:19" x14ac:dyDescent="0.2">
      <c r="A238" s="4"/>
      <c r="B238" s="4"/>
      <c r="C238" s="4" t="s">
        <v>112</v>
      </c>
      <c r="D238" s="4" t="s">
        <v>113</v>
      </c>
      <c r="E238" s="4"/>
      <c r="F238" s="4"/>
      <c r="G238" s="4"/>
      <c r="H238" s="4"/>
      <c r="I238" s="4"/>
      <c r="J238" s="38"/>
      <c r="K238" s="71"/>
      <c r="L238" s="4"/>
      <c r="M238" s="4"/>
      <c r="N238" s="4"/>
      <c r="O238" s="4"/>
      <c r="P238" s="4"/>
      <c r="Q238" s="4"/>
      <c r="R238" s="71"/>
      <c r="S238" s="71"/>
    </row>
    <row r="239" spans="1:19" x14ac:dyDescent="0.2">
      <c r="A239" s="4"/>
      <c r="B239" s="4"/>
      <c r="C239" s="4" t="s">
        <v>115</v>
      </c>
      <c r="D239" s="4"/>
      <c r="E239" s="4"/>
      <c r="F239" s="4"/>
      <c r="G239" s="4"/>
      <c r="H239" s="4"/>
      <c r="I239" s="4"/>
      <c r="J239" s="38"/>
      <c r="K239" s="71"/>
      <c r="L239" s="4"/>
      <c r="M239" s="4"/>
      <c r="N239" s="4"/>
      <c r="O239" s="4"/>
      <c r="P239" s="4"/>
      <c r="Q239" s="4"/>
      <c r="R239" s="71"/>
      <c r="S239" s="71"/>
    </row>
    <row r="240" spans="1:19" x14ac:dyDescent="0.2">
      <c r="A240" s="4"/>
      <c r="B240" s="4"/>
      <c r="C240" s="4"/>
      <c r="D240" s="4"/>
      <c r="E240" s="4"/>
      <c r="F240" s="4"/>
      <c r="G240" s="4"/>
      <c r="H240" s="4"/>
      <c r="I240" s="4"/>
      <c r="J240" s="38"/>
      <c r="K240" s="71"/>
      <c r="L240" s="4"/>
      <c r="M240" s="4"/>
      <c r="N240" s="4"/>
      <c r="O240" s="4"/>
      <c r="P240" s="4"/>
      <c r="Q240" s="4"/>
      <c r="R240" s="71"/>
      <c r="S240" s="71"/>
    </row>
    <row r="241" spans="1:19" x14ac:dyDescent="0.2">
      <c r="A241" s="4"/>
      <c r="B241" s="4" t="s">
        <v>26</v>
      </c>
      <c r="C241" s="4" t="s">
        <v>116</v>
      </c>
      <c r="D241" s="4"/>
      <c r="E241" s="4"/>
      <c r="F241" s="4"/>
      <c r="G241" s="4"/>
      <c r="H241" s="4"/>
      <c r="I241" s="4"/>
      <c r="J241" s="38"/>
      <c r="K241" s="71"/>
      <c r="L241" s="4"/>
      <c r="M241" s="4"/>
      <c r="N241" s="4"/>
      <c r="O241" s="4"/>
      <c r="P241" s="4"/>
      <c r="Q241" s="4"/>
      <c r="R241" s="71"/>
      <c r="S241" s="71"/>
    </row>
    <row r="242" spans="1:19" x14ac:dyDescent="0.2">
      <c r="A242" s="4"/>
      <c r="B242" s="4"/>
      <c r="C242" s="4"/>
      <c r="D242" s="4"/>
      <c r="E242" s="4"/>
      <c r="F242" s="4"/>
      <c r="G242" s="4"/>
      <c r="H242" s="4"/>
      <c r="I242" s="4"/>
      <c r="J242" s="38"/>
      <c r="K242" s="71"/>
      <c r="L242" s="4"/>
      <c r="M242" s="4"/>
      <c r="N242" s="4"/>
      <c r="O242" s="4"/>
      <c r="P242" s="4"/>
      <c r="Q242" s="4"/>
      <c r="R242" s="71"/>
      <c r="S242" s="71"/>
    </row>
    <row r="243" spans="1:19" x14ac:dyDescent="0.2">
      <c r="A243" s="4"/>
      <c r="B243" s="4"/>
      <c r="C243" s="4" t="s">
        <v>118</v>
      </c>
      <c r="D243" s="4"/>
      <c r="E243" s="4"/>
      <c r="F243" s="4"/>
      <c r="G243" s="4"/>
      <c r="H243" s="4"/>
      <c r="I243" s="4"/>
      <c r="J243" s="38"/>
      <c r="K243" s="71"/>
      <c r="L243" s="4"/>
      <c r="M243" s="4"/>
      <c r="N243" s="4"/>
      <c r="O243" s="4"/>
      <c r="P243" s="4"/>
      <c r="Q243" s="4"/>
      <c r="R243" s="71"/>
      <c r="S243" s="71"/>
    </row>
    <row r="244" spans="1:19" x14ac:dyDescent="0.2">
      <c r="A244" s="4"/>
      <c r="B244" s="4"/>
      <c r="C244" s="4" t="s">
        <v>117</v>
      </c>
      <c r="D244" s="4"/>
      <c r="E244" s="4"/>
      <c r="F244" s="4"/>
      <c r="G244" s="4"/>
      <c r="H244" s="4"/>
      <c r="I244" s="4"/>
      <c r="J244" s="38"/>
      <c r="K244" s="71"/>
      <c r="L244" s="4"/>
      <c r="M244" s="4"/>
      <c r="N244" s="4"/>
      <c r="O244" s="4"/>
      <c r="P244" s="4"/>
      <c r="Q244" s="4"/>
      <c r="R244" s="71"/>
      <c r="S244" s="71"/>
    </row>
    <row r="245" spans="1:19" x14ac:dyDescent="0.2">
      <c r="A245" s="4"/>
      <c r="B245" s="4"/>
      <c r="C245" s="4" t="s">
        <v>119</v>
      </c>
      <c r="D245" s="4"/>
      <c r="E245" s="4"/>
      <c r="F245" s="4"/>
      <c r="G245" s="4"/>
      <c r="H245" s="4"/>
      <c r="I245" s="4"/>
      <c r="J245" s="38"/>
      <c r="K245" s="71"/>
      <c r="L245" s="4"/>
      <c r="M245" s="4"/>
      <c r="N245" s="4"/>
      <c r="O245" s="4"/>
      <c r="P245" s="4"/>
      <c r="Q245" s="4"/>
      <c r="R245" s="71"/>
      <c r="S245" s="71"/>
    </row>
    <row r="246" spans="1:19" x14ac:dyDescent="0.2">
      <c r="A246" s="4"/>
      <c r="B246" s="4"/>
      <c r="C246" s="4"/>
      <c r="D246" s="4"/>
      <c r="E246" s="4"/>
      <c r="F246" s="4"/>
      <c r="G246" s="4"/>
      <c r="H246" s="4"/>
      <c r="I246" s="4"/>
      <c r="J246" s="38"/>
      <c r="K246" s="71"/>
      <c r="L246" s="4"/>
      <c r="M246" s="4"/>
      <c r="N246" s="4"/>
      <c r="O246" s="4"/>
      <c r="P246" s="4"/>
      <c r="Q246" s="4"/>
      <c r="R246" s="71"/>
      <c r="S246" s="71"/>
    </row>
    <row r="247" spans="1:19" x14ac:dyDescent="0.2">
      <c r="A247" s="4"/>
      <c r="B247" s="4"/>
      <c r="C247" s="4"/>
      <c r="D247" s="4"/>
      <c r="E247" s="4"/>
      <c r="F247" s="4"/>
      <c r="G247" s="4"/>
      <c r="H247" s="4"/>
      <c r="I247" s="4"/>
      <c r="J247" s="38"/>
      <c r="K247" s="71"/>
      <c r="L247" s="4"/>
      <c r="M247" s="4"/>
      <c r="N247" s="4"/>
      <c r="O247" s="4"/>
      <c r="P247" s="4"/>
      <c r="Q247" s="4"/>
      <c r="R247" s="71"/>
      <c r="S247" s="71"/>
    </row>
    <row r="248" spans="1:19" s="2" customFormat="1" ht="15" x14ac:dyDescent="0.25">
      <c r="A248" s="12" t="s">
        <v>122</v>
      </c>
      <c r="B248" s="12" t="s">
        <v>123</v>
      </c>
      <c r="C248" s="12"/>
      <c r="D248" s="12"/>
      <c r="E248" s="12"/>
      <c r="F248" s="12"/>
      <c r="G248" s="12"/>
      <c r="H248" s="12"/>
      <c r="I248" s="12"/>
      <c r="J248" s="94"/>
      <c r="K248" s="232"/>
      <c r="L248" s="12"/>
      <c r="M248" s="12"/>
      <c r="N248" s="12"/>
      <c r="O248" s="12"/>
      <c r="P248" s="12"/>
      <c r="Q248" s="12"/>
      <c r="R248" s="232"/>
      <c r="S248" s="232"/>
    </row>
    <row r="249" spans="1:19" x14ac:dyDescent="0.2">
      <c r="A249" s="4"/>
      <c r="B249" s="4"/>
      <c r="C249" s="4"/>
      <c r="D249" s="4"/>
      <c r="E249" s="4"/>
      <c r="F249" s="4"/>
      <c r="G249" s="4"/>
      <c r="H249" s="4"/>
      <c r="I249" s="4"/>
      <c r="J249" s="38"/>
      <c r="K249" s="71"/>
      <c r="L249" s="4"/>
      <c r="M249" s="4"/>
      <c r="N249" s="4"/>
      <c r="O249" s="4"/>
      <c r="P249" s="4"/>
      <c r="Q249" s="4"/>
      <c r="R249" s="71"/>
      <c r="S249" s="71"/>
    </row>
    <row r="250" spans="1:19" x14ac:dyDescent="0.2">
      <c r="A250" s="4"/>
      <c r="B250" s="4" t="s">
        <v>74</v>
      </c>
      <c r="C250" s="4" t="s">
        <v>124</v>
      </c>
      <c r="D250" s="4"/>
      <c r="E250" s="4"/>
      <c r="F250" s="4"/>
      <c r="G250" s="4"/>
      <c r="H250" s="4"/>
      <c r="I250" s="4"/>
      <c r="J250" s="38"/>
      <c r="K250" s="71"/>
      <c r="L250" s="4"/>
      <c r="M250" s="4"/>
      <c r="N250" s="4"/>
      <c r="O250" s="4"/>
      <c r="P250" s="4"/>
      <c r="Q250" s="4"/>
      <c r="R250" s="71"/>
      <c r="S250" s="71"/>
    </row>
    <row r="251" spans="1:19" x14ac:dyDescent="0.2">
      <c r="A251" s="4"/>
      <c r="B251" s="4" t="s">
        <v>74</v>
      </c>
      <c r="C251" s="4" t="s">
        <v>125</v>
      </c>
      <c r="D251" s="4"/>
      <c r="E251" s="4"/>
      <c r="F251" s="4"/>
      <c r="G251" s="4"/>
      <c r="H251" s="4"/>
      <c r="I251" s="4"/>
      <c r="J251" s="38"/>
      <c r="K251" s="71"/>
      <c r="L251" s="4"/>
      <c r="M251" s="4"/>
      <c r="N251" s="4"/>
      <c r="O251" s="4"/>
      <c r="P251" s="4"/>
      <c r="Q251" s="4"/>
      <c r="R251" s="71"/>
      <c r="S251" s="71"/>
    </row>
    <row r="252" spans="1:19" x14ac:dyDescent="0.2">
      <c r="A252" s="4"/>
      <c r="B252" s="4"/>
      <c r="C252" s="4"/>
      <c r="D252" s="4"/>
      <c r="E252" s="4"/>
      <c r="F252" s="4"/>
      <c r="G252" s="4"/>
      <c r="H252" s="4"/>
      <c r="I252" s="4"/>
      <c r="J252" s="38"/>
      <c r="K252" s="71"/>
      <c r="L252" s="4"/>
      <c r="M252" s="4"/>
      <c r="N252" s="4"/>
      <c r="O252" s="4"/>
      <c r="P252" s="4"/>
      <c r="Q252" s="4"/>
      <c r="R252" s="71"/>
      <c r="S252" s="71"/>
    </row>
    <row r="253" spans="1:19" x14ac:dyDescent="0.2">
      <c r="A253" s="4"/>
      <c r="B253" s="4"/>
      <c r="C253" s="4"/>
      <c r="D253" s="4"/>
      <c r="E253" s="4"/>
      <c r="F253" s="4"/>
      <c r="G253" s="4"/>
      <c r="H253" s="4"/>
      <c r="I253" s="4"/>
      <c r="J253" s="38"/>
      <c r="K253" s="71"/>
      <c r="L253" s="4"/>
      <c r="M253" s="4"/>
      <c r="N253" s="4"/>
      <c r="O253" s="4"/>
      <c r="P253" s="4"/>
      <c r="Q253" s="4"/>
      <c r="R253" s="71"/>
      <c r="S253" s="71"/>
    </row>
    <row r="254" spans="1:19" x14ac:dyDescent="0.2">
      <c r="A254" s="4"/>
      <c r="B254" s="4"/>
      <c r="C254" s="4"/>
      <c r="D254" s="4"/>
      <c r="E254" s="4"/>
      <c r="F254" s="4"/>
      <c r="G254" s="4"/>
      <c r="H254" s="4"/>
      <c r="I254" s="4"/>
      <c r="J254" s="38"/>
      <c r="K254" s="71"/>
      <c r="L254" s="4"/>
      <c r="M254" s="4"/>
      <c r="N254" s="4"/>
      <c r="O254" s="4"/>
      <c r="P254" s="4"/>
    </row>
    <row r="255" spans="1:19" x14ac:dyDescent="0.2">
      <c r="A255" s="4"/>
      <c r="B255" s="4"/>
      <c r="C255" s="4"/>
      <c r="D255" s="4"/>
      <c r="E255" s="4"/>
      <c r="F255" s="4"/>
      <c r="G255" s="4"/>
      <c r="H255" s="4"/>
      <c r="I255" s="4"/>
      <c r="J255" s="38"/>
      <c r="K255" s="71"/>
      <c r="L255" s="4"/>
      <c r="M255" s="4"/>
      <c r="N255" s="4"/>
      <c r="O255" s="4"/>
      <c r="P255" s="4"/>
    </row>
  </sheetData>
  <mergeCells count="27">
    <mergeCell ref="C77:D77"/>
    <mergeCell ref="C14:D14"/>
    <mergeCell ref="C17:D17"/>
    <mergeCell ref="C20:D20"/>
    <mergeCell ref="C42:D42"/>
    <mergeCell ref="C23:D23"/>
    <mergeCell ref="C24:D24"/>
    <mergeCell ref="C67:D67"/>
    <mergeCell ref="C66:D66"/>
    <mergeCell ref="C75:D75"/>
    <mergeCell ref="C76:D76"/>
    <mergeCell ref="C70:D70"/>
    <mergeCell ref="C71:D71"/>
    <mergeCell ref="C72:D72"/>
    <mergeCell ref="C73:D73"/>
    <mergeCell ref="C74:D74"/>
    <mergeCell ref="C43:D43"/>
    <mergeCell ref="C44:D44"/>
    <mergeCell ref="C46:D46"/>
    <mergeCell ref="C47:D47"/>
    <mergeCell ref="C65:D65"/>
    <mergeCell ref="C49:D49"/>
    <mergeCell ref="C52:D52"/>
    <mergeCell ref="C56:D56"/>
    <mergeCell ref="C57:D57"/>
    <mergeCell ref="C63:D63"/>
    <mergeCell ref="C64:D64"/>
  </mergeCells>
  <pageMargins left="0.31496062992125984" right="0.70866141732283472" top="0.43307086614173229" bottom="0.74803149606299213" header="0.31496062992125984" footer="0.31496062992125984"/>
  <pageSetup paperSize="9" scale="65" orientation="portrait" verticalDpi="180" r:id="rId1"/>
  <rowBreaks count="2" manualBreakCount="2">
    <brk id="81" max="18" man="1"/>
    <brk id="224" max="18" man="1"/>
  </rowBreaks>
  <drawing r:id="rId2"/>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U209"/>
  <sheetViews>
    <sheetView zoomScale="85" zoomScaleNormal="85" zoomScaleSheetLayoutView="100" workbookViewId="0">
      <pane xSplit="4" ySplit="8" topLeftCell="E9" activePane="bottomRight" state="frozen"/>
      <selection pane="topRight" activeCell="E1" sqref="E1"/>
      <selection pane="bottomLeft" activeCell="A9" sqref="A9"/>
      <selection pane="bottomRight" activeCell="M118" sqref="M118"/>
    </sheetView>
  </sheetViews>
  <sheetFormatPr defaultColWidth="9.140625" defaultRowHeight="14.25" outlineLevelRow="1" outlineLevelCol="1" x14ac:dyDescent="0.2"/>
  <cols>
    <col min="1" max="1" width="3.7109375" style="1" customWidth="1"/>
    <col min="2" max="2" width="7.140625" style="1" customWidth="1"/>
    <col min="3" max="3" width="6.42578125" style="1" customWidth="1"/>
    <col min="4" max="4" width="85.7109375" style="1" customWidth="1"/>
    <col min="5" max="5" width="10.85546875" style="1" customWidth="1"/>
    <col min="6" max="6" width="10.140625" style="1" customWidth="1"/>
    <col min="7" max="8" width="10.85546875" style="1" customWidth="1"/>
    <col min="9" max="10" width="10.85546875" style="65" customWidth="1"/>
    <col min="11" max="11" width="10.85546875" style="1" customWidth="1"/>
    <col min="12" max="12" width="3.140625" style="1" customWidth="1"/>
    <col min="13" max="13" width="13.42578125" style="1" customWidth="1"/>
    <col min="14" max="14" width="8.85546875" style="65" customWidth="1"/>
    <col min="15" max="15" width="7.85546875" style="64" customWidth="1"/>
    <col min="16" max="16" width="8.42578125" style="64" customWidth="1"/>
    <col min="17" max="21" width="9.7109375" style="65" customWidth="1"/>
    <col min="22" max="22" width="6.7109375" style="65" customWidth="1"/>
    <col min="23" max="23" width="7" style="1" customWidth="1"/>
    <col min="24" max="24" width="11.42578125" style="1" customWidth="1" outlineLevel="1"/>
    <col min="25" max="28" width="10.28515625" style="65" customWidth="1" outlineLevel="1"/>
    <col min="29" max="29" width="7.42578125" style="1" customWidth="1" outlineLevel="1"/>
    <col min="30" max="30" width="7.85546875" style="1" customWidth="1"/>
    <col min="31" max="35" width="9.7109375" style="65" customWidth="1"/>
    <col min="36" max="36" width="6.7109375" style="65" customWidth="1"/>
    <col min="37" max="37" width="7" style="1" customWidth="1"/>
    <col min="38" max="38" width="11.42578125" style="1" customWidth="1" outlineLevel="1"/>
    <col min="39" max="42" width="10.28515625" style="65" customWidth="1" outlineLevel="1"/>
    <col min="43" max="43" width="9.140625" style="1" customWidth="1" outlineLevel="1"/>
    <col min="44" max="50" width="9.140625" style="1" customWidth="1"/>
    <col min="51" max="16384" width="9.140625" style="1"/>
  </cols>
  <sheetData>
    <row r="1" spans="1:47" ht="16.5" customHeight="1" x14ac:dyDescent="0.25">
      <c r="A1" s="93"/>
      <c r="B1" s="336"/>
      <c r="C1" s="93"/>
      <c r="D1" s="327"/>
      <c r="E1" s="93"/>
      <c r="F1" s="93"/>
      <c r="G1" s="93"/>
      <c r="H1" s="93"/>
      <c r="I1" s="93"/>
      <c r="J1" s="230"/>
      <c r="K1" s="337"/>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4"/>
    </row>
    <row r="2" spans="1:47" ht="16.5" customHeight="1" x14ac:dyDescent="0.25">
      <c r="A2" s="93"/>
      <c r="B2" s="336"/>
      <c r="C2" s="93"/>
      <c r="D2" s="327" t="str">
        <f>МСФО_ввод!E2</f>
        <v>ОАО "Банк Москвы"</v>
      </c>
      <c r="E2" s="93"/>
      <c r="F2" s="93"/>
      <c r="G2" s="93"/>
      <c r="H2" s="93"/>
      <c r="I2" s="93"/>
      <c r="J2" s="230"/>
      <c r="K2" s="337"/>
      <c r="L2" s="93"/>
      <c r="M2" s="93"/>
      <c r="N2" s="93"/>
      <c r="O2" s="93"/>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4"/>
    </row>
    <row r="3" spans="1:47" ht="16.5" customHeight="1" x14ac:dyDescent="0.25">
      <c r="A3" s="93"/>
      <c r="B3" s="336"/>
      <c r="C3" s="93"/>
      <c r="D3" s="327" t="str">
        <f>МСФО_ввод!E3</f>
        <v>МСФО</v>
      </c>
      <c r="E3" s="93"/>
      <c r="F3" s="93"/>
      <c r="G3" s="93"/>
      <c r="H3" s="93"/>
      <c r="I3" s="93"/>
      <c r="J3" s="230"/>
      <c r="K3" s="337"/>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31"/>
      <c r="AM3" s="93"/>
      <c r="AN3" s="93"/>
      <c r="AO3" s="93"/>
      <c r="AP3" s="93"/>
      <c r="AQ3" s="31"/>
      <c r="AR3" s="31"/>
      <c r="AS3" s="31"/>
      <c r="AT3" s="31"/>
      <c r="AU3" s="4"/>
    </row>
    <row r="4" spans="1:47" ht="16.5" customHeight="1" x14ac:dyDescent="0.25">
      <c r="A4" s="93"/>
      <c r="B4" s="336"/>
      <c r="C4" s="93"/>
      <c r="D4" s="327" t="str">
        <f>МСФО_ввод!E4</f>
        <v>Консолидированная</v>
      </c>
      <c r="E4" s="93"/>
      <c r="F4" s="93"/>
      <c r="G4" s="93"/>
      <c r="H4" s="93"/>
      <c r="I4" s="93"/>
      <c r="J4" s="230"/>
      <c r="K4" s="337"/>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4"/>
    </row>
    <row r="5" spans="1:47" ht="16.5" customHeight="1" x14ac:dyDescent="0.25">
      <c r="A5" s="21"/>
      <c r="B5" s="338"/>
      <c r="C5" s="21"/>
      <c r="D5" s="338" t="s">
        <v>815</v>
      </c>
      <c r="E5" s="21"/>
      <c r="F5" s="21"/>
      <c r="G5" s="21"/>
      <c r="H5" s="21"/>
      <c r="I5" s="21"/>
      <c r="J5" s="339"/>
      <c r="K5" s="340"/>
      <c r="L5" s="21"/>
      <c r="M5" s="21"/>
      <c r="N5" s="21"/>
      <c r="O5" s="21"/>
      <c r="P5" s="21"/>
      <c r="Q5" s="338" t="s">
        <v>862</v>
      </c>
      <c r="R5" s="21"/>
      <c r="S5" s="21"/>
      <c r="T5" s="21"/>
      <c r="U5" s="21"/>
      <c r="V5" s="21"/>
      <c r="W5" s="4"/>
      <c r="X5" s="4"/>
      <c r="Y5" s="4"/>
      <c r="Z5" s="4"/>
      <c r="AA5" s="4"/>
      <c r="AB5" s="4"/>
      <c r="AC5" s="4"/>
      <c r="AD5" s="4"/>
      <c r="AE5" s="585" t="s">
        <v>867</v>
      </c>
      <c r="AF5" s="21"/>
      <c r="AG5" s="21"/>
      <c r="AH5" s="21"/>
      <c r="AI5" s="21"/>
      <c r="AJ5" s="21"/>
      <c r="AK5" s="4"/>
      <c r="AL5" s="4"/>
      <c r="AM5" s="4"/>
      <c r="AN5" s="4"/>
      <c r="AO5" s="4"/>
      <c r="AP5" s="4"/>
      <c r="AQ5" s="4"/>
      <c r="AR5" s="4"/>
      <c r="AS5" s="4"/>
      <c r="AT5" s="4"/>
      <c r="AU5" s="4"/>
    </row>
    <row r="6" spans="1:47" ht="16.5" customHeight="1" x14ac:dyDescent="0.25">
      <c r="A6" s="4"/>
      <c r="B6" s="95"/>
      <c r="C6" s="4"/>
      <c r="D6" s="95"/>
      <c r="E6" s="4"/>
      <c r="F6" s="4"/>
      <c r="G6" s="4"/>
      <c r="H6" s="4"/>
      <c r="I6" s="4"/>
      <c r="J6" s="38"/>
      <c r="K6" s="71"/>
      <c r="L6" s="4"/>
      <c r="M6" s="4"/>
      <c r="N6" s="21"/>
      <c r="O6" s="21"/>
      <c r="P6" s="21"/>
      <c r="Q6" s="21" t="s">
        <v>286</v>
      </c>
      <c r="R6" s="21"/>
      <c r="S6" s="21"/>
      <c r="T6" s="21"/>
      <c r="U6" s="21"/>
      <c r="V6" s="21"/>
      <c r="W6" s="4"/>
      <c r="X6" s="4"/>
      <c r="Y6" s="4"/>
      <c r="Z6" s="4"/>
      <c r="AA6" s="4"/>
      <c r="AB6" s="4"/>
      <c r="AC6" s="4"/>
      <c r="AD6" s="4"/>
      <c r="AE6" s="21" t="s">
        <v>868</v>
      </c>
      <c r="AF6" s="21"/>
      <c r="AG6" s="21"/>
      <c r="AH6" s="21"/>
      <c r="AI6" s="21"/>
      <c r="AJ6" s="21"/>
      <c r="AK6" s="4"/>
      <c r="AL6" s="4"/>
      <c r="AM6" s="4"/>
      <c r="AN6" s="4"/>
      <c r="AO6" s="4"/>
      <c r="AP6" s="4"/>
      <c r="AQ6" s="4"/>
      <c r="AR6" s="4"/>
      <c r="AS6" s="4"/>
      <c r="AT6" s="4"/>
      <c r="AU6" s="4"/>
    </row>
    <row r="7" spans="1:47" ht="15" x14ac:dyDescent="0.2">
      <c r="A7" s="4"/>
      <c r="B7" s="4"/>
      <c r="C7" s="4"/>
      <c r="D7" s="4" t="str">
        <f>МСФО_ввод!D7</f>
        <v>млрд руб.</v>
      </c>
      <c r="E7" s="4" t="s">
        <v>348</v>
      </c>
      <c r="F7" s="4"/>
      <c r="G7" s="4"/>
      <c r="H7" s="4"/>
      <c r="I7" s="4"/>
      <c r="J7" s="4"/>
      <c r="K7" s="4"/>
      <c r="L7" s="4"/>
      <c r="M7" s="4" t="s">
        <v>849</v>
      </c>
      <c r="N7" s="21"/>
      <c r="O7" s="21"/>
      <c r="P7" s="21"/>
      <c r="Q7" s="4" t="s">
        <v>348</v>
      </c>
      <c r="R7" s="4"/>
      <c r="S7" s="4"/>
      <c r="T7" s="4"/>
      <c r="U7" s="4"/>
      <c r="V7" s="4"/>
      <c r="W7" s="4"/>
      <c r="X7" s="4" t="s">
        <v>849</v>
      </c>
      <c r="Y7" s="4"/>
      <c r="Z7" s="4"/>
      <c r="AA7" s="4"/>
      <c r="AB7" s="4"/>
      <c r="AC7" s="4"/>
      <c r="AD7" s="4"/>
      <c r="AE7" s="4" t="s">
        <v>348</v>
      </c>
      <c r="AF7" s="4"/>
      <c r="AG7" s="4"/>
      <c r="AH7" s="4"/>
      <c r="AI7" s="4"/>
      <c r="AJ7" s="4"/>
      <c r="AK7" s="4"/>
      <c r="AL7" s="4" t="s">
        <v>849</v>
      </c>
      <c r="AM7" s="4"/>
      <c r="AN7" s="4"/>
      <c r="AO7" s="4"/>
      <c r="AP7" s="4"/>
      <c r="AQ7" s="4"/>
      <c r="AR7" s="4"/>
      <c r="AS7" s="4"/>
      <c r="AT7" s="4"/>
      <c r="AU7" s="4"/>
    </row>
    <row r="8" spans="1:47" ht="15" x14ac:dyDescent="0.2">
      <c r="A8" s="15"/>
      <c r="B8" s="15"/>
      <c r="C8" s="15"/>
      <c r="D8" s="15"/>
      <c r="E8" s="539">
        <f>МСФО_ввод!E7</f>
        <v>2009</v>
      </c>
      <c r="F8" s="539">
        <f>МСФО_ввод!F7</f>
        <v>2010</v>
      </c>
      <c r="G8" s="539">
        <f>МСФО_ввод!G7</f>
        <v>2011</v>
      </c>
      <c r="H8" s="539">
        <f>МСФО_ввод!H7</f>
        <v>2012</v>
      </c>
      <c r="I8" s="539">
        <f>МСФО_ввод!I7</f>
        <v>2013</v>
      </c>
      <c r="J8" s="539">
        <f>МСФО_ввод!J7</f>
        <v>2014</v>
      </c>
      <c r="K8" s="539">
        <f>МСФО_ввод!K7</f>
        <v>2015</v>
      </c>
      <c r="L8" s="540"/>
      <c r="M8" s="581">
        <f>K8</f>
        <v>2015</v>
      </c>
      <c r="N8" s="490"/>
      <c r="O8" s="490"/>
      <c r="P8" s="490"/>
      <c r="Q8" s="539">
        <v>2013</v>
      </c>
      <c r="R8" s="539">
        <v>2014</v>
      </c>
      <c r="S8" s="539">
        <v>2015</v>
      </c>
      <c r="T8" s="539">
        <v>2016</v>
      </c>
      <c r="U8" s="539">
        <v>2017</v>
      </c>
      <c r="V8" s="539"/>
      <c r="W8" s="539"/>
      <c r="X8" s="539">
        <f>Q8</f>
        <v>2013</v>
      </c>
      <c r="Y8" s="539">
        <f>R8</f>
        <v>2014</v>
      </c>
      <c r="Z8" s="539">
        <f>S8</f>
        <v>2015</v>
      </c>
      <c r="AA8" s="539">
        <f>T8</f>
        <v>2016</v>
      </c>
      <c r="AB8" s="539">
        <f>U8</f>
        <v>2017</v>
      </c>
      <c r="AC8" s="4"/>
      <c r="AD8" s="4"/>
      <c r="AE8" s="539">
        <v>2013</v>
      </c>
      <c r="AF8" s="539">
        <v>2014</v>
      </c>
      <c r="AG8" s="539">
        <v>2015</v>
      </c>
      <c r="AH8" s="539">
        <v>2016</v>
      </c>
      <c r="AI8" s="539">
        <v>2017</v>
      </c>
      <c r="AJ8" s="539"/>
      <c r="AK8" s="539"/>
      <c r="AL8" s="539">
        <f>AE8</f>
        <v>2013</v>
      </c>
      <c r="AM8" s="539">
        <f>AF8</f>
        <v>2014</v>
      </c>
      <c r="AN8" s="539">
        <f>AG8</f>
        <v>2015</v>
      </c>
      <c r="AO8" s="539">
        <f>AH8</f>
        <v>2016</v>
      </c>
      <c r="AP8" s="539">
        <f>AI8</f>
        <v>2017</v>
      </c>
      <c r="AQ8" s="4"/>
      <c r="AR8" s="4"/>
      <c r="AS8" s="4"/>
      <c r="AT8" s="4"/>
      <c r="AU8" s="4"/>
    </row>
    <row r="9" spans="1:47" ht="24.75" customHeight="1" x14ac:dyDescent="0.25">
      <c r="A9" s="508" t="s">
        <v>811</v>
      </c>
      <c r="B9" s="491"/>
      <c r="C9" s="509"/>
      <c r="D9" s="509"/>
      <c r="E9" s="510"/>
      <c r="F9" s="510"/>
      <c r="G9" s="510"/>
      <c r="H9" s="510"/>
      <c r="I9" s="511"/>
      <c r="J9" s="511"/>
      <c r="K9" s="510"/>
      <c r="L9" s="510"/>
      <c r="M9" s="645"/>
      <c r="N9" s="509"/>
      <c r="O9" s="66"/>
      <c r="P9" s="66"/>
      <c r="Q9" s="571"/>
      <c r="R9" s="571"/>
      <c r="S9" s="572"/>
      <c r="T9" s="572"/>
      <c r="U9" s="572"/>
      <c r="V9" s="12"/>
      <c r="W9" s="4"/>
      <c r="X9" s="509"/>
      <c r="Y9" s="509"/>
      <c r="Z9" s="509"/>
      <c r="AA9" s="509"/>
      <c r="AB9" s="509"/>
      <c r="AC9" s="4"/>
      <c r="AD9" s="4"/>
      <c r="AE9" s="571"/>
      <c r="AF9" s="571"/>
      <c r="AG9" s="572"/>
      <c r="AH9" s="572"/>
      <c r="AI9" s="572"/>
      <c r="AJ9" s="12"/>
      <c r="AK9" s="4"/>
      <c r="AL9" s="509"/>
      <c r="AM9" s="509"/>
      <c r="AN9" s="509"/>
      <c r="AO9" s="509"/>
      <c r="AP9" s="509"/>
      <c r="AQ9" s="4"/>
      <c r="AR9" s="12"/>
      <c r="AS9" s="4"/>
      <c r="AT9" s="4"/>
      <c r="AU9" s="4"/>
    </row>
    <row r="10" spans="1:47" ht="14.25" customHeight="1" x14ac:dyDescent="0.25">
      <c r="A10" s="494">
        <v>1</v>
      </c>
      <c r="B10" s="492" t="s">
        <v>35</v>
      </c>
      <c r="C10" s="4"/>
      <c r="D10" s="4"/>
      <c r="E10" s="497"/>
      <c r="F10" s="519">
        <f>МСФО_ввод!F56</f>
        <v>77.192999999999998</v>
      </c>
      <c r="G10" s="519">
        <f>МСФО_ввод!G56</f>
        <v>58.912999999999997</v>
      </c>
      <c r="H10" s="519">
        <f>МСФО_ввод!H56</f>
        <v>90.147999999999996</v>
      </c>
      <c r="I10" s="519">
        <f>МСФО_ввод!I56</f>
        <v>124.774</v>
      </c>
      <c r="J10" s="519">
        <f>МСФО_ввод!J56</f>
        <v>166.8</v>
      </c>
      <c r="K10" s="519">
        <f>МСФО_ввод!K56</f>
        <v>176.4</v>
      </c>
      <c r="L10" s="500"/>
      <c r="M10" s="646">
        <f t="shared" ref="M10:M41" si="0">K10/$K$127</f>
        <v>9.6968364345985755E-2</v>
      </c>
      <c r="N10" s="4"/>
      <c r="O10" s="66"/>
      <c r="P10" s="66"/>
      <c r="Q10" s="573">
        <v>3962.6</v>
      </c>
      <c r="R10" s="573">
        <v>4776.5</v>
      </c>
      <c r="S10" s="573">
        <v>5783.7999999999993</v>
      </c>
      <c r="T10" s="573">
        <v>5782</v>
      </c>
      <c r="U10" s="573">
        <v>5113.6000000000004</v>
      </c>
      <c r="V10" s="4"/>
      <c r="W10" s="4"/>
      <c r="X10" s="546">
        <f>Q10/Q$127</f>
        <v>7.4113905288092419E-2</v>
      </c>
      <c r="Y10" s="546">
        <f>R10/R$127</f>
        <v>7.0723096091758642E-2</v>
      </c>
      <c r="Z10" s="546">
        <f>S10/S$127</f>
        <v>7.2003769622297029E-2</v>
      </c>
      <c r="AA10" s="546">
        <f>T10/T$127</f>
        <v>7.091737549290765E-2</v>
      </c>
      <c r="AB10" s="546">
        <f>U10/U$127</f>
        <v>6.188734871117442E-2</v>
      </c>
      <c r="AC10" s="4"/>
      <c r="AD10" s="4"/>
      <c r="AE10" s="573">
        <v>430.48</v>
      </c>
      <c r="AF10" s="573">
        <v>429.42</v>
      </c>
      <c r="AG10" s="573">
        <v>438.21300000000002</v>
      </c>
      <c r="AH10" s="573">
        <f>ОФР!AX10</f>
        <v>705.39843599999995</v>
      </c>
      <c r="AI10" s="573">
        <v>524.43700000000001</v>
      </c>
      <c r="AJ10" s="4"/>
      <c r="AK10" s="4"/>
      <c r="AL10" s="546">
        <f>AE10/AE$127</f>
        <v>3.1816033439059123E-2</v>
      </c>
      <c r="AM10" s="546">
        <f>AF10/AF$127</f>
        <v>3.0511858054703852E-2</v>
      </c>
      <c r="AN10" s="546">
        <f>AG10/AG$127</f>
        <v>2.9842846525388163E-2</v>
      </c>
      <c r="AO10" s="546">
        <f>AH10/AH$127</f>
        <v>4.6225473405041517E-2</v>
      </c>
      <c r="AP10" s="546">
        <f>AI10/AI$127</f>
        <v>3.2934350688471843E-2</v>
      </c>
      <c r="AQ10" s="4"/>
      <c r="AR10" s="528"/>
      <c r="AS10" s="4"/>
      <c r="AT10" s="4"/>
      <c r="AU10" s="4"/>
    </row>
    <row r="11" spans="1:47" ht="15" outlineLevel="1" x14ac:dyDescent="0.25">
      <c r="A11" s="67"/>
      <c r="B11" s="489" t="s">
        <v>4</v>
      </c>
      <c r="C11" s="492" t="str">
        <f>МСФО_ввод!D489</f>
        <v>Кредиты и авансы клиентам</v>
      </c>
      <c r="D11" s="492"/>
      <c r="E11" s="497"/>
      <c r="F11" s="499">
        <f>МСФО_ввод!F489</f>
        <v>65.799000000000007</v>
      </c>
      <c r="G11" s="499">
        <f>МСФО_ввод!G489</f>
        <v>49.776000000000003</v>
      </c>
      <c r="H11" s="499">
        <f>МСФО_ввод!H489</f>
        <v>79.430000000000007</v>
      </c>
      <c r="I11" s="499">
        <f>МСФО_ввод!I489</f>
        <v>110.9</v>
      </c>
      <c r="J11" s="499">
        <f>МСФО_ввод!J489</f>
        <v>136.30000000000001</v>
      </c>
      <c r="K11" s="499">
        <f>МСФО_ввод!K489</f>
        <v>158.5</v>
      </c>
      <c r="L11" s="497"/>
      <c r="M11" s="647">
        <f t="shared" si="0"/>
        <v>8.7128604018360215E-2</v>
      </c>
      <c r="N11" s="4"/>
      <c r="O11" s="66"/>
      <c r="P11" s="66"/>
      <c r="Q11" s="574"/>
      <c r="R11" s="574"/>
      <c r="S11" s="574"/>
      <c r="T11" s="574"/>
      <c r="U11" s="574"/>
      <c r="V11" s="43"/>
      <c r="W11" s="4"/>
      <c r="X11" s="547"/>
      <c r="Y11" s="547"/>
      <c r="Z11" s="547"/>
      <c r="AA11" s="547"/>
      <c r="AB11" s="547"/>
      <c r="AC11" s="4"/>
      <c r="AD11" s="4"/>
      <c r="AE11" s="574"/>
      <c r="AF11" s="574"/>
      <c r="AG11" s="574"/>
      <c r="AH11" s="574"/>
      <c r="AI11" s="574"/>
      <c r="AJ11" s="43"/>
      <c r="AK11" s="4"/>
      <c r="AL11" s="547"/>
      <c r="AM11" s="547"/>
      <c r="AN11" s="547"/>
      <c r="AO11" s="547"/>
      <c r="AP11" s="547"/>
      <c r="AQ11" s="4"/>
      <c r="AR11" s="528"/>
      <c r="AS11" s="4"/>
      <c r="AT11" s="4"/>
      <c r="AU11" s="4"/>
    </row>
    <row r="12" spans="1:47" outlineLevel="1" x14ac:dyDescent="0.2">
      <c r="A12" s="67"/>
      <c r="B12" s="489" t="s">
        <v>5</v>
      </c>
      <c r="C12" s="492" t="str">
        <f>МСФО_ввод!D490</f>
        <v>Средства в банках</v>
      </c>
      <c r="D12" s="492"/>
      <c r="E12" s="499"/>
      <c r="F12" s="499">
        <f>МСФО_ввод!F490</f>
        <v>1.2929999999999999</v>
      </c>
      <c r="G12" s="499">
        <f>МСФО_ввод!G490</f>
        <v>3.26</v>
      </c>
      <c r="H12" s="499">
        <f>МСФО_ввод!H490</f>
        <v>7.0810000000000004</v>
      </c>
      <c r="I12" s="499">
        <f>МСФО_ввод!I490</f>
        <v>7.2</v>
      </c>
      <c r="J12" s="499">
        <f>МСФО_ввод!J490</f>
        <v>24.2</v>
      </c>
      <c r="K12" s="499">
        <f>МСФО_ввод!K490</f>
        <v>11.8</v>
      </c>
      <c r="L12" s="499"/>
      <c r="M12" s="647">
        <f t="shared" si="0"/>
        <v>6.486545914300635E-3</v>
      </c>
      <c r="N12" s="9"/>
      <c r="O12" s="66"/>
      <c r="P12" s="66"/>
      <c r="Q12" s="574"/>
      <c r="R12" s="574"/>
      <c r="S12" s="574"/>
      <c r="T12" s="574"/>
      <c r="U12" s="574"/>
      <c r="V12" s="241"/>
      <c r="W12" s="4"/>
      <c r="X12" s="547"/>
      <c r="Y12" s="547"/>
      <c r="Z12" s="547"/>
      <c r="AA12" s="547"/>
      <c r="AB12" s="547"/>
      <c r="AC12" s="4"/>
      <c r="AD12" s="4"/>
      <c r="AE12" s="574"/>
      <c r="AF12" s="574"/>
      <c r="AG12" s="574"/>
      <c r="AH12" s="574"/>
      <c r="AI12" s="574"/>
      <c r="AJ12" s="241"/>
      <c r="AK12" s="4"/>
      <c r="AL12" s="547"/>
      <c r="AM12" s="547"/>
      <c r="AN12" s="547"/>
      <c r="AO12" s="547"/>
      <c r="AP12" s="547"/>
      <c r="AQ12" s="4"/>
      <c r="AR12" s="4"/>
      <c r="AS12" s="4"/>
      <c r="AT12" s="4"/>
      <c r="AU12" s="4"/>
    </row>
    <row r="13" spans="1:47" outlineLevel="1" x14ac:dyDescent="0.2">
      <c r="A13" s="67"/>
      <c r="B13" s="489" t="s">
        <v>14</v>
      </c>
      <c r="C13" s="492" t="str">
        <f>МСФО_ввод!D491</f>
        <v>Финансовые активы, имеющиеся в наличии для продажи</v>
      </c>
      <c r="D13" s="492"/>
      <c r="E13" s="497"/>
      <c r="F13" s="499">
        <f>МСФО_ввод!F491</f>
        <v>0.112</v>
      </c>
      <c r="G13" s="499">
        <f>МСФО_ввод!G491</f>
        <v>7.9000000000000001E-2</v>
      </c>
      <c r="H13" s="499">
        <f>МСФО_ввод!H491</f>
        <v>1.046</v>
      </c>
      <c r="I13" s="499">
        <f>МСФО_ввод!I491</f>
        <v>2.2000000000000002</v>
      </c>
      <c r="J13" s="499">
        <f>МСФО_ввод!J491</f>
        <v>2</v>
      </c>
      <c r="K13" s="499">
        <f>МСФО_ввод!K491</f>
        <v>1.8</v>
      </c>
      <c r="L13" s="497"/>
      <c r="M13" s="647">
        <f t="shared" si="0"/>
        <v>9.8947310557128331E-4</v>
      </c>
      <c r="N13" s="9"/>
      <c r="O13" s="66"/>
      <c r="P13" s="66"/>
      <c r="Q13" s="574"/>
      <c r="R13" s="574"/>
      <c r="S13" s="574"/>
      <c r="T13" s="574"/>
      <c r="U13" s="574"/>
      <c r="V13" s="43"/>
      <c r="W13" s="4"/>
      <c r="X13" s="547"/>
      <c r="Y13" s="547"/>
      <c r="Z13" s="547"/>
      <c r="AA13" s="547"/>
      <c r="AB13" s="547"/>
      <c r="AC13" s="4"/>
      <c r="AD13" s="4"/>
      <c r="AE13" s="574"/>
      <c r="AF13" s="574"/>
      <c r="AG13" s="574"/>
      <c r="AH13" s="574"/>
      <c r="AI13" s="574"/>
      <c r="AJ13" s="43"/>
      <c r="AK13" s="4"/>
      <c r="AL13" s="547"/>
      <c r="AM13" s="547"/>
      <c r="AN13" s="547"/>
      <c r="AO13" s="547"/>
      <c r="AP13" s="547"/>
      <c r="AQ13" s="4"/>
      <c r="AR13" s="4"/>
      <c r="AS13" s="4"/>
      <c r="AT13" s="4"/>
      <c r="AU13" s="4"/>
    </row>
    <row r="14" spans="1:47" outlineLevel="1" x14ac:dyDescent="0.2">
      <c r="A14" s="4"/>
      <c r="B14" s="489" t="s">
        <v>540</v>
      </c>
      <c r="C14" s="492" t="str">
        <f>МСФО_ввод!D492</f>
        <v>Инвестиционные ценные бумаги, удерживаемые до погашения</v>
      </c>
      <c r="D14" s="492"/>
      <c r="E14" s="497"/>
      <c r="F14" s="499">
        <f>МСФО_ввод!F492</f>
        <v>2.7E-2</v>
      </c>
      <c r="G14" s="499">
        <f>МСФО_ввод!G492</f>
        <v>2.4E-2</v>
      </c>
      <c r="H14" s="499">
        <f>МСФО_ввод!H492</f>
        <v>7.0000000000000001E-3</v>
      </c>
      <c r="I14" s="499">
        <f>МСФО_ввод!I492</f>
        <v>0</v>
      </c>
      <c r="J14" s="499">
        <f>МСФО_ввод!J492</f>
        <v>0</v>
      </c>
      <c r="K14" s="499">
        <f>МСФО_ввод!K492</f>
        <v>1.8</v>
      </c>
      <c r="L14" s="497"/>
      <c r="M14" s="647">
        <f t="shared" si="0"/>
        <v>9.8947310557128331E-4</v>
      </c>
      <c r="N14" s="9"/>
      <c r="O14" s="66"/>
      <c r="P14" s="66"/>
      <c r="Q14" s="574"/>
      <c r="R14" s="574"/>
      <c r="S14" s="574"/>
      <c r="T14" s="574"/>
      <c r="U14" s="574"/>
      <c r="V14" s="43"/>
      <c r="W14" s="4"/>
      <c r="X14" s="547"/>
      <c r="Y14" s="547"/>
      <c r="Z14" s="547"/>
      <c r="AA14" s="547"/>
      <c r="AB14" s="547"/>
      <c r="AC14" s="4"/>
      <c r="AD14" s="4"/>
      <c r="AE14" s="574"/>
      <c r="AF14" s="574"/>
      <c r="AG14" s="574"/>
      <c r="AH14" s="574"/>
      <c r="AI14" s="574"/>
      <c r="AJ14" s="43"/>
      <c r="AK14" s="4"/>
      <c r="AL14" s="547"/>
      <c r="AM14" s="547"/>
      <c r="AN14" s="547"/>
      <c r="AO14" s="547"/>
      <c r="AP14" s="547"/>
      <c r="AQ14" s="4"/>
      <c r="AR14" s="4"/>
      <c r="AS14" s="4"/>
      <c r="AT14" s="4"/>
      <c r="AU14" s="4"/>
    </row>
    <row r="15" spans="1:47" outlineLevel="1" x14ac:dyDescent="0.2">
      <c r="A15" s="4"/>
      <c r="B15" s="489" t="s">
        <v>812</v>
      </c>
      <c r="C15" s="492" t="s">
        <v>813</v>
      </c>
      <c r="D15" s="492"/>
      <c r="E15" s="497"/>
      <c r="F15" s="499">
        <f>МСФО_ввод!F488</f>
        <v>9.9600000000000009</v>
      </c>
      <c r="G15" s="499">
        <f>МСФО_ввод!G488</f>
        <v>5.7720000000000002</v>
      </c>
      <c r="H15" s="499">
        <f>МСФО_ввод!H488</f>
        <v>2.5830000000000002</v>
      </c>
      <c r="I15" s="499">
        <f>МСФО_ввод!I488</f>
        <v>4.5</v>
      </c>
      <c r="J15" s="499">
        <f>МСФО_ввод!J488</f>
        <v>4.3</v>
      </c>
      <c r="K15" s="499">
        <f>МСФО_ввод!K488</f>
        <v>2.5</v>
      </c>
      <c r="L15" s="497"/>
      <c r="M15" s="647">
        <f t="shared" si="0"/>
        <v>1.3742682021823378E-3</v>
      </c>
      <c r="N15" s="9"/>
      <c r="O15" s="66"/>
      <c r="P15" s="66"/>
      <c r="Q15" s="574"/>
      <c r="R15" s="574"/>
      <c r="S15" s="574"/>
      <c r="T15" s="574"/>
      <c r="U15" s="574"/>
      <c r="V15" s="43"/>
      <c r="W15" s="4"/>
      <c r="X15" s="547"/>
      <c r="Y15" s="547"/>
      <c r="Z15" s="547"/>
      <c r="AA15" s="547"/>
      <c r="AB15" s="547"/>
      <c r="AC15" s="4"/>
      <c r="AD15" s="4"/>
      <c r="AE15" s="574"/>
      <c r="AF15" s="574"/>
      <c r="AG15" s="574"/>
      <c r="AH15" s="574"/>
      <c r="AI15" s="574"/>
      <c r="AJ15" s="43"/>
      <c r="AK15" s="4"/>
      <c r="AL15" s="547"/>
      <c r="AM15" s="547"/>
      <c r="AN15" s="547"/>
      <c r="AO15" s="547"/>
      <c r="AP15" s="547"/>
      <c r="AQ15" s="4"/>
      <c r="AR15" s="4"/>
      <c r="AS15" s="4"/>
      <c r="AT15" s="4"/>
      <c r="AU15" s="4"/>
    </row>
    <row r="16" spans="1:47" x14ac:dyDescent="0.2">
      <c r="A16" s="67">
        <v>2</v>
      </c>
      <c r="B16" s="489" t="s">
        <v>369</v>
      </c>
      <c r="C16" s="492"/>
      <c r="D16" s="492"/>
      <c r="E16" s="497"/>
      <c r="F16" s="519">
        <f>МСФО_ввод!F57</f>
        <v>-37.569000000000003</v>
      </c>
      <c r="G16" s="519">
        <f>МСФО_ввод!G57</f>
        <v>-35.094999999999999</v>
      </c>
      <c r="H16" s="519">
        <f>МСФО_ввод!H57</f>
        <v>-50.622999999999998</v>
      </c>
      <c r="I16" s="519">
        <f>МСФО_ввод!I57</f>
        <v>-64.599999999999994</v>
      </c>
      <c r="J16" s="519">
        <f>МСФО_ввод!J57</f>
        <v>-104.4</v>
      </c>
      <c r="K16" s="519">
        <f>МСФО_ввод!K57</f>
        <v>-130.4</v>
      </c>
      <c r="L16" s="497"/>
      <c r="M16" s="647">
        <f t="shared" si="0"/>
        <v>-7.1681829425830748E-2</v>
      </c>
      <c r="N16" s="9"/>
      <c r="O16" s="66"/>
      <c r="P16" s="66"/>
      <c r="Q16" s="573">
        <v>-1987.6</v>
      </c>
      <c r="R16" s="573">
        <v>-2565.5</v>
      </c>
      <c r="S16" s="573">
        <v>-4162.3999999999996</v>
      </c>
      <c r="T16" s="573">
        <v>-4158</v>
      </c>
      <c r="U16" s="573">
        <v>-3444.7</v>
      </c>
      <c r="V16" s="43"/>
      <c r="W16" s="4"/>
      <c r="X16" s="547">
        <f>Q16/Q$127</f>
        <v>-3.7174783765863952E-2</v>
      </c>
      <c r="Y16" s="547">
        <f>R16/R$127</f>
        <v>-3.798599456158417E-2</v>
      </c>
      <c r="Z16" s="547">
        <f>S16/S$127</f>
        <v>-5.1818612447845559E-2</v>
      </c>
      <c r="AA16" s="547">
        <f>T16/T$127</f>
        <v>-5.0998693756400898E-2</v>
      </c>
      <c r="AB16" s="547">
        <f>U16/U$127</f>
        <v>-4.1689484923612033E-2</v>
      </c>
      <c r="AC16" s="4"/>
      <c r="AD16" s="4"/>
      <c r="AE16" s="573">
        <v>-46.209000000000003</v>
      </c>
      <c r="AF16" s="573">
        <v>-40.832999999999998</v>
      </c>
      <c r="AG16" s="573">
        <v>-40.118000000000002</v>
      </c>
      <c r="AH16" s="573">
        <f>ОФР!AX16</f>
        <v>-158.730861</v>
      </c>
      <c r="AI16" s="573">
        <v>-66.858999999999995</v>
      </c>
      <c r="AJ16" s="43"/>
      <c r="AK16" s="4"/>
      <c r="AL16" s="547">
        <f>AE16/AE$127</f>
        <v>-3.4152273954318039E-3</v>
      </c>
      <c r="AM16" s="547">
        <f>AF16/AF$127</f>
        <v>-2.9013336592327377E-3</v>
      </c>
      <c r="AN16" s="547">
        <f>AG16/AG$127</f>
        <v>-2.7320853486900716E-3</v>
      </c>
      <c r="AO16" s="547">
        <f>AH16/AH$127</f>
        <v>-1.0401793963879503E-2</v>
      </c>
      <c r="AP16" s="547">
        <f>AI16/AI$127</f>
        <v>-4.1987078575320561E-3</v>
      </c>
      <c r="AQ16" s="4"/>
      <c r="AR16" s="4"/>
      <c r="AS16" s="4"/>
      <c r="AT16" s="4"/>
      <c r="AU16" s="4"/>
    </row>
    <row r="17" spans="1:47" outlineLevel="1" x14ac:dyDescent="0.2">
      <c r="A17" s="67"/>
      <c r="B17" s="493" t="s">
        <v>6</v>
      </c>
      <c r="C17" s="492" t="str">
        <f>МСФО_ввод!D496</f>
        <v>Средства клиентов</v>
      </c>
      <c r="D17" s="492"/>
      <c r="E17" s="499"/>
      <c r="F17" s="499">
        <f>МСФО_ввод!F496</f>
        <v>-25.428000000000001</v>
      </c>
      <c r="G17" s="499">
        <f>МСФО_ввод!G496</f>
        <v>-21.545000000000002</v>
      </c>
      <c r="H17" s="499">
        <f>МСФО_ввод!H496</f>
        <v>-18.283000000000001</v>
      </c>
      <c r="I17" s="499">
        <f>МСФО_ввод!I496</f>
        <v>-26.8</v>
      </c>
      <c r="J17" s="499">
        <f>МСФО_ввод!J496</f>
        <v>-36.1</v>
      </c>
      <c r="K17" s="499">
        <f>МСФО_ввод!K496</f>
        <v>-50.8</v>
      </c>
      <c r="L17" s="499"/>
      <c r="M17" s="647">
        <f t="shared" si="0"/>
        <v>-2.7925129868345104E-2</v>
      </c>
      <c r="N17" s="9"/>
      <c r="O17" s="66"/>
      <c r="P17" s="66"/>
      <c r="Q17" s="574"/>
      <c r="R17" s="574"/>
      <c r="S17" s="574"/>
      <c r="T17" s="574"/>
      <c r="U17" s="574"/>
      <c r="V17" s="241"/>
      <c r="W17" s="4"/>
      <c r="X17" s="547"/>
      <c r="Y17" s="547"/>
      <c r="Z17" s="547"/>
      <c r="AA17" s="547"/>
      <c r="AB17" s="547"/>
      <c r="AC17" s="4"/>
      <c r="AD17" s="4"/>
      <c r="AE17" s="574"/>
      <c r="AF17" s="574"/>
      <c r="AG17" s="574"/>
      <c r="AH17" s="574"/>
      <c r="AI17" s="574"/>
      <c r="AJ17" s="241"/>
      <c r="AK17" s="4"/>
      <c r="AL17" s="547"/>
      <c r="AM17" s="547"/>
      <c r="AN17" s="547"/>
      <c r="AO17" s="547"/>
      <c r="AP17" s="547"/>
      <c r="AQ17" s="4"/>
      <c r="AR17" s="4"/>
      <c r="AS17" s="4"/>
      <c r="AT17" s="4"/>
      <c r="AU17" s="4"/>
    </row>
    <row r="18" spans="1:47" outlineLevel="1" x14ac:dyDescent="0.2">
      <c r="A18" s="67"/>
      <c r="B18" s="489" t="s">
        <v>7</v>
      </c>
      <c r="C18" s="492" t="str">
        <f>МСФО_ввод!D497</f>
        <v>Средства, привлеченные от Банка России</v>
      </c>
      <c r="D18" s="492"/>
      <c r="E18" s="497"/>
      <c r="F18" s="499">
        <f>МСФО_ввод!F497</f>
        <v>-0.81200000000000006</v>
      </c>
      <c r="G18" s="499">
        <f>МСФО_ввод!G497</f>
        <v>-0.96299999999999997</v>
      </c>
      <c r="H18" s="499">
        <f>МСФО_ввод!H497</f>
        <v>-10.375999999999999</v>
      </c>
      <c r="I18" s="499">
        <f>МСФО_ввод!I497</f>
        <v>-15.3</v>
      </c>
      <c r="J18" s="499">
        <f>МСФО_ввод!J497</f>
        <v>-27.5</v>
      </c>
      <c r="K18" s="499">
        <f>МСФО_ввод!K497</f>
        <v>-43.2</v>
      </c>
      <c r="L18" s="497"/>
      <c r="M18" s="647">
        <f t="shared" si="0"/>
        <v>-2.37473545337108E-2</v>
      </c>
      <c r="N18" s="9"/>
      <c r="O18" s="66"/>
      <c r="P18" s="66"/>
      <c r="Q18" s="574"/>
      <c r="R18" s="574"/>
      <c r="S18" s="574"/>
      <c r="T18" s="574"/>
      <c r="U18" s="574"/>
      <c r="V18" s="43"/>
      <c r="W18" s="4"/>
      <c r="X18" s="547"/>
      <c r="Y18" s="547"/>
      <c r="Z18" s="547"/>
      <c r="AA18" s="547"/>
      <c r="AB18" s="547"/>
      <c r="AC18" s="4"/>
      <c r="AD18" s="4"/>
      <c r="AE18" s="574"/>
      <c r="AF18" s="574"/>
      <c r="AG18" s="574"/>
      <c r="AH18" s="574"/>
      <c r="AI18" s="574"/>
      <c r="AJ18" s="43"/>
      <c r="AK18" s="4"/>
      <c r="AL18" s="547"/>
      <c r="AM18" s="547"/>
      <c r="AN18" s="547"/>
      <c r="AO18" s="547"/>
      <c r="AP18" s="547"/>
      <c r="AQ18" s="4"/>
      <c r="AR18" s="4"/>
      <c r="AS18" s="4"/>
      <c r="AT18" s="4"/>
      <c r="AU18" s="4"/>
    </row>
    <row r="19" spans="1:47" outlineLevel="1" x14ac:dyDescent="0.2">
      <c r="A19" s="67"/>
      <c r="B19" s="493" t="s">
        <v>9</v>
      </c>
      <c r="C19" s="492" t="str">
        <f>МСФО_ввод!D498</f>
        <v>Средства банков</v>
      </c>
      <c r="D19" s="492"/>
      <c r="E19" s="497"/>
      <c r="F19" s="499">
        <f>МСФО_ввод!F498</f>
        <v>-3.2029999999999998</v>
      </c>
      <c r="G19" s="499">
        <f>МСФО_ввод!G498</f>
        <v>-2.3140000000000001</v>
      </c>
      <c r="H19" s="499">
        <f>МСФО_ввод!H498</f>
        <v>-2.379</v>
      </c>
      <c r="I19" s="499">
        <f>МСФО_ввод!I498</f>
        <v>-4.8</v>
      </c>
      <c r="J19" s="499">
        <f>МСФО_ввод!J498</f>
        <v>-19.399999999999999</v>
      </c>
      <c r="K19" s="499">
        <f>МСФО_ввод!K498</f>
        <v>-10.7</v>
      </c>
      <c r="L19" s="497"/>
      <c r="M19" s="647">
        <f t="shared" si="0"/>
        <v>-5.8818679053404058E-3</v>
      </c>
      <c r="N19" s="9"/>
      <c r="O19" s="66"/>
      <c r="P19" s="66"/>
      <c r="Q19" s="574"/>
      <c r="R19" s="574"/>
      <c r="S19" s="574"/>
      <c r="T19" s="574"/>
      <c r="U19" s="574"/>
      <c r="V19" s="43"/>
      <c r="W19" s="4"/>
      <c r="X19" s="547"/>
      <c r="Y19" s="547"/>
      <c r="Z19" s="547"/>
      <c r="AA19" s="547"/>
      <c r="AB19" s="547"/>
      <c r="AC19" s="4"/>
      <c r="AD19" s="4"/>
      <c r="AE19" s="574"/>
      <c r="AF19" s="574"/>
      <c r="AG19" s="574"/>
      <c r="AH19" s="574"/>
      <c r="AI19" s="574"/>
      <c r="AJ19" s="43"/>
      <c r="AK19" s="4"/>
      <c r="AL19" s="547"/>
      <c r="AM19" s="547"/>
      <c r="AN19" s="547"/>
      <c r="AO19" s="547"/>
      <c r="AP19" s="547"/>
      <c r="AQ19" s="4"/>
      <c r="AR19" s="4"/>
      <c r="AS19" s="4"/>
      <c r="AT19" s="4"/>
      <c r="AU19" s="4"/>
    </row>
    <row r="20" spans="1:47" outlineLevel="1" x14ac:dyDescent="0.2">
      <c r="A20" s="67"/>
      <c r="B20" s="489" t="s">
        <v>478</v>
      </c>
      <c r="C20" s="492" t="str">
        <f>МСФО_ввод!D499</f>
        <v>Субординированная задолженность</v>
      </c>
      <c r="D20" s="492"/>
      <c r="E20" s="497"/>
      <c r="F20" s="499">
        <f>МСФО_ввод!F499</f>
        <v>-2.427</v>
      </c>
      <c r="G20" s="499">
        <f>МСФО_ввод!G499</f>
        <v>-2.3769999999999998</v>
      </c>
      <c r="H20" s="499">
        <f>МСФО_ввод!H499</f>
        <v>-2.3660000000000001</v>
      </c>
      <c r="I20" s="499">
        <f>МСФО_ввод!I499</f>
        <v>-2.2999999999999998</v>
      </c>
      <c r="J20" s="499">
        <f>МСФО_ввод!J499</f>
        <v>-3</v>
      </c>
      <c r="K20" s="499">
        <f>МСФО_ввод!K499</f>
        <v>-9.5</v>
      </c>
      <c r="L20" s="497"/>
      <c r="M20" s="647">
        <f t="shared" si="0"/>
        <v>-5.2222191682928841E-3</v>
      </c>
      <c r="N20" s="9"/>
      <c r="O20" s="66"/>
      <c r="P20" s="66"/>
      <c r="Q20" s="574"/>
      <c r="R20" s="574"/>
      <c r="S20" s="574"/>
      <c r="T20" s="574"/>
      <c r="U20" s="574"/>
      <c r="V20" s="43"/>
      <c r="W20" s="4"/>
      <c r="X20" s="547"/>
      <c r="Y20" s="547"/>
      <c r="Z20" s="547"/>
      <c r="AA20" s="547"/>
      <c r="AB20" s="547"/>
      <c r="AC20" s="4"/>
      <c r="AD20" s="4"/>
      <c r="AE20" s="574"/>
      <c r="AF20" s="574"/>
      <c r="AG20" s="574"/>
      <c r="AH20" s="574"/>
      <c r="AI20" s="574"/>
      <c r="AJ20" s="43"/>
      <c r="AK20" s="4"/>
      <c r="AL20" s="547"/>
      <c r="AM20" s="547"/>
      <c r="AN20" s="547"/>
      <c r="AO20" s="547"/>
      <c r="AP20" s="547"/>
      <c r="AQ20" s="4"/>
      <c r="AR20" s="4"/>
      <c r="AS20" s="4"/>
      <c r="AT20" s="4"/>
      <c r="AU20" s="4"/>
    </row>
    <row r="21" spans="1:47" ht="15" outlineLevel="1" x14ac:dyDescent="0.25">
      <c r="A21" s="495"/>
      <c r="B21" s="493" t="s">
        <v>479</v>
      </c>
      <c r="C21" s="492" t="str">
        <f>МСФО_ввод!D500</f>
        <v>Средства, полученные от ГК "АСВ"</v>
      </c>
      <c r="D21" s="496"/>
      <c r="E21" s="500"/>
      <c r="F21" s="499">
        <f>МСФО_ввод!F500</f>
        <v>0</v>
      </c>
      <c r="G21" s="499">
        <f>МСФО_ввод!G500</f>
        <v>-3.0089999999999999</v>
      </c>
      <c r="H21" s="499">
        <f>МСФО_ввод!H500</f>
        <v>-12.707000000000001</v>
      </c>
      <c r="I21" s="499">
        <f>МСФО_ввод!I500</f>
        <v>-11.5</v>
      </c>
      <c r="J21" s="499">
        <f>МСФО_ввод!J500</f>
        <v>-12.9</v>
      </c>
      <c r="K21" s="499">
        <f>МСФО_ввод!K500</f>
        <v>-9.1999999999999993</v>
      </c>
      <c r="L21" s="500"/>
      <c r="M21" s="647">
        <f t="shared" si="0"/>
        <v>-5.0573069840310026E-3</v>
      </c>
      <c r="N21" s="17"/>
      <c r="O21" s="66"/>
      <c r="P21" s="66"/>
      <c r="Q21" s="574"/>
      <c r="R21" s="574"/>
      <c r="S21" s="574"/>
      <c r="T21" s="574"/>
      <c r="U21" s="574"/>
      <c r="V21" s="46"/>
      <c r="W21" s="4"/>
      <c r="X21" s="547"/>
      <c r="Y21" s="547"/>
      <c r="Z21" s="547"/>
      <c r="AA21" s="547"/>
      <c r="AB21" s="547"/>
      <c r="AC21" s="4"/>
      <c r="AD21" s="4"/>
      <c r="AE21" s="574"/>
      <c r="AF21" s="574"/>
      <c r="AG21" s="574"/>
      <c r="AH21" s="574"/>
      <c r="AI21" s="574"/>
      <c r="AJ21" s="46"/>
      <c r="AK21" s="4"/>
      <c r="AL21" s="547"/>
      <c r="AM21" s="547"/>
      <c r="AN21" s="547"/>
      <c r="AO21" s="547"/>
      <c r="AP21" s="547"/>
      <c r="AQ21" s="4"/>
      <c r="AR21" s="4"/>
      <c r="AS21" s="4"/>
      <c r="AT21" s="4"/>
      <c r="AU21" s="4"/>
    </row>
    <row r="22" spans="1:47" outlineLevel="1" x14ac:dyDescent="0.2">
      <c r="A22" s="67"/>
      <c r="B22" s="489" t="s">
        <v>814</v>
      </c>
      <c r="C22" s="492" t="str">
        <f>МСФО_ввод!D501</f>
        <v>Выпущенные долговые ценные бумаги</v>
      </c>
      <c r="D22" s="492"/>
      <c r="E22" s="497"/>
      <c r="F22" s="499">
        <f>МСФО_ввод!F501</f>
        <v>-5.6980000000000004</v>
      </c>
      <c r="G22" s="499">
        <f>МСФО_ввод!G501</f>
        <v>-4.8849999999999998</v>
      </c>
      <c r="H22" s="499">
        <f>МСФО_ввод!H501</f>
        <v>-4.5090000000000003</v>
      </c>
      <c r="I22" s="499">
        <f>МСФО_ввод!I501</f>
        <v>-3.9</v>
      </c>
      <c r="J22" s="499">
        <f>МСФО_ввод!J501</f>
        <v>-5.5</v>
      </c>
      <c r="K22" s="499">
        <f>МСФО_ввод!K501</f>
        <v>-7</v>
      </c>
      <c r="L22" s="497"/>
      <c r="M22" s="647">
        <f t="shared" si="0"/>
        <v>-3.8479509661105459E-3</v>
      </c>
      <c r="N22" s="9"/>
      <c r="O22" s="66"/>
      <c r="P22" s="66"/>
      <c r="Q22" s="574"/>
      <c r="R22" s="574"/>
      <c r="S22" s="574"/>
      <c r="T22" s="574"/>
      <c r="U22" s="574"/>
      <c r="V22" s="43"/>
      <c r="W22" s="4"/>
      <c r="X22" s="547"/>
      <c r="Y22" s="547"/>
      <c r="Z22" s="547"/>
      <c r="AA22" s="547"/>
      <c r="AB22" s="547"/>
      <c r="AC22" s="4"/>
      <c r="AD22" s="4"/>
      <c r="AE22" s="574"/>
      <c r="AF22" s="574"/>
      <c r="AG22" s="574"/>
      <c r="AH22" s="574"/>
      <c r="AI22" s="574"/>
      <c r="AJ22" s="43"/>
      <c r="AK22" s="4"/>
      <c r="AL22" s="547"/>
      <c r="AM22" s="547"/>
      <c r="AN22" s="547"/>
      <c r="AO22" s="547"/>
      <c r="AP22" s="547"/>
      <c r="AQ22" s="4"/>
      <c r="AR22" s="4"/>
      <c r="AS22" s="4"/>
      <c r="AT22" s="4"/>
      <c r="AU22" s="4"/>
    </row>
    <row r="23" spans="1:47" s="2" customFormat="1" ht="15" x14ac:dyDescent="0.25">
      <c r="A23" s="503"/>
      <c r="B23" s="504" t="s">
        <v>370</v>
      </c>
      <c r="C23" s="505"/>
      <c r="D23" s="505"/>
      <c r="E23" s="506"/>
      <c r="F23" s="506">
        <f t="shared" ref="F23:K23" si="1">F10+F16</f>
        <v>39.623999999999995</v>
      </c>
      <c r="G23" s="506">
        <f t="shared" si="1"/>
        <v>23.817999999999998</v>
      </c>
      <c r="H23" s="506">
        <f t="shared" si="1"/>
        <v>39.524999999999999</v>
      </c>
      <c r="I23" s="506">
        <f t="shared" si="1"/>
        <v>60.174000000000007</v>
      </c>
      <c r="J23" s="506">
        <f t="shared" si="1"/>
        <v>62.400000000000006</v>
      </c>
      <c r="K23" s="506">
        <f t="shared" si="1"/>
        <v>46</v>
      </c>
      <c r="L23" s="500"/>
      <c r="M23" s="648">
        <f t="shared" si="0"/>
        <v>2.5286534920155018E-2</v>
      </c>
      <c r="N23" s="17"/>
      <c r="O23" s="502"/>
      <c r="P23" s="502"/>
      <c r="Q23" s="575">
        <f>Q10+Q16</f>
        <v>1975</v>
      </c>
      <c r="R23" s="575">
        <f>R10+R16</f>
        <v>2211</v>
      </c>
      <c r="S23" s="575">
        <f>S10+S16</f>
        <v>1621.3999999999996</v>
      </c>
      <c r="T23" s="575">
        <f>T10+T16</f>
        <v>1624</v>
      </c>
      <c r="U23" s="575">
        <f>U10+U16</f>
        <v>1668.9000000000005</v>
      </c>
      <c r="V23" s="46"/>
      <c r="W23" s="12"/>
      <c r="X23" s="582">
        <f t="shared" ref="X23:AB26" si="2">Q23/Q$127</f>
        <v>3.6939121522228467E-2</v>
      </c>
      <c r="Y23" s="582">
        <f t="shared" si="2"/>
        <v>3.2737101530174471E-2</v>
      </c>
      <c r="Z23" s="582">
        <f t="shared" si="2"/>
        <v>2.0185157174451466E-2</v>
      </c>
      <c r="AA23" s="582">
        <f t="shared" si="2"/>
        <v>1.9918681736506749E-2</v>
      </c>
      <c r="AB23" s="582">
        <f t="shared" si="2"/>
        <v>2.0197863787562387E-2</v>
      </c>
      <c r="AC23" s="12"/>
      <c r="AD23" s="12"/>
      <c r="AE23" s="575">
        <f>AE10+AE16</f>
        <v>384.27100000000002</v>
      </c>
      <c r="AF23" s="575">
        <f>AF10+AF16</f>
        <v>388.58699999999999</v>
      </c>
      <c r="AG23" s="575">
        <f>AG10+AG16</f>
        <v>398.09500000000003</v>
      </c>
      <c r="AH23" s="575">
        <f>AH10+AH16</f>
        <v>546.66757499999994</v>
      </c>
      <c r="AI23" s="575">
        <f>AI10+AI16</f>
        <v>457.57800000000003</v>
      </c>
      <c r="AJ23" s="46"/>
      <c r="AK23" s="12"/>
      <c r="AL23" s="582">
        <f t="shared" ref="AL23:AP26" si="3">AE23/AE$127</f>
        <v>2.8400806043627318E-2</v>
      </c>
      <c r="AM23" s="582">
        <f t="shared" si="3"/>
        <v>2.7610524395471112E-2</v>
      </c>
      <c r="AN23" s="582">
        <f t="shared" si="3"/>
        <v>2.7110761176698091E-2</v>
      </c>
      <c r="AO23" s="582">
        <f t="shared" si="3"/>
        <v>3.5823679441162014E-2</v>
      </c>
      <c r="AP23" s="582">
        <f t="shared" si="3"/>
        <v>2.8735642830939791E-2</v>
      </c>
      <c r="AQ23" s="12"/>
      <c r="AR23" s="12"/>
      <c r="AS23" s="12"/>
      <c r="AT23" s="12"/>
      <c r="AU23" s="12"/>
    </row>
    <row r="24" spans="1:47" ht="25.5" customHeight="1" x14ac:dyDescent="0.2">
      <c r="A24" s="67">
        <v>3</v>
      </c>
      <c r="B24" s="494" t="s">
        <v>372</v>
      </c>
      <c r="C24" s="492"/>
      <c r="D24" s="492"/>
      <c r="E24" s="497"/>
      <c r="F24" s="519">
        <f>МСФО_ввод!F61</f>
        <v>7.1349999999999998</v>
      </c>
      <c r="G24" s="519">
        <f>МСФО_ввод!G61</f>
        <v>7.83</v>
      </c>
      <c r="H24" s="519">
        <f>МСФО_ввод!H61</f>
        <v>8.2249999999999996</v>
      </c>
      <c r="I24" s="519">
        <f>МСФО_ввод!I61</f>
        <v>10.4</v>
      </c>
      <c r="J24" s="519">
        <f>МСФО_ввод!J61</f>
        <v>14.6</v>
      </c>
      <c r="K24" s="519">
        <f>МСФО_ввод!K61</f>
        <v>17.5</v>
      </c>
      <c r="L24" s="497"/>
      <c r="M24" s="647">
        <f t="shared" si="0"/>
        <v>9.6198774152763643E-3</v>
      </c>
      <c r="N24" s="9"/>
      <c r="O24" s="66"/>
      <c r="P24" s="66"/>
      <c r="Q24" s="573">
        <v>806.4</v>
      </c>
      <c r="R24" s="573">
        <v>906.6</v>
      </c>
      <c r="S24" s="573">
        <v>974.7</v>
      </c>
      <c r="T24" s="573">
        <v>1132.9000000000001</v>
      </c>
      <c r="U24" s="573">
        <v>1181.4000000000001</v>
      </c>
      <c r="V24" s="43"/>
      <c r="W24" s="4"/>
      <c r="X24" s="547">
        <f t="shared" si="2"/>
        <v>1.5082383592670905E-2</v>
      </c>
      <c r="Y24" s="547">
        <f t="shared" si="2"/>
        <v>1.3423544209523372E-2</v>
      </c>
      <c r="Z24" s="547">
        <f t="shared" si="2"/>
        <v>1.2134249844540427E-2</v>
      </c>
      <c r="AA24" s="547">
        <f t="shared" si="2"/>
        <v>1.3895242942911636E-2</v>
      </c>
      <c r="AB24" s="547">
        <f t="shared" si="2"/>
        <v>1.4297894588427226E-2</v>
      </c>
      <c r="AC24" s="4"/>
      <c r="AD24" s="4"/>
      <c r="AE24" s="573">
        <v>231.89599999999999</v>
      </c>
      <c r="AF24" s="573">
        <v>227.84</v>
      </c>
      <c r="AG24" s="573">
        <v>233.53399999999999</v>
      </c>
      <c r="AH24" s="573">
        <f>ОФР!AX21</f>
        <v>91.828643</v>
      </c>
      <c r="AI24" s="573">
        <v>236.15299999999999</v>
      </c>
      <c r="AJ24" s="43"/>
      <c r="AK24" s="4"/>
      <c r="AL24" s="547">
        <f t="shared" si="3"/>
        <v>1.713903291763625E-2</v>
      </c>
      <c r="AM24" s="547">
        <f t="shared" si="3"/>
        <v>1.6188863441813903E-2</v>
      </c>
      <c r="AN24" s="547">
        <f t="shared" si="3"/>
        <v>1.59039538317211E-2</v>
      </c>
      <c r="AO24" s="547">
        <f t="shared" si="3"/>
        <v>6.0176239103790019E-3</v>
      </c>
      <c r="AP24" s="547">
        <f t="shared" si="3"/>
        <v>1.483027650248684E-2</v>
      </c>
      <c r="AQ24" s="4"/>
      <c r="AR24" s="4"/>
      <c r="AS24" s="4"/>
      <c r="AT24" s="4"/>
      <c r="AU24" s="4"/>
    </row>
    <row r="25" spans="1:47" ht="15" x14ac:dyDescent="0.25">
      <c r="A25" s="67">
        <v>4</v>
      </c>
      <c r="B25" s="494" t="s">
        <v>373</v>
      </c>
      <c r="C25" s="492"/>
      <c r="D25" s="492"/>
      <c r="E25" s="497"/>
      <c r="F25" s="519">
        <f>МСФО_ввод!F62</f>
        <v>-1.675</v>
      </c>
      <c r="G25" s="519">
        <f>МСФО_ввод!G62</f>
        <v>-1.9419999999999999</v>
      </c>
      <c r="H25" s="519">
        <f>МСФО_ввод!H62</f>
        <v>-1.9179999999999999</v>
      </c>
      <c r="I25" s="519">
        <f>МСФО_ввод!I62</f>
        <v>-2.1</v>
      </c>
      <c r="J25" s="519">
        <f>МСФО_ввод!J62</f>
        <v>-2.5</v>
      </c>
      <c r="K25" s="519">
        <f>МСФО_ввод!K62</f>
        <v>-2.7</v>
      </c>
      <c r="L25" s="500"/>
      <c r="M25" s="647">
        <f t="shared" si="0"/>
        <v>-1.484209658356925E-3</v>
      </c>
      <c r="N25" s="17"/>
      <c r="O25" s="66"/>
      <c r="P25" s="66"/>
      <c r="Q25" s="573">
        <v>-152.19999999999999</v>
      </c>
      <c r="R25" s="573">
        <v>-181.4</v>
      </c>
      <c r="S25" s="573">
        <v>-202.3</v>
      </c>
      <c r="T25" s="573">
        <v>-280.2</v>
      </c>
      <c r="U25" s="573">
        <v>-295.8</v>
      </c>
      <c r="V25" s="46"/>
      <c r="W25" s="4"/>
      <c r="X25" s="547">
        <f t="shared" si="2"/>
        <v>-2.8466502762952771E-3</v>
      </c>
      <c r="Y25" s="547">
        <f t="shared" si="2"/>
        <v>-2.6858933593729758E-3</v>
      </c>
      <c r="Z25" s="547">
        <f t="shared" si="2"/>
        <v>-2.518476191187574E-3</v>
      </c>
      <c r="AA25" s="547">
        <f t="shared" si="2"/>
        <v>-3.4367085114342306E-3</v>
      </c>
      <c r="AB25" s="547">
        <f t="shared" si="2"/>
        <v>-3.5799197725213928E-3</v>
      </c>
      <c r="AC25" s="4"/>
      <c r="AD25" s="4"/>
      <c r="AE25" s="573">
        <v>-166.565</v>
      </c>
      <c r="AF25" s="573">
        <v>-170.434</v>
      </c>
      <c r="AG25" s="573">
        <v>-160.71199999999999</v>
      </c>
      <c r="AH25" s="573">
        <f>ОФР!AX22</f>
        <v>0</v>
      </c>
      <c r="AI25" s="573">
        <v>-166.57</v>
      </c>
      <c r="AJ25" s="46"/>
      <c r="AK25" s="4"/>
      <c r="AL25" s="547">
        <f t="shared" si="3"/>
        <v>-1.2310531522432824E-2</v>
      </c>
      <c r="AM25" s="547">
        <f t="shared" si="3"/>
        <v>-1.2109957653801398E-2</v>
      </c>
      <c r="AN25" s="547">
        <f t="shared" si="3"/>
        <v>-1.0944685691177992E-2</v>
      </c>
      <c r="AO25" s="547">
        <f t="shared" si="3"/>
        <v>0</v>
      </c>
      <c r="AP25" s="547">
        <f t="shared" si="3"/>
        <v>-1.0460502966378717E-2</v>
      </c>
      <c r="AQ25" s="4"/>
      <c r="AR25" s="4"/>
      <c r="AS25" s="4"/>
      <c r="AT25" s="4"/>
      <c r="AU25" s="4"/>
    </row>
    <row r="26" spans="1:47" ht="15" x14ac:dyDescent="0.25">
      <c r="A26" s="67">
        <v>5</v>
      </c>
      <c r="B26" s="494" t="s">
        <v>598</v>
      </c>
      <c r="C26" s="492"/>
      <c r="D26" s="492"/>
      <c r="E26" s="497"/>
      <c r="F26" s="519">
        <f t="shared" ref="F26:K26" si="4">SUM(F27:F28)</f>
        <v>-17.850999999999999</v>
      </c>
      <c r="G26" s="519">
        <f t="shared" si="4"/>
        <v>-19.011000000000003</v>
      </c>
      <c r="H26" s="519">
        <f t="shared" si="4"/>
        <v>-23.905999999999999</v>
      </c>
      <c r="I26" s="519">
        <f t="shared" si="4"/>
        <v>-30.5</v>
      </c>
      <c r="J26" s="519">
        <f t="shared" si="4"/>
        <v>-35.799999999999997</v>
      </c>
      <c r="K26" s="519">
        <f t="shared" si="4"/>
        <v>-35</v>
      </c>
      <c r="L26" s="500"/>
      <c r="M26" s="647">
        <f t="shared" si="0"/>
        <v>-1.9239754830552729E-2</v>
      </c>
      <c r="N26" s="17"/>
      <c r="O26" s="66"/>
      <c r="P26" s="66"/>
      <c r="Q26" s="573">
        <v>-1179.5999999999999</v>
      </c>
      <c r="R26" s="573">
        <v>-1246.0999999999999</v>
      </c>
      <c r="S26" s="573">
        <v>-1239.9000000000001</v>
      </c>
      <c r="T26" s="573">
        <v>-1455.5</v>
      </c>
      <c r="U26" s="573">
        <v>-1446.6</v>
      </c>
      <c r="V26" s="46"/>
      <c r="W26" s="4"/>
      <c r="X26" s="547">
        <f t="shared" si="2"/>
        <v>-2.2062474808921873E-2</v>
      </c>
      <c r="Y26" s="547">
        <f t="shared" si="2"/>
        <v>-1.8450340215626596E-2</v>
      </c>
      <c r="Z26" s="547">
        <f t="shared" si="2"/>
        <v>-1.5435781658198089E-2</v>
      </c>
      <c r="AA26" s="547">
        <f t="shared" si="2"/>
        <v>-1.7851995854363038E-2</v>
      </c>
      <c r="AB26" s="547">
        <f t="shared" si="2"/>
        <v>-1.7507477832756749E-2</v>
      </c>
      <c r="AC26" s="4"/>
      <c r="AD26" s="4"/>
      <c r="AE26" s="573">
        <v>-216.74700000000001</v>
      </c>
      <c r="AF26" s="573">
        <v>-219.952</v>
      </c>
      <c r="AG26" s="573">
        <v>-223.78899999999999</v>
      </c>
      <c r="AH26" s="573">
        <f>ОФР!AX25</f>
        <v>-190.428359</v>
      </c>
      <c r="AI26" s="573">
        <v>-242.065</v>
      </c>
      <c r="AJ26" s="46"/>
      <c r="AK26" s="4"/>
      <c r="AL26" s="547">
        <f t="shared" si="3"/>
        <v>-1.6019396487213684E-2</v>
      </c>
      <c r="AM26" s="547">
        <f t="shared" si="3"/>
        <v>-1.562839225664436E-2</v>
      </c>
      <c r="AN26" s="547">
        <f t="shared" si="3"/>
        <v>-1.5240307295927073E-2</v>
      </c>
      <c r="AO26" s="547">
        <f t="shared" si="3"/>
        <v>-1.2478963087068992E-2</v>
      </c>
      <c r="AP26" s="547">
        <f t="shared" si="3"/>
        <v>-1.5201546800483065E-2</v>
      </c>
      <c r="AQ26" s="4"/>
      <c r="AR26" s="4"/>
      <c r="AS26" s="4"/>
      <c r="AT26" s="4"/>
      <c r="AU26" s="4"/>
    </row>
    <row r="27" spans="1:47" ht="15" outlineLevel="1" x14ac:dyDescent="0.25">
      <c r="A27" s="67"/>
      <c r="B27" s="489" t="s">
        <v>483</v>
      </c>
      <c r="C27" s="492" t="str">
        <f>МСФО_ввод!D80</f>
        <v>Общие и административные расходы</v>
      </c>
      <c r="D27" s="492"/>
      <c r="E27" s="497"/>
      <c r="F27" s="497">
        <f>МСФО_ввод!F80</f>
        <v>-8.3520000000000003</v>
      </c>
      <c r="G27" s="497">
        <f>МСФО_ввод!G80</f>
        <v>-9.2040000000000006</v>
      </c>
      <c r="H27" s="497">
        <f>МСФО_ввод!H80</f>
        <v>-10.239000000000001</v>
      </c>
      <c r="I27" s="497">
        <f>МСФО_ввод!I80</f>
        <v>-12.1</v>
      </c>
      <c r="J27" s="497">
        <f>МСФО_ввод!J80</f>
        <v>-13.5</v>
      </c>
      <c r="K27" s="497">
        <f>МСФО_ввод!K80</f>
        <v>-15.4</v>
      </c>
      <c r="L27" s="497"/>
      <c r="M27" s="647">
        <f t="shared" si="0"/>
        <v>-8.4654921254432008E-3</v>
      </c>
      <c r="N27" s="4"/>
      <c r="O27" s="66"/>
      <c r="P27" s="66"/>
      <c r="Q27" s="576"/>
      <c r="R27" s="576"/>
      <c r="S27" s="576"/>
      <c r="T27" s="576"/>
      <c r="U27" s="576"/>
      <c r="V27" s="43"/>
      <c r="W27" s="4"/>
      <c r="X27" s="547"/>
      <c r="Y27" s="547"/>
      <c r="Z27" s="547"/>
      <c r="AA27" s="547"/>
      <c r="AB27" s="547"/>
      <c r="AC27" s="4"/>
      <c r="AD27" s="4"/>
      <c r="AE27" s="576"/>
      <c r="AF27" s="576"/>
      <c r="AG27" s="576"/>
      <c r="AH27" s="576"/>
      <c r="AI27" s="576"/>
      <c r="AJ27" s="43"/>
      <c r="AK27" s="4"/>
      <c r="AL27" s="547"/>
      <c r="AM27" s="547"/>
      <c r="AN27" s="547"/>
      <c r="AO27" s="547"/>
      <c r="AP27" s="547"/>
      <c r="AQ27" s="4"/>
      <c r="AR27" s="528"/>
      <c r="AS27" s="4"/>
      <c r="AT27" s="4"/>
      <c r="AU27" s="4"/>
    </row>
    <row r="28" spans="1:47" ht="15" outlineLevel="1" x14ac:dyDescent="0.25">
      <c r="A28" s="67"/>
      <c r="B28" s="489" t="s">
        <v>484</v>
      </c>
      <c r="C28" s="492" t="str">
        <f>МСФО_ввод!D81</f>
        <v>Расходы на содержание персонала</v>
      </c>
      <c r="D28" s="492"/>
      <c r="E28" s="497"/>
      <c r="F28" s="497">
        <f>МСФО_ввод!F81</f>
        <v>-9.4990000000000006</v>
      </c>
      <c r="G28" s="497">
        <f>МСФО_ввод!G81</f>
        <v>-9.8070000000000004</v>
      </c>
      <c r="H28" s="497">
        <f>МСФО_ввод!H81</f>
        <v>-13.667</v>
      </c>
      <c r="I28" s="497">
        <f>МСФО_ввод!I81</f>
        <v>-18.399999999999999</v>
      </c>
      <c r="J28" s="497">
        <f>МСФО_ввод!J81</f>
        <v>-22.3</v>
      </c>
      <c r="K28" s="497">
        <f>МСФО_ввод!K81</f>
        <v>-19.600000000000001</v>
      </c>
      <c r="L28" s="497"/>
      <c r="M28" s="647">
        <f t="shared" si="0"/>
        <v>-1.077426270510953E-2</v>
      </c>
      <c r="N28" s="4"/>
      <c r="O28" s="66"/>
      <c r="P28" s="66"/>
      <c r="Q28" s="576"/>
      <c r="R28" s="576"/>
      <c r="S28" s="576"/>
      <c r="T28" s="576"/>
      <c r="U28" s="576"/>
      <c r="V28" s="43"/>
      <c r="W28" s="4"/>
      <c r="X28" s="547"/>
      <c r="Y28" s="547"/>
      <c r="Z28" s="547"/>
      <c r="AA28" s="547"/>
      <c r="AB28" s="547"/>
      <c r="AC28" s="4"/>
      <c r="AD28" s="4"/>
      <c r="AE28" s="576"/>
      <c r="AF28" s="576"/>
      <c r="AG28" s="576"/>
      <c r="AH28" s="576"/>
      <c r="AI28" s="576"/>
      <c r="AJ28" s="43"/>
      <c r="AK28" s="4"/>
      <c r="AL28" s="547"/>
      <c r="AM28" s="547"/>
      <c r="AN28" s="547"/>
      <c r="AO28" s="547"/>
      <c r="AP28" s="547"/>
      <c r="AQ28" s="4"/>
      <c r="AR28" s="528"/>
      <c r="AS28" s="4"/>
      <c r="AT28" s="4"/>
      <c r="AU28" s="4"/>
    </row>
    <row r="29" spans="1:47" s="526" customFormat="1" ht="23.25" customHeight="1" x14ac:dyDescent="0.25">
      <c r="A29" s="520"/>
      <c r="B29" s="521" t="s">
        <v>816</v>
      </c>
      <c r="C29" s="522"/>
      <c r="D29" s="522"/>
      <c r="E29" s="523"/>
      <c r="F29" s="523">
        <f t="shared" ref="F29:K29" si="5">SUM(F24:F26)</f>
        <v>-12.390999999999998</v>
      </c>
      <c r="G29" s="523">
        <f t="shared" si="5"/>
        <v>-13.123000000000003</v>
      </c>
      <c r="H29" s="523">
        <f t="shared" si="5"/>
        <v>-17.599</v>
      </c>
      <c r="I29" s="523">
        <f t="shared" si="5"/>
        <v>-22.2</v>
      </c>
      <c r="J29" s="523">
        <f t="shared" si="5"/>
        <v>-23.699999999999996</v>
      </c>
      <c r="K29" s="523">
        <f t="shared" si="5"/>
        <v>-20.2</v>
      </c>
      <c r="L29" s="529"/>
      <c r="M29" s="649">
        <f t="shared" si="0"/>
        <v>-1.1104087073633289E-2</v>
      </c>
      <c r="N29" s="14"/>
      <c r="O29" s="524"/>
      <c r="P29" s="524"/>
      <c r="Q29" s="577">
        <f>SUM(Q24:Q26)</f>
        <v>-525.39999999999986</v>
      </c>
      <c r="R29" s="577">
        <f>SUM(R24:R26)</f>
        <v>-520.89999999999986</v>
      </c>
      <c r="S29" s="577">
        <f>SUM(S24:S26)</f>
        <v>-467.5</v>
      </c>
      <c r="T29" s="577">
        <f>SUM(T24:T26)</f>
        <v>-602.79999999999995</v>
      </c>
      <c r="U29" s="577">
        <f>SUM(U24:U26)</f>
        <v>-560.99999999999977</v>
      </c>
      <c r="V29" s="525"/>
      <c r="W29" s="13"/>
      <c r="X29" s="550">
        <f t="shared" ref="X29:AB30" si="6">Q29/Q$127</f>
        <v>-9.8267414925462433E-3</v>
      </c>
      <c r="Y29" s="550">
        <f t="shared" si="6"/>
        <v>-7.7126893654761997E-3</v>
      </c>
      <c r="Z29" s="550">
        <f t="shared" si="6"/>
        <v>-5.8200080048452342E-3</v>
      </c>
      <c r="AA29" s="550">
        <f t="shared" si="6"/>
        <v>-7.3934614228856324E-3</v>
      </c>
      <c r="AB29" s="550">
        <f t="shared" si="6"/>
        <v>-6.7895030168509144E-3</v>
      </c>
      <c r="AC29" s="13"/>
      <c r="AD29" s="13"/>
      <c r="AE29" s="577">
        <f>SUM(AE24:AE26)</f>
        <v>-151.41600000000003</v>
      </c>
      <c r="AF29" s="577">
        <f>SUM(AF24:AF26)</f>
        <v>-162.54599999999999</v>
      </c>
      <c r="AG29" s="577">
        <f>SUM(AG24:AG26)</f>
        <v>-150.96699999999998</v>
      </c>
      <c r="AH29" s="577">
        <f>SUM(AH24:AH26)</f>
        <v>-98.599716000000001</v>
      </c>
      <c r="AI29" s="577">
        <f>SUM(AI24:AI26)</f>
        <v>-172.482</v>
      </c>
      <c r="AJ29" s="525"/>
      <c r="AK29" s="13"/>
      <c r="AL29" s="550">
        <f t="shared" ref="AL29:AP30" si="7">AE29/AE$127</f>
        <v>-1.119089509201026E-2</v>
      </c>
      <c r="AM29" s="550">
        <f t="shared" si="7"/>
        <v>-1.1549486468631857E-2</v>
      </c>
      <c r="AN29" s="550">
        <f t="shared" si="7"/>
        <v>-1.0281039155383967E-2</v>
      </c>
      <c r="AO29" s="550">
        <f t="shared" si="7"/>
        <v>-6.4613391766899907E-3</v>
      </c>
      <c r="AP29" s="550">
        <f t="shared" si="7"/>
        <v>-1.0831773264374941E-2</v>
      </c>
      <c r="AQ29" s="13"/>
      <c r="AR29" s="13"/>
      <c r="AS29" s="13"/>
      <c r="AT29" s="13"/>
      <c r="AU29" s="13"/>
    </row>
    <row r="30" spans="1:47" ht="27.75" customHeight="1" x14ac:dyDescent="0.25">
      <c r="A30" s="515"/>
      <c r="B30" s="516" t="s">
        <v>978</v>
      </c>
      <c r="C30" s="517"/>
      <c r="D30" s="517"/>
      <c r="E30" s="518"/>
      <c r="F30" s="518">
        <f t="shared" ref="F30:K30" si="8">F23+F29</f>
        <v>27.232999999999997</v>
      </c>
      <c r="G30" s="518">
        <f t="shared" si="8"/>
        <v>10.694999999999995</v>
      </c>
      <c r="H30" s="518">
        <f t="shared" si="8"/>
        <v>21.925999999999998</v>
      </c>
      <c r="I30" s="518">
        <f t="shared" si="8"/>
        <v>37.974000000000004</v>
      </c>
      <c r="J30" s="518">
        <f t="shared" si="8"/>
        <v>38.70000000000001</v>
      </c>
      <c r="K30" s="518">
        <f t="shared" si="8"/>
        <v>25.8</v>
      </c>
      <c r="L30" s="497"/>
      <c r="M30" s="650">
        <f t="shared" si="0"/>
        <v>1.4182447846521727E-2</v>
      </c>
      <c r="N30" s="4"/>
      <c r="O30" s="66"/>
      <c r="P30" s="66"/>
      <c r="Q30" s="578">
        <f>Q23+Q29</f>
        <v>1449.6000000000001</v>
      </c>
      <c r="R30" s="578">
        <f>R23+R29</f>
        <v>1690.1000000000001</v>
      </c>
      <c r="S30" s="578">
        <f>S23+S29</f>
        <v>1153.8999999999996</v>
      </c>
      <c r="T30" s="578">
        <f>T23+T29</f>
        <v>1021.2</v>
      </c>
      <c r="U30" s="578">
        <f>U23+U29</f>
        <v>1107.9000000000008</v>
      </c>
      <c r="V30" s="43"/>
      <c r="W30" s="4"/>
      <c r="X30" s="551">
        <f t="shared" si="6"/>
        <v>2.7112380029682224E-2</v>
      </c>
      <c r="Y30" s="551">
        <f t="shared" si="6"/>
        <v>2.5024412164698272E-2</v>
      </c>
      <c r="Z30" s="551">
        <f t="shared" si="6"/>
        <v>1.4365149169606233E-2</v>
      </c>
      <c r="AA30" s="551">
        <f t="shared" si="6"/>
        <v>1.2525220313621117E-2</v>
      </c>
      <c r="AB30" s="551">
        <f t="shared" si="6"/>
        <v>1.3408360770711473E-2</v>
      </c>
      <c r="AC30" s="4"/>
      <c r="AD30" s="4"/>
      <c r="AE30" s="578">
        <f>AE23+AE29</f>
        <v>232.85499999999999</v>
      </c>
      <c r="AF30" s="578">
        <f>AF23+AF29</f>
        <v>226.041</v>
      </c>
      <c r="AG30" s="578">
        <f>AG23+AG29</f>
        <v>247.12800000000004</v>
      </c>
      <c r="AH30" s="578">
        <f>AH23+AH29</f>
        <v>448.06785899999994</v>
      </c>
      <c r="AI30" s="578">
        <f>AI23+AI29</f>
        <v>285.096</v>
      </c>
      <c r="AJ30" s="43"/>
      <c r="AK30" s="4"/>
      <c r="AL30" s="551">
        <f t="shared" si="7"/>
        <v>1.7209910951617058E-2</v>
      </c>
      <c r="AM30" s="551">
        <f t="shared" si="7"/>
        <v>1.6061037926839255E-2</v>
      </c>
      <c r="AN30" s="551">
        <f t="shared" si="7"/>
        <v>1.6829722021314126E-2</v>
      </c>
      <c r="AO30" s="551">
        <f t="shared" si="7"/>
        <v>2.9362340264472021E-2</v>
      </c>
      <c r="AP30" s="551">
        <f t="shared" si="7"/>
        <v>1.790386956656485E-2</v>
      </c>
      <c r="AQ30" s="4"/>
      <c r="AR30" s="528"/>
      <c r="AS30" s="4"/>
      <c r="AT30" s="4"/>
      <c r="AU30" s="4"/>
    </row>
    <row r="31" spans="1:47" ht="24.75" customHeight="1" x14ac:dyDescent="0.25">
      <c r="A31" s="508" t="s">
        <v>819</v>
      </c>
      <c r="B31" s="491"/>
      <c r="C31" s="509"/>
      <c r="D31" s="509"/>
      <c r="E31" s="510"/>
      <c r="F31" s="510"/>
      <c r="G31" s="510"/>
      <c r="H31" s="510"/>
      <c r="I31" s="511"/>
      <c r="J31" s="511"/>
      <c r="K31" s="510"/>
      <c r="L31" s="510"/>
      <c r="M31" s="651">
        <f t="shared" si="0"/>
        <v>0</v>
      </c>
      <c r="N31" s="509"/>
      <c r="O31" s="66"/>
      <c r="P31" s="66"/>
      <c r="Q31" s="571"/>
      <c r="R31" s="571"/>
      <c r="S31" s="572"/>
      <c r="T31" s="572"/>
      <c r="U31" s="572"/>
      <c r="V31" s="12"/>
      <c r="W31" s="4"/>
      <c r="X31" s="570"/>
      <c r="Y31" s="570"/>
      <c r="Z31" s="570"/>
      <c r="AA31" s="570"/>
      <c r="AB31" s="570"/>
      <c r="AC31" s="4"/>
      <c r="AD31" s="4"/>
      <c r="AE31" s="571"/>
      <c r="AF31" s="571"/>
      <c r="AG31" s="572"/>
      <c r="AH31" s="572"/>
      <c r="AI31" s="572"/>
      <c r="AJ31" s="12"/>
      <c r="AK31" s="4"/>
      <c r="AL31" s="570"/>
      <c r="AM31" s="570"/>
      <c r="AN31" s="570"/>
      <c r="AO31" s="570"/>
      <c r="AP31" s="570"/>
      <c r="AQ31" s="4"/>
      <c r="AR31" s="12"/>
      <c r="AS31" s="4"/>
      <c r="AT31" s="4"/>
      <c r="AU31" s="4"/>
    </row>
    <row r="32" spans="1:47" x14ac:dyDescent="0.2">
      <c r="A32" s="67">
        <v>6</v>
      </c>
      <c r="B32" s="494" t="s">
        <v>820</v>
      </c>
      <c r="C32" s="492"/>
      <c r="D32" s="492"/>
      <c r="E32" s="499"/>
      <c r="F32" s="519">
        <f t="shared" ref="F32:K32" si="9">SUM(F33:F34)</f>
        <v>-1.2240000000000002</v>
      </c>
      <c r="G32" s="519">
        <f t="shared" si="9"/>
        <v>4.8000000000000001E-2</v>
      </c>
      <c r="H32" s="519">
        <f t="shared" si="9"/>
        <v>2.512</v>
      </c>
      <c r="I32" s="519">
        <f t="shared" si="9"/>
        <v>1.1000000000000001</v>
      </c>
      <c r="J32" s="519">
        <f t="shared" si="9"/>
        <v>6.6</v>
      </c>
      <c r="K32" s="519">
        <f t="shared" si="9"/>
        <v>0.3</v>
      </c>
      <c r="L32" s="499"/>
      <c r="M32" s="647">
        <f t="shared" si="0"/>
        <v>1.6491218426188054E-4</v>
      </c>
      <c r="N32" s="9"/>
      <c r="O32" s="66"/>
      <c r="P32" s="66"/>
      <c r="Q32" s="573">
        <v>344.20000000000005</v>
      </c>
      <c r="R32" s="573">
        <v>227.5</v>
      </c>
      <c r="S32" s="573">
        <v>640.09999999999991</v>
      </c>
      <c r="T32" s="573">
        <v>996.09999999999991</v>
      </c>
      <c r="U32" s="573">
        <v>847.1</v>
      </c>
      <c r="V32" s="530"/>
      <c r="W32" s="4"/>
      <c r="X32" s="547">
        <f>Q32/Q$127</f>
        <v>6.4376939888359701E-3</v>
      </c>
      <c r="Y32" s="547">
        <f>R32/R$127</f>
        <v>3.3684715504815432E-3</v>
      </c>
      <c r="Z32" s="547">
        <f>S32/S$127</f>
        <v>7.9687425110191099E-3</v>
      </c>
      <c r="AA32" s="547">
        <f>T32/T$127</f>
        <v>1.221736384096944E-2</v>
      </c>
      <c r="AB32" s="547">
        <f>U32/U$127</f>
        <v>1.0252028530435673E-2</v>
      </c>
      <c r="AC32" s="4"/>
      <c r="AD32" s="4"/>
      <c r="AE32" s="573">
        <v>4.0910000000000002</v>
      </c>
      <c r="AF32" s="573">
        <v>2.7919999999999998</v>
      </c>
      <c r="AG32" s="573">
        <v>3.3719999999999999</v>
      </c>
      <c r="AH32" s="573">
        <v>3.5379999999999998</v>
      </c>
      <c r="AI32" s="573">
        <v>1.823</v>
      </c>
      <c r="AJ32" s="530"/>
      <c r="AK32" s="4"/>
      <c r="AL32" s="547">
        <f>AE32/AE$127</f>
        <v>3.0235874558444262E-4</v>
      </c>
      <c r="AM32" s="547">
        <f>AF32/AF$127</f>
        <v>1.9838178866548635E-4</v>
      </c>
      <c r="AN32" s="547">
        <f>AG32/AG$127</f>
        <v>2.2963736466880005E-4</v>
      </c>
      <c r="AO32" s="547">
        <f>AH32/AH$127</f>
        <v>2.318487206102012E-4</v>
      </c>
      <c r="AP32" s="547">
        <f>AI32/AI$127</f>
        <v>1.1448338180769887E-4</v>
      </c>
      <c r="AQ32" s="4"/>
      <c r="AR32" s="4"/>
      <c r="AS32" s="4"/>
      <c r="AT32" s="4"/>
      <c r="AU32" s="4"/>
    </row>
    <row r="33" spans="1:47" ht="15" outlineLevel="1" x14ac:dyDescent="0.2">
      <c r="A33" s="67"/>
      <c r="B33" s="489" t="s">
        <v>29</v>
      </c>
      <c r="C33" s="492" t="s">
        <v>829</v>
      </c>
      <c r="D33" s="492"/>
      <c r="E33" s="499"/>
      <c r="F33" s="499">
        <f>МСФО_ввод!F65</f>
        <v>3.7930000000000001</v>
      </c>
      <c r="G33" s="499">
        <f>МСФО_ввод!G65</f>
        <v>4.8000000000000001E-2</v>
      </c>
      <c r="H33" s="499">
        <f>МСФО_ввод!H65</f>
        <v>1.5580000000000001</v>
      </c>
      <c r="I33" s="499">
        <f>МСФО_ввод!I65</f>
        <v>0.1</v>
      </c>
      <c r="J33" s="499">
        <f>МСФО_ввод!J65</f>
        <v>6.5</v>
      </c>
      <c r="K33" s="499">
        <f>МСФО_ввод!K65</f>
        <v>0.3</v>
      </c>
      <c r="L33" s="499"/>
      <c r="M33" s="647">
        <f t="shared" si="0"/>
        <v>1.6491218426188054E-4</v>
      </c>
      <c r="N33" s="9"/>
      <c r="O33" s="66"/>
      <c r="P33" s="66"/>
      <c r="Q33" s="574"/>
      <c r="R33" s="574"/>
      <c r="S33" s="574"/>
      <c r="T33" s="574"/>
      <c r="U33" s="574"/>
      <c r="V33" s="531"/>
      <c r="W33" s="4"/>
      <c r="X33" s="547"/>
      <c r="Y33" s="547"/>
      <c r="Z33" s="547"/>
      <c r="AA33" s="547"/>
      <c r="AB33" s="547"/>
      <c r="AC33" s="4"/>
      <c r="AD33" s="4"/>
      <c r="AE33" s="574"/>
      <c r="AF33" s="574"/>
      <c r="AG33" s="574"/>
      <c r="AH33" s="574"/>
      <c r="AI33" s="574"/>
      <c r="AJ33" s="531"/>
      <c r="AK33" s="4"/>
      <c r="AL33" s="547"/>
      <c r="AM33" s="547"/>
      <c r="AN33" s="547"/>
      <c r="AO33" s="547"/>
      <c r="AP33" s="547"/>
      <c r="AQ33" s="4"/>
      <c r="AR33" s="4"/>
      <c r="AS33" s="4"/>
      <c r="AT33" s="4"/>
      <c r="AU33" s="4"/>
    </row>
    <row r="34" spans="1:47" outlineLevel="1" x14ac:dyDescent="0.2">
      <c r="A34" s="67"/>
      <c r="B34" s="489" t="s">
        <v>31</v>
      </c>
      <c r="C34" s="492" t="s">
        <v>830</v>
      </c>
      <c r="D34" s="492"/>
      <c r="E34" s="499"/>
      <c r="F34" s="499">
        <f>МСФО_ввод!F66</f>
        <v>-5.0170000000000003</v>
      </c>
      <c r="G34" s="499" t="str">
        <f>МСФО_ввод!G66</f>
        <v>-</v>
      </c>
      <c r="H34" s="499">
        <f>МСФО_ввод!H66</f>
        <v>0.95399999999999996</v>
      </c>
      <c r="I34" s="499">
        <f>МСФО_ввод!I66</f>
        <v>1</v>
      </c>
      <c r="J34" s="499">
        <f>МСФО_ввод!J66</f>
        <v>0.1</v>
      </c>
      <c r="K34" s="499">
        <f>МСФО_ввод!K66</f>
        <v>0</v>
      </c>
      <c r="L34" s="499"/>
      <c r="M34" s="647">
        <f t="shared" si="0"/>
        <v>0</v>
      </c>
      <c r="N34" s="9"/>
      <c r="O34" s="66"/>
      <c r="P34" s="66"/>
      <c r="Q34" s="574"/>
      <c r="R34" s="574"/>
      <c r="S34" s="574"/>
      <c r="T34" s="574"/>
      <c r="U34" s="574"/>
      <c r="V34" s="530"/>
      <c r="W34" s="4"/>
      <c r="X34" s="547"/>
      <c r="Y34" s="547"/>
      <c r="Z34" s="547"/>
      <c r="AA34" s="547"/>
      <c r="AB34" s="547"/>
      <c r="AC34" s="4"/>
      <c r="AD34" s="4"/>
      <c r="AE34" s="574"/>
      <c r="AF34" s="574"/>
      <c r="AG34" s="574"/>
      <c r="AH34" s="574"/>
      <c r="AI34" s="574"/>
      <c r="AJ34" s="530"/>
      <c r="AK34" s="4"/>
      <c r="AL34" s="547"/>
      <c r="AM34" s="547"/>
      <c r="AN34" s="547"/>
      <c r="AO34" s="547"/>
      <c r="AP34" s="547"/>
      <c r="AQ34" s="4"/>
      <c r="AR34" s="4"/>
      <c r="AS34" s="4"/>
      <c r="AT34" s="4"/>
      <c r="AU34" s="4"/>
    </row>
    <row r="35" spans="1:47" ht="15" x14ac:dyDescent="0.25">
      <c r="A35" s="67">
        <v>7</v>
      </c>
      <c r="B35" s="494" t="s">
        <v>821</v>
      </c>
      <c r="C35" s="492"/>
      <c r="D35" s="492"/>
      <c r="E35" s="497"/>
      <c r="F35" s="519">
        <f>МСФО_ввод!F68</f>
        <v>2.2549999999999999</v>
      </c>
      <c r="G35" s="519">
        <f>МСФО_ввод!G68</f>
        <v>5.883</v>
      </c>
      <c r="H35" s="519">
        <f>МСФО_ввод!H68</f>
        <v>9.67</v>
      </c>
      <c r="I35" s="519">
        <f>МСФО_ввод!I68</f>
        <v>-0.2</v>
      </c>
      <c r="J35" s="519">
        <f>МСФО_ввод!J68</f>
        <v>4.9000000000000004</v>
      </c>
      <c r="K35" s="519">
        <f>МСФО_ввод!K68</f>
        <v>6.5</v>
      </c>
      <c r="L35" s="500"/>
      <c r="M35" s="647">
        <f t="shared" si="0"/>
        <v>3.5730973256740783E-3</v>
      </c>
      <c r="N35" s="17"/>
      <c r="O35" s="66"/>
      <c r="P35" s="66"/>
      <c r="Q35" s="2223">
        <v>110.29999999999927</v>
      </c>
      <c r="R35" s="2223">
        <v>421</v>
      </c>
      <c r="S35" s="2223">
        <v>450.39999999999418</v>
      </c>
      <c r="T35" s="2223">
        <v>24.899999999994179</v>
      </c>
      <c r="U35" s="2223">
        <v>92</v>
      </c>
      <c r="V35" s="46"/>
      <c r="W35" s="4"/>
      <c r="X35" s="547">
        <f t="shared" ref="X35:AB37" si="10">Q35/Q$127</f>
        <v>2.0629797994439359E-3</v>
      </c>
      <c r="Y35" s="547">
        <f t="shared" si="10"/>
        <v>6.2335231769350755E-3</v>
      </c>
      <c r="Z35" s="547">
        <f t="shared" si="10"/>
        <v>5.6071264286251541E-3</v>
      </c>
      <c r="AA35" s="547">
        <f t="shared" si="10"/>
        <v>3.0540343302888059E-4</v>
      </c>
      <c r="AB35" s="547">
        <f t="shared" si="10"/>
        <v>1.1134300847598652E-3</v>
      </c>
      <c r="AC35" s="4"/>
      <c r="AD35" s="4"/>
      <c r="AE35" s="586"/>
      <c r="AF35" s="586"/>
      <c r="AG35" s="586"/>
      <c r="AH35" s="586"/>
      <c r="AI35" s="586"/>
      <c r="AJ35" s="46"/>
      <c r="AK35" s="4"/>
      <c r="AL35" s="547">
        <f t="shared" ref="AL35:AP37" si="11">AE35/AE$127</f>
        <v>0</v>
      </c>
      <c r="AM35" s="547">
        <f t="shared" si="11"/>
        <v>0</v>
      </c>
      <c r="AN35" s="547">
        <f t="shared" si="11"/>
        <v>0</v>
      </c>
      <c r="AO35" s="547">
        <f t="shared" si="11"/>
        <v>0</v>
      </c>
      <c r="AP35" s="547">
        <f t="shared" si="11"/>
        <v>0</v>
      </c>
      <c r="AQ35" s="4"/>
      <c r="AR35" s="4"/>
      <c r="AS35" s="4"/>
      <c r="AT35" s="4"/>
      <c r="AU35" s="4"/>
    </row>
    <row r="36" spans="1:47" ht="14.25" customHeight="1" x14ac:dyDescent="0.2">
      <c r="A36" s="494">
        <v>8</v>
      </c>
      <c r="B36" s="494" t="s">
        <v>822</v>
      </c>
      <c r="C36" s="492"/>
      <c r="D36" s="492"/>
      <c r="E36" s="497"/>
      <c r="F36" s="519">
        <f>МСФО_ввод!F69</f>
        <v>-2.1960000000000002</v>
      </c>
      <c r="G36" s="519">
        <f>МСФО_ввод!G69</f>
        <v>-2.6349999999999998</v>
      </c>
      <c r="H36" s="519">
        <f>МСФО_ввод!H69</f>
        <v>-5.5270000000000001</v>
      </c>
      <c r="I36" s="519">
        <f>МСФО_ввод!I69</f>
        <v>2.2000000000000002</v>
      </c>
      <c r="J36" s="519">
        <f>МСФО_ввод!J69</f>
        <v>-15.5</v>
      </c>
      <c r="K36" s="519">
        <f>МСФО_ввод!K69</f>
        <v>-19.600000000000001</v>
      </c>
      <c r="L36" s="497"/>
      <c r="M36" s="647">
        <f t="shared" si="0"/>
        <v>-1.077426270510953E-2</v>
      </c>
      <c r="N36" s="9"/>
      <c r="O36" s="66"/>
      <c r="P36" s="66"/>
      <c r="Q36" s="2224"/>
      <c r="R36" s="2224"/>
      <c r="S36" s="2224"/>
      <c r="T36" s="2224"/>
      <c r="U36" s="2225"/>
      <c r="V36" s="43"/>
      <c r="W36" s="4"/>
      <c r="X36" s="547">
        <f t="shared" si="10"/>
        <v>0</v>
      </c>
      <c r="Y36" s="547">
        <f t="shared" si="10"/>
        <v>0</v>
      </c>
      <c r="Z36" s="547">
        <f t="shared" si="10"/>
        <v>0</v>
      </c>
      <c r="AA36" s="547">
        <f t="shared" si="10"/>
        <v>0</v>
      </c>
      <c r="AB36" s="547">
        <f t="shared" si="10"/>
        <v>0</v>
      </c>
      <c r="AC36" s="4"/>
      <c r="AD36" s="4"/>
      <c r="AE36" s="587"/>
      <c r="AF36" s="587"/>
      <c r="AG36" s="587"/>
      <c r="AH36" s="587"/>
      <c r="AI36" s="587"/>
      <c r="AJ36" s="43"/>
      <c r="AK36" s="4"/>
      <c r="AL36" s="547">
        <f t="shared" si="11"/>
        <v>0</v>
      </c>
      <c r="AM36" s="547">
        <f t="shared" si="11"/>
        <v>0</v>
      </c>
      <c r="AN36" s="547">
        <f t="shared" si="11"/>
        <v>0</v>
      </c>
      <c r="AO36" s="547">
        <f t="shared" si="11"/>
        <v>0</v>
      </c>
      <c r="AP36" s="547">
        <f t="shared" si="11"/>
        <v>0</v>
      </c>
      <c r="AQ36" s="4"/>
      <c r="AR36" s="4"/>
      <c r="AS36" s="4"/>
      <c r="AT36" s="4"/>
      <c r="AU36" s="4"/>
    </row>
    <row r="37" spans="1:47" ht="27.75" customHeight="1" x14ac:dyDescent="0.25">
      <c r="A37" s="515"/>
      <c r="B37" s="516" t="s">
        <v>823</v>
      </c>
      <c r="C37" s="517"/>
      <c r="D37" s="517"/>
      <c r="E37" s="518"/>
      <c r="F37" s="518">
        <f t="shared" ref="F37:K37" si="12">SUM(F32,F35:F36)</f>
        <v>-1.1650000000000005</v>
      </c>
      <c r="G37" s="518">
        <f t="shared" si="12"/>
        <v>3.2960000000000003</v>
      </c>
      <c r="H37" s="518">
        <f t="shared" si="12"/>
        <v>6.6550000000000002</v>
      </c>
      <c r="I37" s="518">
        <f t="shared" si="12"/>
        <v>3.1000000000000005</v>
      </c>
      <c r="J37" s="518">
        <f t="shared" si="12"/>
        <v>-4</v>
      </c>
      <c r="K37" s="518">
        <f t="shared" si="12"/>
        <v>-12.8</v>
      </c>
      <c r="L37" s="497"/>
      <c r="M37" s="650">
        <f t="shared" si="0"/>
        <v>-7.0362531951735701E-3</v>
      </c>
      <c r="N37" s="4"/>
      <c r="O37" s="66"/>
      <c r="P37" s="66"/>
      <c r="Q37" s="578">
        <f>SUM(Q32:Q36)</f>
        <v>454.49999999999932</v>
      </c>
      <c r="R37" s="578">
        <f>SUM(R32:R36)</f>
        <v>648.5</v>
      </c>
      <c r="S37" s="578">
        <f>SUM(S32:S36)</f>
        <v>1090.4999999999941</v>
      </c>
      <c r="T37" s="578">
        <f>SUM(T32:T36)</f>
        <v>1020.9999999999941</v>
      </c>
      <c r="U37" s="578">
        <f>SUM(U32:U36)</f>
        <v>939.1</v>
      </c>
      <c r="V37" s="43"/>
      <c r="W37" s="4"/>
      <c r="X37" s="551">
        <f t="shared" si="10"/>
        <v>8.5006737882799051E-3</v>
      </c>
      <c r="Y37" s="551">
        <f t="shared" si="10"/>
        <v>9.6019947274166191E-3</v>
      </c>
      <c r="Z37" s="551">
        <f t="shared" si="10"/>
        <v>1.3575868939644263E-2</v>
      </c>
      <c r="AA37" s="551">
        <f t="shared" si="10"/>
        <v>1.2522767273998321E-2</v>
      </c>
      <c r="AB37" s="551">
        <f t="shared" si="10"/>
        <v>1.1365458615195537E-2</v>
      </c>
      <c r="AC37" s="4"/>
      <c r="AD37" s="4"/>
      <c r="AE37" s="578">
        <f>SUM(AE32:AE36)</f>
        <v>4.0910000000000002</v>
      </c>
      <c r="AF37" s="578">
        <f>SUM(AF32:AF36)</f>
        <v>2.7919999999999998</v>
      </c>
      <c r="AG37" s="578">
        <f>SUM(AG32:AG36)</f>
        <v>3.3719999999999999</v>
      </c>
      <c r="AH37" s="578">
        <f>SUM(AH32:AH36)</f>
        <v>3.5379999999999998</v>
      </c>
      <c r="AI37" s="578">
        <f>SUM(AI32:AI36)</f>
        <v>1.823</v>
      </c>
      <c r="AJ37" s="43"/>
      <c r="AK37" s="4"/>
      <c r="AL37" s="551">
        <f t="shared" si="11"/>
        <v>3.0235874558444262E-4</v>
      </c>
      <c r="AM37" s="551">
        <f t="shared" si="11"/>
        <v>1.9838178866548635E-4</v>
      </c>
      <c r="AN37" s="551">
        <f t="shared" si="11"/>
        <v>2.2963736466880005E-4</v>
      </c>
      <c r="AO37" s="551">
        <f t="shared" si="11"/>
        <v>2.318487206102012E-4</v>
      </c>
      <c r="AP37" s="551">
        <f t="shared" si="11"/>
        <v>1.1448338180769887E-4</v>
      </c>
      <c r="AQ37" s="4"/>
      <c r="AR37" s="528"/>
      <c r="AS37" s="4"/>
      <c r="AT37" s="4"/>
      <c r="AU37" s="4"/>
    </row>
    <row r="38" spans="1:47" ht="24.75" customHeight="1" x14ac:dyDescent="0.25">
      <c r="A38" s="508" t="s">
        <v>824</v>
      </c>
      <c r="B38" s="491"/>
      <c r="C38" s="509"/>
      <c r="D38" s="509"/>
      <c r="E38" s="510"/>
      <c r="F38" s="510"/>
      <c r="G38" s="510"/>
      <c r="H38" s="510"/>
      <c r="I38" s="511"/>
      <c r="J38" s="511"/>
      <c r="K38" s="510"/>
      <c r="L38" s="510"/>
      <c r="M38" s="651">
        <f t="shared" si="0"/>
        <v>0</v>
      </c>
      <c r="N38" s="509"/>
      <c r="O38" s="66"/>
      <c r="P38" s="66"/>
      <c r="Q38" s="571"/>
      <c r="R38" s="571"/>
      <c r="S38" s="572"/>
      <c r="T38" s="572"/>
      <c r="U38" s="572"/>
      <c r="V38" s="12"/>
      <c r="W38" s="4"/>
      <c r="X38" s="570"/>
      <c r="Y38" s="570"/>
      <c r="Z38" s="570"/>
      <c r="AA38" s="570"/>
      <c r="AB38" s="570"/>
      <c r="AC38" s="4"/>
      <c r="AD38" s="4"/>
      <c r="AE38" s="571"/>
      <c r="AF38" s="571"/>
      <c r="AG38" s="572"/>
      <c r="AH38" s="572"/>
      <c r="AI38" s="572"/>
      <c r="AJ38" s="12"/>
      <c r="AK38" s="4"/>
      <c r="AL38" s="570"/>
      <c r="AM38" s="570"/>
      <c r="AN38" s="570"/>
      <c r="AO38" s="570"/>
      <c r="AP38" s="570"/>
      <c r="AQ38" s="4"/>
      <c r="AR38" s="12"/>
      <c r="AS38" s="4"/>
      <c r="AT38" s="4"/>
      <c r="AU38" s="4"/>
    </row>
    <row r="39" spans="1:47" ht="14.25" customHeight="1" x14ac:dyDescent="0.25">
      <c r="A39" s="494">
        <v>9</v>
      </c>
      <c r="B39" s="492" t="s">
        <v>379</v>
      </c>
      <c r="C39" s="4"/>
      <c r="D39" s="4"/>
      <c r="E39" s="497"/>
      <c r="F39" s="519">
        <f>МСФО_ввод!F70</f>
        <v>0</v>
      </c>
      <c r="G39" s="519">
        <f>МСФО_ввод!G70</f>
        <v>0</v>
      </c>
      <c r="H39" s="519">
        <f>МСФО_ввод!H70</f>
        <v>-1.179</v>
      </c>
      <c r="I39" s="519">
        <f>МСФО_ввод!I70</f>
        <v>0.5</v>
      </c>
      <c r="J39" s="519">
        <f>МСФО_ввод!J70</f>
        <v>1.4</v>
      </c>
      <c r="K39" s="519">
        <f>МСФО_ввод!K70</f>
        <v>0.9</v>
      </c>
      <c r="L39" s="500"/>
      <c r="M39" s="647">
        <f t="shared" si="0"/>
        <v>4.9473655278564166E-4</v>
      </c>
      <c r="N39" s="4"/>
      <c r="O39" s="66"/>
      <c r="P39" s="66"/>
      <c r="Q39" s="573"/>
      <c r="R39" s="573"/>
      <c r="S39" s="573"/>
      <c r="T39" s="573"/>
      <c r="U39" s="573"/>
      <c r="V39" s="4"/>
      <c r="W39" s="4"/>
      <c r="X39" s="547"/>
      <c r="Y39" s="547"/>
      <c r="Z39" s="547"/>
      <c r="AA39" s="547"/>
      <c r="AB39" s="547"/>
      <c r="AC39" s="4"/>
      <c r="AD39" s="4"/>
      <c r="AE39" s="573"/>
      <c r="AF39" s="573"/>
      <c r="AG39" s="573"/>
      <c r="AH39" s="573"/>
      <c r="AI39" s="573"/>
      <c r="AJ39" s="4"/>
      <c r="AK39" s="4"/>
      <c r="AL39" s="547"/>
      <c r="AM39" s="547"/>
      <c r="AN39" s="547"/>
      <c r="AO39" s="547"/>
      <c r="AP39" s="547"/>
      <c r="AQ39" s="4"/>
      <c r="AR39" s="528"/>
      <c r="AS39" s="4"/>
      <c r="AT39" s="4"/>
      <c r="AU39" s="4"/>
    </row>
    <row r="40" spans="1:47" ht="14.25" customHeight="1" x14ac:dyDescent="0.25">
      <c r="A40" s="494">
        <v>10</v>
      </c>
      <c r="B40" s="492" t="s">
        <v>381</v>
      </c>
      <c r="C40" s="4"/>
      <c r="D40" s="4"/>
      <c r="E40" s="497"/>
      <c r="F40" s="519">
        <f>МСФО_ввод!F72</f>
        <v>0</v>
      </c>
      <c r="G40" s="519">
        <f>МСФО_ввод!G72</f>
        <v>0</v>
      </c>
      <c r="H40" s="519">
        <f>МСФО_ввод!H72</f>
        <v>0</v>
      </c>
      <c r="I40" s="519">
        <f>МСФО_ввод!I72</f>
        <v>0</v>
      </c>
      <c r="J40" s="519">
        <f>МСФО_ввод!J72</f>
        <v>9.3000000000000007</v>
      </c>
      <c r="K40" s="519">
        <f>МСФО_ввод!K72</f>
        <v>7.1</v>
      </c>
      <c r="L40" s="500"/>
      <c r="M40" s="647">
        <f t="shared" si="0"/>
        <v>3.9029216941978391E-3</v>
      </c>
      <c r="N40" s="4"/>
      <c r="O40" s="66"/>
      <c r="P40" s="66"/>
      <c r="Q40" s="573"/>
      <c r="R40" s="573"/>
      <c r="S40" s="573"/>
      <c r="T40" s="573"/>
      <c r="U40" s="573"/>
      <c r="V40" s="4"/>
      <c r="W40" s="4"/>
      <c r="X40" s="547"/>
      <c r="Y40" s="547"/>
      <c r="Z40" s="547"/>
      <c r="AA40" s="547"/>
      <c r="AB40" s="547"/>
      <c r="AC40" s="4"/>
      <c r="AD40" s="4"/>
      <c r="AE40" s="573"/>
      <c r="AF40" s="573"/>
      <c r="AG40" s="573"/>
      <c r="AH40" s="573"/>
      <c r="AI40" s="573"/>
      <c r="AJ40" s="4"/>
      <c r="AK40" s="4"/>
      <c r="AL40" s="547"/>
      <c r="AM40" s="547"/>
      <c r="AN40" s="547"/>
      <c r="AO40" s="547"/>
      <c r="AP40" s="547"/>
      <c r="AQ40" s="4"/>
      <c r="AR40" s="528"/>
      <c r="AS40" s="4"/>
      <c r="AT40" s="4"/>
      <c r="AU40" s="4"/>
    </row>
    <row r="41" spans="1:47" ht="14.25" customHeight="1" x14ac:dyDescent="0.25">
      <c r="A41" s="494">
        <v>11</v>
      </c>
      <c r="B41" s="492" t="s">
        <v>382</v>
      </c>
      <c r="C41" s="4"/>
      <c r="D41" s="4"/>
      <c r="E41" s="497"/>
      <c r="F41" s="519">
        <f>МСФО_ввод!F73</f>
        <v>0</v>
      </c>
      <c r="G41" s="519">
        <f>МСФО_ввод!G73</f>
        <v>0</v>
      </c>
      <c r="H41" s="519">
        <f>МСФО_ввод!H73</f>
        <v>0</v>
      </c>
      <c r="I41" s="519">
        <f>МСФО_ввод!I73</f>
        <v>0</v>
      </c>
      <c r="J41" s="519">
        <f>МСФО_ввод!J73</f>
        <v>-9.8000000000000007</v>
      </c>
      <c r="K41" s="519">
        <f>МСФО_ввод!K73</f>
        <v>-8</v>
      </c>
      <c r="L41" s="500"/>
      <c r="M41" s="647">
        <f t="shared" si="0"/>
        <v>-4.397658246983481E-3</v>
      </c>
      <c r="N41" s="4"/>
      <c r="O41" s="66"/>
      <c r="P41" s="66"/>
      <c r="Q41" s="573"/>
      <c r="R41" s="573"/>
      <c r="S41" s="573"/>
      <c r="T41" s="573"/>
      <c r="U41" s="573"/>
      <c r="V41" s="4"/>
      <c r="W41" s="4"/>
      <c r="X41" s="547"/>
      <c r="Y41" s="547"/>
      <c r="Z41" s="547"/>
      <c r="AA41" s="547"/>
      <c r="AB41" s="547"/>
      <c r="AC41" s="4"/>
      <c r="AD41" s="4"/>
      <c r="AE41" s="573"/>
      <c r="AF41" s="573"/>
      <c r="AG41" s="573"/>
      <c r="AH41" s="573"/>
      <c r="AI41" s="573"/>
      <c r="AJ41" s="4"/>
      <c r="AK41" s="4"/>
      <c r="AL41" s="547"/>
      <c r="AM41" s="547"/>
      <c r="AN41" s="547"/>
      <c r="AO41" s="547"/>
      <c r="AP41" s="547"/>
      <c r="AQ41" s="4"/>
      <c r="AR41" s="528"/>
      <c r="AS41" s="4"/>
      <c r="AT41" s="4"/>
      <c r="AU41" s="4"/>
    </row>
    <row r="42" spans="1:47" ht="14.25" customHeight="1" x14ac:dyDescent="0.25">
      <c r="A42" s="494">
        <v>12</v>
      </c>
      <c r="B42" s="492" t="s">
        <v>383</v>
      </c>
      <c r="C42" s="4"/>
      <c r="D42" s="4"/>
      <c r="E42" s="497"/>
      <c r="F42" s="519">
        <f>МСФО_ввод!F74</f>
        <v>0</v>
      </c>
      <c r="G42" s="519">
        <f>МСФО_ввод!G74</f>
        <v>-0.23300000000000001</v>
      </c>
      <c r="H42" s="519">
        <f>МСФО_ввод!H74</f>
        <v>7.5179999999999998</v>
      </c>
      <c r="I42" s="519">
        <f>МСФО_ввод!I74</f>
        <v>8.6999999999999993</v>
      </c>
      <c r="J42" s="519">
        <f>МСФО_ввод!J74</f>
        <v>10.199999999999999</v>
      </c>
      <c r="K42" s="519">
        <f>МСФО_ввод!K74</f>
        <v>11.3</v>
      </c>
      <c r="L42" s="500"/>
      <c r="M42" s="647">
        <f t="shared" ref="M42:M62" si="13">K42/$K$127</f>
        <v>6.211692273864167E-3</v>
      </c>
      <c r="N42" s="4"/>
      <c r="O42" s="66"/>
      <c r="P42" s="66"/>
      <c r="Q42" s="573"/>
      <c r="R42" s="573"/>
      <c r="S42" s="573"/>
      <c r="T42" s="573"/>
      <c r="U42" s="573"/>
      <c r="V42" s="4"/>
      <c r="W42" s="4"/>
      <c r="X42" s="547"/>
      <c r="Y42" s="547"/>
      <c r="Z42" s="547"/>
      <c r="AA42" s="547"/>
      <c r="AB42" s="547"/>
      <c r="AC42" s="4"/>
      <c r="AD42" s="4"/>
      <c r="AE42" s="573"/>
      <c r="AF42" s="573"/>
      <c r="AG42" s="573"/>
      <c r="AH42" s="573"/>
      <c r="AI42" s="573"/>
      <c r="AJ42" s="4"/>
      <c r="AK42" s="4"/>
      <c r="AL42" s="547"/>
      <c r="AM42" s="547"/>
      <c r="AN42" s="547"/>
      <c r="AO42" s="547"/>
      <c r="AP42" s="547"/>
      <c r="AQ42" s="4"/>
      <c r="AR42" s="528"/>
      <c r="AS42" s="4"/>
      <c r="AT42" s="4"/>
      <c r="AU42" s="4"/>
    </row>
    <row r="43" spans="1:47" ht="14.25" customHeight="1" x14ac:dyDescent="0.25">
      <c r="A43" s="494">
        <v>13</v>
      </c>
      <c r="B43" s="492" t="s">
        <v>384</v>
      </c>
      <c r="C43" s="4"/>
      <c r="D43" s="4"/>
      <c r="E43" s="497"/>
      <c r="F43" s="519">
        <f>МСФО_ввод!F75</f>
        <v>0</v>
      </c>
      <c r="G43" s="519">
        <f>МСФО_ввод!G75</f>
        <v>0</v>
      </c>
      <c r="H43" s="519">
        <f>МСФО_ввод!H75</f>
        <v>-7.742</v>
      </c>
      <c r="I43" s="519">
        <f>МСФО_ввод!I75</f>
        <v>-11</v>
      </c>
      <c r="J43" s="519">
        <f>МСФО_ввод!J75</f>
        <v>-12.5</v>
      </c>
      <c r="K43" s="519">
        <f>МСФО_ввод!K75</f>
        <v>-13.3</v>
      </c>
      <c r="L43" s="500"/>
      <c r="M43" s="647">
        <f t="shared" si="13"/>
        <v>-7.3111068356100373E-3</v>
      </c>
      <c r="N43" s="4"/>
      <c r="O43" s="66"/>
      <c r="P43" s="66"/>
      <c r="Q43" s="573"/>
      <c r="R43" s="573"/>
      <c r="S43" s="573"/>
      <c r="T43" s="573"/>
      <c r="U43" s="573"/>
      <c r="V43" s="4"/>
      <c r="W43" s="4"/>
      <c r="X43" s="547"/>
      <c r="Y43" s="547"/>
      <c r="Z43" s="547"/>
      <c r="AA43" s="547"/>
      <c r="AB43" s="547"/>
      <c r="AC43" s="4"/>
      <c r="AD43" s="4"/>
      <c r="AE43" s="573"/>
      <c r="AF43" s="573"/>
      <c r="AG43" s="573"/>
      <c r="AH43" s="573"/>
      <c r="AI43" s="573"/>
      <c r="AJ43" s="4"/>
      <c r="AK43" s="4"/>
      <c r="AL43" s="547"/>
      <c r="AM43" s="547"/>
      <c r="AN43" s="547"/>
      <c r="AO43" s="547"/>
      <c r="AP43" s="547"/>
      <c r="AQ43" s="4"/>
      <c r="AR43" s="528"/>
      <c r="AS43" s="4"/>
      <c r="AT43" s="4"/>
      <c r="AU43" s="4"/>
    </row>
    <row r="44" spans="1:47" ht="14.25" customHeight="1" x14ac:dyDescent="0.25">
      <c r="A44" s="494">
        <v>14</v>
      </c>
      <c r="B44" s="492" t="s">
        <v>385</v>
      </c>
      <c r="C44" s="4"/>
      <c r="D44" s="4"/>
      <c r="E44" s="497"/>
      <c r="F44" s="519">
        <f>МСФО_ввод!F76</f>
        <v>1.903</v>
      </c>
      <c r="G44" s="519">
        <f>МСФО_ввод!G76</f>
        <v>0.59199999999999997</v>
      </c>
      <c r="H44" s="519">
        <f>МСФО_ввод!H76</f>
        <v>1.6579999999999999</v>
      </c>
      <c r="I44" s="519">
        <f>МСФО_ввод!I76</f>
        <v>0.9</v>
      </c>
      <c r="J44" s="519">
        <f>МСФО_ввод!J76</f>
        <v>1.6</v>
      </c>
      <c r="K44" s="519">
        <f>МСФО_ввод!K76</f>
        <v>0.7</v>
      </c>
      <c r="L44" s="500"/>
      <c r="M44" s="647">
        <f t="shared" si="13"/>
        <v>3.8479509661105456E-4</v>
      </c>
      <c r="N44" s="4"/>
      <c r="O44" s="66"/>
      <c r="P44" s="66"/>
      <c r="Q44" s="573">
        <v>-297</v>
      </c>
      <c r="R44" s="573">
        <v>-242.40000000000055</v>
      </c>
      <c r="S44" s="573">
        <v>-335.19999999999982</v>
      </c>
      <c r="T44" s="573">
        <v>-448.30000000000018</v>
      </c>
      <c r="U44" s="573">
        <v>171.5</v>
      </c>
      <c r="V44" s="4"/>
      <c r="W44" s="4"/>
      <c r="X44" s="547">
        <f t="shared" ref="X44:AB45" si="14">Q44/Q$127</f>
        <v>-5.5548957428363825E-3</v>
      </c>
      <c r="Y44" s="547">
        <f t="shared" si="14"/>
        <v>-3.58908792895265E-3</v>
      </c>
      <c r="Z44" s="547">
        <f t="shared" si="14"/>
        <v>-4.1729768625114894E-3</v>
      </c>
      <c r="AA44" s="547">
        <f t="shared" si="14"/>
        <v>-5.4984883143324994E-3</v>
      </c>
      <c r="AB44" s="547">
        <f t="shared" si="14"/>
        <v>2.0755789080034444E-3</v>
      </c>
      <c r="AC44" s="4"/>
      <c r="AD44" s="4"/>
      <c r="AE44" s="573">
        <v>0.126</v>
      </c>
      <c r="AF44" s="573">
        <v>-5.1999999999999998E-2</v>
      </c>
      <c r="AG44" s="573">
        <v>-1.0999999999999999E-2</v>
      </c>
      <c r="AH44" s="573">
        <v>-0.32200000000000001</v>
      </c>
      <c r="AI44" s="573">
        <v>-8.727E-2</v>
      </c>
      <c r="AJ44" s="4"/>
      <c r="AK44" s="4"/>
      <c r="AL44" s="547">
        <f t="shared" ref="AL44:AP45" si="15">AE44/AE$127</f>
        <v>9.3124424208359251E-6</v>
      </c>
      <c r="AM44" s="547">
        <f t="shared" si="15"/>
        <v>-3.6947897602454476E-6</v>
      </c>
      <c r="AN44" s="547">
        <f t="shared" si="15"/>
        <v>-7.4911358581162527E-7</v>
      </c>
      <c r="AO44" s="547">
        <f t="shared" si="15"/>
        <v>-2.1100985878034142E-5</v>
      </c>
      <c r="AP44" s="547">
        <f t="shared" si="15"/>
        <v>-5.4805072574645534E-6</v>
      </c>
      <c r="AQ44" s="4"/>
      <c r="AR44" s="528"/>
      <c r="AS44" s="4"/>
      <c r="AT44" s="4"/>
      <c r="AU44" s="4"/>
    </row>
    <row r="45" spans="1:47" ht="27.75" customHeight="1" x14ac:dyDescent="0.25">
      <c r="A45" s="515"/>
      <c r="B45" s="516" t="s">
        <v>826</v>
      </c>
      <c r="C45" s="517"/>
      <c r="D45" s="517"/>
      <c r="E45" s="518"/>
      <c r="F45" s="518">
        <f t="shared" ref="F45:K45" si="16">SUM(F39:F44)</f>
        <v>1.903</v>
      </c>
      <c r="G45" s="518">
        <f t="shared" si="16"/>
        <v>0.35899999999999999</v>
      </c>
      <c r="H45" s="518">
        <f t="shared" si="16"/>
        <v>0.25499999999999945</v>
      </c>
      <c r="I45" s="518">
        <f t="shared" si="16"/>
        <v>-0.90000000000000069</v>
      </c>
      <c r="J45" s="518">
        <f t="shared" si="16"/>
        <v>0.19999999999999973</v>
      </c>
      <c r="K45" s="518">
        <f t="shared" si="16"/>
        <v>-1.3</v>
      </c>
      <c r="L45" s="497"/>
      <c r="M45" s="650">
        <f t="shared" si="13"/>
        <v>-7.1461946513481575E-4</v>
      </c>
      <c r="N45" s="4"/>
      <c r="O45" s="66"/>
      <c r="P45" s="66"/>
      <c r="Q45" s="578">
        <f>SUM(Q39:Q44)</f>
        <v>-297</v>
      </c>
      <c r="R45" s="578">
        <f>SUM(R39:R44)</f>
        <v>-242.40000000000055</v>
      </c>
      <c r="S45" s="578">
        <f>SUM(S39:S44)</f>
        <v>-335.19999999999982</v>
      </c>
      <c r="T45" s="578">
        <f>SUM(T39:T44)</f>
        <v>-448.30000000000018</v>
      </c>
      <c r="U45" s="578">
        <f>SUM(U39:U44)</f>
        <v>171.5</v>
      </c>
      <c r="V45" s="43"/>
      <c r="W45" s="4"/>
      <c r="X45" s="551">
        <f t="shared" si="14"/>
        <v>-5.5548957428363825E-3</v>
      </c>
      <c r="Y45" s="551">
        <f t="shared" si="14"/>
        <v>-3.58908792895265E-3</v>
      </c>
      <c r="Z45" s="551">
        <f t="shared" si="14"/>
        <v>-4.1729768625114894E-3</v>
      </c>
      <c r="AA45" s="551">
        <f t="shared" si="14"/>
        <v>-5.4984883143324994E-3</v>
      </c>
      <c r="AB45" s="551">
        <f t="shared" si="14"/>
        <v>2.0755789080034444E-3</v>
      </c>
      <c r="AC45" s="4"/>
      <c r="AD45" s="4"/>
      <c r="AE45" s="578">
        <f>SUM(AE39:AE44)</f>
        <v>0.126</v>
      </c>
      <c r="AF45" s="578">
        <f>SUM(AF39:AF44)</f>
        <v>-5.1999999999999998E-2</v>
      </c>
      <c r="AG45" s="578">
        <f>SUM(AG39:AG44)</f>
        <v>-1.0999999999999999E-2</v>
      </c>
      <c r="AH45" s="578">
        <f>SUM(AH39:AH44)</f>
        <v>-0.32200000000000001</v>
      </c>
      <c r="AI45" s="578">
        <f>SUM(AI39:AI44)</f>
        <v>-8.727E-2</v>
      </c>
      <c r="AJ45" s="43"/>
      <c r="AK45" s="4"/>
      <c r="AL45" s="551">
        <f t="shared" si="15"/>
        <v>9.3124424208359251E-6</v>
      </c>
      <c r="AM45" s="551">
        <f t="shared" si="15"/>
        <v>-3.6947897602454476E-6</v>
      </c>
      <c r="AN45" s="551">
        <f t="shared" si="15"/>
        <v>-7.4911358581162527E-7</v>
      </c>
      <c r="AO45" s="551">
        <f t="shared" si="15"/>
        <v>-2.1100985878034142E-5</v>
      </c>
      <c r="AP45" s="551">
        <f t="shared" si="15"/>
        <v>-5.4805072574645534E-6</v>
      </c>
      <c r="AQ45" s="4"/>
      <c r="AR45" s="528"/>
      <c r="AS45" s="4"/>
      <c r="AT45" s="4"/>
      <c r="AU45" s="4"/>
    </row>
    <row r="46" spans="1:47" ht="24.75" customHeight="1" x14ac:dyDescent="0.25">
      <c r="A46" s="508" t="s">
        <v>825</v>
      </c>
      <c r="B46" s="491"/>
      <c r="C46" s="509"/>
      <c r="D46" s="509"/>
      <c r="E46" s="510"/>
      <c r="F46" s="510"/>
      <c r="G46" s="510"/>
      <c r="H46" s="510"/>
      <c r="I46" s="511"/>
      <c r="J46" s="511"/>
      <c r="K46" s="510"/>
      <c r="L46" s="510"/>
      <c r="M46" s="651">
        <f t="shared" si="13"/>
        <v>0</v>
      </c>
      <c r="N46" s="509"/>
      <c r="O46" s="66"/>
      <c r="P46" s="66"/>
      <c r="Q46" s="571"/>
      <c r="R46" s="571"/>
      <c r="S46" s="572"/>
      <c r="T46" s="572"/>
      <c r="U46" s="572"/>
      <c r="V46" s="12"/>
      <c r="W46" s="4"/>
      <c r="X46" s="570"/>
      <c r="Y46" s="570"/>
      <c r="Z46" s="570"/>
      <c r="AA46" s="570"/>
      <c r="AB46" s="570"/>
      <c r="AC46" s="4"/>
      <c r="AD46" s="4"/>
      <c r="AE46" s="571"/>
      <c r="AF46" s="571"/>
      <c r="AG46" s="572"/>
      <c r="AH46" s="572"/>
      <c r="AI46" s="572"/>
      <c r="AJ46" s="12"/>
      <c r="AK46" s="4"/>
      <c r="AL46" s="570"/>
      <c r="AM46" s="570"/>
      <c r="AN46" s="570"/>
      <c r="AO46" s="570"/>
      <c r="AP46" s="570"/>
      <c r="AQ46" s="4"/>
      <c r="AR46" s="12"/>
      <c r="AS46" s="4"/>
      <c r="AT46" s="4"/>
      <c r="AU46" s="4"/>
    </row>
    <row r="47" spans="1:47" x14ac:dyDescent="0.2">
      <c r="A47" s="67">
        <v>15</v>
      </c>
      <c r="B47" s="494" t="s">
        <v>827</v>
      </c>
      <c r="C47" s="492"/>
      <c r="D47" s="492"/>
      <c r="E47" s="499"/>
      <c r="F47" s="519">
        <f t="shared" ref="F47:K47" si="17">SUM(F48:F50)</f>
        <v>-108.50200000000001</v>
      </c>
      <c r="G47" s="519">
        <f t="shared" si="17"/>
        <v>-132.416</v>
      </c>
      <c r="H47" s="519">
        <f t="shared" si="17"/>
        <v>12.876999999999999</v>
      </c>
      <c r="I47" s="519">
        <f t="shared" si="17"/>
        <v>5.4249999999999998</v>
      </c>
      <c r="J47" s="519">
        <f t="shared" si="17"/>
        <v>-125.80000000000001</v>
      </c>
      <c r="K47" s="519">
        <f t="shared" si="17"/>
        <v>-7.3000000000000007</v>
      </c>
      <c r="L47" s="499"/>
      <c r="M47" s="647">
        <f t="shared" si="13"/>
        <v>-4.0128631503724265E-3</v>
      </c>
      <c r="N47" s="9"/>
      <c r="O47" s="66"/>
      <c r="P47" s="66"/>
      <c r="Q47" s="573">
        <v>-613.19999999999982</v>
      </c>
      <c r="R47" s="573">
        <v>-1505.3999999999996</v>
      </c>
      <c r="S47" s="573">
        <v>-1716.6000000000004</v>
      </c>
      <c r="T47" s="573">
        <v>-664.5</v>
      </c>
      <c r="U47" s="573">
        <v>-1433.2999999999993</v>
      </c>
      <c r="V47" s="241"/>
      <c r="W47" s="4"/>
      <c r="X47" s="547">
        <f>Q47/Q$127</f>
        <v>-1.146889585692683E-2</v>
      </c>
      <c r="Y47" s="547">
        <f>R47/R$127</f>
        <v>-2.2289657459757865E-2</v>
      </c>
      <c r="Z47" s="547">
        <f>S47/S$127</f>
        <v>-2.1370322440892688E-2</v>
      </c>
      <c r="AA47" s="547">
        <f>T47/T$127</f>
        <v>-8.1502241464955268E-3</v>
      </c>
      <c r="AB47" s="547">
        <f>U47/U$127</f>
        <v>-1.7346514570503412E-2</v>
      </c>
      <c r="AC47" s="4"/>
      <c r="AD47" s="4"/>
      <c r="AE47" s="573">
        <v>-28.303000000000001</v>
      </c>
      <c r="AF47" s="573">
        <v>-25.856999999999999</v>
      </c>
      <c r="AG47" s="573">
        <v>-33.024000000000001</v>
      </c>
      <c r="AH47" s="573">
        <f>ОФР!AX39</f>
        <v>-55.101123000000001</v>
      </c>
      <c r="AI47" s="573">
        <v>-44.311999999999998</v>
      </c>
      <c r="AJ47" s="241"/>
      <c r="AK47" s="4"/>
      <c r="AL47" s="547">
        <f>AE47/AE$127</f>
        <v>-2.091825855848565E-3</v>
      </c>
      <c r="AM47" s="547">
        <f>AF47/AF$127</f>
        <v>-1.8372342082820488E-3</v>
      </c>
      <c r="AN47" s="547">
        <f>AG47/AG$127</f>
        <v>-2.2489751870766466E-3</v>
      </c>
      <c r="AO47" s="547">
        <f>AH47/AH$127</f>
        <v>-3.6108323549280193E-3</v>
      </c>
      <c r="AP47" s="547">
        <f>AI47/AI$127</f>
        <v>-2.7827688506103961E-3</v>
      </c>
      <c r="AQ47" s="4"/>
      <c r="AR47" s="4"/>
      <c r="AS47" s="4"/>
      <c r="AT47" s="4"/>
      <c r="AU47" s="4"/>
    </row>
    <row r="48" spans="1:47" outlineLevel="1" x14ac:dyDescent="0.2">
      <c r="A48" s="67"/>
      <c r="B48" s="489" t="s">
        <v>831</v>
      </c>
      <c r="C48" s="492" t="str">
        <f>МСФО_ввод!D59</f>
        <v>Создание резерва под обесценение средств в банках и кредитов и авансов клиентам</v>
      </c>
      <c r="D48" s="492"/>
      <c r="E48" s="499"/>
      <c r="F48" s="499">
        <f>МСФО_ввод!F59</f>
        <v>-105.51300000000001</v>
      </c>
      <c r="G48" s="499">
        <f>МСФО_ввод!G59</f>
        <v>-120.73699999999999</v>
      </c>
      <c r="H48" s="499">
        <f>МСФО_ввод!H59</f>
        <v>15.042999999999999</v>
      </c>
      <c r="I48" s="499">
        <f>МСФО_ввод!I59</f>
        <v>7.125</v>
      </c>
      <c r="J48" s="499">
        <f>МСФО_ввод!J59</f>
        <v>-37.6</v>
      </c>
      <c r="K48" s="499">
        <f>МСФО_ввод!K59</f>
        <v>-35.5</v>
      </c>
      <c r="L48" s="499"/>
      <c r="M48" s="647">
        <f t="shared" si="13"/>
        <v>-1.9514608470989198E-2</v>
      </c>
      <c r="N48" s="9"/>
      <c r="O48" s="66"/>
      <c r="P48" s="66"/>
      <c r="Q48" s="574"/>
      <c r="R48" s="574"/>
      <c r="S48" s="574"/>
      <c r="T48" s="574"/>
      <c r="U48" s="574"/>
      <c r="V48" s="241"/>
      <c r="W48" s="4"/>
      <c r="X48" s="547"/>
      <c r="Y48" s="547"/>
      <c r="Z48" s="547"/>
      <c r="AA48" s="547"/>
      <c r="AB48" s="547"/>
      <c r="AC48" s="4"/>
      <c r="AD48" s="4"/>
      <c r="AE48" s="574"/>
      <c r="AF48" s="574"/>
      <c r="AG48" s="574"/>
      <c r="AH48" s="574"/>
      <c r="AI48" s="574"/>
      <c r="AJ48" s="241"/>
      <c r="AK48" s="4"/>
      <c r="AL48" s="547"/>
      <c r="AM48" s="547"/>
      <c r="AN48" s="547"/>
      <c r="AO48" s="547"/>
      <c r="AP48" s="547"/>
      <c r="AQ48" s="4"/>
      <c r="AR48" s="4"/>
      <c r="AS48" s="4"/>
      <c r="AT48" s="4"/>
      <c r="AU48" s="4"/>
    </row>
    <row r="49" spans="1:47" outlineLevel="1" x14ac:dyDescent="0.2">
      <c r="A49" s="67"/>
      <c r="B49" s="489" t="s">
        <v>832</v>
      </c>
      <c r="C49" s="492" t="str">
        <f>МСФО_ввод!D67</f>
        <v>Обесценение финансовых активов, имеющихся в наличии для продажи</v>
      </c>
      <c r="D49" s="492"/>
      <c r="E49" s="499"/>
      <c r="F49" s="499">
        <f>МСФО_ввод!F67</f>
        <v>0</v>
      </c>
      <c r="G49" s="499">
        <f>МСФО_ввод!G67</f>
        <v>-10.565</v>
      </c>
      <c r="H49" s="499">
        <f>МСФО_ввод!H67</f>
        <v>-1.321</v>
      </c>
      <c r="I49" s="499">
        <f>МСФО_ввод!I67</f>
        <v>-1.3</v>
      </c>
      <c r="J49" s="499">
        <f>МСФО_ввод!J67</f>
        <v>0</v>
      </c>
      <c r="K49" s="499">
        <f>МСФО_ввод!K67</f>
        <v>0</v>
      </c>
      <c r="L49" s="499"/>
      <c r="M49" s="647">
        <f t="shared" si="13"/>
        <v>0</v>
      </c>
      <c r="N49" s="9"/>
      <c r="O49" s="66"/>
      <c r="P49" s="66"/>
      <c r="Q49" s="574"/>
      <c r="R49" s="574"/>
      <c r="S49" s="574"/>
      <c r="T49" s="574"/>
      <c r="U49" s="574"/>
      <c r="V49" s="241"/>
      <c r="W49" s="4"/>
      <c r="X49" s="547"/>
      <c r="Y49" s="547"/>
      <c r="Z49" s="547"/>
      <c r="AA49" s="547"/>
      <c r="AB49" s="547"/>
      <c r="AC49" s="4"/>
      <c r="AD49" s="4"/>
      <c r="AE49" s="574"/>
      <c r="AF49" s="574"/>
      <c r="AG49" s="574"/>
      <c r="AH49" s="574"/>
      <c r="AI49" s="574"/>
      <c r="AJ49" s="241"/>
      <c r="AK49" s="4"/>
      <c r="AL49" s="547"/>
      <c r="AM49" s="547"/>
      <c r="AN49" s="547"/>
      <c r="AO49" s="547"/>
      <c r="AP49" s="547"/>
      <c r="AQ49" s="4"/>
      <c r="AR49" s="4"/>
      <c r="AS49" s="4"/>
      <c r="AT49" s="4"/>
      <c r="AU49" s="4"/>
    </row>
    <row r="50" spans="1:47" outlineLevel="1" x14ac:dyDescent="0.2">
      <c r="A50" s="67"/>
      <c r="B50" s="489" t="s">
        <v>833</v>
      </c>
      <c r="C50" s="492" t="str">
        <f>МСФО_ввод!D71</f>
        <v>Прочие доходы/ (расходы) от восстановления/ (создания) резервов</v>
      </c>
      <c r="D50" s="492"/>
      <c r="E50" s="499"/>
      <c r="F50" s="499">
        <f>МСФО_ввод!F71</f>
        <v>-2.9889999999999999</v>
      </c>
      <c r="G50" s="499">
        <f>МСФО_ввод!G71</f>
        <v>-1.1140000000000001</v>
      </c>
      <c r="H50" s="499">
        <f>МСФО_ввод!H71</f>
        <v>-0.84499999999999997</v>
      </c>
      <c r="I50" s="499">
        <f>МСФО_ввод!I71</f>
        <v>-0.4</v>
      </c>
      <c r="J50" s="499">
        <f>МСФО_ввод!J71</f>
        <v>-88.2</v>
      </c>
      <c r="K50" s="499">
        <f>МСФО_ввод!K71</f>
        <v>28.2</v>
      </c>
      <c r="L50" s="499"/>
      <c r="M50" s="647">
        <f t="shared" si="13"/>
        <v>1.550174532061677E-2</v>
      </c>
      <c r="N50" s="9"/>
      <c r="O50" s="66"/>
      <c r="P50" s="66"/>
      <c r="Q50" s="574"/>
      <c r="R50" s="574"/>
      <c r="S50" s="574"/>
      <c r="T50" s="574"/>
      <c r="U50" s="574"/>
      <c r="V50" s="241"/>
      <c r="W50" s="4"/>
      <c r="X50" s="547"/>
      <c r="Y50" s="547"/>
      <c r="Z50" s="547"/>
      <c r="AA50" s="547"/>
      <c r="AB50" s="547"/>
      <c r="AC50" s="4"/>
      <c r="AD50" s="4"/>
      <c r="AE50" s="574"/>
      <c r="AF50" s="574"/>
      <c r="AG50" s="574"/>
      <c r="AH50" s="574"/>
      <c r="AI50" s="574"/>
      <c r="AJ50" s="241"/>
      <c r="AK50" s="4"/>
      <c r="AL50" s="547"/>
      <c r="AM50" s="547"/>
      <c r="AN50" s="547"/>
      <c r="AO50" s="547"/>
      <c r="AP50" s="547"/>
      <c r="AQ50" s="4"/>
      <c r="AR50" s="4"/>
      <c r="AS50" s="4"/>
      <c r="AT50" s="4"/>
      <c r="AU50" s="4"/>
    </row>
    <row r="51" spans="1:47" ht="15" x14ac:dyDescent="0.25">
      <c r="A51" s="67">
        <v>16</v>
      </c>
      <c r="B51" s="494" t="s">
        <v>418</v>
      </c>
      <c r="C51" s="492"/>
      <c r="D51" s="492"/>
      <c r="E51" s="497"/>
      <c r="F51" s="519">
        <f>МСФО_ввод!F63</f>
        <v>0</v>
      </c>
      <c r="G51" s="519">
        <f>МСФО_ввод!G63</f>
        <v>-1.111</v>
      </c>
      <c r="H51" s="519">
        <f>МСФО_ввод!H63</f>
        <v>-4.8760000000000003</v>
      </c>
      <c r="I51" s="519">
        <f>МСФО_ввод!I63</f>
        <v>-3.8</v>
      </c>
      <c r="J51" s="519">
        <f>МСФО_ввод!J63</f>
        <v>-0.3</v>
      </c>
      <c r="K51" s="519">
        <f>МСФО_ввод!K63</f>
        <v>-1.5</v>
      </c>
      <c r="L51" s="500"/>
      <c r="M51" s="647">
        <f t="shared" si="13"/>
        <v>-8.2456092130940269E-4</v>
      </c>
      <c r="N51" s="9"/>
      <c r="O51" s="66"/>
      <c r="P51" s="66"/>
      <c r="Q51" s="573"/>
      <c r="R51" s="573"/>
      <c r="S51" s="573"/>
      <c r="T51" s="573"/>
      <c r="U51" s="573"/>
      <c r="V51" s="46"/>
      <c r="W51" s="4"/>
      <c r="X51" s="547"/>
      <c r="Y51" s="547"/>
      <c r="Z51" s="547"/>
      <c r="AA51" s="547"/>
      <c r="AB51" s="547"/>
      <c r="AC51" s="4"/>
      <c r="AD51" s="4"/>
      <c r="AE51" s="573"/>
      <c r="AF51" s="573"/>
      <c r="AG51" s="573"/>
      <c r="AH51" s="573"/>
      <c r="AI51" s="573"/>
      <c r="AJ51" s="46"/>
      <c r="AK51" s="4"/>
      <c r="AL51" s="547"/>
      <c r="AM51" s="547"/>
      <c r="AN51" s="547"/>
      <c r="AO51" s="547"/>
      <c r="AP51" s="547"/>
      <c r="AQ51" s="4"/>
      <c r="AR51" s="4"/>
      <c r="AS51" s="4"/>
      <c r="AT51" s="4"/>
      <c r="AU51" s="4"/>
    </row>
    <row r="52" spans="1:47" ht="15" x14ac:dyDescent="0.25">
      <c r="A52" s="67">
        <v>17</v>
      </c>
      <c r="B52" s="494" t="s">
        <v>374</v>
      </c>
      <c r="C52" s="492"/>
      <c r="D52" s="492"/>
      <c r="E52" s="497"/>
      <c r="F52" s="519">
        <f>МСФО_ввод!F64</f>
        <v>1.1120000000000001</v>
      </c>
      <c r="G52" s="519">
        <f>МСФО_ввод!G64</f>
        <v>152.00200000000001</v>
      </c>
      <c r="H52" s="519">
        <f>МСФО_ввод!H64</f>
        <v>-0.83699999999999997</v>
      </c>
      <c r="I52" s="519">
        <f>МСФО_ввод!I64</f>
        <v>0</v>
      </c>
      <c r="J52" s="519">
        <f>МСФО_ввод!J64</f>
        <v>99.1</v>
      </c>
      <c r="K52" s="519">
        <f>МСФО_ввод!K64</f>
        <v>-0.6</v>
      </c>
      <c r="L52" s="500"/>
      <c r="M52" s="647">
        <f t="shared" si="13"/>
        <v>-3.2982436852376109E-4</v>
      </c>
      <c r="N52" s="17"/>
      <c r="O52" s="66"/>
      <c r="P52" s="66"/>
      <c r="Q52" s="573"/>
      <c r="R52" s="573"/>
      <c r="S52" s="573"/>
      <c r="T52" s="573"/>
      <c r="U52" s="573"/>
      <c r="V52" s="46"/>
      <c r="W52" s="4"/>
      <c r="X52" s="547"/>
      <c r="Y52" s="547"/>
      <c r="Z52" s="547"/>
      <c r="AA52" s="547"/>
      <c r="AB52" s="547"/>
      <c r="AC52" s="4"/>
      <c r="AD52" s="4"/>
      <c r="AE52" s="573"/>
      <c r="AF52" s="573"/>
      <c r="AG52" s="573"/>
      <c r="AH52" s="573"/>
      <c r="AI52" s="573"/>
      <c r="AJ52" s="46"/>
      <c r="AK52" s="4"/>
      <c r="AL52" s="547"/>
      <c r="AM52" s="547"/>
      <c r="AN52" s="547"/>
      <c r="AO52" s="547"/>
      <c r="AP52" s="547"/>
      <c r="AQ52" s="4"/>
      <c r="AR52" s="4"/>
      <c r="AS52" s="4"/>
      <c r="AT52" s="4"/>
      <c r="AU52" s="4"/>
    </row>
    <row r="53" spans="1:47" x14ac:dyDescent="0.2">
      <c r="A53" s="67">
        <v>18</v>
      </c>
      <c r="B53" s="494" t="s">
        <v>386</v>
      </c>
      <c r="C53" s="492"/>
      <c r="D53" s="492"/>
      <c r="E53" s="497"/>
      <c r="F53" s="519">
        <f>МСФО_ввод!F77</f>
        <v>0</v>
      </c>
      <c r="G53" s="519">
        <f>МСФО_ввод!G77</f>
        <v>0</v>
      </c>
      <c r="H53" s="519">
        <f>МСФО_ввод!H77</f>
        <v>0</v>
      </c>
      <c r="I53" s="519">
        <f>МСФО_ввод!I77</f>
        <v>0</v>
      </c>
      <c r="J53" s="519">
        <f>МСФО_ввод!J77</f>
        <v>0</v>
      </c>
      <c r="K53" s="519">
        <f>МСФО_ввод!K77</f>
        <v>-0.5</v>
      </c>
      <c r="L53" s="497"/>
      <c r="M53" s="647">
        <f t="shared" si="13"/>
        <v>-2.7485364043646756E-4</v>
      </c>
      <c r="N53" s="9"/>
      <c r="O53" s="66"/>
      <c r="P53" s="66"/>
      <c r="Q53" s="573"/>
      <c r="R53" s="573"/>
      <c r="S53" s="573"/>
      <c r="T53" s="573"/>
      <c r="U53" s="573"/>
      <c r="V53" s="4"/>
      <c r="W53" s="4"/>
      <c r="X53" s="547"/>
      <c r="Y53" s="547"/>
      <c r="Z53" s="547"/>
      <c r="AA53" s="547"/>
      <c r="AB53" s="547"/>
      <c r="AC53" s="4"/>
      <c r="AD53" s="4"/>
      <c r="AE53" s="573"/>
      <c r="AF53" s="573"/>
      <c r="AG53" s="573"/>
      <c r="AH53" s="573"/>
      <c r="AI53" s="573"/>
      <c r="AJ53" s="4"/>
      <c r="AK53" s="4"/>
      <c r="AL53" s="547"/>
      <c r="AM53" s="547"/>
      <c r="AN53" s="547"/>
      <c r="AO53" s="547"/>
      <c r="AP53" s="547"/>
      <c r="AQ53" s="4"/>
      <c r="AR53" s="4"/>
      <c r="AS53" s="4"/>
      <c r="AT53" s="4"/>
      <c r="AU53" s="4"/>
    </row>
    <row r="54" spans="1:47" x14ac:dyDescent="0.2">
      <c r="A54" s="67">
        <v>19</v>
      </c>
      <c r="B54" s="4" t="s">
        <v>391</v>
      </c>
      <c r="C54" s="43"/>
      <c r="D54" s="43"/>
      <c r="E54" s="497"/>
      <c r="F54" s="519">
        <f>МСФО_ввод!F82</f>
        <v>-3.0910000000000002</v>
      </c>
      <c r="G54" s="519">
        <f>МСФО_ввод!G82</f>
        <v>-0.75700000000000001</v>
      </c>
      <c r="H54" s="519">
        <f>МСФО_ввод!H82</f>
        <v>-0.82899999999999996</v>
      </c>
      <c r="I54" s="519">
        <f>МСФО_ввод!I82</f>
        <v>0.2</v>
      </c>
      <c r="J54" s="519">
        <f>МСФО_ввод!J82</f>
        <v>0.1</v>
      </c>
      <c r="K54" s="519">
        <f>МСФО_ввод!K82</f>
        <v>0.1</v>
      </c>
      <c r="L54" s="497"/>
      <c r="M54" s="647">
        <f t="shared" si="13"/>
        <v>5.4970728087293517E-5</v>
      </c>
      <c r="N54" s="9"/>
      <c r="O54" s="66"/>
      <c r="P54" s="66"/>
      <c r="Q54" s="573"/>
      <c r="R54" s="573"/>
      <c r="S54" s="573"/>
      <c r="T54" s="573"/>
      <c r="U54" s="573"/>
      <c r="V54" s="4"/>
      <c r="W54" s="4"/>
      <c r="X54" s="547"/>
      <c r="Y54" s="547"/>
      <c r="Z54" s="547"/>
      <c r="AA54" s="547"/>
      <c r="AB54" s="547"/>
      <c r="AC54" s="4"/>
      <c r="AD54" s="4"/>
      <c r="AE54" s="573"/>
      <c r="AF54" s="573"/>
      <c r="AG54" s="573"/>
      <c r="AH54" s="573"/>
      <c r="AI54" s="573"/>
      <c r="AJ54" s="4"/>
      <c r="AK54" s="4"/>
      <c r="AL54" s="547"/>
      <c r="AM54" s="547"/>
      <c r="AN54" s="547"/>
      <c r="AO54" s="547"/>
      <c r="AP54" s="547"/>
      <c r="AQ54" s="4"/>
      <c r="AR54" s="4"/>
      <c r="AS54" s="4"/>
      <c r="AT54" s="4"/>
      <c r="AU54" s="4"/>
    </row>
    <row r="55" spans="1:47" x14ac:dyDescent="0.2">
      <c r="A55" s="67">
        <v>20</v>
      </c>
      <c r="B55" s="4" t="s">
        <v>392</v>
      </c>
      <c r="C55" s="43"/>
      <c r="D55" s="43"/>
      <c r="E55" s="497"/>
      <c r="F55" s="519">
        <f>МСФО_ввод!F83</f>
        <v>-2.7559999999999998</v>
      </c>
      <c r="G55" s="519">
        <f>МСФО_ввод!G83</f>
        <v>0.30599999999999999</v>
      </c>
      <c r="H55" s="519">
        <f>МСФО_ввод!H83</f>
        <v>-4.0000000000000001E-3</v>
      </c>
      <c r="I55" s="519">
        <f>МСФО_ввод!I83</f>
        <v>3.1</v>
      </c>
      <c r="J55" s="519">
        <f>МСФО_ввод!J83</f>
        <v>-6.9</v>
      </c>
      <c r="K55" s="519">
        <f>МСФО_ввод!K83</f>
        <v>0.1</v>
      </c>
      <c r="L55" s="497"/>
      <c r="M55" s="647">
        <f t="shared" si="13"/>
        <v>5.4970728087293517E-5</v>
      </c>
      <c r="N55" s="9"/>
      <c r="O55" s="66"/>
      <c r="P55" s="66"/>
      <c r="Q55" s="573"/>
      <c r="R55" s="573"/>
      <c r="S55" s="573"/>
      <c r="T55" s="573"/>
      <c r="U55" s="573"/>
      <c r="V55" s="4"/>
      <c r="W55" s="4"/>
      <c r="X55" s="547"/>
      <c r="Y55" s="547"/>
      <c r="Z55" s="547"/>
      <c r="AA55" s="547"/>
      <c r="AB55" s="547"/>
      <c r="AC55" s="4"/>
      <c r="AD55" s="4"/>
      <c r="AE55" s="573"/>
      <c r="AF55" s="573"/>
      <c r="AG55" s="573"/>
      <c r="AH55" s="573"/>
      <c r="AI55" s="573"/>
      <c r="AJ55" s="4"/>
      <c r="AK55" s="4"/>
      <c r="AL55" s="547"/>
      <c r="AM55" s="547"/>
      <c r="AN55" s="547"/>
      <c r="AO55" s="547"/>
      <c r="AP55" s="547"/>
      <c r="AQ55" s="4"/>
      <c r="AR55" s="4"/>
      <c r="AS55" s="4"/>
      <c r="AT55" s="4"/>
      <c r="AU55" s="4"/>
    </row>
    <row r="56" spans="1:47" x14ac:dyDescent="0.2">
      <c r="A56" s="67">
        <v>21</v>
      </c>
      <c r="B56" s="4" t="s">
        <v>393</v>
      </c>
      <c r="C56" s="43"/>
      <c r="D56" s="43"/>
      <c r="E56" s="497"/>
      <c r="F56" s="519">
        <f>МСФО_ввод!F84</f>
        <v>0</v>
      </c>
      <c r="G56" s="519">
        <f>МСФО_ввод!G84</f>
        <v>-0.95199999999999996</v>
      </c>
      <c r="H56" s="519">
        <f>МСФО_ввод!H84</f>
        <v>-0.28000000000000003</v>
      </c>
      <c r="I56" s="519">
        <f>МСФО_ввод!I84</f>
        <v>-0.2</v>
      </c>
      <c r="J56" s="519">
        <f>МСФО_ввод!J84</f>
        <v>-0.2</v>
      </c>
      <c r="K56" s="519">
        <f>МСФО_ввод!K84</f>
        <v>0</v>
      </c>
      <c r="L56" s="497"/>
      <c r="M56" s="647">
        <f t="shared" si="13"/>
        <v>0</v>
      </c>
      <c r="N56" s="9"/>
      <c r="O56" s="66"/>
      <c r="P56" s="66"/>
      <c r="Q56" s="573"/>
      <c r="R56" s="573"/>
      <c r="S56" s="573"/>
      <c r="T56" s="573"/>
      <c r="U56" s="573"/>
      <c r="V56" s="4"/>
      <c r="W56" s="4"/>
      <c r="X56" s="547"/>
      <c r="Y56" s="547"/>
      <c r="Z56" s="547"/>
      <c r="AA56" s="547"/>
      <c r="AB56" s="547"/>
      <c r="AC56" s="4"/>
      <c r="AD56" s="4"/>
      <c r="AE56" s="573"/>
      <c r="AF56" s="573"/>
      <c r="AG56" s="573"/>
      <c r="AH56" s="573"/>
      <c r="AI56" s="573"/>
      <c r="AJ56" s="4"/>
      <c r="AK56" s="4"/>
      <c r="AL56" s="547"/>
      <c r="AM56" s="547"/>
      <c r="AN56" s="547"/>
      <c r="AO56" s="547"/>
      <c r="AP56" s="547"/>
      <c r="AQ56" s="4"/>
      <c r="AR56" s="4"/>
      <c r="AS56" s="4"/>
      <c r="AT56" s="4"/>
      <c r="AU56" s="4"/>
    </row>
    <row r="57" spans="1:47" ht="23.25" customHeight="1" x14ac:dyDescent="0.25">
      <c r="A57" s="515"/>
      <c r="B57" s="516" t="s">
        <v>828</v>
      </c>
      <c r="C57" s="517"/>
      <c r="D57" s="517"/>
      <c r="E57" s="518"/>
      <c r="F57" s="518">
        <f t="shared" ref="F57:K57" si="18">SUM(F47,F51:F56)</f>
        <v>-113.23700000000001</v>
      </c>
      <c r="G57" s="518">
        <f t="shared" si="18"/>
        <v>17.072000000000024</v>
      </c>
      <c r="H57" s="518">
        <f t="shared" si="18"/>
        <v>6.0509999999999984</v>
      </c>
      <c r="I57" s="518">
        <f t="shared" si="18"/>
        <v>4.7249999999999996</v>
      </c>
      <c r="J57" s="518">
        <f t="shared" si="18"/>
        <v>-34.000000000000014</v>
      </c>
      <c r="K57" s="518">
        <f t="shared" si="18"/>
        <v>-9.7000000000000011</v>
      </c>
      <c r="L57" s="497"/>
      <c r="M57" s="650">
        <f t="shared" si="13"/>
        <v>-5.3321606244674715E-3</v>
      </c>
      <c r="N57" s="4"/>
      <c r="O57" s="66"/>
      <c r="P57" s="66"/>
      <c r="Q57" s="578">
        <f>SUM(Q47:Q56)</f>
        <v>-613.19999999999982</v>
      </c>
      <c r="R57" s="578">
        <f>SUM(R47:R56)</f>
        <v>-1505.3999999999996</v>
      </c>
      <c r="S57" s="578">
        <f>SUM(S47:S56)</f>
        <v>-1716.6000000000004</v>
      </c>
      <c r="T57" s="578">
        <f>SUM(T47:T56)</f>
        <v>-664.5</v>
      </c>
      <c r="U57" s="578">
        <f>SUM(U47:U56)</f>
        <v>-1433.2999999999993</v>
      </c>
      <c r="V57" s="43"/>
      <c r="W57" s="4"/>
      <c r="X57" s="551">
        <f>Q57/Q$127</f>
        <v>-1.146889585692683E-2</v>
      </c>
      <c r="Y57" s="551">
        <f>R57/R$127</f>
        <v>-2.2289657459757865E-2</v>
      </c>
      <c r="Z57" s="551">
        <f>S57/S$127</f>
        <v>-2.1370322440892688E-2</v>
      </c>
      <c r="AA57" s="551">
        <f>T57/T$127</f>
        <v>-8.1502241464955268E-3</v>
      </c>
      <c r="AB57" s="551">
        <f>U57/U$127</f>
        <v>-1.7346514570503412E-2</v>
      </c>
      <c r="AC57" s="4"/>
      <c r="AD57" s="4"/>
      <c r="AE57" s="578">
        <f>SUM(AE47:AE56)</f>
        <v>-28.303000000000001</v>
      </c>
      <c r="AF57" s="578">
        <f>SUM(AF47:AF56)</f>
        <v>-25.856999999999999</v>
      </c>
      <c r="AG57" s="578">
        <f>SUM(AG47:AG56)</f>
        <v>-33.024000000000001</v>
      </c>
      <c r="AH57" s="578">
        <f>SUM(AH47:AH56)</f>
        <v>-55.101123000000001</v>
      </c>
      <c r="AI57" s="578">
        <f>SUM(AI47:AI56)</f>
        <v>-44.311999999999998</v>
      </c>
      <c r="AJ57" s="43"/>
      <c r="AK57" s="4"/>
      <c r="AL57" s="551">
        <f>AE57/AE$127</f>
        <v>-2.091825855848565E-3</v>
      </c>
      <c r="AM57" s="551">
        <f>AF57/AF$127</f>
        <v>-1.8372342082820488E-3</v>
      </c>
      <c r="AN57" s="551">
        <f>AG57/AG$127</f>
        <v>-2.2489751870766466E-3</v>
      </c>
      <c r="AO57" s="551">
        <f>AH57/AH$127</f>
        <v>-3.6108323549280193E-3</v>
      </c>
      <c r="AP57" s="551">
        <f>AI57/AI$127</f>
        <v>-2.7827688506103961E-3</v>
      </c>
      <c r="AQ57" s="4"/>
      <c r="AR57" s="528"/>
      <c r="AS57" s="4"/>
      <c r="AT57" s="4"/>
      <c r="AU57" s="4"/>
    </row>
    <row r="58" spans="1:47" ht="27.75" customHeight="1" x14ac:dyDescent="0.25">
      <c r="A58" s="515"/>
      <c r="B58" s="516" t="s">
        <v>37</v>
      </c>
      <c r="C58" s="517"/>
      <c r="D58" s="517"/>
      <c r="E58" s="518"/>
      <c r="F58" s="518">
        <f t="shared" ref="F58:K58" si="19">F30+F37+F45+F57</f>
        <v>-85.26600000000002</v>
      </c>
      <c r="G58" s="518">
        <f t="shared" si="19"/>
        <v>31.422000000000018</v>
      </c>
      <c r="H58" s="518">
        <f t="shared" si="19"/>
        <v>34.887</v>
      </c>
      <c r="I58" s="518">
        <f t="shared" si="19"/>
        <v>44.899000000000008</v>
      </c>
      <c r="J58" s="518">
        <f t="shared" si="19"/>
        <v>0.89999999999999858</v>
      </c>
      <c r="K58" s="518">
        <f t="shared" si="19"/>
        <v>1.9999999999999982</v>
      </c>
      <c r="L58" s="497"/>
      <c r="M58" s="650">
        <f t="shared" si="13"/>
        <v>1.0994145617458694E-3</v>
      </c>
      <c r="N58" s="4"/>
      <c r="O58" s="66"/>
      <c r="P58" s="66"/>
      <c r="Q58" s="578"/>
      <c r="R58" s="578"/>
      <c r="S58" s="578"/>
      <c r="T58" s="578"/>
      <c r="U58" s="578"/>
      <c r="V58" s="43"/>
      <c r="W58" s="4"/>
      <c r="X58" s="551"/>
      <c r="Y58" s="551"/>
      <c r="Z58" s="551"/>
      <c r="AA58" s="551"/>
      <c r="AB58" s="551"/>
      <c r="AC58" s="4"/>
      <c r="AD58" s="4"/>
      <c r="AE58" s="578">
        <f>AE30+AE37+AE45+AE57</f>
        <v>208.76900000000001</v>
      </c>
      <c r="AF58" s="578">
        <f>AF30+AF37+AF45+AF57</f>
        <v>202.92400000000001</v>
      </c>
      <c r="AG58" s="578">
        <f>AG30+AG37+AG45+AG57</f>
        <v>217.46500000000006</v>
      </c>
      <c r="AH58" s="578">
        <f>AH30+AH37+AH45+AH57</f>
        <v>396.18273599999998</v>
      </c>
      <c r="AI58" s="578">
        <f>AI30+AI37+AI45+AI57</f>
        <v>242.51972999999998</v>
      </c>
      <c r="AJ58" s="43"/>
      <c r="AK58" s="4"/>
      <c r="AL58" s="551"/>
      <c r="AM58" s="551"/>
      <c r="AN58" s="551"/>
      <c r="AO58" s="551"/>
      <c r="AP58" s="551"/>
      <c r="AQ58" s="4"/>
      <c r="AR58" s="528"/>
      <c r="AS58" s="4"/>
      <c r="AT58" s="4"/>
      <c r="AU58" s="4"/>
    </row>
    <row r="59" spans="1:47" ht="24" customHeight="1" x14ac:dyDescent="0.2">
      <c r="A59" s="4"/>
      <c r="B59" s="4" t="s">
        <v>394</v>
      </c>
      <c r="C59" s="43"/>
      <c r="D59" s="43"/>
      <c r="E59" s="497"/>
      <c r="F59" s="519">
        <f>МСФО_ввод!F86</f>
        <v>15.523999999999999</v>
      </c>
      <c r="G59" s="519">
        <f>МСФО_ввод!G86</f>
        <v>-6.8049999999999997</v>
      </c>
      <c r="H59" s="519">
        <f>МСФО_ввод!H86</f>
        <v>-6.5679999999999996</v>
      </c>
      <c r="I59" s="519">
        <f>МСФО_ввод!I86</f>
        <v>-7.6</v>
      </c>
      <c r="J59" s="519">
        <f>МСФО_ввод!J86</f>
        <v>0.3</v>
      </c>
      <c r="K59" s="519">
        <f>МСФО_ввод!K86</f>
        <v>-0.3</v>
      </c>
      <c r="L59" s="497"/>
      <c r="M59" s="647">
        <f t="shared" si="13"/>
        <v>-1.6491218426188054E-4</v>
      </c>
      <c r="N59" s="9"/>
      <c r="O59" s="66"/>
      <c r="P59" s="66"/>
      <c r="Q59" s="573"/>
      <c r="R59" s="573"/>
      <c r="S59" s="573"/>
      <c r="T59" s="573"/>
      <c r="U59" s="573"/>
      <c r="V59" s="4"/>
      <c r="W59" s="4"/>
      <c r="X59" s="547"/>
      <c r="Y59" s="547"/>
      <c r="Z59" s="547"/>
      <c r="AA59" s="547"/>
      <c r="AB59" s="547"/>
      <c r="AC59" s="4"/>
      <c r="AD59" s="4"/>
      <c r="AE59" s="573">
        <v>-64.87</v>
      </c>
      <c r="AF59" s="573">
        <v>-62.098999999999997</v>
      </c>
      <c r="AG59" s="573">
        <v>-65.037000000000006</v>
      </c>
      <c r="AH59" s="573">
        <f>ОФР!AX50</f>
        <v>-60.926404999999995</v>
      </c>
      <c r="AI59" s="573">
        <v>-90.007000000000005</v>
      </c>
      <c r="AJ59" s="4"/>
      <c r="AK59" s="4"/>
      <c r="AL59" s="547"/>
      <c r="AM59" s="547"/>
      <c r="AN59" s="547"/>
      <c r="AO59" s="547"/>
      <c r="AP59" s="547"/>
      <c r="AQ59" s="4"/>
      <c r="AR59" s="4"/>
      <c r="AS59" s="4"/>
      <c r="AT59" s="4"/>
      <c r="AU59" s="4"/>
    </row>
    <row r="60" spans="1:47" ht="27.75" customHeight="1" x14ac:dyDescent="0.25">
      <c r="A60" s="515"/>
      <c r="B60" s="516" t="s">
        <v>395</v>
      </c>
      <c r="C60" s="517"/>
      <c r="D60" s="517"/>
      <c r="E60" s="518"/>
      <c r="F60" s="518">
        <f t="shared" ref="F60:K60" si="20">SUM(F58:F59)</f>
        <v>-69.742000000000019</v>
      </c>
      <c r="G60" s="518">
        <f t="shared" si="20"/>
        <v>24.617000000000019</v>
      </c>
      <c r="H60" s="518">
        <f t="shared" si="20"/>
        <v>28.319000000000003</v>
      </c>
      <c r="I60" s="518">
        <f t="shared" si="20"/>
        <v>37.299000000000007</v>
      </c>
      <c r="J60" s="518">
        <f t="shared" si="20"/>
        <v>1.1999999999999986</v>
      </c>
      <c r="K60" s="518">
        <f t="shared" si="20"/>
        <v>1.6999999999999982</v>
      </c>
      <c r="L60" s="497"/>
      <c r="M60" s="650">
        <f t="shared" si="13"/>
        <v>9.3450237748398876E-4</v>
      </c>
      <c r="N60" s="4"/>
      <c r="O60" s="66"/>
      <c r="P60" s="66"/>
      <c r="Q60" s="578"/>
      <c r="R60" s="578"/>
      <c r="S60" s="578"/>
      <c r="T60" s="578"/>
      <c r="U60" s="578"/>
      <c r="V60" s="43"/>
      <c r="W60" s="4"/>
      <c r="X60" s="551"/>
      <c r="Y60" s="551"/>
      <c r="Z60" s="551"/>
      <c r="AA60" s="551"/>
      <c r="AB60" s="551"/>
      <c r="AC60" s="4"/>
      <c r="AD60" s="4"/>
      <c r="AE60" s="578">
        <f>SUM(AE58:AE59)</f>
        <v>143.899</v>
      </c>
      <c r="AF60" s="578">
        <f>SUM(AF58:AF59)</f>
        <v>140.82500000000002</v>
      </c>
      <c r="AG60" s="578">
        <f>SUM(AG58:AG59)</f>
        <v>152.42800000000005</v>
      </c>
      <c r="AH60" s="578">
        <f>SUM(AH58:AH59)</f>
        <v>335.25633099999999</v>
      </c>
      <c r="AI60" s="578">
        <f>SUM(AI58:AI59)</f>
        <v>152.51272999999998</v>
      </c>
      <c r="AJ60" s="43"/>
      <c r="AK60" s="4"/>
      <c r="AL60" s="551"/>
      <c r="AM60" s="551"/>
      <c r="AN60" s="551"/>
      <c r="AO60" s="551"/>
      <c r="AP60" s="551"/>
      <c r="AQ60" s="4"/>
      <c r="AR60" s="528"/>
      <c r="AS60" s="4"/>
      <c r="AT60" s="4"/>
      <c r="AU60" s="4"/>
    </row>
    <row r="61" spans="1:47" ht="24" customHeight="1" thickBot="1" x14ac:dyDescent="0.25">
      <c r="A61" s="4"/>
      <c r="B61" s="4" t="s">
        <v>834</v>
      </c>
      <c r="C61" s="43"/>
      <c r="D61" s="43"/>
      <c r="E61" s="497"/>
      <c r="F61" s="497">
        <f>МСФО_ввод!F88</f>
        <v>0</v>
      </c>
      <c r="G61" s="497">
        <f>МСФО_ввод!G88</f>
        <v>0</v>
      </c>
      <c r="H61" s="497">
        <f>МСФО_ввод!H88</f>
        <v>0</v>
      </c>
      <c r="I61" s="497">
        <f>МСФО_ввод!I88</f>
        <v>0.4</v>
      </c>
      <c r="J61" s="497">
        <f>МСФО_ввод!J88</f>
        <v>1.2</v>
      </c>
      <c r="K61" s="497">
        <f>МСФО_ввод!K88</f>
        <v>-0.5</v>
      </c>
      <c r="L61" s="497"/>
      <c r="M61" s="647">
        <f t="shared" si="13"/>
        <v>-2.7485364043646756E-4</v>
      </c>
      <c r="N61" s="9"/>
      <c r="O61" s="66"/>
      <c r="P61" s="66"/>
      <c r="Q61" s="576"/>
      <c r="R61" s="576"/>
      <c r="S61" s="576"/>
      <c r="T61" s="576"/>
      <c r="U61" s="576"/>
      <c r="V61" s="4"/>
      <c r="W61" s="4"/>
      <c r="X61" s="547"/>
      <c r="Y61" s="547"/>
      <c r="Z61" s="547"/>
      <c r="AA61" s="547"/>
      <c r="AB61" s="547"/>
      <c r="AC61" s="4"/>
      <c r="AD61" s="4"/>
      <c r="AE61" s="576"/>
      <c r="AF61" s="576"/>
      <c r="AG61" s="576"/>
      <c r="AH61" s="576"/>
      <c r="AI61" s="576"/>
      <c r="AJ61" s="4"/>
      <c r="AK61" s="4"/>
      <c r="AL61" s="547"/>
      <c r="AM61" s="547"/>
      <c r="AN61" s="547"/>
      <c r="AO61" s="547"/>
      <c r="AP61" s="547"/>
      <c r="AQ61" s="4"/>
      <c r="AR61" s="4"/>
      <c r="AS61" s="4"/>
      <c r="AT61" s="4"/>
      <c r="AU61" s="4"/>
    </row>
    <row r="62" spans="1:47" ht="27.75" customHeight="1" thickBot="1" x14ac:dyDescent="0.3">
      <c r="A62" s="512"/>
      <c r="B62" s="513" t="s">
        <v>152</v>
      </c>
      <c r="C62" s="514"/>
      <c r="D62" s="514"/>
      <c r="E62" s="527"/>
      <c r="F62" s="527">
        <f t="shared" ref="F62:K62" si="21">SUM(F60:F61)</f>
        <v>-69.742000000000019</v>
      </c>
      <c r="G62" s="527">
        <f t="shared" si="21"/>
        <v>24.617000000000019</v>
      </c>
      <c r="H62" s="527">
        <f t="shared" si="21"/>
        <v>28.319000000000003</v>
      </c>
      <c r="I62" s="527">
        <f t="shared" si="21"/>
        <v>37.699000000000005</v>
      </c>
      <c r="J62" s="527">
        <f t="shared" si="21"/>
        <v>2.3999999999999986</v>
      </c>
      <c r="K62" s="527">
        <f t="shared" si="21"/>
        <v>1.1999999999999982</v>
      </c>
      <c r="L62" s="497"/>
      <c r="M62" s="652">
        <f t="shared" si="13"/>
        <v>6.596487370475212E-4</v>
      </c>
      <c r="N62" s="4"/>
      <c r="O62" s="66"/>
      <c r="P62" s="66"/>
      <c r="Q62" s="579">
        <f>Q30+Q37+Q45+Q57</f>
        <v>993.89999999999964</v>
      </c>
      <c r="R62" s="579">
        <f>R30+R37+R45+R57</f>
        <v>590.80000000000018</v>
      </c>
      <c r="S62" s="579">
        <f>S30+S37+S45+S57</f>
        <v>192.59999999999354</v>
      </c>
      <c r="T62" s="579">
        <f>T30+T37+T45+T57</f>
        <v>929.39999999999395</v>
      </c>
      <c r="U62" s="579">
        <f>U30+U37+U45+U57</f>
        <v>785.20000000000164</v>
      </c>
      <c r="V62" s="43"/>
      <c r="W62" s="4"/>
      <c r="X62" s="552">
        <f>Q62/Q$127</f>
        <v>1.8589262218198916E-2</v>
      </c>
      <c r="Y62" s="552">
        <f>R62/R$127</f>
        <v>8.7476615034043793E-3</v>
      </c>
      <c r="Z62" s="552">
        <f>S62/S$127</f>
        <v>2.3977188058463199E-3</v>
      </c>
      <c r="AA62" s="552">
        <f>T62/T$127</f>
        <v>1.1399275126791411E-2</v>
      </c>
      <c r="AB62" s="552">
        <f>U62/U$127</f>
        <v>9.5028837234070428E-3</v>
      </c>
      <c r="AC62" s="4"/>
      <c r="AD62" s="4"/>
      <c r="AE62" s="579">
        <f>SUM(AE60:AE61)</f>
        <v>143.899</v>
      </c>
      <c r="AF62" s="579">
        <f>SUM(AF60:AF61)</f>
        <v>140.82500000000002</v>
      </c>
      <c r="AG62" s="579">
        <f>SUM(AG60:AG61)</f>
        <v>152.42800000000005</v>
      </c>
      <c r="AH62" s="579">
        <f>SUM(AH60:AH61)</f>
        <v>335.25633099999999</v>
      </c>
      <c r="AI62" s="579">
        <f>SUM(AI60:AI61)</f>
        <v>152.51272999999998</v>
      </c>
      <c r="AJ62" s="43"/>
      <c r="AK62" s="4"/>
      <c r="AL62" s="552">
        <f>AE62/AE$127</f>
        <v>1.0635326602506896E-2</v>
      </c>
      <c r="AM62" s="552">
        <f>AF62/AF$127</f>
        <v>1.0006130153587794E-2</v>
      </c>
      <c r="AN62" s="552">
        <f>AG62/AG$127</f>
        <v>1.038053505982677E-2</v>
      </c>
      <c r="AO62" s="552">
        <f>AH62/AH$127</f>
        <v>2.196968666444888E-2</v>
      </c>
      <c r="AP62" s="552">
        <f>AI62/AI$127</f>
        <v>9.577714261724898E-3</v>
      </c>
      <c r="AQ62" s="4"/>
      <c r="AR62" s="528"/>
      <c r="AS62" s="4"/>
      <c r="AT62" s="4"/>
      <c r="AU62" s="4"/>
    </row>
    <row r="63" spans="1:47" s="28" customFormat="1" ht="16.5" outlineLevel="1" x14ac:dyDescent="0.3">
      <c r="A63" s="12"/>
      <c r="B63" s="471" t="s">
        <v>415</v>
      </c>
      <c r="C63" s="12"/>
      <c r="D63" s="541"/>
      <c r="E63" s="542"/>
      <c r="F63" s="542">
        <f>МСФО_ввод!F89-ОПиУ_МСФО!F62</f>
        <v>0</v>
      </c>
      <c r="G63" s="542">
        <f>МСФО_ввод!G89-ОПиУ_МСФО!G62</f>
        <v>0</v>
      </c>
      <c r="H63" s="542">
        <f>МСФО_ввод!H89-ОПиУ_МСФО!H62</f>
        <v>0</v>
      </c>
      <c r="I63" s="542">
        <f>МСФО_ввод!I89-ОПиУ_МСФО!I62</f>
        <v>0</v>
      </c>
      <c r="J63" s="542">
        <f>МСФО_ввод!J89-ОПиУ_МСФО!J62</f>
        <v>0</v>
      </c>
      <c r="K63" s="542">
        <f>МСФО_ввод!K89-ОПиУ_МСФО!K62</f>
        <v>-7.9936057773011271E-15</v>
      </c>
      <c r="L63" s="12"/>
      <c r="M63" s="12"/>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row>
    <row r="64" spans="1:47" x14ac:dyDescent="0.2">
      <c r="A64" s="4"/>
      <c r="B64" s="4"/>
      <c r="C64" s="43"/>
      <c r="D64" s="43"/>
      <c r="E64" s="497"/>
      <c r="F64" s="497"/>
      <c r="G64" s="497"/>
      <c r="H64" s="497"/>
      <c r="I64" s="498"/>
      <c r="J64" s="498"/>
      <c r="K64" s="498"/>
      <c r="L64" s="497"/>
      <c r="M64" s="43"/>
      <c r="N64" s="9"/>
      <c r="O64" s="66"/>
      <c r="P64" s="66"/>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row>
    <row r="65" spans="1:47" ht="15" x14ac:dyDescent="0.25">
      <c r="A65" s="4"/>
      <c r="B65" s="4"/>
      <c r="C65" s="43"/>
      <c r="D65" s="43"/>
      <c r="E65" s="497"/>
      <c r="F65" s="497"/>
      <c r="G65" s="497"/>
      <c r="H65" s="497"/>
      <c r="I65" s="498"/>
      <c r="J65" s="498"/>
      <c r="K65" s="498"/>
      <c r="L65" s="497"/>
      <c r="M65" s="43"/>
      <c r="N65" s="9"/>
      <c r="O65" s="66"/>
      <c r="P65" s="66"/>
      <c r="Q65" s="95" t="s">
        <v>864</v>
      </c>
      <c r="R65" s="4"/>
      <c r="S65" s="4"/>
      <c r="T65" s="4"/>
      <c r="U65" s="4"/>
      <c r="V65" s="4"/>
      <c r="W65" s="4"/>
      <c r="X65" s="4"/>
      <c r="Y65" s="4"/>
      <c r="Z65" s="4"/>
      <c r="AA65" s="4"/>
      <c r="AB65" s="4"/>
      <c r="AC65" s="4"/>
      <c r="AD65" s="4"/>
      <c r="AE65" s="243" t="s">
        <v>181</v>
      </c>
      <c r="AF65" s="4"/>
      <c r="AG65" s="4"/>
      <c r="AH65" s="4"/>
      <c r="AI65" s="4"/>
      <c r="AJ65" s="4"/>
      <c r="AK65" s="4"/>
      <c r="AL65" s="4"/>
      <c r="AM65" s="4"/>
      <c r="AN65" s="4"/>
      <c r="AO65" s="4"/>
      <c r="AP65" s="4"/>
      <c r="AQ65" s="4"/>
      <c r="AR65" s="4"/>
      <c r="AS65" s="4"/>
      <c r="AT65" s="4"/>
      <c r="AU65" s="4"/>
    </row>
    <row r="66" spans="1:47" ht="15" x14ac:dyDescent="0.25">
      <c r="A66" s="534"/>
      <c r="B66" s="534" t="s">
        <v>839</v>
      </c>
      <c r="C66" s="535"/>
      <c r="D66" s="535"/>
      <c r="E66" s="536"/>
      <c r="F66" s="536"/>
      <c r="G66" s="536"/>
      <c r="H66" s="536"/>
      <c r="I66" s="536"/>
      <c r="J66" s="536"/>
      <c r="K66" s="536"/>
      <c r="L66" s="497"/>
      <c r="M66" s="43"/>
      <c r="N66" s="9"/>
      <c r="O66" s="66"/>
      <c r="P66" s="66"/>
      <c r="Q66" s="534" t="s">
        <v>839</v>
      </c>
      <c r="R66" s="535"/>
      <c r="S66" s="535"/>
      <c r="T66" s="535"/>
      <c r="U66" s="535"/>
      <c r="V66" s="536"/>
      <c r="W66" s="536"/>
      <c r="X66" s="536"/>
      <c r="Y66" s="507"/>
      <c r="Z66" s="507"/>
      <c r="AA66" s="507"/>
      <c r="AB66" s="507"/>
      <c r="AC66" s="4"/>
      <c r="AD66" s="4"/>
      <c r="AE66" s="534" t="s">
        <v>839</v>
      </c>
      <c r="AF66" s="535"/>
      <c r="AG66" s="535"/>
      <c r="AH66" s="535"/>
      <c r="AI66" s="535"/>
      <c r="AJ66" s="536"/>
      <c r="AK66" s="536"/>
      <c r="AL66" s="536"/>
      <c r="AM66" s="507"/>
      <c r="AN66" s="507"/>
      <c r="AO66" s="507"/>
      <c r="AP66" s="507"/>
      <c r="AQ66" s="4"/>
      <c r="AR66" s="4"/>
      <c r="AS66" s="4"/>
      <c r="AT66" s="4"/>
      <c r="AU66" s="4"/>
    </row>
    <row r="67" spans="1:47" x14ac:dyDescent="0.2">
      <c r="A67" s="4"/>
      <c r="C67" s="43"/>
      <c r="D67" s="43"/>
      <c r="E67" s="497" t="s">
        <v>348</v>
      </c>
      <c r="F67" s="497"/>
      <c r="G67" s="497"/>
      <c r="H67" s="497"/>
      <c r="I67" s="498"/>
      <c r="J67" s="498"/>
      <c r="K67" s="498"/>
      <c r="L67" s="497"/>
      <c r="M67" s="43"/>
      <c r="N67" s="9"/>
      <c r="O67" s="66"/>
      <c r="P67" s="66"/>
      <c r="Q67" s="497" t="s">
        <v>348</v>
      </c>
      <c r="R67" s="497"/>
      <c r="S67" s="497"/>
      <c r="T67" s="497"/>
      <c r="U67" s="497"/>
      <c r="V67" s="4"/>
      <c r="W67" s="4"/>
      <c r="X67" s="4"/>
      <c r="Y67" s="4"/>
      <c r="Z67" s="4"/>
      <c r="AA67" s="4"/>
      <c r="AB67" s="4"/>
      <c r="AC67" s="4"/>
      <c r="AD67" s="4"/>
      <c r="AE67" s="497" t="s">
        <v>348</v>
      </c>
      <c r="AF67" s="497"/>
      <c r="AG67" s="497"/>
      <c r="AH67" s="497"/>
      <c r="AI67" s="497"/>
      <c r="AJ67" s="4"/>
      <c r="AK67" s="4"/>
      <c r="AL67" s="4"/>
      <c r="AM67" s="4"/>
      <c r="AN67" s="4"/>
      <c r="AO67" s="4"/>
      <c r="AP67" s="4"/>
      <c r="AQ67" s="4"/>
      <c r="AR67" s="4"/>
      <c r="AS67" s="4"/>
      <c r="AT67" s="4"/>
      <c r="AU67" s="4"/>
    </row>
    <row r="68" spans="1:47" x14ac:dyDescent="0.2">
      <c r="A68" s="4"/>
      <c r="B68" s="15"/>
      <c r="C68" s="537"/>
      <c r="D68" s="537"/>
      <c r="E68" s="538">
        <f>E8</f>
        <v>2009</v>
      </c>
      <c r="F68" s="538">
        <f t="shared" ref="F68:K68" si="22">F8</f>
        <v>2010</v>
      </c>
      <c r="G68" s="538">
        <f t="shared" si="22"/>
        <v>2011</v>
      </c>
      <c r="H68" s="538">
        <f t="shared" si="22"/>
        <v>2012</v>
      </c>
      <c r="I68" s="538">
        <f t="shared" si="22"/>
        <v>2013</v>
      </c>
      <c r="J68" s="538">
        <f t="shared" si="22"/>
        <v>2014</v>
      </c>
      <c r="K68" s="538">
        <f t="shared" si="22"/>
        <v>2015</v>
      </c>
      <c r="L68" s="497"/>
      <c r="M68" s="43"/>
      <c r="N68" s="9"/>
      <c r="O68" s="66"/>
      <c r="P68" s="66"/>
      <c r="Q68" s="538">
        <f>Q8</f>
        <v>2013</v>
      </c>
      <c r="R68" s="538">
        <f>R8</f>
        <v>2014</v>
      </c>
      <c r="S68" s="538">
        <f>S8</f>
        <v>2015</v>
      </c>
      <c r="T68" s="538">
        <f>T8</f>
        <v>2016</v>
      </c>
      <c r="U68" s="538">
        <f>U8</f>
        <v>2017</v>
      </c>
      <c r="V68" s="4"/>
      <c r="W68" s="4"/>
      <c r="X68" s="4"/>
      <c r="Y68" s="4"/>
      <c r="Z68" s="4"/>
      <c r="AA68" s="4"/>
      <c r="AB68" s="4"/>
      <c r="AC68" s="4"/>
      <c r="AD68" s="4"/>
      <c r="AE68" s="538">
        <f>AE8</f>
        <v>2013</v>
      </c>
      <c r="AF68" s="538">
        <f>AF8</f>
        <v>2014</v>
      </c>
      <c r="AG68" s="538">
        <f>AG8</f>
        <v>2015</v>
      </c>
      <c r="AH68" s="538">
        <f>AH8</f>
        <v>2016</v>
      </c>
      <c r="AI68" s="538">
        <f>AI8</f>
        <v>2017</v>
      </c>
      <c r="AJ68" s="4"/>
      <c r="AK68" s="4"/>
      <c r="AL68" s="4"/>
      <c r="AM68" s="4"/>
      <c r="AN68" s="4"/>
      <c r="AO68" s="4"/>
      <c r="AP68" s="4"/>
      <c r="AQ68" s="4"/>
      <c r="AR68" s="4"/>
      <c r="AS68" s="4"/>
      <c r="AT68" s="4"/>
      <c r="AU68" s="4"/>
    </row>
    <row r="69" spans="1:47" x14ac:dyDescent="0.2">
      <c r="A69" s="4"/>
      <c r="B69" s="4" t="s">
        <v>842</v>
      </c>
      <c r="C69" s="43"/>
      <c r="D69" s="43"/>
      <c r="E69" s="543"/>
      <c r="F69" s="543">
        <f t="shared" ref="F69:K69" si="23">F23/F127</f>
        <v>4.7322508496620008E-2</v>
      </c>
      <c r="G69" s="543">
        <f t="shared" si="23"/>
        <v>2.4947712243044214E-2</v>
      </c>
      <c r="H69" s="543">
        <f t="shared" si="23"/>
        <v>3.3595158829241224E-2</v>
      </c>
      <c r="I69" s="543">
        <f t="shared" si="23"/>
        <v>4.1191327053619442E-2</v>
      </c>
      <c r="J69" s="543">
        <f t="shared" si="23"/>
        <v>3.3211204097751648E-2</v>
      </c>
      <c r="K69" s="543">
        <f t="shared" si="23"/>
        <v>2.5286534920155018E-2</v>
      </c>
      <c r="L69" s="497"/>
      <c r="M69" s="43"/>
      <c r="N69" s="9"/>
      <c r="O69" s="66"/>
      <c r="P69" s="66"/>
      <c r="Q69" s="543">
        <f>Q23/Q127</f>
        <v>3.6939121522228467E-2</v>
      </c>
      <c r="R69" s="543">
        <f>R23/R127</f>
        <v>3.2737101530174471E-2</v>
      </c>
      <c r="S69" s="543">
        <f>S23/S127</f>
        <v>2.0185157174451466E-2</v>
      </c>
      <c r="T69" s="543">
        <f>T23/T127</f>
        <v>1.9918681736506749E-2</v>
      </c>
      <c r="U69" s="543">
        <f>U23/U127</f>
        <v>2.0197863787562387E-2</v>
      </c>
      <c r="V69" s="4"/>
      <c r="W69" s="4"/>
      <c r="X69" s="4"/>
      <c r="Y69" s="4"/>
      <c r="Z69" s="4"/>
      <c r="AA69" s="4"/>
      <c r="AB69" s="4"/>
      <c r="AC69" s="4"/>
      <c r="AD69" s="4"/>
      <c r="AE69" s="543">
        <f>AE23/AE127</f>
        <v>2.8400806043627318E-2</v>
      </c>
      <c r="AF69" s="543">
        <f>AF23/AF127</f>
        <v>2.7610524395471112E-2</v>
      </c>
      <c r="AG69" s="543">
        <f>AG23/AG127</f>
        <v>2.7110761176698091E-2</v>
      </c>
      <c r="AH69" s="543">
        <f>AH23/AH127</f>
        <v>3.5823679441162014E-2</v>
      </c>
      <c r="AI69" s="543">
        <f>AI23/AI127</f>
        <v>2.8735642830939791E-2</v>
      </c>
      <c r="AJ69" s="4"/>
      <c r="AK69" s="4"/>
      <c r="AL69" s="4"/>
      <c r="AM69" s="4"/>
      <c r="AN69" s="4"/>
      <c r="AO69" s="4"/>
      <c r="AP69" s="4"/>
      <c r="AQ69" s="4"/>
      <c r="AR69" s="4"/>
      <c r="AS69" s="4"/>
      <c r="AT69" s="4"/>
      <c r="AU69" s="4"/>
    </row>
    <row r="70" spans="1:47" x14ac:dyDescent="0.2">
      <c r="A70" s="4"/>
      <c r="B70" s="93" t="s">
        <v>840</v>
      </c>
      <c r="C70" s="548"/>
      <c r="D70" s="548"/>
      <c r="E70" s="549"/>
      <c r="F70" s="549">
        <f t="shared" ref="F70:K70" si="24">SUM(F11:F12)/F129+F16/F130</f>
        <v>6.3443638799236077E-2</v>
      </c>
      <c r="G70" s="549">
        <f t="shared" si="24"/>
        <v>4.1233315662082673E-2</v>
      </c>
      <c r="H70" s="549">
        <f t="shared" si="24"/>
        <v>6.2963510022915531E-2</v>
      </c>
      <c r="I70" s="549">
        <f t="shared" si="24"/>
        <v>7.2145874530598259E-2</v>
      </c>
      <c r="J70" s="549">
        <f t="shared" si="24"/>
        <v>5.4181648730942791E-2</v>
      </c>
      <c r="K70" s="549">
        <f t="shared" si="24"/>
        <v>3.8932502262888982E-2</v>
      </c>
      <c r="L70" s="497"/>
      <c r="M70" s="43"/>
      <c r="N70" s="9"/>
      <c r="O70" s="66"/>
      <c r="P70" s="66"/>
      <c r="Q70" s="549"/>
      <c r="R70" s="93"/>
      <c r="S70" s="93"/>
      <c r="T70" s="93"/>
      <c r="U70" s="93"/>
      <c r="V70" s="4"/>
      <c r="W70" s="4"/>
      <c r="X70" s="4"/>
      <c r="Y70" s="4"/>
      <c r="Z70" s="4"/>
      <c r="AA70" s="4"/>
      <c r="AB70" s="4"/>
      <c r="AC70" s="4"/>
      <c r="AD70" s="4"/>
      <c r="AE70" s="549"/>
      <c r="AF70" s="93"/>
      <c r="AG70" s="93"/>
      <c r="AH70" s="93"/>
      <c r="AI70" s="93"/>
      <c r="AJ70" s="4"/>
      <c r="AK70" s="4"/>
      <c r="AL70" s="4"/>
      <c r="AM70" s="4"/>
      <c r="AN70" s="4"/>
      <c r="AO70" s="4"/>
      <c r="AP70" s="4"/>
      <c r="AQ70" s="4"/>
      <c r="AR70" s="4"/>
      <c r="AS70" s="4"/>
      <c r="AT70" s="4"/>
      <c r="AU70" s="4"/>
    </row>
    <row r="71" spans="1:47" x14ac:dyDescent="0.2">
      <c r="A71" s="4"/>
      <c r="B71" s="4" t="s">
        <v>846</v>
      </c>
      <c r="C71" s="43"/>
      <c r="D71" s="43"/>
      <c r="E71" s="543"/>
      <c r="F71" s="543">
        <f t="shared" ref="F71:K71" si="25">F62/F127</f>
        <v>-8.3292105480801376E-2</v>
      </c>
      <c r="G71" s="543">
        <f t="shared" si="25"/>
        <v>2.5784609635024769E-2</v>
      </c>
      <c r="H71" s="543">
        <f t="shared" si="25"/>
        <v>2.4070368194441045E-2</v>
      </c>
      <c r="I71" s="543">
        <f t="shared" si="25"/>
        <v>2.5806358869186016E-2</v>
      </c>
      <c r="J71" s="543">
        <f t="shared" si="25"/>
        <v>1.2773540037596778E-3</v>
      </c>
      <c r="K71" s="543">
        <f t="shared" si="25"/>
        <v>6.596487370475212E-4</v>
      </c>
      <c r="L71" s="497"/>
      <c r="M71" s="43"/>
      <c r="N71" s="9"/>
      <c r="O71" s="66"/>
      <c r="P71" s="66"/>
      <c r="Q71" s="543">
        <f>Q62/Q127</f>
        <v>1.8589262218198916E-2</v>
      </c>
      <c r="R71" s="543">
        <f>R62/R127</f>
        <v>8.7476615034043793E-3</v>
      </c>
      <c r="S71" s="543">
        <f>S62/S127</f>
        <v>2.3977188058463199E-3</v>
      </c>
      <c r="T71" s="543">
        <f>T62/T127</f>
        <v>1.1399275126791411E-2</v>
      </c>
      <c r="U71" s="543">
        <f>U62/U127</f>
        <v>9.5028837234070428E-3</v>
      </c>
      <c r="V71" s="4"/>
      <c r="W71" s="4"/>
      <c r="X71" s="4"/>
      <c r="Y71" s="4"/>
      <c r="Z71" s="4"/>
      <c r="AA71" s="4"/>
      <c r="AB71" s="4"/>
      <c r="AC71" s="4"/>
      <c r="AD71" s="4"/>
      <c r="AE71" s="543">
        <f>AE62/AE127</f>
        <v>1.0635326602506896E-2</v>
      </c>
      <c r="AF71" s="543">
        <f>AF62/AF127</f>
        <v>1.0006130153587794E-2</v>
      </c>
      <c r="AG71" s="543">
        <f>AG62/AG127</f>
        <v>1.038053505982677E-2</v>
      </c>
      <c r="AH71" s="543">
        <f>AH62/AH127</f>
        <v>2.196968666444888E-2</v>
      </c>
      <c r="AI71" s="543">
        <f>AI62/AI127</f>
        <v>9.577714261724898E-3</v>
      </c>
      <c r="AJ71" s="4"/>
      <c r="AK71" s="4"/>
      <c r="AL71" s="4"/>
      <c r="AM71" s="4"/>
      <c r="AN71" s="4"/>
      <c r="AO71" s="4"/>
      <c r="AP71" s="4"/>
      <c r="AQ71" s="4"/>
      <c r="AR71" s="4"/>
      <c r="AS71" s="4"/>
      <c r="AT71" s="4"/>
      <c r="AU71" s="4"/>
    </row>
    <row r="72" spans="1:47" x14ac:dyDescent="0.2">
      <c r="A72" s="4"/>
      <c r="B72" s="93" t="s">
        <v>847</v>
      </c>
      <c r="C72" s="548"/>
      <c r="D72" s="548"/>
      <c r="E72" s="549"/>
      <c r="F72" s="549">
        <f t="shared" ref="F72:K72" si="26">F62/F128</f>
        <v>-1.1463276325413589</v>
      </c>
      <c r="G72" s="549">
        <f t="shared" si="26"/>
        <v>0.24636709367494011</v>
      </c>
      <c r="H72" s="549">
        <f t="shared" si="26"/>
        <v>0.16096468542001782</v>
      </c>
      <c r="I72" s="549">
        <f t="shared" si="26"/>
        <v>0.18614524207300198</v>
      </c>
      <c r="J72" s="549">
        <f t="shared" si="26"/>
        <v>1.1890862689519907E-2</v>
      </c>
      <c r="K72" s="549">
        <f t="shared" si="26"/>
        <v>6.2926061877294085E-3</v>
      </c>
      <c r="L72" s="497"/>
      <c r="M72" s="43"/>
      <c r="N72" s="9"/>
      <c r="O72" s="66"/>
      <c r="P72" s="66"/>
      <c r="Q72" s="549">
        <f>Q62/Q128</f>
        <v>0.15084460228566221</v>
      </c>
      <c r="R72" s="549">
        <f>R62/R128</f>
        <v>7.8811688354999451E-2</v>
      </c>
      <c r="S72" s="549">
        <f>S62/S128</f>
        <v>2.2743106807580273E-2</v>
      </c>
      <c r="T72" s="549">
        <f>T62/T128</f>
        <v>0.11500269131540286</v>
      </c>
      <c r="U72" s="549">
        <f>U62/U128</f>
        <v>8.9357755358677349E-2</v>
      </c>
      <c r="V72" s="4"/>
      <c r="W72" s="4"/>
      <c r="X72" s="4"/>
      <c r="Y72" s="4"/>
      <c r="Z72" s="4"/>
      <c r="AA72" s="4"/>
      <c r="AB72" s="4"/>
      <c r="AC72" s="4"/>
      <c r="AD72" s="4"/>
      <c r="AE72" s="549">
        <f>AE62/AE128</f>
        <v>9.4908915827935994E-2</v>
      </c>
      <c r="AF72" s="549">
        <f>AF62/AF128</f>
        <v>8.9579572358921333E-2</v>
      </c>
      <c r="AG72" s="549">
        <f>AG62/AG128</f>
        <v>9.2472546189105012E-2</v>
      </c>
      <c r="AH72" s="549">
        <f>AH62/AH128</f>
        <v>0.19568401932346846</v>
      </c>
      <c r="AI72" s="549">
        <f>AI62/AI128</f>
        <v>8.5349429171902622E-2</v>
      </c>
      <c r="AJ72" s="4"/>
      <c r="AK72" s="4"/>
      <c r="AL72" s="4"/>
      <c r="AM72" s="4"/>
      <c r="AN72" s="4"/>
      <c r="AO72" s="4"/>
      <c r="AP72" s="4"/>
      <c r="AQ72" s="4"/>
      <c r="AR72" s="4"/>
      <c r="AS72" s="4"/>
      <c r="AT72" s="4"/>
      <c r="AU72" s="4"/>
    </row>
    <row r="73" spans="1:47" x14ac:dyDescent="0.2">
      <c r="A73" s="4"/>
      <c r="B73" s="4" t="s">
        <v>848</v>
      </c>
      <c r="C73" s="43"/>
      <c r="D73" s="43"/>
      <c r="E73" s="543"/>
      <c r="F73" s="545">
        <f t="shared" ref="F73:K73" si="27">-(F25+F26)/(F23+F24)</f>
        <v>0.41758805791398451</v>
      </c>
      <c r="G73" s="545">
        <f t="shared" si="27"/>
        <v>0.66206395348837221</v>
      </c>
      <c r="H73" s="545">
        <f t="shared" si="27"/>
        <v>0.54081675392670148</v>
      </c>
      <c r="I73" s="545">
        <f t="shared" si="27"/>
        <v>0.46192648850851581</v>
      </c>
      <c r="J73" s="545">
        <f t="shared" si="27"/>
        <v>0.49740259740259735</v>
      </c>
      <c r="K73" s="545">
        <f t="shared" si="27"/>
        <v>0.59370078740157484</v>
      </c>
      <c r="L73" s="497"/>
      <c r="M73" s="43"/>
      <c r="N73" s="9"/>
      <c r="O73" s="66"/>
      <c r="P73" s="66"/>
      <c r="Q73" s="545">
        <f>-(Q25+Q26)/(Q23+Q24)</f>
        <v>0.47882361400733442</v>
      </c>
      <c r="R73" s="545">
        <f>-(R25+R26)/(R23+R24)</f>
        <v>0.45788426995124454</v>
      </c>
      <c r="S73" s="545">
        <f>-(S25+S26)/(S23+S24)</f>
        <v>0.55552559608643748</v>
      </c>
      <c r="T73" s="545">
        <f>-(T25+T26)/(T23+T24)</f>
        <v>0.62958395299067793</v>
      </c>
      <c r="U73" s="545">
        <f>-(U25+U26)/(U23+U24)</f>
        <v>0.61130407325544656</v>
      </c>
      <c r="V73" s="4"/>
      <c r="W73" s="4"/>
      <c r="X73" s="4"/>
      <c r="Y73" s="4"/>
      <c r="Z73" s="4"/>
      <c r="AA73" s="4"/>
      <c r="AB73" s="4"/>
      <c r="AC73" s="4"/>
      <c r="AD73" s="4"/>
      <c r="AE73" s="545">
        <f>-(AE25+AE26)/(AE23+AE24)</f>
        <v>0.62209108894179665</v>
      </c>
      <c r="AF73" s="545">
        <f>-(AF25+AF26)/(AF23+AF24)</f>
        <v>0.63330451132088628</v>
      </c>
      <c r="AG73" s="545">
        <f>-(AG25+AG26)/(AG23+AG24)</f>
        <v>0.60874500695819855</v>
      </c>
      <c r="AH73" s="545">
        <f>-(AH25+AH26)/(AH23+AH24)</f>
        <v>0.29824508529821864</v>
      </c>
      <c r="AI73" s="545">
        <f>-(AI25+AI26)/(AI23+AI24)</f>
        <v>0.58903955567792121</v>
      </c>
      <c r="AJ73" s="4"/>
      <c r="AK73" s="4"/>
      <c r="AL73" s="4"/>
      <c r="AM73" s="4"/>
      <c r="AN73" s="4"/>
      <c r="AO73" s="4"/>
      <c r="AP73" s="4"/>
      <c r="AQ73" s="4"/>
      <c r="AR73" s="4"/>
      <c r="AS73" s="4"/>
      <c r="AT73" s="4"/>
      <c r="AU73" s="4"/>
    </row>
    <row r="74" spans="1:47" x14ac:dyDescent="0.2">
      <c r="A74" s="4"/>
      <c r="B74" s="93" t="s">
        <v>851</v>
      </c>
      <c r="C74" s="548"/>
      <c r="D74" s="548"/>
      <c r="E74" s="553"/>
      <c r="F74" s="553">
        <f t="shared" ref="F74:K74" si="28">F62/F136*1000</f>
        <v>-6.7987911873659597</v>
      </c>
      <c r="G74" s="553">
        <f t="shared" si="28"/>
        <v>2.4279514745043911</v>
      </c>
      <c r="H74" s="553">
        <f t="shared" si="28"/>
        <v>2.1908556397957608</v>
      </c>
      <c r="I74" s="553">
        <f t="shared" si="28"/>
        <v>2.056010034904014</v>
      </c>
      <c r="J74" s="553">
        <f t="shared" si="28"/>
        <v>0.11281376327911997</v>
      </c>
      <c r="K74" s="553">
        <f t="shared" si="28"/>
        <v>6.575702778234413E-2</v>
      </c>
      <c r="L74" s="497"/>
      <c r="M74" s="43"/>
      <c r="N74" s="9"/>
      <c r="O74" s="66"/>
      <c r="P74" s="66"/>
      <c r="Q74" s="553">
        <f>Q62/Q136*1000</f>
        <v>1.1902994011976042</v>
      </c>
      <c r="R74" s="553">
        <f>R62/R136*1000</f>
        <v>0.6218947368421055</v>
      </c>
      <c r="S74" s="553">
        <f>S62/S136*1000</f>
        <v>0.22983293556085149</v>
      </c>
      <c r="T74" s="553">
        <f>T62/T136*1000</f>
        <v>1.1433703220726741</v>
      </c>
      <c r="U74" s="553">
        <f>U62/U136*1000</f>
        <v>0.9659720357492837</v>
      </c>
      <c r="V74" s="4"/>
      <c r="W74" s="4"/>
      <c r="X74" s="4"/>
      <c r="Y74" s="4"/>
      <c r="Z74" s="4"/>
      <c r="AA74" s="4"/>
      <c r="AB74" s="4"/>
      <c r="AC74" s="4"/>
      <c r="AD74" s="4"/>
      <c r="AE74" s="553">
        <f>AE75*AE138/1000</f>
        <v>2.4468638920609518</v>
      </c>
      <c r="AF74" s="553">
        <f>AF75*AF138/1000</f>
        <v>4.1463047825497616</v>
      </c>
      <c r="AG74" s="553">
        <f>AG75*AG138/1000</f>
        <v>5.832161774632584</v>
      </c>
      <c r="AH74" s="553">
        <f>AH75*AH138/1000</f>
        <v>10.571306349629118</v>
      </c>
      <c r="AI74" s="553">
        <f>AI75*AI138/1000</f>
        <v>4.502492582627446</v>
      </c>
      <c r="AJ74" s="4"/>
      <c r="AK74" s="4"/>
      <c r="AL74" s="4"/>
      <c r="AM74" s="4"/>
      <c r="AN74" s="4"/>
      <c r="AO74" s="4"/>
      <c r="AP74" s="4"/>
      <c r="AQ74" s="4"/>
      <c r="AR74" s="4"/>
      <c r="AS74" s="4"/>
      <c r="AT74" s="4"/>
      <c r="AU74" s="4"/>
    </row>
    <row r="75" spans="1:47" x14ac:dyDescent="0.2">
      <c r="A75" s="4"/>
      <c r="B75" s="4" t="s">
        <v>853</v>
      </c>
      <c r="C75" s="43"/>
      <c r="D75" s="43"/>
      <c r="E75" s="519"/>
      <c r="F75" s="519">
        <f t="shared" ref="F75:K75" si="29">F74/F138*1000</f>
        <v>-223.08014225088377</v>
      </c>
      <c r="G75" s="519">
        <f t="shared" si="29"/>
        <v>75.411353378340579</v>
      </c>
      <c r="H75" s="519">
        <f t="shared" si="29"/>
        <v>72.132396520420016</v>
      </c>
      <c r="I75" s="519">
        <f t="shared" si="29"/>
        <v>62.818829513217992</v>
      </c>
      <c r="J75" s="519">
        <f t="shared" si="29"/>
        <v>2.0052785589195565</v>
      </c>
      <c r="K75" s="519">
        <f t="shared" si="29"/>
        <v>0.90223095168461276</v>
      </c>
      <c r="L75" s="497"/>
      <c r="M75" s="43"/>
      <c r="N75" s="9"/>
      <c r="O75" s="66"/>
      <c r="P75" s="66"/>
      <c r="Q75" s="519">
        <f>Q74/Q138*1000</f>
        <v>36.368117802989516</v>
      </c>
      <c r="R75" s="519">
        <f>R74/R138*1000</f>
        <v>11.054255663902731</v>
      </c>
      <c r="S75" s="519">
        <f>S74/S138*1000</f>
        <v>3.1534635182402888</v>
      </c>
      <c r="T75" s="519">
        <f>T74/T138*1000</f>
        <v>18.849798161011758</v>
      </c>
      <c r="U75" s="519">
        <f>U74/U138*1000</f>
        <v>16.77028961269724</v>
      </c>
      <c r="V75" s="4"/>
      <c r="W75" s="4"/>
      <c r="X75" s="4"/>
      <c r="Y75" s="4"/>
      <c r="Z75" s="4"/>
      <c r="AA75" s="4"/>
      <c r="AB75" s="4"/>
      <c r="AC75" s="4"/>
      <c r="AD75" s="4"/>
      <c r="AE75" s="519">
        <f>AE62/AE136*1000000</f>
        <v>74.760883005418776</v>
      </c>
      <c r="AF75" s="519">
        <f>AF62/AF136*1000000</f>
        <v>73.70107899531024</v>
      </c>
      <c r="AG75" s="519">
        <f>AG62/AG136*1000000</f>
        <v>80.02120907475414</v>
      </c>
      <c r="AH75" s="519">
        <f>AH62/AH136*1000000</f>
        <v>174.2803596891552</v>
      </c>
      <c r="AI75" s="519">
        <f>AI62/AI136*1000000</f>
        <v>78.168002587273051</v>
      </c>
      <c r="AJ75" s="4"/>
      <c r="AK75" s="4"/>
      <c r="AL75" s="4"/>
      <c r="AM75" s="4"/>
      <c r="AN75" s="4"/>
      <c r="AO75" s="4"/>
      <c r="AP75" s="4"/>
      <c r="AQ75" s="4"/>
      <c r="AR75" s="4"/>
      <c r="AS75" s="4"/>
      <c r="AT75" s="4"/>
      <c r="AU75" s="4"/>
    </row>
    <row r="76" spans="1:47" x14ac:dyDescent="0.2">
      <c r="A76" s="4"/>
      <c r="B76" s="93" t="s">
        <v>871</v>
      </c>
      <c r="C76" s="548"/>
      <c r="D76" s="548"/>
      <c r="E76" s="549"/>
      <c r="F76" s="590">
        <f t="shared" ref="F76:K76" si="30">F131/F132</f>
        <v>0.86171802065147152</v>
      </c>
      <c r="G76" s="590">
        <f t="shared" si="30"/>
        <v>0.88370500223301318</v>
      </c>
      <c r="H76" s="590">
        <f t="shared" si="30"/>
        <v>0.88568346074871529</v>
      </c>
      <c r="I76" s="590">
        <f t="shared" si="30"/>
        <v>0.88880054130123531</v>
      </c>
      <c r="J76" s="590">
        <f t="shared" si="30"/>
        <v>0.9130618571227278</v>
      </c>
      <c r="K76" s="590">
        <f t="shared" si="30"/>
        <v>0.89093559501722774</v>
      </c>
      <c r="L76" s="497"/>
      <c r="M76" s="43"/>
      <c r="N76" s="9"/>
      <c r="O76" s="66"/>
      <c r="P76" s="66"/>
      <c r="Q76" s="549"/>
      <c r="R76" s="93"/>
      <c r="S76" s="93"/>
      <c r="T76" s="93"/>
      <c r="U76" s="93"/>
      <c r="V76" s="4"/>
      <c r="W76" s="4"/>
      <c r="X76" s="4"/>
      <c r="Y76" s="4"/>
      <c r="Z76" s="4"/>
      <c r="AA76" s="4"/>
      <c r="AB76" s="4"/>
      <c r="AC76" s="4"/>
      <c r="AD76" s="4"/>
      <c r="AE76" s="549"/>
      <c r="AF76" s="93"/>
      <c r="AG76" s="93"/>
      <c r="AH76" s="93"/>
      <c r="AI76" s="93"/>
      <c r="AJ76" s="4"/>
      <c r="AK76" s="4"/>
      <c r="AL76" s="4"/>
      <c r="AM76" s="4"/>
      <c r="AN76" s="4"/>
      <c r="AO76" s="4"/>
      <c r="AP76" s="4"/>
      <c r="AQ76" s="4"/>
      <c r="AR76" s="4"/>
      <c r="AS76" s="4"/>
      <c r="AT76" s="4"/>
      <c r="AU76" s="4"/>
    </row>
    <row r="77" spans="1:47" x14ac:dyDescent="0.2">
      <c r="A77" s="4"/>
      <c r="B77" s="4"/>
      <c r="C77" s="43"/>
      <c r="D77" s="43"/>
      <c r="E77" s="497"/>
      <c r="F77" s="497"/>
      <c r="G77" s="497"/>
      <c r="H77" s="497"/>
      <c r="I77" s="498"/>
      <c r="J77" s="498"/>
      <c r="K77" s="498"/>
      <c r="L77" s="497"/>
      <c r="M77" s="43"/>
      <c r="N77" s="9"/>
      <c r="O77" s="66"/>
      <c r="P77" s="66"/>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row>
    <row r="78" spans="1:47" x14ac:dyDescent="0.2">
      <c r="A78" s="4"/>
      <c r="B78" s="4"/>
      <c r="C78" s="43"/>
      <c r="D78" s="43"/>
      <c r="E78" s="497"/>
      <c r="F78" s="497"/>
      <c r="G78" s="497"/>
      <c r="H78" s="497"/>
      <c r="I78" s="498"/>
      <c r="J78" s="498"/>
      <c r="K78" s="498"/>
      <c r="L78" s="497"/>
      <c r="M78" s="43"/>
      <c r="N78" s="9"/>
      <c r="O78" s="66"/>
      <c r="P78" s="66"/>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spans="1:47" x14ac:dyDescent="0.2">
      <c r="A79" s="4"/>
      <c r="B79" s="4"/>
      <c r="C79" s="43"/>
      <c r="D79" s="43"/>
      <c r="E79" s="497"/>
      <c r="F79" s="497"/>
      <c r="G79" s="497"/>
      <c r="H79" s="497"/>
      <c r="I79" s="498"/>
      <c r="J79" s="498"/>
      <c r="K79" s="498"/>
      <c r="L79" s="497"/>
      <c r="M79" s="43"/>
      <c r="N79" s="9"/>
      <c r="O79" s="66"/>
      <c r="P79" s="66"/>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spans="1:47" ht="15" x14ac:dyDescent="0.25">
      <c r="A80" s="4"/>
      <c r="B80" s="4"/>
      <c r="C80" s="43"/>
      <c r="D80" s="43"/>
      <c r="E80" s="497"/>
      <c r="F80" s="497"/>
      <c r="G80" s="497"/>
      <c r="H80" s="497"/>
      <c r="I80" s="498"/>
      <c r="J80" s="498"/>
      <c r="K80" s="498"/>
      <c r="L80" s="497"/>
      <c r="M80" s="43"/>
      <c r="N80" s="9"/>
      <c r="O80" s="66"/>
      <c r="P80" s="66"/>
      <c r="Q80" s="95" t="s">
        <v>864</v>
      </c>
      <c r="R80" s="4"/>
      <c r="S80" s="4"/>
      <c r="T80" s="4"/>
      <c r="U80" s="4"/>
      <c r="V80" s="4"/>
      <c r="W80" s="4"/>
      <c r="X80" s="4"/>
      <c r="Y80" s="4"/>
      <c r="Z80" s="4"/>
      <c r="AA80" s="4"/>
      <c r="AB80" s="4"/>
      <c r="AC80" s="4"/>
      <c r="AD80" s="4"/>
      <c r="AE80" s="243" t="s">
        <v>181</v>
      </c>
      <c r="AF80" s="4"/>
      <c r="AG80" s="4"/>
      <c r="AH80" s="4"/>
      <c r="AI80" s="4"/>
      <c r="AJ80" s="4"/>
      <c r="AK80" s="4"/>
      <c r="AL80" s="4"/>
      <c r="AM80" s="4"/>
      <c r="AN80" s="4"/>
      <c r="AO80" s="4"/>
      <c r="AP80" s="4"/>
      <c r="AQ80" s="4"/>
      <c r="AR80" s="4"/>
      <c r="AS80" s="4"/>
      <c r="AT80" s="4"/>
      <c r="AU80" s="4"/>
    </row>
    <row r="81" spans="1:47" ht="15" x14ac:dyDescent="0.25">
      <c r="A81" s="534"/>
      <c r="B81" s="534" t="s">
        <v>154</v>
      </c>
      <c r="C81" s="535"/>
      <c r="D81" s="535"/>
      <c r="E81" s="536"/>
      <c r="F81" s="536"/>
      <c r="G81" s="536"/>
      <c r="H81" s="536"/>
      <c r="I81" s="536"/>
      <c r="J81" s="536"/>
      <c r="K81" s="536"/>
      <c r="L81" s="497"/>
      <c r="M81" s="43"/>
      <c r="N81" s="9"/>
      <c r="O81" s="66"/>
      <c r="P81" s="66"/>
      <c r="Q81" s="534" t="s">
        <v>154</v>
      </c>
      <c r="R81" s="535"/>
      <c r="S81" s="535"/>
      <c r="T81" s="535"/>
      <c r="U81" s="535"/>
      <c r="V81" s="507"/>
      <c r="W81" s="507"/>
      <c r="X81" s="507"/>
      <c r="Y81" s="507"/>
      <c r="Z81" s="507"/>
      <c r="AA81" s="507"/>
      <c r="AB81" s="507"/>
      <c r="AC81" s="4"/>
      <c r="AD81" s="4"/>
      <c r="AE81" s="534" t="s">
        <v>154</v>
      </c>
      <c r="AF81" s="535"/>
      <c r="AG81" s="535"/>
      <c r="AH81" s="535"/>
      <c r="AI81" s="535"/>
      <c r="AJ81" s="507"/>
      <c r="AK81" s="507"/>
      <c r="AL81" s="507"/>
      <c r="AM81" s="507"/>
      <c r="AN81" s="507"/>
      <c r="AO81" s="507"/>
      <c r="AP81" s="507"/>
      <c r="AQ81" s="4"/>
      <c r="AR81" s="4"/>
      <c r="AS81" s="4"/>
      <c r="AT81" s="4"/>
      <c r="AU81" s="4"/>
    </row>
    <row r="82" spans="1:47" ht="15" x14ac:dyDescent="0.25">
      <c r="A82" s="4"/>
      <c r="C82" s="43"/>
      <c r="D82" s="43"/>
      <c r="E82" s="497" t="s">
        <v>348</v>
      </c>
      <c r="F82" s="497"/>
      <c r="G82" s="497"/>
      <c r="H82" s="497"/>
      <c r="I82" s="498"/>
      <c r="J82" s="498"/>
      <c r="K82" s="498"/>
      <c r="L82" s="497"/>
      <c r="M82"/>
      <c r="N82" s="9"/>
      <c r="O82" s="66"/>
      <c r="P82" s="66"/>
      <c r="Q82" s="497" t="s">
        <v>348</v>
      </c>
      <c r="R82" s="497"/>
      <c r="S82" s="497"/>
      <c r="T82" s="497"/>
      <c r="U82" s="497"/>
      <c r="V82" s="4"/>
      <c r="W82" s="4"/>
      <c r="X82" s="4"/>
      <c r="Y82" s="4"/>
      <c r="Z82" s="4"/>
      <c r="AA82" s="4"/>
      <c r="AB82" s="4"/>
      <c r="AC82" s="4"/>
      <c r="AD82" s="4"/>
      <c r="AE82" s="497" t="s">
        <v>348</v>
      </c>
      <c r="AF82" s="497"/>
      <c r="AG82" s="497"/>
      <c r="AH82" s="497"/>
      <c r="AI82" s="497"/>
      <c r="AJ82" s="4"/>
      <c r="AK82" s="4"/>
      <c r="AL82" s="4"/>
      <c r="AM82" s="4"/>
      <c r="AN82" s="4"/>
      <c r="AO82" s="4"/>
      <c r="AP82" s="4"/>
      <c r="AQ82" s="4"/>
      <c r="AR82" s="4"/>
      <c r="AS82" s="4"/>
      <c r="AT82" s="4"/>
      <c r="AU82" s="4"/>
    </row>
    <row r="83" spans="1:47" x14ac:dyDescent="0.2">
      <c r="A83" s="4"/>
      <c r="B83" s="15"/>
      <c r="C83" s="537"/>
      <c r="D83" s="537"/>
      <c r="E83" s="538">
        <f t="shared" ref="E83:K83" si="31">E8</f>
        <v>2009</v>
      </c>
      <c r="F83" s="538">
        <f t="shared" si="31"/>
        <v>2010</v>
      </c>
      <c r="G83" s="538">
        <f t="shared" si="31"/>
        <v>2011</v>
      </c>
      <c r="H83" s="538">
        <f t="shared" si="31"/>
        <v>2012</v>
      </c>
      <c r="I83" s="538">
        <f t="shared" si="31"/>
        <v>2013</v>
      </c>
      <c r="J83" s="538">
        <f t="shared" si="31"/>
        <v>2014</v>
      </c>
      <c r="K83" s="538">
        <f t="shared" si="31"/>
        <v>2015</v>
      </c>
      <c r="L83" s="497"/>
      <c r="M83" s="43"/>
      <c r="N83" s="9"/>
      <c r="O83" s="66"/>
      <c r="P83" s="66"/>
      <c r="Q83" s="538">
        <f>Q8</f>
        <v>2013</v>
      </c>
      <c r="R83" s="538">
        <f>R8</f>
        <v>2014</v>
      </c>
      <c r="S83" s="538">
        <f>S8</f>
        <v>2015</v>
      </c>
      <c r="T83" s="538">
        <f>T8</f>
        <v>2016</v>
      </c>
      <c r="U83" s="538">
        <f>U8</f>
        <v>2017</v>
      </c>
      <c r="V83" s="4"/>
      <c r="W83" s="4"/>
      <c r="X83" s="4"/>
      <c r="Y83" s="4"/>
      <c r="Z83" s="4"/>
      <c r="AA83" s="4"/>
      <c r="AB83" s="4"/>
      <c r="AC83" s="4"/>
      <c r="AD83" s="4"/>
      <c r="AE83" s="538">
        <f>AE8</f>
        <v>2013</v>
      </c>
      <c r="AF83" s="538">
        <f>AF8</f>
        <v>2014</v>
      </c>
      <c r="AG83" s="538">
        <f>AG8</f>
        <v>2015</v>
      </c>
      <c r="AH83" s="538">
        <f>AH8</f>
        <v>2016</v>
      </c>
      <c r="AI83" s="538">
        <f>AI8</f>
        <v>2017</v>
      </c>
      <c r="AJ83" s="4"/>
      <c r="AK83" s="4"/>
      <c r="AL83" s="4"/>
      <c r="AM83" s="4"/>
      <c r="AN83" s="4"/>
      <c r="AO83" s="4"/>
      <c r="AP83" s="4"/>
      <c r="AQ83" s="4"/>
      <c r="AR83" s="4"/>
      <c r="AS83" s="4"/>
      <c r="AT83" s="4"/>
      <c r="AU83" s="4"/>
    </row>
    <row r="84" spans="1:47" ht="15" x14ac:dyDescent="0.25">
      <c r="A84" s="4"/>
      <c r="B84" s="4" t="s">
        <v>153</v>
      </c>
      <c r="C84" s="43"/>
      <c r="D84" s="43"/>
      <c r="E84" s="543"/>
      <c r="F84" s="556">
        <f t="shared" ref="F84:K84" si="32">F62/F126</f>
        <v>-0.8270325396072481</v>
      </c>
      <c r="G84" s="543">
        <f t="shared" si="32"/>
        <v>0.36883268657387325</v>
      </c>
      <c r="H84" s="543">
        <f t="shared" si="32"/>
        <v>0.28787370518333288</v>
      </c>
      <c r="I84" s="543">
        <f t="shared" si="32"/>
        <v>0.27889239054847831</v>
      </c>
      <c r="J84" s="556">
        <f t="shared" si="32"/>
        <v>1.3230429988974633E-2</v>
      </c>
      <c r="K84" s="556">
        <f t="shared" si="32"/>
        <v>6.1887570912841578E-3</v>
      </c>
      <c r="L84" s="497"/>
      <c r="M84" s="43"/>
      <c r="N84" s="9"/>
      <c r="O84" s="66"/>
      <c r="P84" s="502" t="s">
        <v>866</v>
      </c>
      <c r="Q84" s="543">
        <f>Q62/Q126</f>
        <v>0.20840847137764723</v>
      </c>
      <c r="R84" s="543">
        <f>R62/R126</f>
        <v>0.10395734722246663</v>
      </c>
      <c r="S84" s="543">
        <f>S62/S126</f>
        <v>2.8497447658503153E-2</v>
      </c>
      <c r="T84" s="543">
        <f>T62/T126</f>
        <v>0.13440541439500123</v>
      </c>
      <c r="U84" s="543">
        <f>U62/U126</f>
        <v>0.12473391580619565</v>
      </c>
      <c r="V84" s="543"/>
      <c r="W84" s="4"/>
      <c r="X84" s="4"/>
      <c r="Y84" s="4"/>
      <c r="Z84" s="4"/>
      <c r="AA84" s="4"/>
      <c r="AB84" s="4"/>
      <c r="AC84" s="4"/>
      <c r="AD84" s="502" t="s">
        <v>866</v>
      </c>
      <c r="AE84" s="543">
        <f>AE62/AE126</f>
        <v>0.21724669975965313</v>
      </c>
      <c r="AF84" s="543">
        <f>AF62/AF126</f>
        <v>0.21426071874144179</v>
      </c>
      <c r="AG84" s="543">
        <f>AG62/AG126</f>
        <v>0.22691281092435103</v>
      </c>
      <c r="AH84" s="543">
        <f>AH62/AH126</f>
        <v>0.42052802749817281</v>
      </c>
      <c r="AI84" s="543">
        <f>AI62/AI126</f>
        <v>0.20051897868759774</v>
      </c>
      <c r="AJ84" s="543"/>
      <c r="AK84" s="4"/>
      <c r="AL84" s="4"/>
      <c r="AM84" s="4"/>
      <c r="AN84" s="4"/>
      <c r="AO84" s="4"/>
      <c r="AP84" s="4"/>
      <c r="AQ84" s="4"/>
      <c r="AR84" s="4"/>
      <c r="AS84" s="4"/>
      <c r="AT84" s="4"/>
      <c r="AU84" s="4"/>
    </row>
    <row r="85" spans="1:47" x14ac:dyDescent="0.2">
      <c r="A85" s="4"/>
      <c r="B85" s="4" t="s">
        <v>854</v>
      </c>
      <c r="C85" s="43"/>
      <c r="D85" s="43"/>
      <c r="E85" s="543"/>
      <c r="F85" s="543">
        <f t="shared" ref="F85:K86" si="33">F126/F127</f>
        <v>0.10071200526203747</v>
      </c>
      <c r="G85" s="543">
        <f t="shared" si="33"/>
        <v>6.9908689152636663E-2</v>
      </c>
      <c r="H85" s="543">
        <f t="shared" si="33"/>
        <v>8.3614334206424959E-2</v>
      </c>
      <c r="I85" s="543">
        <f t="shared" si="33"/>
        <v>9.2531599081762131E-2</v>
      </c>
      <c r="J85" s="543">
        <f t="shared" si="33"/>
        <v>9.6546673450835716E-2</v>
      </c>
      <c r="K85" s="543">
        <f t="shared" si="33"/>
        <v>0.10658824176126212</v>
      </c>
      <c r="L85" s="497"/>
      <c r="M85" s="43"/>
      <c r="N85" s="9"/>
      <c r="O85" s="66"/>
      <c r="P85" s="66"/>
      <c r="Q85" s="543">
        <f t="shared" ref="Q85:U86" si="34">Q126/Q127</f>
        <v>8.9196288880763322E-2</v>
      </c>
      <c r="R85" s="543">
        <f t="shared" si="34"/>
        <v>8.4146640301282022E-2</v>
      </c>
      <c r="S85" s="543">
        <f t="shared" si="34"/>
        <v>8.4138019466837452E-2</v>
      </c>
      <c r="T85" s="543">
        <f t="shared" si="34"/>
        <v>8.4812618435819276E-2</v>
      </c>
      <c r="U85" s="543">
        <f t="shared" si="34"/>
        <v>7.6185243299601649E-2</v>
      </c>
      <c r="V85" s="543"/>
      <c r="W85" s="4"/>
      <c r="X85" s="4"/>
      <c r="Y85" s="4"/>
      <c r="Z85" s="4"/>
      <c r="AA85" s="4"/>
      <c r="AB85" s="4"/>
      <c r="AC85" s="4"/>
      <c r="AD85" s="66"/>
      <c r="AE85" s="543">
        <f t="shared" ref="AE85:AI86" si="35">AE126/AE127</f>
        <v>4.8955066356695366E-2</v>
      </c>
      <c r="AF85" s="543">
        <f t="shared" si="35"/>
        <v>4.6700721496517751E-2</v>
      </c>
      <c r="AG85" s="543">
        <f t="shared" si="35"/>
        <v>4.5746800357109263E-2</v>
      </c>
      <c r="AH85" s="543">
        <f t="shared" si="35"/>
        <v>5.2243097315420525E-2</v>
      </c>
      <c r="AI85" s="543">
        <f t="shared" si="35"/>
        <v>4.776462719095869E-2</v>
      </c>
      <c r="AJ85" s="543"/>
      <c r="AK85" s="4"/>
      <c r="AL85" s="4"/>
      <c r="AM85" s="4"/>
      <c r="AN85" s="4"/>
      <c r="AO85" s="4"/>
      <c r="AP85" s="4"/>
      <c r="AQ85" s="4"/>
      <c r="AR85" s="4"/>
      <c r="AS85" s="4"/>
      <c r="AT85" s="4"/>
      <c r="AU85" s="4"/>
    </row>
    <row r="86" spans="1:47" x14ac:dyDescent="0.2">
      <c r="A86" s="4"/>
      <c r="B86" s="4" t="s">
        <v>855</v>
      </c>
      <c r="C86" s="43"/>
      <c r="D86" s="43"/>
      <c r="E86" s="543"/>
      <c r="F86" s="555">
        <f t="shared" si="33"/>
        <v>13.76274048932026</v>
      </c>
      <c r="G86" s="555">
        <f t="shared" si="33"/>
        <v>9.5548118494795844</v>
      </c>
      <c r="H86" s="555">
        <f t="shared" si="33"/>
        <v>6.6872548072277498</v>
      </c>
      <c r="I86" s="555">
        <f t="shared" si="33"/>
        <v>7.2131540530992142</v>
      </c>
      <c r="J86" s="555">
        <f t="shared" si="33"/>
        <v>9.3089798556399721</v>
      </c>
      <c r="K86" s="555">
        <f t="shared" si="33"/>
        <v>9.5393287886733091</v>
      </c>
      <c r="L86" s="497"/>
      <c r="M86" s="43"/>
      <c r="N86" s="9"/>
      <c r="O86" s="66"/>
      <c r="P86" s="66"/>
      <c r="Q86" s="555">
        <f t="shared" si="34"/>
        <v>8.1146094188711313</v>
      </c>
      <c r="R86" s="555">
        <f t="shared" si="34"/>
        <v>9.0094579361956146</v>
      </c>
      <c r="S86" s="555">
        <f t="shared" si="34"/>
        <v>9.4853102674617702</v>
      </c>
      <c r="T86" s="555">
        <f t="shared" si="34"/>
        <v>10.08859686570027</v>
      </c>
      <c r="U86" s="555">
        <f t="shared" si="34"/>
        <v>9.403225164017913</v>
      </c>
      <c r="V86" s="555"/>
      <c r="W86" s="4"/>
      <c r="X86" s="4"/>
      <c r="Y86" s="4"/>
      <c r="Z86" s="4"/>
      <c r="AA86" s="4"/>
      <c r="AB86" s="4"/>
      <c r="AC86" s="4"/>
      <c r="AD86" s="66"/>
      <c r="AE86" s="555">
        <f t="shared" si="35"/>
        <v>8.923930535952195</v>
      </c>
      <c r="AF86" s="555">
        <f t="shared" si="35"/>
        <v>8.9524692347522308</v>
      </c>
      <c r="AG86" s="555">
        <f t="shared" si="35"/>
        <v>8.9082639436360811</v>
      </c>
      <c r="AH86" s="555">
        <f t="shared" si="35"/>
        <v>8.9070009195953777</v>
      </c>
      <c r="AI86" s="555">
        <f t="shared" si="35"/>
        <v>8.91125239692958</v>
      </c>
      <c r="AJ86" s="555"/>
      <c r="AK86" s="4"/>
      <c r="AL86" s="4"/>
      <c r="AM86" s="4"/>
      <c r="AN86" s="4"/>
      <c r="AO86" s="4"/>
      <c r="AP86" s="4"/>
      <c r="AQ86" s="4"/>
      <c r="AR86" s="4"/>
      <c r="AS86" s="4"/>
      <c r="AT86" s="4"/>
      <c r="AU86" s="4"/>
    </row>
    <row r="87" spans="1:47" s="2" customFormat="1" ht="15" x14ac:dyDescent="0.25">
      <c r="A87" s="12"/>
      <c r="B87" s="12" t="s">
        <v>151</v>
      </c>
      <c r="C87" s="46"/>
      <c r="D87" s="46"/>
      <c r="E87" s="554"/>
      <c r="F87" s="554">
        <f t="shared" ref="F87:K87" si="36">F84*F85*F86</f>
        <v>-1.1463276325413589</v>
      </c>
      <c r="G87" s="554">
        <f t="shared" si="36"/>
        <v>0.24636709367494017</v>
      </c>
      <c r="H87" s="554">
        <f t="shared" si="36"/>
        <v>0.16096468542001782</v>
      </c>
      <c r="I87" s="554">
        <f t="shared" si="36"/>
        <v>0.18614524207300198</v>
      </c>
      <c r="J87" s="554">
        <f t="shared" si="36"/>
        <v>1.1890862689519907E-2</v>
      </c>
      <c r="K87" s="554">
        <f t="shared" si="36"/>
        <v>6.2926061877294085E-3</v>
      </c>
      <c r="L87" s="554"/>
      <c r="M87" s="46"/>
      <c r="N87" s="17"/>
      <c r="O87" s="502"/>
      <c r="P87" s="502" t="s">
        <v>865</v>
      </c>
      <c r="Q87" s="554">
        <f>Q84*Q85*Q86</f>
        <v>0.15084460228566218</v>
      </c>
      <c r="R87" s="554">
        <f>R84*R85*R86</f>
        <v>7.8811688354999451E-2</v>
      </c>
      <c r="S87" s="554">
        <f>S84*S85*S86</f>
        <v>2.2743106807580273E-2</v>
      </c>
      <c r="T87" s="554">
        <f>T84*T85*T86</f>
        <v>0.11500269131540287</v>
      </c>
      <c r="U87" s="554">
        <f>U84*U85*U86</f>
        <v>8.9357755358677349E-2</v>
      </c>
      <c r="V87" s="554"/>
      <c r="W87" s="12"/>
      <c r="X87" s="12"/>
      <c r="Y87" s="12"/>
      <c r="Z87" s="12"/>
      <c r="AA87" s="12"/>
      <c r="AB87" s="12"/>
      <c r="AC87" s="12"/>
      <c r="AD87" s="502" t="s">
        <v>865</v>
      </c>
      <c r="AE87" s="554">
        <f>AE84*AE85*AE86</f>
        <v>9.490891582793598E-2</v>
      </c>
      <c r="AF87" s="554">
        <f>AF84*AF85*AF86</f>
        <v>8.9579572358921333E-2</v>
      </c>
      <c r="AG87" s="554">
        <f>AG84*AG85*AG86</f>
        <v>9.2472546189105012E-2</v>
      </c>
      <c r="AH87" s="554">
        <f>AH84*AH85*AH86</f>
        <v>0.19568401932346849</v>
      </c>
      <c r="AI87" s="554">
        <f>AI84*AI85*AI86</f>
        <v>8.5349429171902622E-2</v>
      </c>
      <c r="AJ87" s="554"/>
      <c r="AK87" s="12"/>
      <c r="AL87" s="12"/>
      <c r="AM87" s="12"/>
      <c r="AN87" s="12"/>
      <c r="AO87" s="12"/>
      <c r="AP87" s="12"/>
      <c r="AQ87" s="12"/>
      <c r="AR87" s="12"/>
      <c r="AS87" s="12"/>
      <c r="AT87" s="12"/>
      <c r="AU87" s="12"/>
    </row>
    <row r="88" spans="1:47" s="28" customFormat="1" ht="16.5" outlineLevel="1" x14ac:dyDescent="0.3">
      <c r="A88" s="12"/>
      <c r="B88" s="471" t="s">
        <v>861</v>
      </c>
      <c r="C88" s="12"/>
      <c r="D88" s="541"/>
      <c r="E88" s="542"/>
      <c r="F88" s="558">
        <f t="shared" ref="F88:K88" si="37">F72-F87</f>
        <v>0</v>
      </c>
      <c r="G88" s="558">
        <f t="shared" si="37"/>
        <v>0</v>
      </c>
      <c r="H88" s="558">
        <f t="shared" si="37"/>
        <v>0</v>
      </c>
      <c r="I88" s="558">
        <f t="shared" si="37"/>
        <v>0</v>
      </c>
      <c r="J88" s="558">
        <f t="shared" si="37"/>
        <v>0</v>
      </c>
      <c r="K88" s="558">
        <f t="shared" si="37"/>
        <v>0</v>
      </c>
      <c r="L88" s="12"/>
      <c r="M88" s="12"/>
      <c r="N88" s="11"/>
      <c r="O88" s="11"/>
      <c r="P88" s="11"/>
      <c r="Q88" s="558">
        <f>Q72-Q87</f>
        <v>0</v>
      </c>
      <c r="R88" s="558">
        <f>R72-R87</f>
        <v>0</v>
      </c>
      <c r="S88" s="558">
        <f>S72-S87</f>
        <v>0</v>
      </c>
      <c r="T88" s="558">
        <f>T72-T87</f>
        <v>0</v>
      </c>
      <c r="U88" s="558">
        <f>U72-U87</f>
        <v>0</v>
      </c>
      <c r="V88" s="11"/>
      <c r="W88" s="11"/>
      <c r="X88" s="11"/>
      <c r="Y88" s="11"/>
      <c r="Z88" s="11"/>
      <c r="AA88" s="11"/>
      <c r="AB88" s="11"/>
      <c r="AC88" s="11"/>
      <c r="AD88" s="11"/>
      <c r="AE88" s="558">
        <f>AE72-AE87</f>
        <v>0</v>
      </c>
      <c r="AF88" s="558">
        <f>AF72-AF87</f>
        <v>0</v>
      </c>
      <c r="AG88" s="558">
        <f>AG72-AG87</f>
        <v>0</v>
      </c>
      <c r="AH88" s="558">
        <f>AH72-AH87</f>
        <v>0</v>
      </c>
      <c r="AI88" s="558">
        <f>AI72-AI87</f>
        <v>0</v>
      </c>
      <c r="AJ88" s="11"/>
      <c r="AK88" s="11"/>
      <c r="AL88" s="11"/>
      <c r="AM88" s="11"/>
      <c r="AN88" s="11"/>
      <c r="AO88" s="11"/>
      <c r="AP88" s="11"/>
      <c r="AQ88" s="11"/>
      <c r="AR88" s="11"/>
      <c r="AS88" s="11"/>
      <c r="AT88" s="11"/>
      <c r="AU88" s="11"/>
    </row>
    <row r="89" spans="1:47" x14ac:dyDescent="0.2">
      <c r="A89" s="4"/>
      <c r="B89" s="4"/>
      <c r="C89" s="43"/>
      <c r="D89" s="43"/>
      <c r="E89" s="497"/>
      <c r="F89" s="497"/>
      <c r="G89" s="497"/>
      <c r="H89" s="497"/>
      <c r="I89" s="498"/>
      <c r="J89" s="498"/>
      <c r="K89" s="498"/>
      <c r="L89" s="497"/>
      <c r="M89" s="43"/>
      <c r="N89" s="9"/>
      <c r="O89" s="66"/>
      <c r="P89" s="66"/>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row>
    <row r="90" spans="1:47" x14ac:dyDescent="0.2">
      <c r="A90" s="4"/>
      <c r="B90" s="4"/>
      <c r="C90" s="43"/>
      <c r="D90" s="43"/>
      <c r="E90" s="497"/>
      <c r="F90" s="497"/>
      <c r="G90" s="497"/>
      <c r="H90" s="497"/>
      <c r="I90" s="498"/>
      <c r="J90" s="498"/>
      <c r="K90" s="498"/>
      <c r="L90" s="497"/>
      <c r="M90" s="43"/>
      <c r="N90" s="9"/>
      <c r="O90" s="66"/>
      <c r="P90" s="66"/>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spans="1:47" ht="15" x14ac:dyDescent="0.25">
      <c r="A91" s="4"/>
      <c r="B91" s="4"/>
      <c r="C91" s="43"/>
      <c r="D91" s="43"/>
      <c r="E91" s="497"/>
      <c r="F91" s="497"/>
      <c r="G91" s="497"/>
      <c r="H91" s="497"/>
      <c r="I91" s="498"/>
      <c r="J91" s="498"/>
      <c r="K91" s="498"/>
      <c r="L91" s="497"/>
      <c r="M91" s="43"/>
      <c r="N91" s="9"/>
      <c r="O91" s="66"/>
      <c r="P91" s="66"/>
      <c r="Q91" s="95" t="s">
        <v>864</v>
      </c>
      <c r="R91" s="4"/>
      <c r="S91" s="4"/>
      <c r="T91" s="4"/>
      <c r="U91" s="4"/>
      <c r="V91" s="4"/>
      <c r="W91" s="4"/>
      <c r="X91" s="4"/>
      <c r="Y91" s="4"/>
      <c r="Z91" s="4"/>
      <c r="AA91" s="4"/>
      <c r="AB91" s="4"/>
      <c r="AC91" s="4"/>
      <c r="AD91" s="4"/>
      <c r="AE91" s="243" t="s">
        <v>181</v>
      </c>
      <c r="AF91" s="4"/>
      <c r="AG91" s="4"/>
      <c r="AH91" s="4"/>
      <c r="AI91" s="4"/>
      <c r="AJ91" s="4"/>
      <c r="AK91" s="4"/>
      <c r="AL91" s="4"/>
      <c r="AM91" s="4"/>
      <c r="AN91" s="4"/>
      <c r="AO91" s="4"/>
      <c r="AP91" s="4"/>
      <c r="AQ91" s="4"/>
      <c r="AR91" s="4"/>
      <c r="AS91" s="4"/>
      <c r="AT91" s="4"/>
      <c r="AU91" s="4"/>
    </row>
    <row r="92" spans="1:47" ht="15" x14ac:dyDescent="0.25">
      <c r="A92" s="534"/>
      <c r="B92" s="534" t="s">
        <v>856</v>
      </c>
      <c r="C92" s="535"/>
      <c r="D92" s="535"/>
      <c r="E92" s="536"/>
      <c r="F92" s="536"/>
      <c r="G92" s="536"/>
      <c r="H92" s="536"/>
      <c r="I92" s="536"/>
      <c r="J92" s="536"/>
      <c r="K92" s="536"/>
      <c r="L92" s="497"/>
      <c r="M92" s="43"/>
      <c r="N92" s="9"/>
      <c r="O92" s="66"/>
      <c r="P92" s="66"/>
      <c r="Q92" s="534" t="s">
        <v>856</v>
      </c>
      <c r="R92" s="535"/>
      <c r="S92" s="535"/>
      <c r="T92" s="535"/>
      <c r="U92" s="535"/>
      <c r="V92" s="507"/>
      <c r="W92" s="507"/>
      <c r="X92" s="507"/>
      <c r="Y92" s="507"/>
      <c r="Z92" s="4"/>
      <c r="AA92" s="4"/>
      <c r="AB92" s="4"/>
      <c r="AC92" s="4"/>
      <c r="AD92" s="4"/>
      <c r="AE92" s="534" t="s">
        <v>856</v>
      </c>
      <c r="AF92" s="535"/>
      <c r="AG92" s="535"/>
      <c r="AH92" s="535"/>
      <c r="AI92" s="535"/>
      <c r="AJ92" s="507"/>
      <c r="AK92" s="507"/>
      <c r="AL92" s="507"/>
      <c r="AM92" s="507"/>
      <c r="AN92" s="4"/>
      <c r="AO92" s="4"/>
      <c r="AP92" s="4"/>
      <c r="AQ92" s="4"/>
      <c r="AR92" s="4"/>
      <c r="AS92" s="4"/>
      <c r="AT92" s="4"/>
      <c r="AU92" s="4"/>
    </row>
    <row r="93" spans="1:47" x14ac:dyDescent="0.2">
      <c r="A93" s="4"/>
      <c r="C93" s="43"/>
      <c r="D93" s="43"/>
      <c r="E93" s="497" t="s">
        <v>348</v>
      </c>
      <c r="F93" s="497"/>
      <c r="G93" s="497"/>
      <c r="H93" s="497"/>
      <c r="I93" s="498"/>
      <c r="J93" s="498"/>
      <c r="K93" s="498"/>
      <c r="L93" s="497"/>
      <c r="M93" s="43"/>
      <c r="N93" s="9"/>
      <c r="O93" s="66"/>
      <c r="P93" s="66"/>
      <c r="Q93" s="497" t="s">
        <v>348</v>
      </c>
      <c r="R93" s="497"/>
      <c r="S93" s="497"/>
      <c r="T93" s="497"/>
      <c r="U93" s="497"/>
      <c r="V93" s="4"/>
      <c r="W93" s="4"/>
      <c r="X93" s="4"/>
      <c r="Y93" s="4"/>
      <c r="Z93" s="4"/>
      <c r="AA93" s="4"/>
      <c r="AB93" s="4"/>
      <c r="AC93" s="4"/>
      <c r="AD93" s="4"/>
      <c r="AE93" s="497" t="s">
        <v>348</v>
      </c>
      <c r="AF93" s="497"/>
      <c r="AG93" s="497"/>
      <c r="AH93" s="497"/>
      <c r="AI93" s="497"/>
      <c r="AJ93" s="4"/>
      <c r="AK93" s="4"/>
      <c r="AL93" s="4"/>
      <c r="AM93" s="4"/>
      <c r="AN93" s="4"/>
      <c r="AO93" s="4"/>
      <c r="AP93" s="4"/>
      <c r="AQ93" s="4"/>
      <c r="AR93" s="4"/>
      <c r="AS93" s="4"/>
      <c r="AT93" s="4"/>
      <c r="AU93" s="4"/>
    </row>
    <row r="94" spans="1:47" x14ac:dyDescent="0.2">
      <c r="A94" s="4"/>
      <c r="B94" s="15"/>
      <c r="C94" s="537"/>
      <c r="D94" s="537"/>
      <c r="E94" s="538">
        <f t="shared" ref="E94:K94" si="38">E8</f>
        <v>2009</v>
      </c>
      <c r="F94" s="538">
        <f t="shared" si="38"/>
        <v>2010</v>
      </c>
      <c r="G94" s="538">
        <f t="shared" si="38"/>
        <v>2011</v>
      </c>
      <c r="H94" s="538">
        <f t="shared" si="38"/>
        <v>2012</v>
      </c>
      <c r="I94" s="538">
        <f t="shared" si="38"/>
        <v>2013</v>
      </c>
      <c r="J94" s="538">
        <f t="shared" si="38"/>
        <v>2014</v>
      </c>
      <c r="K94" s="538">
        <f t="shared" si="38"/>
        <v>2015</v>
      </c>
      <c r="L94" s="497"/>
      <c r="M94" s="43"/>
      <c r="N94" s="9"/>
      <c r="O94" s="66"/>
      <c r="P94" s="66"/>
      <c r="Q94" s="538">
        <f>Q8</f>
        <v>2013</v>
      </c>
      <c r="R94" s="538">
        <f>R8</f>
        <v>2014</v>
      </c>
      <c r="S94" s="538">
        <f>S8</f>
        <v>2015</v>
      </c>
      <c r="T94" s="538">
        <f>T8</f>
        <v>2016</v>
      </c>
      <c r="U94" s="538">
        <f>U8</f>
        <v>2017</v>
      </c>
      <c r="V94" s="4"/>
      <c r="W94" s="4"/>
      <c r="X94" s="4"/>
      <c r="Y94" s="4"/>
      <c r="Z94" s="4"/>
      <c r="AA94" s="4"/>
      <c r="AB94" s="4"/>
      <c r="AC94" s="4"/>
      <c r="AD94" s="4"/>
      <c r="AE94" s="538">
        <f>AE8</f>
        <v>2013</v>
      </c>
      <c r="AF94" s="538">
        <f>AF8</f>
        <v>2014</v>
      </c>
      <c r="AG94" s="538">
        <f>AG8</f>
        <v>2015</v>
      </c>
      <c r="AH94" s="538">
        <f>AH8</f>
        <v>2016</v>
      </c>
      <c r="AI94" s="538">
        <f>AI8</f>
        <v>2017</v>
      </c>
      <c r="AJ94" s="4"/>
      <c r="AK94" s="4"/>
      <c r="AL94" s="4"/>
      <c r="AM94" s="4"/>
      <c r="AN94" s="4"/>
      <c r="AO94" s="4"/>
      <c r="AP94" s="4"/>
      <c r="AQ94" s="4"/>
      <c r="AR94" s="4"/>
      <c r="AS94" s="4"/>
      <c r="AT94" s="4"/>
      <c r="AU94" s="4"/>
    </row>
    <row r="95" spans="1:47" ht="15" x14ac:dyDescent="0.25">
      <c r="A95" s="4"/>
      <c r="B95" s="4" t="s">
        <v>841</v>
      </c>
      <c r="C95" s="43"/>
      <c r="D95" s="43"/>
      <c r="E95" s="544"/>
      <c r="F95" s="544">
        <f t="shared" ref="F95:K95" si="39">F23/F127</f>
        <v>4.7322508496620008E-2</v>
      </c>
      <c r="G95" s="544">
        <f t="shared" si="39"/>
        <v>2.4947712243044214E-2</v>
      </c>
      <c r="H95" s="544">
        <f t="shared" si="39"/>
        <v>3.3595158829241224E-2</v>
      </c>
      <c r="I95" s="544">
        <f t="shared" si="39"/>
        <v>4.1191327053619442E-2</v>
      </c>
      <c r="J95" s="544">
        <f t="shared" si="39"/>
        <v>3.3211204097751648E-2</v>
      </c>
      <c r="K95" s="556">
        <f t="shared" si="39"/>
        <v>2.5286534920155018E-2</v>
      </c>
      <c r="L95" s="497"/>
      <c r="M95" s="43"/>
      <c r="N95" s="9"/>
      <c r="O95" s="66"/>
      <c r="P95" s="502" t="s">
        <v>866</v>
      </c>
      <c r="Q95" s="544">
        <f>Q23/Q127</f>
        <v>3.6939121522228467E-2</v>
      </c>
      <c r="R95" s="544">
        <f>R23/R127</f>
        <v>3.2737101530174471E-2</v>
      </c>
      <c r="S95" s="544">
        <f>S23/S127</f>
        <v>2.0185157174451466E-2</v>
      </c>
      <c r="T95" s="544">
        <f>T23/T127</f>
        <v>1.9918681736506749E-2</v>
      </c>
      <c r="U95" s="544">
        <f>U23/U127</f>
        <v>2.0197863787562387E-2</v>
      </c>
      <c r="V95" s="4"/>
      <c r="W95" s="4"/>
      <c r="X95" s="4"/>
      <c r="Y95" s="4"/>
      <c r="Z95" s="4"/>
      <c r="AA95" s="4"/>
      <c r="AB95" s="4"/>
      <c r="AC95" s="4"/>
      <c r="AD95" s="502" t="s">
        <v>866</v>
      </c>
      <c r="AE95" s="544">
        <f>AE23/AE127</f>
        <v>2.8400806043627318E-2</v>
      </c>
      <c r="AF95" s="544">
        <f>AF23/AF127</f>
        <v>2.7610524395471112E-2</v>
      </c>
      <c r="AG95" s="544">
        <f>AG23/AG127</f>
        <v>2.7110761176698091E-2</v>
      </c>
      <c r="AH95" s="544">
        <f>AH23/AH127</f>
        <v>3.5823679441162014E-2</v>
      </c>
      <c r="AI95" s="544">
        <f>AI23/AI127</f>
        <v>2.8735642830939791E-2</v>
      </c>
      <c r="AJ95" s="4"/>
      <c r="AK95" s="4"/>
      <c r="AL95" s="4"/>
      <c r="AM95" s="4"/>
      <c r="AN95" s="4"/>
      <c r="AO95" s="4"/>
      <c r="AP95" s="4"/>
      <c r="AQ95" s="4"/>
      <c r="AR95" s="4"/>
      <c r="AS95" s="4"/>
      <c r="AT95" s="4"/>
      <c r="AU95" s="4"/>
    </row>
    <row r="96" spans="1:47" x14ac:dyDescent="0.2">
      <c r="A96" s="4"/>
      <c r="B96" s="4" t="s">
        <v>816</v>
      </c>
      <c r="C96" s="43"/>
      <c r="D96" s="43"/>
      <c r="E96" s="544"/>
      <c r="F96" s="544">
        <f t="shared" ref="F96:K96" si="40">F29/F127</f>
        <v>-1.4798435361942723E-2</v>
      </c>
      <c r="G96" s="544">
        <f t="shared" si="40"/>
        <v>-1.3745437390438715E-2</v>
      </c>
      <c r="H96" s="544">
        <f t="shared" si="40"/>
        <v>-1.4958664142588647E-2</v>
      </c>
      <c r="I96" s="544">
        <f t="shared" si="40"/>
        <v>-1.5196720520330234E-2</v>
      </c>
      <c r="J96" s="544">
        <f t="shared" si="40"/>
        <v>-1.2613870787126825E-2</v>
      </c>
      <c r="K96" s="544">
        <f t="shared" si="40"/>
        <v>-1.1104087073633289E-2</v>
      </c>
      <c r="L96" s="497"/>
      <c r="M96" s="43"/>
      <c r="N96" s="9"/>
      <c r="O96" s="66"/>
      <c r="P96" s="66"/>
      <c r="Q96" s="544">
        <f>Q29/Q127</f>
        <v>-9.8267414925462433E-3</v>
      </c>
      <c r="R96" s="544">
        <f>R29/R127</f>
        <v>-7.7126893654761997E-3</v>
      </c>
      <c r="S96" s="544">
        <f>S29/S127</f>
        <v>-5.8200080048452342E-3</v>
      </c>
      <c r="T96" s="544">
        <f>T29/T127</f>
        <v>-7.3934614228856324E-3</v>
      </c>
      <c r="U96" s="544">
        <f>U29/U127</f>
        <v>-6.7895030168509144E-3</v>
      </c>
      <c r="V96" s="4"/>
      <c r="W96" s="4"/>
      <c r="X96" s="4"/>
      <c r="Y96" s="4"/>
      <c r="Z96" s="4"/>
      <c r="AA96" s="4"/>
      <c r="AB96" s="4"/>
      <c r="AC96" s="4"/>
      <c r="AD96" s="66"/>
      <c r="AE96" s="544">
        <f>AE29/AE127</f>
        <v>-1.119089509201026E-2</v>
      </c>
      <c r="AF96" s="544">
        <f>AF29/AF127</f>
        <v>-1.1549486468631857E-2</v>
      </c>
      <c r="AG96" s="544">
        <f>AG29/AG127</f>
        <v>-1.0281039155383967E-2</v>
      </c>
      <c r="AH96" s="544">
        <f>AH29/AH127</f>
        <v>-6.4613391766899907E-3</v>
      </c>
      <c r="AI96" s="544">
        <f>AI29/AI127</f>
        <v>-1.0831773264374941E-2</v>
      </c>
      <c r="AJ96" s="4"/>
      <c r="AK96" s="4"/>
      <c r="AL96" s="4"/>
      <c r="AM96" s="4"/>
      <c r="AN96" s="4"/>
      <c r="AO96" s="4"/>
      <c r="AP96" s="4"/>
      <c r="AQ96" s="4"/>
      <c r="AR96" s="4"/>
      <c r="AS96" s="4"/>
      <c r="AT96" s="4"/>
      <c r="AU96" s="4"/>
    </row>
    <row r="97" spans="1:47" x14ac:dyDescent="0.2">
      <c r="A97" s="4"/>
      <c r="B97" s="4" t="s">
        <v>819</v>
      </c>
      <c r="C97" s="43"/>
      <c r="D97" s="43"/>
      <c r="E97" s="544"/>
      <c r="F97" s="544">
        <f t="shared" ref="F97:K97" si="41">F37/F127</f>
        <v>-1.3913467191238222E-3</v>
      </c>
      <c r="G97" s="544">
        <f t="shared" si="41"/>
        <v>3.452332670798293E-3</v>
      </c>
      <c r="H97" s="544">
        <f t="shared" si="41"/>
        <v>5.6565662747273971E-3</v>
      </c>
      <c r="I97" s="544">
        <f t="shared" si="41"/>
        <v>2.1220645771632312E-3</v>
      </c>
      <c r="J97" s="544">
        <f t="shared" si="41"/>
        <v>-2.1289233395994644E-3</v>
      </c>
      <c r="K97" s="544">
        <f t="shared" si="41"/>
        <v>-7.0362531951735701E-3</v>
      </c>
      <c r="L97" s="497"/>
      <c r="M97" s="43"/>
      <c r="N97" s="9"/>
      <c r="O97" s="66"/>
      <c r="P97" s="66"/>
      <c r="Q97" s="544">
        <f>Q37/Q127</f>
        <v>8.5006737882799051E-3</v>
      </c>
      <c r="R97" s="544">
        <f>R37/R127</f>
        <v>9.6019947274166191E-3</v>
      </c>
      <c r="S97" s="544">
        <f>S37/S127</f>
        <v>1.3575868939644263E-2</v>
      </c>
      <c r="T97" s="544">
        <f>T37/T127</f>
        <v>1.2522767273998321E-2</v>
      </c>
      <c r="U97" s="544">
        <f>U37/U127</f>
        <v>1.1365458615195537E-2</v>
      </c>
      <c r="V97" s="4"/>
      <c r="W97" s="4"/>
      <c r="X97" s="4"/>
      <c r="Y97" s="4"/>
      <c r="Z97" s="4"/>
      <c r="AA97" s="4"/>
      <c r="AB97" s="4"/>
      <c r="AC97" s="4"/>
      <c r="AD97" s="66"/>
      <c r="AE97" s="544">
        <f>AE37/AE127</f>
        <v>3.0235874558444262E-4</v>
      </c>
      <c r="AF97" s="544">
        <f>AF37/AF127</f>
        <v>1.9838178866548635E-4</v>
      </c>
      <c r="AG97" s="544">
        <f>AG37/AG127</f>
        <v>2.2963736466880005E-4</v>
      </c>
      <c r="AH97" s="544">
        <f>AH37/AH127</f>
        <v>2.318487206102012E-4</v>
      </c>
      <c r="AI97" s="544">
        <f>AI37/AI127</f>
        <v>1.1448338180769887E-4</v>
      </c>
      <c r="AJ97" s="4"/>
      <c r="AK97" s="4"/>
      <c r="AL97" s="4"/>
      <c r="AM97" s="4"/>
      <c r="AN97" s="4"/>
      <c r="AO97" s="4"/>
      <c r="AP97" s="4"/>
      <c r="AQ97" s="4"/>
      <c r="AR97" s="4"/>
      <c r="AS97" s="4"/>
      <c r="AT97" s="4"/>
      <c r="AU97" s="4"/>
    </row>
    <row r="98" spans="1:47" x14ac:dyDescent="0.2">
      <c r="A98" s="4"/>
      <c r="B98" s="4" t="s">
        <v>857</v>
      </c>
      <c r="C98" s="43"/>
      <c r="D98" s="43"/>
      <c r="E98" s="544"/>
      <c r="F98" s="544">
        <f t="shared" ref="F98:K98" si="42">F45/F127</f>
        <v>2.2727320227404575E-3</v>
      </c>
      <c r="G98" s="544">
        <f t="shared" si="42"/>
        <v>3.7602773932542084E-4</v>
      </c>
      <c r="H98" s="544">
        <f t="shared" si="42"/>
        <v>2.1674296018865259E-4</v>
      </c>
      <c r="I98" s="544">
        <f t="shared" si="42"/>
        <v>-6.1608326433771265E-4</v>
      </c>
      <c r="J98" s="544">
        <f t="shared" si="42"/>
        <v>1.0644616697997308E-4</v>
      </c>
      <c r="K98" s="544">
        <f t="shared" si="42"/>
        <v>-7.1461946513481575E-4</v>
      </c>
      <c r="L98" s="497"/>
      <c r="M98" s="43"/>
      <c r="N98" s="9"/>
      <c r="O98" s="66"/>
      <c r="P98" s="66"/>
      <c r="Q98" s="544">
        <f>Q45/Q127</f>
        <v>-5.5548957428363825E-3</v>
      </c>
      <c r="R98" s="544">
        <f>R45/R127</f>
        <v>-3.58908792895265E-3</v>
      </c>
      <c r="S98" s="544">
        <f>S45/S127</f>
        <v>-4.1729768625114894E-3</v>
      </c>
      <c r="T98" s="544">
        <f>T45/T127</f>
        <v>-5.4984883143324994E-3</v>
      </c>
      <c r="U98" s="544">
        <f>U45/U127</f>
        <v>2.0755789080034444E-3</v>
      </c>
      <c r="V98" s="4"/>
      <c r="W98" s="4"/>
      <c r="X98" s="4"/>
      <c r="Y98" s="4"/>
      <c r="Z98" s="4"/>
      <c r="AA98" s="4"/>
      <c r="AB98" s="4"/>
      <c r="AC98" s="4"/>
      <c r="AD98" s="66"/>
      <c r="AE98" s="544">
        <f>AE45/AE127</f>
        <v>9.3124424208359251E-6</v>
      </c>
      <c r="AF98" s="544">
        <f>AF45/AF127</f>
        <v>-3.6947897602454476E-6</v>
      </c>
      <c r="AG98" s="544">
        <f>AG45/AG127</f>
        <v>-7.4911358581162527E-7</v>
      </c>
      <c r="AH98" s="544">
        <f>AH45/AH127</f>
        <v>-2.1100985878034142E-5</v>
      </c>
      <c r="AI98" s="544">
        <f>AI45/AI127</f>
        <v>-5.4805072574645534E-6</v>
      </c>
      <c r="AJ98" s="4"/>
      <c r="AK98" s="4"/>
      <c r="AL98" s="4"/>
      <c r="AM98" s="4"/>
      <c r="AN98" s="4"/>
      <c r="AO98" s="4"/>
      <c r="AP98" s="4"/>
      <c r="AQ98" s="4"/>
      <c r="AR98" s="4"/>
      <c r="AS98" s="4"/>
      <c r="AT98" s="4"/>
      <c r="AU98" s="4"/>
    </row>
    <row r="99" spans="1:47" ht="15" x14ac:dyDescent="0.25">
      <c r="A99" s="4"/>
      <c r="B99" s="4" t="s">
        <v>858</v>
      </c>
      <c r="C99" s="43"/>
      <c r="D99" s="43"/>
      <c r="E99" s="544"/>
      <c r="F99" s="544">
        <f t="shared" ref="F99:K99" si="43">F47/F127</f>
        <v>-0.1295827482561141</v>
      </c>
      <c r="G99" s="568">
        <f t="shared" si="43"/>
        <v>-0.1386966271044984</v>
      </c>
      <c r="H99" s="544">
        <f t="shared" si="43"/>
        <v>1.0945094503330531E-2</v>
      </c>
      <c r="I99" s="544">
        <f t="shared" si="43"/>
        <v>3.7136130100356539E-3</v>
      </c>
      <c r="J99" s="568">
        <f t="shared" si="43"/>
        <v>-6.6954639030403162E-2</v>
      </c>
      <c r="K99" s="544">
        <f t="shared" si="43"/>
        <v>-4.0128631503724265E-3</v>
      </c>
      <c r="L99" s="497"/>
      <c r="M99" s="43"/>
      <c r="N99" s="9"/>
      <c r="O99" s="66"/>
      <c r="P99" s="66"/>
      <c r="Q99" s="544">
        <f>Q47/Q127</f>
        <v>-1.146889585692683E-2</v>
      </c>
      <c r="R99" s="544">
        <f>R47/R127</f>
        <v>-2.2289657459757865E-2</v>
      </c>
      <c r="S99" s="544">
        <f>S47/S127</f>
        <v>-2.1370322440892688E-2</v>
      </c>
      <c r="T99" s="544">
        <f>T47/T127</f>
        <v>-8.1502241464955268E-3</v>
      </c>
      <c r="U99" s="544">
        <f>U47/U127</f>
        <v>-1.7346514570503412E-2</v>
      </c>
      <c r="V99" s="4"/>
      <c r="W99" s="4"/>
      <c r="X99" s="4"/>
      <c r="Y99" s="4"/>
      <c r="Z99" s="4"/>
      <c r="AA99" s="4"/>
      <c r="AB99" s="4"/>
      <c r="AC99" s="4"/>
      <c r="AD99" s="66"/>
      <c r="AE99" s="544">
        <f>AE47/AE127</f>
        <v>-2.091825855848565E-3</v>
      </c>
      <c r="AF99" s="544">
        <f>AF47/AF127</f>
        <v>-1.8372342082820488E-3</v>
      </c>
      <c r="AG99" s="544">
        <f>AG47/AG127</f>
        <v>-2.2489751870766466E-3</v>
      </c>
      <c r="AH99" s="544">
        <f>AH47/AH127</f>
        <v>-3.6108323549280193E-3</v>
      </c>
      <c r="AI99" s="544">
        <f>AI47/AI127</f>
        <v>-2.7827688506103961E-3</v>
      </c>
      <c r="AJ99" s="4"/>
      <c r="AK99" s="4"/>
      <c r="AL99" s="4"/>
      <c r="AM99" s="4"/>
      <c r="AN99" s="4"/>
      <c r="AO99" s="4"/>
      <c r="AP99" s="4"/>
      <c r="AQ99" s="4"/>
      <c r="AR99" s="4"/>
      <c r="AS99" s="4"/>
      <c r="AT99" s="4"/>
      <c r="AU99" s="4"/>
    </row>
    <row r="100" spans="1:47" ht="15" x14ac:dyDescent="0.25">
      <c r="A100" s="4"/>
      <c r="B100" s="4" t="s">
        <v>825</v>
      </c>
      <c r="C100" s="43"/>
      <c r="D100" s="43"/>
      <c r="E100" s="544"/>
      <c r="F100" s="544">
        <f t="shared" ref="F100:K100" si="44">(F57-F47)/F127</f>
        <v>-5.654958553692099E-3</v>
      </c>
      <c r="G100" s="567">
        <f t="shared" si="44"/>
        <v>0.15657836962751678</v>
      </c>
      <c r="H100" s="544">
        <f t="shared" si="44"/>
        <v>-5.8019115539127289E-3</v>
      </c>
      <c r="I100" s="544">
        <f t="shared" si="44"/>
        <v>-4.7917587226266518E-4</v>
      </c>
      <c r="J100" s="567">
        <f t="shared" si="44"/>
        <v>4.8858790643807708E-2</v>
      </c>
      <c r="K100" s="544">
        <f t="shared" si="44"/>
        <v>-1.3192974740950446E-3</v>
      </c>
      <c r="L100" s="497"/>
      <c r="M100" s="43"/>
      <c r="N100" s="9"/>
      <c r="O100" s="66"/>
      <c r="P100" s="66"/>
      <c r="Q100" s="544"/>
      <c r="R100" s="544"/>
      <c r="S100" s="544"/>
      <c r="T100" s="544"/>
      <c r="U100" s="544"/>
      <c r="V100" s="4"/>
      <c r="W100" s="4"/>
      <c r="X100" s="4"/>
      <c r="Y100" s="4"/>
      <c r="Z100" s="4"/>
      <c r="AA100" s="4"/>
      <c r="AB100" s="4"/>
      <c r="AC100" s="4"/>
      <c r="AD100" s="66"/>
      <c r="AE100" s="544"/>
      <c r="AF100" s="544"/>
      <c r="AG100" s="544"/>
      <c r="AH100" s="544"/>
      <c r="AI100" s="544"/>
      <c r="AJ100" s="4"/>
      <c r="AK100" s="4"/>
      <c r="AL100" s="4"/>
      <c r="AM100" s="4"/>
      <c r="AN100" s="4"/>
      <c r="AO100" s="4"/>
      <c r="AP100" s="4"/>
      <c r="AQ100" s="4"/>
      <c r="AR100" s="4"/>
      <c r="AS100" s="4"/>
      <c r="AT100" s="4"/>
      <c r="AU100" s="4"/>
    </row>
    <row r="101" spans="1:47" x14ac:dyDescent="0.2">
      <c r="A101" s="4"/>
      <c r="B101" s="4" t="s">
        <v>203</v>
      </c>
      <c r="C101" s="43"/>
      <c r="D101" s="43"/>
      <c r="E101" s="544"/>
      <c r="F101" s="569">
        <f t="shared" ref="F101:K101" si="45">F59/F127</f>
        <v>1.8540142890710907E-2</v>
      </c>
      <c r="G101" s="569">
        <f t="shared" si="45"/>
        <v>-7.1277681507228097E-3</v>
      </c>
      <c r="H101" s="569">
        <f t="shared" si="45"/>
        <v>-5.5826186765453849E-3</v>
      </c>
      <c r="I101" s="569">
        <f t="shared" si="45"/>
        <v>-5.2024808988517914E-3</v>
      </c>
      <c r="J101" s="569">
        <f t="shared" si="45"/>
        <v>1.5966925046995983E-4</v>
      </c>
      <c r="K101" s="569">
        <f t="shared" si="45"/>
        <v>-1.6491218426188054E-4</v>
      </c>
      <c r="L101" s="497"/>
      <c r="M101" s="43"/>
      <c r="N101" s="9"/>
      <c r="O101" s="66"/>
      <c r="P101" s="66"/>
      <c r="Q101" s="569"/>
      <c r="R101" s="569"/>
      <c r="S101" s="569"/>
      <c r="T101" s="569"/>
      <c r="U101" s="569"/>
      <c r="V101" s="4"/>
      <c r="W101" s="4"/>
      <c r="X101" s="4"/>
      <c r="Y101" s="4"/>
      <c r="Z101" s="4"/>
      <c r="AA101" s="4"/>
      <c r="AB101" s="4"/>
      <c r="AC101" s="4"/>
      <c r="AD101" s="66"/>
      <c r="AE101" s="569">
        <f>AE59/AE127</f>
        <v>-4.7944296812668765E-3</v>
      </c>
      <c r="AF101" s="569">
        <f>AF59/AF127</f>
        <v>-4.412360563874655E-3</v>
      </c>
      <c r="AG101" s="569">
        <f>AG59/AG127</f>
        <v>-4.4291000254936983E-3</v>
      </c>
      <c r="AH101" s="569">
        <f>AH59/AH127</f>
        <v>-3.9925689798272932E-3</v>
      </c>
      <c r="AI101" s="569">
        <f>AI59/AI127</f>
        <v>-5.652389328779788E-3</v>
      </c>
      <c r="AJ101" s="4"/>
      <c r="AK101" s="4"/>
      <c r="AL101" s="4"/>
      <c r="AM101" s="4"/>
      <c r="AN101" s="4"/>
      <c r="AO101" s="4"/>
      <c r="AP101" s="4"/>
      <c r="AQ101" s="4"/>
      <c r="AR101" s="4"/>
      <c r="AS101" s="4"/>
      <c r="AT101" s="4"/>
      <c r="AU101" s="4"/>
    </row>
    <row r="102" spans="1:47" s="2" customFormat="1" ht="15" x14ac:dyDescent="0.25">
      <c r="A102" s="12"/>
      <c r="B102" s="12" t="s">
        <v>859</v>
      </c>
      <c r="C102" s="46"/>
      <c r="D102" s="46"/>
      <c r="E102" s="557"/>
      <c r="F102" s="557">
        <f t="shared" ref="F102:K102" si="46">SUM(F95:F101)</f>
        <v>-8.3292105480801362E-2</v>
      </c>
      <c r="G102" s="557">
        <f t="shared" si="46"/>
        <v>2.578460963502479E-2</v>
      </c>
      <c r="H102" s="557">
        <f t="shared" si="46"/>
        <v>2.4070368194441041E-2</v>
      </c>
      <c r="I102" s="557">
        <f t="shared" si="46"/>
        <v>2.5532544085035924E-2</v>
      </c>
      <c r="J102" s="557">
        <f t="shared" si="46"/>
        <v>6.3867700187983519E-4</v>
      </c>
      <c r="K102" s="557">
        <f t="shared" si="46"/>
        <v>9.3450237748399104E-4</v>
      </c>
      <c r="L102" s="500"/>
      <c r="M102" s="46"/>
      <c r="N102" s="17"/>
      <c r="O102" s="502"/>
      <c r="P102" s="502" t="s">
        <v>155</v>
      </c>
      <c r="Q102" s="584">
        <f>Q62/Q127</f>
        <v>1.8589262218198916E-2</v>
      </c>
      <c r="R102" s="584">
        <f>R62/R127</f>
        <v>8.7476615034043793E-3</v>
      </c>
      <c r="S102" s="584">
        <f>S62/S127</f>
        <v>2.3977188058463199E-3</v>
      </c>
      <c r="T102" s="584">
        <f>T62/T127</f>
        <v>1.1399275126791411E-2</v>
      </c>
      <c r="U102" s="584">
        <f>U62/U127</f>
        <v>9.5028837234070428E-3</v>
      </c>
      <c r="V102" s="12"/>
      <c r="W102" s="12"/>
      <c r="X102" s="12"/>
      <c r="Y102" s="12"/>
      <c r="Z102" s="12"/>
      <c r="AA102" s="12"/>
      <c r="AB102" s="12"/>
      <c r="AC102" s="12"/>
      <c r="AD102" s="502" t="s">
        <v>155</v>
      </c>
      <c r="AE102" s="584">
        <f>AE62/AE127</f>
        <v>1.0635326602506896E-2</v>
      </c>
      <c r="AF102" s="584">
        <f>AF62/AF127</f>
        <v>1.0006130153587794E-2</v>
      </c>
      <c r="AG102" s="584">
        <f>AG62/AG127</f>
        <v>1.038053505982677E-2</v>
      </c>
      <c r="AH102" s="584">
        <f>AH62/AH127</f>
        <v>2.196968666444888E-2</v>
      </c>
      <c r="AI102" s="584">
        <f>AI62/AI127</f>
        <v>9.577714261724898E-3</v>
      </c>
      <c r="AJ102" s="12"/>
      <c r="AK102" s="12"/>
      <c r="AL102" s="12"/>
      <c r="AM102" s="12"/>
      <c r="AN102" s="12"/>
      <c r="AO102" s="12"/>
      <c r="AP102" s="12"/>
      <c r="AQ102" s="12"/>
      <c r="AR102" s="12"/>
      <c r="AS102" s="12"/>
      <c r="AT102" s="12"/>
      <c r="AU102" s="12"/>
    </row>
    <row r="103" spans="1:47" s="28" customFormat="1" ht="16.5" outlineLevel="1" x14ac:dyDescent="0.3">
      <c r="A103" s="12"/>
      <c r="B103" s="471" t="s">
        <v>860</v>
      </c>
      <c r="C103" s="12"/>
      <c r="D103" s="541"/>
      <c r="E103" s="542"/>
      <c r="F103" s="558">
        <f t="shared" ref="F103:K103" si="47">F71-F102</f>
        <v>0</v>
      </c>
      <c r="G103" s="558">
        <f t="shared" si="47"/>
        <v>0</v>
      </c>
      <c r="H103" s="558">
        <f t="shared" si="47"/>
        <v>0</v>
      </c>
      <c r="I103" s="558">
        <f t="shared" si="47"/>
        <v>2.7381478415009278E-4</v>
      </c>
      <c r="J103" s="558">
        <f t="shared" si="47"/>
        <v>6.3867700187984257E-4</v>
      </c>
      <c r="K103" s="558">
        <f t="shared" si="47"/>
        <v>-2.7485364043646984E-4</v>
      </c>
      <c r="L103" s="12"/>
      <c r="M103" s="12"/>
      <c r="N103" s="11"/>
      <c r="O103" s="11"/>
      <c r="P103" s="11"/>
      <c r="Q103" s="558"/>
      <c r="R103" s="558"/>
      <c r="S103" s="558"/>
      <c r="T103" s="558"/>
      <c r="U103" s="558"/>
      <c r="V103" s="11"/>
      <c r="W103" s="11"/>
      <c r="X103" s="11"/>
      <c r="Y103" s="11"/>
      <c r="Z103" s="11"/>
      <c r="AA103" s="11"/>
      <c r="AB103" s="11"/>
      <c r="AC103" s="11"/>
      <c r="AD103" s="11"/>
      <c r="AE103" s="558"/>
      <c r="AF103" s="558"/>
      <c r="AG103" s="558"/>
      <c r="AH103" s="558"/>
      <c r="AI103" s="558"/>
      <c r="AJ103" s="11"/>
      <c r="AK103" s="11"/>
      <c r="AL103" s="11"/>
      <c r="AM103" s="11"/>
      <c r="AN103" s="11"/>
      <c r="AO103" s="11"/>
      <c r="AP103" s="11"/>
      <c r="AQ103" s="11"/>
      <c r="AR103" s="11"/>
      <c r="AS103" s="11"/>
      <c r="AT103" s="11"/>
      <c r="AU103" s="11"/>
    </row>
    <row r="104" spans="1:47" x14ac:dyDescent="0.2">
      <c r="A104" s="4"/>
      <c r="B104" s="4"/>
      <c r="C104" s="43"/>
      <c r="D104" s="43"/>
      <c r="E104" s="497"/>
      <c r="F104" s="497"/>
      <c r="G104" s="497"/>
      <c r="H104" s="497"/>
      <c r="I104" s="498"/>
      <c r="J104" s="498"/>
      <c r="K104" s="498"/>
      <c r="L104" s="497"/>
      <c r="M104" s="43"/>
      <c r="N104" s="9"/>
      <c r="O104" s="66"/>
      <c r="P104" s="66"/>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row>
    <row r="105" spans="1:47" x14ac:dyDescent="0.2">
      <c r="A105" s="4"/>
      <c r="B105" s="4"/>
      <c r="C105" s="43"/>
      <c r="D105" s="43"/>
      <c r="E105" s="497"/>
      <c r="F105" s="497"/>
      <c r="G105" s="497"/>
      <c r="H105" s="497"/>
      <c r="I105" s="498"/>
      <c r="J105" s="498"/>
      <c r="K105" s="498"/>
      <c r="L105" s="497"/>
      <c r="M105" s="43"/>
      <c r="N105" s="9"/>
      <c r="O105" s="66"/>
      <c r="P105" s="66"/>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row>
    <row r="106" spans="1:47" ht="15" x14ac:dyDescent="0.25">
      <c r="A106" s="534"/>
      <c r="B106" s="534" t="s">
        <v>1017</v>
      </c>
      <c r="C106" s="535"/>
      <c r="D106" s="535"/>
      <c r="E106" s="536"/>
      <c r="F106" s="536"/>
      <c r="G106" s="536"/>
      <c r="H106" s="536"/>
      <c r="I106" s="536"/>
      <c r="J106" s="536"/>
      <c r="K106" s="536"/>
      <c r="L106" s="497"/>
      <c r="M106" s="43"/>
      <c r="N106" s="9"/>
      <c r="O106" s="66"/>
      <c r="P106" s="66"/>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spans="1:47" x14ac:dyDescent="0.2">
      <c r="A107" s="4"/>
      <c r="C107" s="43"/>
      <c r="D107" s="43"/>
      <c r="E107" s="4" t="s">
        <v>348</v>
      </c>
      <c r="F107" s="4"/>
      <c r="G107" s="4"/>
      <c r="H107" s="4"/>
      <c r="I107" s="4"/>
      <c r="J107" s="4"/>
      <c r="K107" s="4"/>
      <c r="L107" s="497"/>
      <c r="M107" s="43"/>
      <c r="N107" s="9"/>
      <c r="O107" s="66"/>
      <c r="P107" s="66"/>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spans="1:47" x14ac:dyDescent="0.2">
      <c r="A108" s="4"/>
      <c r="B108" s="15"/>
      <c r="C108" s="537"/>
      <c r="D108" s="537"/>
      <c r="E108" s="539">
        <f t="shared" ref="E108:J108" si="48">E8</f>
        <v>2009</v>
      </c>
      <c r="F108" s="539">
        <f t="shared" si="48"/>
        <v>2010</v>
      </c>
      <c r="G108" s="539">
        <f t="shared" si="48"/>
        <v>2011</v>
      </c>
      <c r="H108" s="539">
        <f t="shared" si="48"/>
        <v>2012</v>
      </c>
      <c r="I108" s="539">
        <f t="shared" si="48"/>
        <v>2013</v>
      </c>
      <c r="J108" s="539">
        <f t="shared" si="48"/>
        <v>2014</v>
      </c>
      <c r="K108" s="539">
        <f>K8</f>
        <v>2015</v>
      </c>
      <c r="L108" s="497"/>
      <c r="M108" s="43"/>
      <c r="N108" s="9"/>
      <c r="O108" s="66"/>
      <c r="P108" s="66"/>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spans="1:47" x14ac:dyDescent="0.2">
      <c r="A109" s="4"/>
      <c r="B109" s="4" t="s">
        <v>1018</v>
      </c>
      <c r="C109" s="43"/>
      <c r="D109" s="43"/>
      <c r="E109" s="519"/>
      <c r="F109" s="519">
        <f t="shared" ref="F109:K109" si="49">F10</f>
        <v>77.192999999999998</v>
      </c>
      <c r="G109" s="519">
        <f t="shared" si="49"/>
        <v>58.912999999999997</v>
      </c>
      <c r="H109" s="519">
        <f t="shared" si="49"/>
        <v>90.147999999999996</v>
      </c>
      <c r="I109" s="519">
        <f t="shared" si="49"/>
        <v>124.774</v>
      </c>
      <c r="J109" s="519">
        <f t="shared" si="49"/>
        <v>166.8</v>
      </c>
      <c r="K109" s="519">
        <f t="shared" si="49"/>
        <v>176.4</v>
      </c>
      <c r="L109" s="497"/>
      <c r="M109" s="43"/>
      <c r="N109" s="9"/>
      <c r="O109" s="66"/>
      <c r="P109" s="66"/>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row>
    <row r="110" spans="1:47" x14ac:dyDescent="0.2">
      <c r="A110" s="4"/>
      <c r="B110" s="4" t="s">
        <v>1024</v>
      </c>
      <c r="C110" s="43"/>
      <c r="D110" s="43"/>
      <c r="E110" s="519"/>
      <c r="F110" s="519">
        <f>МСФО_ввод!F120</f>
        <v>77.001999999999995</v>
      </c>
      <c r="G110" s="519">
        <f>МСФО_ввод!G120</f>
        <v>52.542000000000002</v>
      </c>
      <c r="H110" s="519">
        <f>МСФО_ввод!H120</f>
        <v>92.816999999999993</v>
      </c>
      <c r="I110" s="519">
        <f>МСФО_ввод!I120</f>
        <v>116.164</v>
      </c>
      <c r="J110" s="519">
        <f>МСФО_ввод!J120</f>
        <v>159.80000000000001</v>
      </c>
      <c r="K110" s="519">
        <f>МСФО_ввод!K120</f>
        <v>158.69999999999999</v>
      </c>
      <c r="L110" s="497"/>
      <c r="M110" s="43"/>
      <c r="N110" s="9"/>
      <c r="O110" s="66"/>
      <c r="P110" s="66"/>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row>
    <row r="111" spans="1:47" ht="15" x14ac:dyDescent="0.25">
      <c r="A111" s="12"/>
      <c r="B111" s="12" t="s">
        <v>1025</v>
      </c>
      <c r="C111" s="46"/>
      <c r="D111" s="46"/>
      <c r="E111" s="710"/>
      <c r="F111" s="710">
        <f t="shared" ref="F111:K111" si="50">F109-F110</f>
        <v>0.1910000000000025</v>
      </c>
      <c r="G111" s="710">
        <f t="shared" si="50"/>
        <v>6.3709999999999951</v>
      </c>
      <c r="H111" s="710">
        <f t="shared" si="50"/>
        <v>-2.6689999999999969</v>
      </c>
      <c r="I111" s="710">
        <f t="shared" si="50"/>
        <v>8.61</v>
      </c>
      <c r="J111" s="710">
        <f t="shared" si="50"/>
        <v>7</v>
      </c>
      <c r="K111" s="710">
        <f t="shared" si="50"/>
        <v>17.700000000000017</v>
      </c>
      <c r="L111" s="497"/>
      <c r="M111" s="43"/>
      <c r="N111" s="9"/>
      <c r="O111" s="66"/>
      <c r="P111" s="66"/>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row>
    <row r="112" spans="1:47" x14ac:dyDescent="0.2">
      <c r="A112" s="93"/>
      <c r="B112" s="93" t="s">
        <v>1019</v>
      </c>
      <c r="C112" s="548"/>
      <c r="D112" s="548"/>
      <c r="E112" s="711"/>
      <c r="F112" s="711">
        <f t="shared" ref="F112:K112" si="51">F111/F109</f>
        <v>2.474317619473301E-3</v>
      </c>
      <c r="G112" s="711">
        <f t="shared" si="51"/>
        <v>0.10814251523432851</v>
      </c>
      <c r="H112" s="711">
        <f t="shared" si="51"/>
        <v>-2.9606868704796525E-2</v>
      </c>
      <c r="I112" s="711">
        <f t="shared" si="51"/>
        <v>6.9004760607177779E-2</v>
      </c>
      <c r="J112" s="711">
        <f t="shared" si="51"/>
        <v>4.1966426858513185E-2</v>
      </c>
      <c r="K112" s="711">
        <f t="shared" si="51"/>
        <v>0.10034013605442187</v>
      </c>
      <c r="L112" s="497"/>
      <c r="M112" s="43"/>
      <c r="N112" s="9"/>
      <c r="O112" s="66"/>
      <c r="P112" s="66"/>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row>
    <row r="113" spans="1:47" x14ac:dyDescent="0.2">
      <c r="A113" s="4"/>
      <c r="B113" s="4"/>
      <c r="C113" s="43"/>
      <c r="D113" s="43"/>
      <c r="E113" s="544"/>
      <c r="F113" s="544"/>
      <c r="G113" s="544"/>
      <c r="H113" s="544"/>
      <c r="I113" s="544"/>
      <c r="J113" s="544"/>
      <c r="K113" s="544"/>
      <c r="L113" s="497"/>
      <c r="M113" s="43"/>
      <c r="N113" s="9"/>
      <c r="O113" s="66"/>
      <c r="P113" s="66"/>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row>
    <row r="114" spans="1:47" x14ac:dyDescent="0.2">
      <c r="A114" s="4"/>
      <c r="B114" s="4" t="s">
        <v>1020</v>
      </c>
      <c r="C114" s="43"/>
      <c r="D114" s="43"/>
      <c r="E114" s="519"/>
      <c r="F114" s="519">
        <f t="shared" ref="F114:K114" si="52">F24</f>
        <v>7.1349999999999998</v>
      </c>
      <c r="G114" s="519">
        <f t="shared" si="52"/>
        <v>7.83</v>
      </c>
      <c r="H114" s="519">
        <f t="shared" si="52"/>
        <v>8.2249999999999996</v>
      </c>
      <c r="I114" s="519">
        <f t="shared" si="52"/>
        <v>10.4</v>
      </c>
      <c r="J114" s="519">
        <f t="shared" si="52"/>
        <v>14.6</v>
      </c>
      <c r="K114" s="519">
        <f t="shared" si="52"/>
        <v>17.5</v>
      </c>
      <c r="L114" s="497"/>
      <c r="M114" s="43"/>
      <c r="N114" s="9"/>
      <c r="O114" s="66"/>
      <c r="P114" s="66"/>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row>
    <row r="115" spans="1:47" x14ac:dyDescent="0.2">
      <c r="A115" s="4"/>
      <c r="B115" s="4" t="s">
        <v>1021</v>
      </c>
      <c r="C115" s="43"/>
      <c r="D115" s="43"/>
      <c r="E115" s="519"/>
      <c r="F115" s="519">
        <f>МСФО_ввод!F122</f>
        <v>7.125</v>
      </c>
      <c r="G115" s="519">
        <f>МСФО_ввод!G122</f>
        <v>6.6130000000000004</v>
      </c>
      <c r="H115" s="519">
        <f>МСФО_ввод!H122</f>
        <v>8.0419999999999998</v>
      </c>
      <c r="I115" s="519">
        <f>МСФО_ввод!I122</f>
        <v>10.268000000000001</v>
      </c>
      <c r="J115" s="519">
        <f>МСФО_ввод!J122</f>
        <v>15</v>
      </c>
      <c r="K115" s="519">
        <f>МСФО_ввод!K122</f>
        <v>17.2</v>
      </c>
      <c r="L115" s="497"/>
      <c r="M115" s="43"/>
      <c r="N115" s="9"/>
      <c r="O115" s="66"/>
      <c r="P115" s="66"/>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row>
    <row r="116" spans="1:47" ht="15" x14ac:dyDescent="0.25">
      <c r="A116" s="12"/>
      <c r="B116" s="12" t="s">
        <v>1022</v>
      </c>
      <c r="C116" s="46"/>
      <c r="D116" s="46"/>
      <c r="E116" s="710"/>
      <c r="F116" s="710">
        <f t="shared" ref="F116:K116" si="53">F114-F115</f>
        <v>9.9999999999997868E-3</v>
      </c>
      <c r="G116" s="710">
        <f t="shared" si="53"/>
        <v>1.2169999999999996</v>
      </c>
      <c r="H116" s="710">
        <f t="shared" si="53"/>
        <v>0.18299999999999983</v>
      </c>
      <c r="I116" s="710">
        <f t="shared" si="53"/>
        <v>0.13199999999999967</v>
      </c>
      <c r="J116" s="710">
        <f t="shared" si="53"/>
        <v>-0.40000000000000036</v>
      </c>
      <c r="K116" s="710">
        <f t="shared" si="53"/>
        <v>0.30000000000000071</v>
      </c>
      <c r="L116" s="497"/>
      <c r="M116" s="43"/>
      <c r="N116" s="9"/>
      <c r="O116" s="66"/>
      <c r="P116" s="66"/>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row>
    <row r="117" spans="1:47" x14ac:dyDescent="0.2">
      <c r="A117" s="93"/>
      <c r="B117" s="93" t="s">
        <v>1023</v>
      </c>
      <c r="C117" s="548"/>
      <c r="D117" s="548"/>
      <c r="E117" s="711"/>
      <c r="F117" s="711">
        <f t="shared" ref="F117:K117" si="54">F116/F114</f>
        <v>1.4015416958654222E-3</v>
      </c>
      <c r="G117" s="711">
        <f t="shared" si="54"/>
        <v>0.15542784163473813</v>
      </c>
      <c r="H117" s="711">
        <f t="shared" si="54"/>
        <v>2.2249240121580527E-2</v>
      </c>
      <c r="I117" s="711">
        <f t="shared" si="54"/>
        <v>1.2692307692307661E-2</v>
      </c>
      <c r="J117" s="711">
        <f t="shared" si="54"/>
        <v>-2.7397260273972629E-2</v>
      </c>
      <c r="K117" s="711">
        <f t="shared" si="54"/>
        <v>1.7142857142857182E-2</v>
      </c>
      <c r="L117" s="497"/>
      <c r="M117" s="43"/>
      <c r="N117" s="9"/>
      <c r="O117" s="66"/>
      <c r="P117" s="66"/>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row>
    <row r="118" spans="1:47" x14ac:dyDescent="0.2">
      <c r="A118" s="4"/>
      <c r="B118" s="4"/>
      <c r="C118" s="43"/>
      <c r="D118" s="43"/>
      <c r="E118" s="497"/>
      <c r="F118" s="497"/>
      <c r="G118" s="497"/>
      <c r="H118" s="497"/>
      <c r="I118" s="498"/>
      <c r="J118" s="498"/>
      <c r="K118" s="498"/>
      <c r="L118" s="497"/>
      <c r="M118" s="43"/>
      <c r="N118" s="9"/>
      <c r="O118" s="66"/>
      <c r="P118" s="66"/>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row>
    <row r="119" spans="1:47" x14ac:dyDescent="0.2">
      <c r="A119" s="4"/>
      <c r="B119" s="4"/>
      <c r="C119" s="43"/>
      <c r="D119" s="43"/>
      <c r="E119" s="497"/>
      <c r="F119" s="497"/>
      <c r="G119" s="497"/>
      <c r="H119" s="497"/>
      <c r="I119" s="498"/>
      <c r="J119" s="498"/>
      <c r="K119" s="498"/>
      <c r="L119" s="497"/>
      <c r="M119" s="43"/>
      <c r="N119" s="9"/>
      <c r="O119" s="66"/>
      <c r="P119" s="66"/>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row>
    <row r="120" spans="1:47" x14ac:dyDescent="0.2">
      <c r="A120" s="4"/>
      <c r="B120" s="4"/>
      <c r="C120" s="43"/>
      <c r="D120" s="43"/>
      <c r="E120" s="497"/>
      <c r="F120" s="497"/>
      <c r="G120" s="497"/>
      <c r="H120" s="497"/>
      <c r="I120" s="498"/>
      <c r="J120" s="498"/>
      <c r="K120" s="498"/>
      <c r="L120" s="497"/>
      <c r="M120" s="43"/>
      <c r="N120" s="9"/>
      <c r="O120" s="66"/>
      <c r="P120" s="66"/>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row>
    <row r="121" spans="1:47" x14ac:dyDescent="0.2">
      <c r="A121" s="4"/>
      <c r="B121" s="4"/>
      <c r="C121" s="43"/>
      <c r="D121" s="43"/>
      <c r="E121" s="497"/>
      <c r="F121" s="497"/>
      <c r="G121" s="497"/>
      <c r="H121" s="497"/>
      <c r="I121" s="498"/>
      <c r="J121" s="498"/>
      <c r="K121" s="498"/>
      <c r="L121" s="497"/>
      <c r="M121" s="43"/>
      <c r="N121" s="9"/>
      <c r="O121" s="66"/>
      <c r="P121" s="66"/>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row>
    <row r="122" spans="1:47" x14ac:dyDescent="0.2">
      <c r="A122" s="4"/>
      <c r="B122" s="4"/>
      <c r="C122" s="43"/>
      <c r="D122" s="43"/>
      <c r="E122" s="497"/>
      <c r="F122" s="497"/>
      <c r="G122" s="497"/>
      <c r="H122" s="497"/>
      <c r="I122" s="498"/>
      <c r="J122" s="498"/>
      <c r="K122" s="498"/>
      <c r="L122" s="497"/>
      <c r="M122" s="43"/>
      <c r="N122" s="9"/>
      <c r="O122" s="66"/>
      <c r="P122" s="66"/>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spans="1:47" ht="15" x14ac:dyDescent="0.25">
      <c r="A123" s="534"/>
      <c r="B123" s="534" t="s">
        <v>542</v>
      </c>
      <c r="C123" s="535"/>
      <c r="D123" s="535"/>
      <c r="E123" s="536"/>
      <c r="F123" s="536"/>
      <c r="G123" s="536"/>
      <c r="H123" s="536"/>
      <c r="I123" s="536"/>
      <c r="J123" s="536"/>
      <c r="K123" s="536"/>
      <c r="L123" s="497"/>
      <c r="M123" s="43"/>
      <c r="N123" s="9"/>
      <c r="O123" s="66"/>
      <c r="P123" s="66"/>
      <c r="Q123" s="534" t="s">
        <v>863</v>
      </c>
      <c r="R123" s="583"/>
      <c r="S123" s="583"/>
      <c r="T123" s="583"/>
      <c r="U123" s="583"/>
      <c r="V123" s="583"/>
      <c r="W123" s="583"/>
      <c r="X123" s="583"/>
      <c r="Y123" s="583"/>
      <c r="Z123" s="583"/>
      <c r="AA123" s="583"/>
      <c r="AB123" s="583"/>
      <c r="AC123" s="4"/>
      <c r="AD123" s="4"/>
      <c r="AE123" s="534" t="s">
        <v>869</v>
      </c>
      <c r="AF123" s="583"/>
      <c r="AG123" s="583"/>
      <c r="AH123" s="583"/>
      <c r="AI123" s="583"/>
      <c r="AJ123" s="583"/>
      <c r="AK123" s="583"/>
      <c r="AL123" s="583"/>
      <c r="AM123" s="583"/>
      <c r="AN123" s="583"/>
      <c r="AO123" s="583"/>
      <c r="AP123" s="583"/>
      <c r="AQ123" s="4"/>
      <c r="AR123" s="4"/>
      <c r="AS123" s="4"/>
      <c r="AT123" s="4"/>
      <c r="AU123" s="4"/>
    </row>
    <row r="124" spans="1:47" ht="15" outlineLevel="1" x14ac:dyDescent="0.25">
      <c r="A124" s="4"/>
      <c r="B124" s="559"/>
      <c r="C124" s="560"/>
      <c r="D124" s="560" t="s">
        <v>286</v>
      </c>
      <c r="E124" s="561" t="s">
        <v>348</v>
      </c>
      <c r="F124" s="561"/>
      <c r="G124" s="561"/>
      <c r="H124" s="561"/>
      <c r="I124" s="561"/>
      <c r="J124" s="561"/>
      <c r="K124" s="561"/>
      <c r="L124" s="497"/>
      <c r="M124" s="43"/>
      <c r="N124" s="9"/>
      <c r="O124" s="66"/>
      <c r="P124" s="66"/>
      <c r="Q124" s="561" t="s">
        <v>348</v>
      </c>
      <c r="R124" s="561"/>
      <c r="S124" s="561" t="s">
        <v>286</v>
      </c>
      <c r="T124" s="561"/>
      <c r="U124" s="561"/>
      <c r="V124" s="4"/>
      <c r="W124" s="4"/>
      <c r="X124" s="4"/>
      <c r="Y124" s="4"/>
      <c r="Z124" s="4"/>
      <c r="AA124" s="4"/>
      <c r="AB124" s="4"/>
      <c r="AC124" s="4"/>
      <c r="AD124" s="4"/>
      <c r="AE124" s="561" t="s">
        <v>348</v>
      </c>
      <c r="AF124" s="561"/>
      <c r="AG124" s="561" t="s">
        <v>304</v>
      </c>
      <c r="AH124" s="561"/>
      <c r="AI124" s="561"/>
      <c r="AJ124" s="4"/>
      <c r="AK124" s="4"/>
      <c r="AL124" s="4"/>
      <c r="AM124" s="4"/>
      <c r="AN124" s="4"/>
      <c r="AO124" s="4"/>
      <c r="AP124" s="4"/>
      <c r="AQ124" s="4"/>
      <c r="AR124" s="4"/>
      <c r="AS124" s="4"/>
      <c r="AT124" s="4"/>
      <c r="AU124" s="4"/>
    </row>
    <row r="125" spans="1:47" ht="15" outlineLevel="1" x14ac:dyDescent="0.25">
      <c r="A125" s="4"/>
      <c r="B125" s="562"/>
      <c r="C125" s="563"/>
      <c r="D125" s="563"/>
      <c r="E125" s="564">
        <f t="shared" ref="E125:K125" si="55">E8</f>
        <v>2009</v>
      </c>
      <c r="F125" s="564">
        <f t="shared" si="55"/>
        <v>2010</v>
      </c>
      <c r="G125" s="564">
        <f t="shared" si="55"/>
        <v>2011</v>
      </c>
      <c r="H125" s="564">
        <f t="shared" si="55"/>
        <v>2012</v>
      </c>
      <c r="I125" s="564">
        <f t="shared" si="55"/>
        <v>2013</v>
      </c>
      <c r="J125" s="564">
        <f t="shared" si="55"/>
        <v>2014</v>
      </c>
      <c r="K125" s="564">
        <f t="shared" si="55"/>
        <v>2015</v>
      </c>
      <c r="L125" s="497"/>
      <c r="M125" s="43"/>
      <c r="N125" s="9"/>
      <c r="O125" s="66"/>
      <c r="P125" s="66"/>
      <c r="Q125" s="564">
        <f>Q8</f>
        <v>2013</v>
      </c>
      <c r="R125" s="564">
        <f>R8</f>
        <v>2014</v>
      </c>
      <c r="S125" s="564">
        <f>S8</f>
        <v>2015</v>
      </c>
      <c r="T125" s="564">
        <f>T8</f>
        <v>2016</v>
      </c>
      <c r="U125" s="564">
        <f>U8</f>
        <v>2017</v>
      </c>
      <c r="V125" s="4"/>
      <c r="W125" s="4"/>
      <c r="X125" s="4"/>
      <c r="Y125" s="4"/>
      <c r="Z125" s="4"/>
      <c r="AA125" s="4"/>
      <c r="AB125" s="4"/>
      <c r="AC125" s="4"/>
      <c r="AD125" s="4"/>
      <c r="AE125" s="564">
        <f>AE8</f>
        <v>2013</v>
      </c>
      <c r="AF125" s="564">
        <f>AF8</f>
        <v>2014</v>
      </c>
      <c r="AG125" s="564">
        <f>AG8</f>
        <v>2015</v>
      </c>
      <c r="AH125" s="564">
        <f>AH8</f>
        <v>2016</v>
      </c>
      <c r="AI125" s="564">
        <f>AI8</f>
        <v>2017</v>
      </c>
      <c r="AJ125" s="4"/>
      <c r="AK125" s="4"/>
      <c r="AL125" s="4"/>
      <c r="AM125" s="4"/>
      <c r="AN125" s="4"/>
      <c r="AO125" s="4"/>
      <c r="AP125" s="4"/>
      <c r="AQ125" s="4"/>
      <c r="AR125" s="4"/>
      <c r="AS125" s="4"/>
      <c r="AT125" s="4"/>
      <c r="AU125" s="4"/>
    </row>
    <row r="126" spans="1:47" ht="15" outlineLevel="1" x14ac:dyDescent="0.25">
      <c r="A126" s="4"/>
      <c r="B126" s="501" t="s">
        <v>219</v>
      </c>
      <c r="C126" s="560"/>
      <c r="D126" s="560"/>
      <c r="E126" s="565"/>
      <c r="F126" s="565">
        <f t="shared" ref="F126:K126" si="56">F10+F24</f>
        <v>84.328000000000003</v>
      </c>
      <c r="G126" s="565">
        <f t="shared" si="56"/>
        <v>66.742999999999995</v>
      </c>
      <c r="H126" s="565">
        <f t="shared" si="56"/>
        <v>98.37299999999999</v>
      </c>
      <c r="I126" s="565">
        <f t="shared" si="56"/>
        <v>135.17400000000001</v>
      </c>
      <c r="J126" s="565">
        <f t="shared" si="56"/>
        <v>181.4</v>
      </c>
      <c r="K126" s="565">
        <f t="shared" si="56"/>
        <v>193.9</v>
      </c>
      <c r="L126" s="497"/>
      <c r="M126" s="43"/>
      <c r="N126" s="9"/>
      <c r="O126" s="66"/>
      <c r="P126" s="66"/>
      <c r="Q126" s="565">
        <f>Q10+Q24</f>
        <v>4769</v>
      </c>
      <c r="R126" s="565">
        <f>R10+R24</f>
        <v>5683.1</v>
      </c>
      <c r="S126" s="565">
        <f>S10+S24</f>
        <v>6758.4999999999991</v>
      </c>
      <c r="T126" s="565">
        <v>6914.9</v>
      </c>
      <c r="U126" s="565">
        <v>6295</v>
      </c>
      <c r="V126" s="4"/>
      <c r="W126" s="4"/>
      <c r="X126" s="4"/>
      <c r="Y126" s="4"/>
      <c r="Z126" s="4"/>
      <c r="AA126" s="4"/>
      <c r="AB126" s="4"/>
      <c r="AC126" s="4"/>
      <c r="AD126" s="4"/>
      <c r="AE126" s="565">
        <f>AE10+AE24</f>
        <v>662.37599999999998</v>
      </c>
      <c r="AF126" s="565">
        <f>AF10+AF24</f>
        <v>657.26</v>
      </c>
      <c r="AG126" s="565">
        <f>AG10+AG24</f>
        <v>671.74700000000007</v>
      </c>
      <c r="AH126" s="565">
        <f>AH10+AH24</f>
        <v>797.227079</v>
      </c>
      <c r="AI126" s="565">
        <v>760.59</v>
      </c>
      <c r="AJ126" s="4"/>
      <c r="AK126" s="4"/>
      <c r="AL126" s="4"/>
      <c r="AM126" s="4"/>
      <c r="AN126" s="4"/>
      <c r="AO126" s="4"/>
      <c r="AP126" s="4"/>
      <c r="AQ126" s="4"/>
      <c r="AR126" s="4"/>
      <c r="AS126" s="4"/>
      <c r="AT126" s="4"/>
      <c r="AU126" s="4"/>
    </row>
    <row r="127" spans="1:47" ht="15" outlineLevel="1" x14ac:dyDescent="0.25">
      <c r="A127" s="4"/>
      <c r="B127" s="559" t="s">
        <v>843</v>
      </c>
      <c r="C127" s="560"/>
      <c r="D127" s="560"/>
      <c r="E127" s="565"/>
      <c r="F127" s="565">
        <f>Баланс_МСФО!F87</f>
        <v>837.31825000000003</v>
      </c>
      <c r="G127" s="565">
        <f>Баланс_МСФО!G87</f>
        <v>954.71680000000015</v>
      </c>
      <c r="H127" s="565">
        <f>Баланс_МСФО!H87</f>
        <v>1176.5088000000001</v>
      </c>
      <c r="I127" s="565">
        <f>Баланс_МСФО!I87</f>
        <v>1460.8415</v>
      </c>
      <c r="J127" s="565">
        <f>Баланс_МСФО!J87</f>
        <v>1878.884</v>
      </c>
      <c r="K127" s="565">
        <f>Баланс_МСФО!K87</f>
        <v>1819.15</v>
      </c>
      <c r="L127" s="497"/>
      <c r="M127" s="43"/>
      <c r="N127" s="9"/>
      <c r="O127" s="66"/>
      <c r="P127" s="66"/>
      <c r="Q127" s="565">
        <v>53466.35</v>
      </c>
      <c r="R127" s="565">
        <v>67538.05</v>
      </c>
      <c r="S127" s="565">
        <v>80326.350000000006</v>
      </c>
      <c r="T127" s="565">
        <v>81531.5</v>
      </c>
      <c r="U127" s="565">
        <v>82627.55</v>
      </c>
      <c r="V127" s="4"/>
      <c r="W127" s="4"/>
      <c r="X127" s="4"/>
      <c r="Y127" s="4"/>
      <c r="Z127" s="4"/>
      <c r="AA127" s="4"/>
      <c r="AB127" s="4"/>
      <c r="AC127" s="4"/>
      <c r="AD127" s="4"/>
      <c r="AE127" s="565">
        <v>13530.285</v>
      </c>
      <c r="AF127" s="565">
        <v>14073.872499999999</v>
      </c>
      <c r="AG127" s="565">
        <v>14684.021499999999</v>
      </c>
      <c r="AH127" s="565">
        <f>(15627.711+14892.19)/2</f>
        <v>15259.950499999999</v>
      </c>
      <c r="AI127" s="565">
        <v>15923.708500000001</v>
      </c>
      <c r="AJ127" s="4"/>
      <c r="AK127" s="4"/>
      <c r="AL127" s="4"/>
      <c r="AM127" s="4"/>
      <c r="AN127" s="4"/>
      <c r="AO127" s="4"/>
      <c r="AP127" s="4"/>
      <c r="AQ127" s="4"/>
      <c r="AR127" s="4"/>
      <c r="AS127" s="4"/>
      <c r="AT127" s="4"/>
      <c r="AU127" s="4"/>
    </row>
    <row r="128" spans="1:47" ht="15" outlineLevel="1" x14ac:dyDescent="0.25">
      <c r="A128" s="4"/>
      <c r="B128" s="501" t="s">
        <v>844</v>
      </c>
      <c r="C128" s="560"/>
      <c r="D128" s="560"/>
      <c r="E128" s="565"/>
      <c r="F128" s="565">
        <f>Баланс_МСФО!F103</f>
        <v>60.839500000000008</v>
      </c>
      <c r="G128" s="565">
        <f>Баланс_МСФО!G103</f>
        <v>99.920000000000016</v>
      </c>
      <c r="H128" s="565">
        <f>Баланс_МСФО!H103</f>
        <v>175.93300000000005</v>
      </c>
      <c r="I128" s="565">
        <f>Баланс_МСФО!I103</f>
        <v>202.52465000000004</v>
      </c>
      <c r="J128" s="565">
        <f>Баланс_МСФО!J103</f>
        <v>201.83565000000002</v>
      </c>
      <c r="K128" s="565">
        <f>Баланс_МСФО!K103</f>
        <v>190.7</v>
      </c>
      <c r="L128" s="497"/>
      <c r="M128" s="43"/>
      <c r="N128" s="9"/>
      <c r="O128" s="66"/>
      <c r="P128" s="66"/>
      <c r="Q128" s="565">
        <v>6588.9</v>
      </c>
      <c r="R128" s="565">
        <v>7496.35</v>
      </c>
      <c r="S128" s="565">
        <v>8468.5</v>
      </c>
      <c r="T128" s="565">
        <v>8081.5499999999993</v>
      </c>
      <c r="U128" s="565">
        <v>8787.15</v>
      </c>
      <c r="V128" s="4"/>
      <c r="W128" s="4"/>
      <c r="X128" s="4"/>
      <c r="Y128" s="4"/>
      <c r="Z128" s="4"/>
      <c r="AA128" s="4"/>
      <c r="AB128" s="4"/>
      <c r="AC128" s="4"/>
      <c r="AD128" s="4"/>
      <c r="AE128" s="565">
        <v>1516.18</v>
      </c>
      <c r="AF128" s="565">
        <v>1572.066</v>
      </c>
      <c r="AG128" s="565">
        <v>1648.3595</v>
      </c>
      <c r="AH128" s="565">
        <f>(1682.357+1744.15)/2</f>
        <v>1713.2535</v>
      </c>
      <c r="AI128" s="565">
        <v>1786.9214999999999</v>
      </c>
      <c r="AJ128" s="4"/>
      <c r="AK128" s="4"/>
      <c r="AL128" s="4"/>
      <c r="AM128" s="4"/>
      <c r="AN128" s="4"/>
      <c r="AO128" s="4"/>
      <c r="AP128" s="4"/>
      <c r="AQ128" s="4"/>
      <c r="AR128" s="4"/>
      <c r="AS128" s="4"/>
      <c r="AT128" s="4"/>
      <c r="AU128" s="4"/>
    </row>
    <row r="129" spans="1:47" ht="15" outlineLevel="1" x14ac:dyDescent="0.25">
      <c r="A129" s="4"/>
      <c r="B129" s="501" t="s">
        <v>872</v>
      </c>
      <c r="C129" s="560"/>
      <c r="D129" s="560"/>
      <c r="E129" s="565"/>
      <c r="F129" s="565">
        <f>Баланс_МСФО!F95</f>
        <v>597.01375000000007</v>
      </c>
      <c r="G129" s="565">
        <f>Баланс_МСФО!G95</f>
        <v>638.86030000000005</v>
      </c>
      <c r="H129" s="565">
        <f>Баланс_МСФО!H95</f>
        <v>755.02880000000005</v>
      </c>
      <c r="I129" s="565">
        <f>Баланс_МСФО!I95</f>
        <v>944.71650000000011</v>
      </c>
      <c r="J129" s="565">
        <f>Баланс_МСФО!J95</f>
        <v>1338.568</v>
      </c>
      <c r="K129" s="565">
        <f>Баланс_МСФО!K95</f>
        <v>1368.3999999999999</v>
      </c>
      <c r="L129" s="497"/>
      <c r="M129" s="43"/>
      <c r="N129" s="9"/>
      <c r="O129" s="66"/>
      <c r="P129" s="66"/>
      <c r="Q129" s="565"/>
      <c r="R129" s="565"/>
      <c r="S129" s="565"/>
      <c r="T129" s="565"/>
      <c r="U129" s="565"/>
      <c r="V129" s="4"/>
      <c r="W129" s="4"/>
      <c r="X129" s="4"/>
      <c r="Y129" s="4"/>
      <c r="Z129" s="4"/>
      <c r="AA129" s="4"/>
      <c r="AB129" s="4"/>
      <c r="AC129" s="4"/>
      <c r="AD129" s="4"/>
      <c r="AE129" s="565"/>
      <c r="AF129" s="565"/>
      <c r="AG129" s="565"/>
      <c r="AH129" s="565"/>
      <c r="AI129" s="565"/>
      <c r="AJ129" s="4"/>
      <c r="AK129" s="4"/>
      <c r="AL129" s="4"/>
      <c r="AM129" s="4"/>
      <c r="AN129" s="4"/>
      <c r="AO129" s="4"/>
      <c r="AP129" s="4"/>
      <c r="AQ129" s="4"/>
      <c r="AR129" s="4"/>
      <c r="AS129" s="4"/>
      <c r="AT129" s="4"/>
      <c r="AU129" s="4"/>
    </row>
    <row r="130" spans="1:47" ht="15" outlineLevel="1" x14ac:dyDescent="0.25">
      <c r="A130" s="4"/>
      <c r="B130" s="501" t="s">
        <v>873</v>
      </c>
      <c r="C130" s="560"/>
      <c r="D130" s="560"/>
      <c r="E130" s="565"/>
      <c r="F130" s="565">
        <f>Баланс_МСФО!F104</f>
        <v>767.72199999999987</v>
      </c>
      <c r="G130" s="565">
        <f>Баланс_МСФО!G104</f>
        <v>839.92950000000008</v>
      </c>
      <c r="H130" s="565">
        <f>Баланс_МСФО!H104</f>
        <v>980.75749999999994</v>
      </c>
      <c r="I130" s="565">
        <f>Баланс_МСФО!I104</f>
        <v>1221.9765000000002</v>
      </c>
      <c r="J130" s="565">
        <f>Баланс_МСФО!J104</f>
        <v>1588.4945</v>
      </c>
      <c r="K130" s="565">
        <f>Баланс_МСФО!K104</f>
        <v>1524.8000000000002</v>
      </c>
      <c r="L130" s="497"/>
      <c r="M130" s="43"/>
      <c r="N130" s="9"/>
      <c r="O130" s="66"/>
      <c r="P130" s="66"/>
      <c r="Q130" s="565"/>
      <c r="R130" s="565"/>
      <c r="S130" s="565"/>
      <c r="T130" s="565"/>
      <c r="U130" s="565"/>
      <c r="V130" s="4"/>
      <c r="W130" s="4"/>
      <c r="X130" s="4"/>
      <c r="Y130" s="4"/>
      <c r="Z130" s="4"/>
      <c r="AA130" s="4"/>
      <c r="AB130" s="4"/>
      <c r="AC130" s="4"/>
      <c r="AD130" s="4"/>
      <c r="AE130" s="565"/>
      <c r="AF130" s="565"/>
      <c r="AG130" s="565"/>
      <c r="AH130" s="565"/>
      <c r="AI130" s="565"/>
      <c r="AJ130" s="4"/>
      <c r="AK130" s="4"/>
      <c r="AL130" s="4"/>
      <c r="AM130" s="4"/>
      <c r="AN130" s="4"/>
      <c r="AO130" s="4"/>
      <c r="AP130" s="4"/>
      <c r="AQ130" s="4"/>
      <c r="AR130" s="4"/>
      <c r="AS130" s="4"/>
      <c r="AT130" s="4"/>
      <c r="AU130" s="4"/>
    </row>
    <row r="131" spans="1:47" ht="15" outlineLevel="1" x14ac:dyDescent="0.25">
      <c r="A131" s="4"/>
      <c r="B131" s="501" t="s">
        <v>874</v>
      </c>
      <c r="C131" s="560"/>
      <c r="D131" s="560"/>
      <c r="E131" s="565"/>
      <c r="F131" s="565">
        <f>Баланс_МСФО!F108</f>
        <v>731.97000000000014</v>
      </c>
      <c r="G131" s="565">
        <f>Баланс_МСФО!G108</f>
        <v>936.7296</v>
      </c>
      <c r="H131" s="565">
        <f>Баланс_МСФО!H108</f>
        <v>1145.202</v>
      </c>
      <c r="I131" s="565">
        <f>Баланс_МСФО!I108</f>
        <v>1447.5610000000001</v>
      </c>
      <c r="J131" s="565">
        <f>Баланс_МСФО!J108</f>
        <v>1943.9999999999998</v>
      </c>
      <c r="K131" s="565">
        <f>Баланс_МСФО!K108</f>
        <v>1344.6000000000001</v>
      </c>
      <c r="L131" s="497"/>
      <c r="M131" s="43"/>
      <c r="N131" s="9"/>
      <c r="O131" s="66"/>
      <c r="P131" s="66"/>
      <c r="Q131" s="565"/>
      <c r="R131" s="565"/>
      <c r="S131" s="565"/>
      <c r="T131" s="565"/>
      <c r="U131" s="565"/>
      <c r="V131" s="4"/>
      <c r="W131" s="4"/>
      <c r="X131" s="4"/>
      <c r="Y131" s="4"/>
      <c r="Z131" s="4"/>
      <c r="AA131" s="4"/>
      <c r="AB131" s="4"/>
      <c r="AC131" s="4"/>
      <c r="AD131" s="4"/>
      <c r="AE131" s="565"/>
      <c r="AF131" s="565"/>
      <c r="AG131" s="565"/>
      <c r="AH131" s="565"/>
      <c r="AI131" s="565"/>
      <c r="AJ131" s="4"/>
      <c r="AK131" s="4"/>
      <c r="AL131" s="4"/>
      <c r="AM131" s="4"/>
      <c r="AN131" s="4"/>
      <c r="AO131" s="4"/>
      <c r="AP131" s="4"/>
      <c r="AQ131" s="4"/>
      <c r="AR131" s="4"/>
      <c r="AS131" s="4"/>
      <c r="AT131" s="4"/>
      <c r="AU131" s="4"/>
    </row>
    <row r="132" spans="1:47" ht="15" outlineLevel="1" x14ac:dyDescent="0.25">
      <c r="A132" s="4"/>
      <c r="B132" s="501" t="s">
        <v>875</v>
      </c>
      <c r="C132" s="560"/>
      <c r="D132" s="560"/>
      <c r="E132" s="565"/>
      <c r="F132" s="565">
        <f>Баланс_МСФО!F36</f>
        <v>849.43100000000004</v>
      </c>
      <c r="G132" s="565">
        <f>Баланс_МСФО!G36</f>
        <v>1060.0026000000003</v>
      </c>
      <c r="H132" s="565">
        <f>Баланс_МСФО!H36</f>
        <v>1293.0149999999999</v>
      </c>
      <c r="I132" s="565">
        <f>Баланс_МСФО!I36</f>
        <v>1628.6679999999999</v>
      </c>
      <c r="J132" s="565">
        <f>Баланс_МСФО!J36</f>
        <v>2129.1</v>
      </c>
      <c r="K132" s="565">
        <f>Баланс_МСФО!K36</f>
        <v>1509.2</v>
      </c>
      <c r="L132" s="497"/>
      <c r="M132" s="43"/>
      <c r="N132" s="9"/>
      <c r="O132" s="66"/>
      <c r="P132" s="66"/>
      <c r="Q132" s="565"/>
      <c r="R132" s="565"/>
      <c r="S132" s="565"/>
      <c r="T132" s="565"/>
      <c r="U132" s="565"/>
      <c r="V132" s="4"/>
      <c r="W132" s="4"/>
      <c r="X132" s="4"/>
      <c r="Y132" s="4"/>
      <c r="Z132" s="4"/>
      <c r="AA132" s="4"/>
      <c r="AB132" s="4"/>
      <c r="AC132" s="4"/>
      <c r="AD132" s="4"/>
      <c r="AE132" s="565"/>
      <c r="AF132" s="565"/>
      <c r="AG132" s="565"/>
      <c r="AH132" s="565"/>
      <c r="AI132" s="565"/>
      <c r="AJ132" s="4"/>
      <c r="AK132" s="4"/>
      <c r="AL132" s="4"/>
      <c r="AM132" s="4"/>
      <c r="AN132" s="4"/>
      <c r="AO132" s="4"/>
      <c r="AP132" s="4"/>
      <c r="AQ132" s="4"/>
      <c r="AR132" s="4"/>
      <c r="AS132" s="4"/>
      <c r="AT132" s="4"/>
      <c r="AU132" s="4"/>
    </row>
    <row r="133" spans="1:47" ht="15" outlineLevel="1" x14ac:dyDescent="0.25">
      <c r="A133" s="4"/>
      <c r="B133" s="501" t="s">
        <v>876</v>
      </c>
      <c r="C133" s="560"/>
      <c r="D133" s="560"/>
      <c r="E133" s="565"/>
      <c r="F133" s="565">
        <f>Баланс_МСФО!F88</f>
        <v>627.8365</v>
      </c>
      <c r="G133" s="565">
        <f>Баланс_МСФО!G88</f>
        <v>721.64250000000004</v>
      </c>
      <c r="H133" s="565">
        <f>Баланс_МСФО!H88</f>
        <v>832.96350000000007</v>
      </c>
      <c r="I133" s="565">
        <f>Баланс_МСФО!I88</f>
        <v>999.52649999999994</v>
      </c>
      <c r="J133" s="565">
        <f>Баланс_МСФО!J88</f>
        <v>1249.5025000000001</v>
      </c>
      <c r="K133" s="565">
        <f>Баланс_МСФО!K88</f>
        <v>1326.65</v>
      </c>
      <c r="L133" s="497"/>
      <c r="M133" s="43"/>
      <c r="N133" s="9"/>
      <c r="O133" s="66"/>
      <c r="P133" s="66"/>
      <c r="Q133" s="565"/>
      <c r="R133" s="565"/>
      <c r="S133" s="565"/>
      <c r="T133" s="565"/>
      <c r="U133" s="565"/>
      <c r="V133" s="4"/>
      <c r="W133" s="4"/>
      <c r="X133" s="4"/>
      <c r="Y133" s="4"/>
      <c r="Z133" s="4"/>
      <c r="AA133" s="4"/>
      <c r="AB133" s="4"/>
      <c r="AC133" s="4"/>
      <c r="AD133" s="4"/>
      <c r="AE133" s="565"/>
      <c r="AF133" s="565"/>
      <c r="AG133" s="565"/>
      <c r="AH133" s="565"/>
      <c r="AI133" s="565"/>
      <c r="AJ133" s="4"/>
      <c r="AK133" s="4"/>
      <c r="AL133" s="4"/>
      <c r="AM133" s="4"/>
      <c r="AN133" s="4"/>
      <c r="AO133" s="4"/>
      <c r="AP133" s="4"/>
      <c r="AQ133" s="4"/>
      <c r="AR133" s="4"/>
      <c r="AS133" s="4"/>
      <c r="AT133" s="4"/>
      <c r="AU133" s="4"/>
    </row>
    <row r="134" spans="1:47" ht="15" outlineLevel="1" x14ac:dyDescent="0.25">
      <c r="A134" s="4"/>
      <c r="B134" s="501" t="s">
        <v>877</v>
      </c>
      <c r="C134" s="560"/>
      <c r="D134" s="560"/>
      <c r="E134" s="565"/>
      <c r="F134" s="565">
        <f>Баланс_МСФО!F90</f>
        <v>65.093999999999994</v>
      </c>
      <c r="G134" s="565">
        <f>Баланс_МСФО!G90</f>
        <v>119.155</v>
      </c>
      <c r="H134" s="565">
        <f>Баланс_МСФО!H90</f>
        <v>163.16399999999999</v>
      </c>
      <c r="I134" s="565">
        <f>Баланс_МСФО!I90</f>
        <v>165.1815</v>
      </c>
      <c r="J134" s="565">
        <f>Баланс_МСФО!J90</f>
        <v>335.88</v>
      </c>
      <c r="K134" s="565">
        <f>Баланс_МСФО!K90</f>
        <v>343.04999999999995</v>
      </c>
      <c r="L134" s="497"/>
      <c r="M134" s="43"/>
      <c r="N134" s="9"/>
      <c r="O134" s="66"/>
      <c r="P134" s="66"/>
      <c r="Q134" s="565"/>
      <c r="R134" s="565"/>
      <c r="S134" s="565"/>
      <c r="T134" s="565"/>
      <c r="U134" s="565"/>
      <c r="V134" s="4"/>
      <c r="W134" s="4"/>
      <c r="X134" s="4"/>
      <c r="Y134" s="4"/>
      <c r="Z134" s="4"/>
      <c r="AA134" s="4"/>
      <c r="AB134" s="4"/>
      <c r="AC134" s="4"/>
      <c r="AD134" s="4"/>
      <c r="AE134" s="565"/>
      <c r="AF134" s="565"/>
      <c r="AG134" s="565"/>
      <c r="AH134" s="565"/>
      <c r="AI134" s="565"/>
      <c r="AJ134" s="4"/>
      <c r="AK134" s="4"/>
      <c r="AL134" s="4"/>
      <c r="AM134" s="4"/>
      <c r="AN134" s="4"/>
      <c r="AO134" s="4"/>
      <c r="AP134" s="4"/>
      <c r="AQ134" s="4"/>
      <c r="AR134" s="4"/>
      <c r="AS134" s="4"/>
      <c r="AT134" s="4"/>
      <c r="AU134" s="4"/>
    </row>
    <row r="135" spans="1:47" ht="15" outlineLevel="1" x14ac:dyDescent="0.25">
      <c r="A135" s="4"/>
      <c r="B135" s="501"/>
      <c r="C135" s="560"/>
      <c r="D135" s="560"/>
      <c r="E135" s="565"/>
      <c r="F135" s="565"/>
      <c r="G135" s="565"/>
      <c r="H135" s="565"/>
      <c r="I135" s="565"/>
      <c r="J135" s="565"/>
      <c r="K135" s="565"/>
      <c r="L135" s="497"/>
      <c r="M135" s="43"/>
      <c r="N135" s="9"/>
      <c r="O135" s="66"/>
      <c r="P135" s="66"/>
      <c r="Q135" s="565"/>
      <c r="R135" s="565"/>
      <c r="S135" s="565"/>
      <c r="T135" s="565"/>
      <c r="U135" s="565"/>
      <c r="V135" s="4"/>
      <c r="W135" s="4"/>
      <c r="X135" s="4"/>
      <c r="Y135" s="4"/>
      <c r="Z135" s="4"/>
      <c r="AA135" s="4"/>
      <c r="AB135" s="4"/>
      <c r="AC135" s="4"/>
      <c r="AD135" s="4"/>
      <c r="AE135" s="565"/>
      <c r="AF135" s="565"/>
      <c r="AG135" s="565"/>
      <c r="AH135" s="565"/>
      <c r="AI135" s="565"/>
      <c r="AJ135" s="4"/>
      <c r="AK135" s="4"/>
      <c r="AL135" s="4"/>
      <c r="AM135" s="4"/>
      <c r="AN135" s="4"/>
      <c r="AO135" s="4"/>
      <c r="AP135" s="4"/>
      <c r="AQ135" s="4"/>
      <c r="AR135" s="4"/>
      <c r="AS135" s="4"/>
      <c r="AT135" s="4"/>
      <c r="AU135" s="4"/>
    </row>
    <row r="136" spans="1:47" ht="16.5" outlineLevel="1" x14ac:dyDescent="0.3">
      <c r="A136" s="4"/>
      <c r="B136" s="501" t="s">
        <v>850</v>
      </c>
      <c r="C136" s="560"/>
      <c r="D136" s="560"/>
      <c r="E136" s="561"/>
      <c r="F136" s="560">
        <f>МСФО_ввод!F133</f>
        <v>10258</v>
      </c>
      <c r="G136" s="560">
        <f>МСФО_ввод!G133</f>
        <v>10139</v>
      </c>
      <c r="H136" s="560">
        <f>МСФО_ввод!H133</f>
        <v>12926</v>
      </c>
      <c r="I136" s="560">
        <f>МСФО_ввод!I133</f>
        <v>18336</v>
      </c>
      <c r="J136" s="560">
        <f>МСФО_ввод!J133</f>
        <v>21274</v>
      </c>
      <c r="K136" s="560">
        <f>МСФО_ввод!K133</f>
        <v>18249</v>
      </c>
      <c r="L136" s="497"/>
      <c r="M136" s="43"/>
      <c r="N136" s="9"/>
      <c r="O136" s="66"/>
      <c r="P136" s="66"/>
      <c r="Q136" s="560">
        <v>835000</v>
      </c>
      <c r="R136" s="560">
        <v>950000</v>
      </c>
      <c r="S136" s="560">
        <v>838000</v>
      </c>
      <c r="T136" s="560">
        <f>S136*0.97</f>
        <v>812860</v>
      </c>
      <c r="U136" s="560">
        <f>T136-3%</f>
        <v>812859.97</v>
      </c>
      <c r="V136" s="4"/>
      <c r="W136" s="4"/>
      <c r="X136" s="4"/>
      <c r="Y136" s="4"/>
      <c r="Z136" s="4"/>
      <c r="AA136" s="4"/>
      <c r="AB136" s="4"/>
      <c r="AC136" s="4"/>
      <c r="AD136" s="4"/>
      <c r="AE136" s="588">
        <v>1924790</v>
      </c>
      <c r="AF136" s="588">
        <v>1910759</v>
      </c>
      <c r="AG136" s="588">
        <v>1904845</v>
      </c>
      <c r="AH136" s="588">
        <v>1923661</v>
      </c>
      <c r="AI136" s="588">
        <v>1951089</v>
      </c>
      <c r="AJ136" s="4"/>
      <c r="AK136" s="4"/>
      <c r="AL136" s="4"/>
      <c r="AM136" s="4"/>
      <c r="AN136" s="4"/>
      <c r="AO136" s="4"/>
      <c r="AP136" s="4"/>
      <c r="AQ136" s="4"/>
      <c r="AR136" s="4"/>
      <c r="AS136" s="4"/>
      <c r="AT136" s="4"/>
      <c r="AU136" s="4"/>
    </row>
    <row r="137" spans="1:47" ht="15" outlineLevel="1" x14ac:dyDescent="0.25">
      <c r="A137" s="4"/>
      <c r="B137" s="501"/>
      <c r="C137" s="560"/>
      <c r="D137" s="560"/>
      <c r="E137" s="561"/>
      <c r="F137" s="561"/>
      <c r="G137" s="561"/>
      <c r="H137" s="561"/>
      <c r="I137" s="561"/>
      <c r="J137" s="561"/>
      <c r="K137" s="561"/>
      <c r="L137" s="497"/>
      <c r="M137" s="43"/>
      <c r="N137" s="9"/>
      <c r="O137" s="66"/>
      <c r="P137" s="66"/>
      <c r="Q137" s="561"/>
      <c r="R137" s="561"/>
      <c r="S137" s="561"/>
      <c r="T137" s="561"/>
      <c r="U137" s="561"/>
      <c r="V137" s="4"/>
      <c r="W137" s="4"/>
      <c r="X137" s="4"/>
      <c r="Y137" s="4"/>
      <c r="Z137" s="4"/>
      <c r="AA137" s="4"/>
      <c r="AB137" s="4"/>
      <c r="AC137" s="4"/>
      <c r="AD137" s="4"/>
      <c r="AE137" s="561"/>
      <c r="AF137" s="561"/>
      <c r="AG137" s="561"/>
      <c r="AH137" s="561"/>
      <c r="AI137" s="561"/>
      <c r="AJ137" s="4"/>
      <c r="AK137" s="4"/>
      <c r="AL137" s="4"/>
      <c r="AM137" s="4"/>
      <c r="AN137" s="4"/>
      <c r="AO137" s="4"/>
      <c r="AP137" s="4"/>
      <c r="AQ137" s="4"/>
      <c r="AR137" s="4"/>
      <c r="AS137" s="4"/>
      <c r="AT137" s="4"/>
      <c r="AU137" s="4"/>
    </row>
    <row r="138" spans="1:47" ht="15" outlineLevel="1" x14ac:dyDescent="0.25">
      <c r="A138" s="4"/>
      <c r="B138" s="501" t="s">
        <v>852</v>
      </c>
      <c r="C138" s="560"/>
      <c r="D138" s="560"/>
      <c r="E138" s="561"/>
      <c r="F138" s="566">
        <f>МСФО_ввод!F139</f>
        <v>30.476900000000001</v>
      </c>
      <c r="G138" s="566">
        <f>МСФО_ввод!G139</f>
        <v>32.196100000000001</v>
      </c>
      <c r="H138" s="566">
        <f>МСФО_ввод!H139</f>
        <v>30.372699999999998</v>
      </c>
      <c r="I138" s="566">
        <f>МСФО_ввод!I139</f>
        <v>32.729199999999999</v>
      </c>
      <c r="J138" s="566">
        <f>МСФО_ввод!J139</f>
        <v>56.258400000000002</v>
      </c>
      <c r="K138" s="566">
        <f>МСФО_ввод!K139</f>
        <v>72.8827</v>
      </c>
      <c r="L138" s="497"/>
      <c r="M138" s="43"/>
      <c r="N138" s="9"/>
      <c r="O138" s="66"/>
      <c r="P138" s="66"/>
      <c r="Q138" s="566">
        <v>32.729199999999999</v>
      </c>
      <c r="R138" s="566">
        <v>56.258400000000002</v>
      </c>
      <c r="S138" s="566">
        <v>72.8827</v>
      </c>
      <c r="T138" s="566">
        <v>60.6569</v>
      </c>
      <c r="U138" s="566">
        <v>57.600200000000001</v>
      </c>
      <c r="V138" s="4"/>
      <c r="W138" s="4"/>
      <c r="X138" s="4"/>
      <c r="Y138" s="4"/>
      <c r="Z138" s="4"/>
      <c r="AA138" s="4"/>
      <c r="AB138" s="4"/>
      <c r="AC138" s="4"/>
      <c r="AD138" s="4"/>
      <c r="AE138" s="566">
        <f>I138</f>
        <v>32.729199999999999</v>
      </c>
      <c r="AF138" s="566">
        <f>J138</f>
        <v>56.258400000000002</v>
      </c>
      <c r="AG138" s="566">
        <f>K138</f>
        <v>72.8827</v>
      </c>
      <c r="AH138" s="566">
        <f>T138</f>
        <v>60.6569</v>
      </c>
      <c r="AI138" s="566">
        <f>U138</f>
        <v>57.600200000000001</v>
      </c>
      <c r="AJ138" s="4"/>
      <c r="AK138" s="4"/>
      <c r="AL138" s="4"/>
      <c r="AM138" s="4"/>
      <c r="AN138" s="4"/>
      <c r="AO138" s="4"/>
      <c r="AP138" s="4"/>
      <c r="AQ138" s="4"/>
      <c r="AR138" s="4"/>
      <c r="AS138" s="4"/>
      <c r="AT138" s="4"/>
      <c r="AU138" s="4"/>
    </row>
    <row r="139" spans="1:47" ht="15" outlineLevel="1" x14ac:dyDescent="0.25">
      <c r="A139" s="4"/>
      <c r="B139" s="501"/>
      <c r="C139" s="560"/>
      <c r="D139" s="560"/>
      <c r="E139" s="561"/>
      <c r="F139" s="561"/>
      <c r="G139" s="561"/>
      <c r="H139" s="561"/>
      <c r="I139" s="561"/>
      <c r="J139" s="561"/>
      <c r="K139" s="561"/>
      <c r="L139" s="497"/>
      <c r="M139" s="43"/>
      <c r="N139" s="9"/>
      <c r="O139" s="66"/>
      <c r="P139" s="66"/>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row>
    <row r="140" spans="1:47" ht="15" outlineLevel="1" x14ac:dyDescent="0.25">
      <c r="A140" s="4"/>
      <c r="B140" s="501"/>
      <c r="C140" s="560"/>
      <c r="D140" s="560"/>
      <c r="E140" s="561"/>
      <c r="F140" s="561"/>
      <c r="G140" s="561"/>
      <c r="H140" s="561"/>
      <c r="I140" s="561"/>
      <c r="J140" s="561"/>
      <c r="K140" s="561"/>
      <c r="L140" s="497"/>
      <c r="M140" s="43"/>
      <c r="N140" s="9"/>
      <c r="O140" s="66"/>
      <c r="P140" s="66"/>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row>
    <row r="141" spans="1:47" x14ac:dyDescent="0.2">
      <c r="A141" s="4"/>
      <c r="B141" s="4"/>
      <c r="C141" s="43"/>
      <c r="D141" s="43"/>
      <c r="E141" s="497"/>
      <c r="F141" s="497"/>
      <c r="G141" s="497"/>
      <c r="H141" s="497"/>
      <c r="I141" s="498"/>
      <c r="J141" s="498"/>
      <c r="K141" s="498"/>
      <c r="L141" s="497"/>
      <c r="M141" s="43"/>
      <c r="N141" s="9"/>
      <c r="O141" s="66"/>
      <c r="P141" s="66"/>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row>
    <row r="142" spans="1:47" x14ac:dyDescent="0.2">
      <c r="A142" s="4"/>
      <c r="B142" s="4"/>
      <c r="C142" s="43"/>
      <c r="D142" s="43"/>
      <c r="E142" s="497"/>
      <c r="F142" s="497"/>
      <c r="G142" s="497"/>
      <c r="H142" s="497"/>
      <c r="I142" s="498"/>
      <c r="J142" s="498"/>
      <c r="K142" s="498"/>
      <c r="L142" s="497"/>
      <c r="M142" s="43"/>
      <c r="N142" s="9"/>
      <c r="O142" s="66"/>
      <c r="P142" s="66"/>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row>
    <row r="143" spans="1:47" x14ac:dyDescent="0.2">
      <c r="A143" s="4"/>
      <c r="B143" s="4"/>
      <c r="C143" s="43"/>
      <c r="D143" s="43"/>
      <c r="E143" s="497"/>
      <c r="F143" s="497"/>
      <c r="G143" s="497"/>
      <c r="H143" s="497"/>
      <c r="I143" s="498"/>
      <c r="J143" s="498"/>
      <c r="K143" s="498"/>
      <c r="L143" s="497"/>
      <c r="M143" s="43"/>
      <c r="N143" s="9"/>
      <c r="O143" s="66"/>
      <c r="P143" s="66"/>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row>
    <row r="144" spans="1:47" x14ac:dyDescent="0.2">
      <c r="A144" s="4"/>
      <c r="B144" s="4"/>
      <c r="C144" s="43"/>
      <c r="D144" s="43"/>
      <c r="E144" s="497"/>
      <c r="F144" s="497"/>
      <c r="G144" s="497"/>
      <c r="H144" s="497"/>
      <c r="I144" s="498"/>
      <c r="J144" s="498"/>
      <c r="K144" s="498"/>
      <c r="L144" s="497"/>
      <c r="M144" s="43"/>
      <c r="N144" s="9"/>
      <c r="O144" s="66"/>
      <c r="P144" s="66"/>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row>
    <row r="145" spans="1:47" x14ac:dyDescent="0.2">
      <c r="A145" s="4"/>
      <c r="B145" s="4"/>
      <c r="C145" s="43"/>
      <c r="D145" s="43"/>
      <c r="E145" s="497"/>
      <c r="F145" s="497"/>
      <c r="G145" s="497"/>
      <c r="H145" s="497"/>
      <c r="I145" s="498"/>
      <c r="J145" s="498"/>
      <c r="K145" s="498"/>
      <c r="L145" s="497"/>
      <c r="M145" s="43"/>
      <c r="N145" s="9"/>
      <c r="O145" s="66"/>
      <c r="P145" s="66"/>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row>
    <row r="146" spans="1:47" s="68" customFormat="1" ht="12.75" x14ac:dyDescent="0.2">
      <c r="A146" s="69"/>
      <c r="B146" s="69"/>
      <c r="C146" s="69"/>
      <c r="D146" s="69"/>
      <c r="E146" s="69"/>
      <c r="F146" s="69"/>
      <c r="G146" s="69"/>
      <c r="H146" s="69"/>
      <c r="I146" s="231"/>
      <c r="J146" s="231"/>
      <c r="K146" s="69"/>
      <c r="L146" s="69"/>
      <c r="M146" s="69"/>
      <c r="N146" s="231"/>
      <c r="O146" s="70"/>
      <c r="P146" s="70"/>
      <c r="Q146" s="231"/>
      <c r="R146" s="231"/>
      <c r="S146" s="231"/>
      <c r="T146" s="231"/>
      <c r="U146" s="231"/>
      <c r="V146" s="231"/>
      <c r="W146" s="69"/>
      <c r="X146" s="69"/>
      <c r="Y146" s="231"/>
      <c r="Z146" s="231"/>
      <c r="AA146" s="231"/>
      <c r="AB146" s="231"/>
      <c r="AC146" s="69"/>
      <c r="AD146" s="69"/>
      <c r="AE146" s="231"/>
      <c r="AF146" s="231"/>
      <c r="AG146" s="231"/>
      <c r="AH146" s="231"/>
      <c r="AI146" s="231"/>
      <c r="AJ146" s="231"/>
      <c r="AK146" s="69"/>
      <c r="AL146" s="69"/>
      <c r="AM146" s="231"/>
      <c r="AN146" s="231"/>
      <c r="AO146" s="231"/>
      <c r="AP146" s="231"/>
      <c r="AQ146" s="242"/>
      <c r="AR146" s="242"/>
      <c r="AS146" s="242"/>
    </row>
    <row r="147" spans="1:47" s="68" customFormat="1" ht="12.75" x14ac:dyDescent="0.2">
      <c r="A147" s="69"/>
      <c r="B147" s="69"/>
      <c r="C147" s="69"/>
      <c r="D147" s="69"/>
      <c r="E147" s="69"/>
      <c r="F147" s="69"/>
      <c r="G147" s="69"/>
      <c r="H147" s="69"/>
      <c r="I147" s="231"/>
      <c r="J147" s="231"/>
      <c r="K147" s="69"/>
      <c r="L147" s="69"/>
      <c r="M147" s="69"/>
      <c r="N147" s="231"/>
      <c r="O147" s="70"/>
      <c r="P147" s="70"/>
      <c r="Q147" s="231"/>
      <c r="R147" s="231"/>
      <c r="S147" s="231"/>
      <c r="T147" s="231"/>
      <c r="U147" s="231"/>
      <c r="V147" s="231"/>
      <c r="W147" s="69"/>
      <c r="X147" s="69"/>
      <c r="Y147" s="231"/>
      <c r="Z147" s="231"/>
      <c r="AA147" s="231"/>
      <c r="AB147" s="231"/>
      <c r="AC147" s="69"/>
      <c r="AD147" s="69"/>
      <c r="AE147" s="231"/>
      <c r="AF147" s="231"/>
      <c r="AG147" s="231"/>
      <c r="AH147" s="231"/>
      <c r="AI147" s="231"/>
      <c r="AJ147" s="231"/>
      <c r="AK147" s="69"/>
      <c r="AL147" s="69"/>
      <c r="AM147" s="231"/>
      <c r="AN147" s="231"/>
      <c r="AO147" s="231"/>
      <c r="AP147" s="231"/>
      <c r="AQ147" s="242"/>
      <c r="AR147" s="242"/>
      <c r="AS147" s="242"/>
    </row>
    <row r="148" spans="1:47" s="68" customFormat="1" ht="12.75" x14ac:dyDescent="0.2">
      <c r="A148" s="69"/>
      <c r="B148" s="69"/>
      <c r="C148" s="69"/>
      <c r="D148" s="69"/>
      <c r="E148" s="69"/>
      <c r="F148" s="69"/>
      <c r="G148" s="69"/>
      <c r="H148" s="69"/>
      <c r="I148" s="231"/>
      <c r="J148" s="231"/>
      <c r="K148" s="69"/>
      <c r="L148" s="69"/>
      <c r="M148" s="69"/>
      <c r="N148" s="231"/>
      <c r="O148" s="70"/>
      <c r="P148" s="70"/>
      <c r="Q148" s="231"/>
      <c r="R148" s="231"/>
      <c r="S148" s="231"/>
      <c r="T148" s="231"/>
      <c r="U148" s="231"/>
      <c r="V148" s="231"/>
      <c r="W148" s="69"/>
      <c r="X148" s="69"/>
      <c r="Y148" s="231"/>
      <c r="Z148" s="231"/>
      <c r="AA148" s="231"/>
      <c r="AB148" s="231"/>
      <c r="AC148" s="69"/>
      <c r="AD148" s="69"/>
      <c r="AE148" s="231"/>
      <c r="AF148" s="231"/>
      <c r="AG148" s="231"/>
      <c r="AH148" s="231"/>
      <c r="AI148" s="231"/>
      <c r="AJ148" s="231"/>
      <c r="AK148" s="69"/>
      <c r="AL148" s="69"/>
      <c r="AM148" s="231"/>
      <c r="AN148" s="231"/>
      <c r="AO148" s="231"/>
      <c r="AP148" s="231"/>
      <c r="AQ148" s="242"/>
      <c r="AR148" s="242"/>
      <c r="AS148" s="242"/>
    </row>
    <row r="149" spans="1:47" s="68" customFormat="1" ht="12.75" x14ac:dyDescent="0.2">
      <c r="A149" s="69"/>
      <c r="B149" s="69"/>
      <c r="C149" s="69"/>
      <c r="D149" s="69"/>
      <c r="E149" s="69"/>
      <c r="F149" s="69"/>
      <c r="G149" s="69"/>
      <c r="H149" s="69"/>
      <c r="I149" s="231"/>
      <c r="J149" s="231"/>
      <c r="K149" s="69"/>
      <c r="L149" s="69"/>
      <c r="M149" s="69"/>
      <c r="N149" s="231"/>
      <c r="O149" s="70"/>
      <c r="P149" s="70"/>
      <c r="Q149" s="231"/>
      <c r="R149" s="231"/>
      <c r="S149" s="231"/>
      <c r="T149" s="231"/>
      <c r="U149" s="231"/>
      <c r="V149" s="231"/>
      <c r="W149" s="69"/>
      <c r="X149" s="69"/>
      <c r="Y149" s="231"/>
      <c r="Z149" s="231"/>
      <c r="AA149" s="231"/>
      <c r="AB149" s="231"/>
      <c r="AC149" s="69"/>
      <c r="AD149" s="69"/>
      <c r="AE149" s="231"/>
      <c r="AF149" s="231"/>
      <c r="AG149" s="231"/>
      <c r="AH149" s="231"/>
      <c r="AI149" s="231"/>
      <c r="AJ149" s="231"/>
      <c r="AK149" s="69"/>
      <c r="AL149" s="69"/>
      <c r="AM149" s="231"/>
      <c r="AN149" s="231"/>
      <c r="AO149" s="231"/>
      <c r="AP149" s="231"/>
      <c r="AQ149" s="242"/>
      <c r="AR149" s="242"/>
      <c r="AS149" s="242"/>
    </row>
    <row r="150" spans="1:47" s="68" customFormat="1" ht="12.75" x14ac:dyDescent="0.2">
      <c r="A150" s="69"/>
      <c r="B150" s="69"/>
      <c r="C150" s="69"/>
      <c r="D150" s="69"/>
      <c r="E150" s="69"/>
      <c r="F150" s="69"/>
      <c r="G150" s="69"/>
      <c r="H150" s="69"/>
      <c r="I150" s="231"/>
      <c r="J150" s="231"/>
      <c r="K150" s="69"/>
      <c r="L150" s="69"/>
      <c r="M150" s="69"/>
      <c r="N150" s="231"/>
      <c r="O150" s="70"/>
      <c r="P150" s="70"/>
      <c r="Q150" s="231"/>
      <c r="R150" s="231"/>
      <c r="S150" s="231"/>
      <c r="T150" s="231"/>
      <c r="U150" s="231"/>
      <c r="V150" s="231"/>
      <c r="W150" s="69"/>
      <c r="X150" s="69"/>
      <c r="Y150" s="231"/>
      <c r="Z150" s="231"/>
      <c r="AA150" s="231"/>
      <c r="AB150" s="231"/>
      <c r="AC150" s="69"/>
      <c r="AD150" s="69"/>
      <c r="AE150" s="231"/>
      <c r="AF150" s="231"/>
      <c r="AG150" s="231"/>
      <c r="AH150" s="231"/>
      <c r="AI150" s="231"/>
      <c r="AJ150" s="231"/>
      <c r="AK150" s="69"/>
      <c r="AL150" s="69"/>
      <c r="AM150" s="231"/>
      <c r="AN150" s="231"/>
      <c r="AO150" s="231"/>
      <c r="AP150" s="231"/>
      <c r="AQ150" s="242"/>
      <c r="AR150" s="242"/>
      <c r="AS150" s="242"/>
    </row>
    <row r="151" spans="1:47" s="68" customFormat="1" ht="12.75" x14ac:dyDescent="0.2">
      <c r="A151" s="69"/>
      <c r="B151" s="69"/>
      <c r="C151" s="69"/>
      <c r="D151" s="69"/>
      <c r="E151" s="69"/>
      <c r="F151" s="69"/>
      <c r="G151" s="69"/>
      <c r="H151" s="69"/>
      <c r="I151" s="231"/>
      <c r="J151" s="231"/>
      <c r="K151" s="69"/>
      <c r="L151" s="69"/>
      <c r="M151" s="69"/>
      <c r="N151" s="231"/>
      <c r="O151" s="70"/>
      <c r="P151" s="70"/>
      <c r="Q151" s="231"/>
      <c r="R151" s="231"/>
      <c r="S151" s="231"/>
      <c r="T151" s="231"/>
      <c r="U151" s="231"/>
      <c r="V151" s="231"/>
      <c r="W151" s="69"/>
      <c r="X151" s="69"/>
      <c r="Y151" s="231"/>
      <c r="Z151" s="231"/>
      <c r="AA151" s="231"/>
      <c r="AB151" s="231"/>
      <c r="AC151" s="69"/>
      <c r="AD151" s="69"/>
      <c r="AE151" s="231"/>
      <c r="AF151" s="231"/>
      <c r="AG151" s="231"/>
      <c r="AH151" s="231"/>
      <c r="AI151" s="231"/>
      <c r="AJ151" s="231"/>
      <c r="AK151" s="69"/>
      <c r="AL151" s="69"/>
      <c r="AM151" s="231"/>
      <c r="AN151" s="231"/>
      <c r="AO151" s="231"/>
      <c r="AP151" s="231"/>
      <c r="AQ151" s="242"/>
      <c r="AR151" s="242"/>
      <c r="AS151" s="242"/>
    </row>
    <row r="152" spans="1:47" s="68" customFormat="1" ht="12.75" x14ac:dyDescent="0.2">
      <c r="A152" s="69"/>
      <c r="B152" s="69"/>
      <c r="C152" s="69"/>
      <c r="D152" s="69"/>
      <c r="E152" s="69"/>
      <c r="F152" s="69"/>
      <c r="G152" s="69"/>
      <c r="H152" s="69"/>
      <c r="I152" s="231"/>
      <c r="J152" s="231"/>
      <c r="K152" s="69"/>
      <c r="L152" s="69"/>
      <c r="M152" s="69"/>
      <c r="N152" s="231"/>
      <c r="O152" s="70"/>
      <c r="P152" s="70"/>
      <c r="Q152" s="231"/>
      <c r="R152" s="231"/>
      <c r="S152" s="231"/>
      <c r="T152" s="231"/>
      <c r="U152" s="231"/>
      <c r="V152" s="231"/>
      <c r="W152" s="69"/>
      <c r="X152" s="69"/>
      <c r="Y152" s="231"/>
      <c r="Z152" s="231"/>
      <c r="AA152" s="231"/>
      <c r="AB152" s="231"/>
      <c r="AC152" s="69"/>
      <c r="AD152" s="69"/>
      <c r="AE152" s="231"/>
      <c r="AF152" s="231"/>
      <c r="AG152" s="231"/>
      <c r="AH152" s="231"/>
      <c r="AI152" s="231"/>
      <c r="AJ152" s="231"/>
      <c r="AK152" s="69"/>
      <c r="AL152" s="69"/>
      <c r="AM152" s="231"/>
      <c r="AN152" s="231"/>
      <c r="AO152" s="231"/>
      <c r="AP152" s="231"/>
      <c r="AQ152" s="242"/>
      <c r="AR152" s="242"/>
      <c r="AS152" s="242"/>
    </row>
    <row r="153" spans="1:47" x14ac:dyDescent="0.2">
      <c r="A153" s="4"/>
      <c r="B153" s="4"/>
      <c r="C153" s="4"/>
      <c r="D153" s="4"/>
      <c r="E153" s="4"/>
      <c r="F153" s="4"/>
      <c r="G153" s="4"/>
      <c r="H153" s="4"/>
      <c r="I153" s="38"/>
      <c r="J153" s="38"/>
      <c r="K153" s="4"/>
      <c r="L153" s="4"/>
      <c r="M153" s="4"/>
      <c r="N153" s="38"/>
      <c r="O153" s="66"/>
      <c r="P153" s="66"/>
      <c r="Q153" s="38"/>
      <c r="R153" s="38"/>
      <c r="S153" s="38"/>
      <c r="T153" s="38"/>
      <c r="U153" s="38"/>
      <c r="V153" s="38"/>
      <c r="W153" s="4"/>
      <c r="X153" s="4"/>
      <c r="Y153" s="38"/>
      <c r="Z153" s="38"/>
      <c r="AA153" s="38"/>
      <c r="AB153" s="38"/>
      <c r="AC153" s="4"/>
      <c r="AD153" s="4"/>
      <c r="AE153" s="38"/>
      <c r="AF153" s="38"/>
      <c r="AG153" s="38"/>
      <c r="AH153" s="38"/>
      <c r="AI153" s="38"/>
      <c r="AJ153" s="38"/>
      <c r="AK153" s="4"/>
      <c r="AL153" s="4"/>
      <c r="AM153" s="38"/>
      <c r="AN153" s="38"/>
      <c r="AO153" s="38"/>
      <c r="AP153" s="38"/>
      <c r="AQ153" s="4"/>
      <c r="AR153" s="4"/>
      <c r="AS153" s="4"/>
    </row>
    <row r="154" spans="1:47" x14ac:dyDescent="0.2">
      <c r="A154" s="4"/>
      <c r="B154" s="4"/>
      <c r="C154" s="4"/>
      <c r="D154" s="4"/>
      <c r="E154" s="4"/>
      <c r="F154" s="4"/>
      <c r="G154" s="4"/>
      <c r="H154" s="4"/>
      <c r="I154" s="38"/>
      <c r="J154" s="38"/>
      <c r="K154" s="4"/>
      <c r="L154" s="4"/>
      <c r="M154" s="4"/>
      <c r="N154" s="38"/>
      <c r="O154" s="66"/>
      <c r="P154" s="66"/>
      <c r="Q154" s="38"/>
      <c r="R154" s="38"/>
      <c r="S154" s="38"/>
      <c r="T154" s="38"/>
      <c r="U154" s="38"/>
      <c r="V154" s="38"/>
      <c r="W154" s="4"/>
      <c r="X154" s="4"/>
      <c r="Y154" s="38"/>
      <c r="Z154" s="38"/>
      <c r="AA154" s="38"/>
      <c r="AB154" s="38"/>
      <c r="AC154" s="4"/>
      <c r="AD154" s="4"/>
      <c r="AE154" s="38"/>
      <c r="AF154" s="38"/>
      <c r="AG154" s="38"/>
      <c r="AH154" s="38"/>
      <c r="AI154" s="38"/>
      <c r="AJ154" s="38"/>
      <c r="AK154" s="4"/>
      <c r="AL154" s="4"/>
      <c r="AM154" s="38"/>
      <c r="AN154" s="38"/>
      <c r="AO154" s="38"/>
      <c r="AP154" s="38"/>
      <c r="AQ154" s="4"/>
      <c r="AR154" s="4"/>
      <c r="AS154" s="4"/>
    </row>
    <row r="155" spans="1:47" x14ac:dyDescent="0.2">
      <c r="A155" s="4"/>
      <c r="B155" s="4"/>
      <c r="C155" s="4"/>
      <c r="D155" s="4"/>
      <c r="E155" s="4"/>
      <c r="F155" s="4"/>
      <c r="G155" s="4"/>
      <c r="H155" s="4"/>
      <c r="I155" s="38"/>
      <c r="J155" s="38"/>
      <c r="K155" s="4"/>
      <c r="L155" s="4"/>
      <c r="M155" s="4"/>
      <c r="N155" s="38"/>
      <c r="O155" s="66"/>
      <c r="P155" s="66"/>
      <c r="Q155" s="38"/>
      <c r="R155" s="38"/>
      <c r="S155" s="38"/>
      <c r="T155" s="38"/>
      <c r="U155" s="38"/>
      <c r="V155" s="38"/>
      <c r="W155" s="4"/>
      <c r="X155" s="4"/>
      <c r="Y155" s="38"/>
      <c r="Z155" s="38"/>
      <c r="AA155" s="38"/>
      <c r="AB155" s="38"/>
      <c r="AC155" s="4"/>
      <c r="AD155" s="4"/>
      <c r="AE155" s="38"/>
      <c r="AF155" s="38"/>
      <c r="AG155" s="38"/>
      <c r="AH155" s="38"/>
      <c r="AI155" s="38"/>
      <c r="AJ155" s="38"/>
      <c r="AK155" s="4"/>
      <c r="AL155" s="4"/>
      <c r="AM155" s="38"/>
      <c r="AN155" s="38"/>
      <c r="AO155" s="38"/>
      <c r="AP155" s="38"/>
      <c r="AQ155" s="4"/>
      <c r="AR155" s="4"/>
      <c r="AS155" s="4"/>
    </row>
    <row r="156" spans="1:47" x14ac:dyDescent="0.2">
      <c r="A156" s="4"/>
      <c r="B156" s="4"/>
      <c r="C156" s="4"/>
      <c r="D156" s="4"/>
      <c r="E156" s="4"/>
      <c r="F156" s="4"/>
      <c r="G156" s="4"/>
      <c r="H156" s="4"/>
      <c r="I156" s="38"/>
      <c r="J156" s="38"/>
      <c r="K156" s="4"/>
      <c r="L156" s="4"/>
      <c r="M156" s="4"/>
      <c r="N156" s="38"/>
      <c r="O156" s="66"/>
      <c r="P156" s="66"/>
      <c r="Q156" s="38"/>
      <c r="R156" s="38"/>
      <c r="S156" s="38"/>
      <c r="T156" s="38"/>
      <c r="U156" s="38"/>
      <c r="V156" s="38"/>
      <c r="W156" s="4"/>
      <c r="X156" s="4"/>
      <c r="Y156" s="38"/>
      <c r="Z156" s="38"/>
      <c r="AA156" s="38"/>
      <c r="AB156" s="38"/>
      <c r="AC156" s="4"/>
      <c r="AD156" s="4"/>
      <c r="AE156" s="38"/>
      <c r="AF156" s="38"/>
      <c r="AG156" s="38"/>
      <c r="AH156" s="38"/>
      <c r="AI156" s="38"/>
      <c r="AJ156" s="38"/>
      <c r="AK156" s="4"/>
      <c r="AL156" s="4"/>
      <c r="AM156" s="38"/>
      <c r="AN156" s="38"/>
      <c r="AO156" s="38"/>
      <c r="AP156" s="38"/>
      <c r="AQ156" s="4"/>
      <c r="AR156" s="4"/>
      <c r="AS156" s="4"/>
    </row>
    <row r="157" spans="1:47" x14ac:dyDescent="0.2">
      <c r="A157" s="4"/>
      <c r="B157" s="4"/>
      <c r="C157" s="4"/>
      <c r="D157" s="4"/>
      <c r="E157" s="4"/>
      <c r="F157" s="4"/>
      <c r="G157" s="4"/>
      <c r="H157" s="4"/>
      <c r="I157" s="38"/>
      <c r="J157" s="38"/>
      <c r="K157" s="4"/>
      <c r="L157" s="4"/>
      <c r="M157" s="4"/>
      <c r="N157" s="38"/>
      <c r="O157" s="66"/>
      <c r="P157" s="66"/>
      <c r="Q157" s="38"/>
      <c r="R157" s="38"/>
      <c r="S157" s="38"/>
      <c r="T157" s="38"/>
      <c r="U157" s="38"/>
      <c r="V157" s="38"/>
      <c r="W157" s="4"/>
      <c r="X157" s="4"/>
      <c r="Y157" s="38"/>
      <c r="Z157" s="38"/>
      <c r="AA157" s="38"/>
      <c r="AB157" s="38"/>
      <c r="AC157" s="4"/>
      <c r="AD157" s="4"/>
      <c r="AE157" s="38"/>
      <c r="AF157" s="38"/>
      <c r="AG157" s="38"/>
      <c r="AH157" s="38"/>
      <c r="AI157" s="38"/>
      <c r="AJ157" s="38"/>
      <c r="AK157" s="4"/>
      <c r="AL157" s="4"/>
      <c r="AM157" s="38"/>
      <c r="AN157" s="38"/>
      <c r="AO157" s="38"/>
      <c r="AP157" s="38"/>
      <c r="AQ157" s="4"/>
      <c r="AR157" s="4"/>
      <c r="AS157" s="4"/>
    </row>
    <row r="158" spans="1:47" x14ac:dyDescent="0.2">
      <c r="A158" s="4"/>
      <c r="B158" s="4"/>
      <c r="C158" s="4"/>
      <c r="D158" s="4"/>
      <c r="E158" s="4"/>
      <c r="F158" s="4"/>
      <c r="G158" s="4"/>
      <c r="H158" s="4"/>
      <c r="I158" s="38"/>
      <c r="J158" s="38"/>
      <c r="K158" s="4"/>
      <c r="L158" s="4"/>
      <c r="M158" s="4"/>
      <c r="N158" s="38"/>
      <c r="O158" s="66"/>
      <c r="P158" s="66"/>
      <c r="Q158" s="38"/>
      <c r="R158" s="38"/>
      <c r="S158" s="38"/>
      <c r="T158" s="38"/>
      <c r="U158" s="38"/>
      <c r="V158" s="38"/>
      <c r="W158" s="4"/>
      <c r="X158" s="4"/>
      <c r="Y158" s="38"/>
      <c r="Z158" s="38"/>
      <c r="AA158" s="38"/>
      <c r="AB158" s="38"/>
      <c r="AC158" s="4"/>
      <c r="AD158" s="4"/>
      <c r="AE158" s="38"/>
      <c r="AF158" s="38"/>
      <c r="AG158" s="38"/>
      <c r="AH158" s="38"/>
      <c r="AI158" s="38"/>
      <c r="AJ158" s="38"/>
      <c r="AK158" s="4"/>
      <c r="AL158" s="4"/>
      <c r="AM158" s="38"/>
      <c r="AN158" s="38"/>
      <c r="AO158" s="38"/>
      <c r="AP158" s="38"/>
      <c r="AQ158" s="4"/>
      <c r="AR158" s="4"/>
      <c r="AS158" s="4"/>
    </row>
    <row r="159" spans="1:47" x14ac:dyDescent="0.2">
      <c r="A159" s="4"/>
      <c r="B159" s="4"/>
      <c r="C159" s="4"/>
      <c r="D159" s="4"/>
      <c r="E159" s="4"/>
      <c r="F159" s="4"/>
      <c r="G159" s="4"/>
      <c r="H159" s="4"/>
      <c r="I159" s="38"/>
      <c r="J159" s="38"/>
      <c r="K159" s="4"/>
      <c r="L159" s="4"/>
      <c r="M159" s="4"/>
      <c r="N159" s="38"/>
      <c r="O159" s="66"/>
      <c r="P159" s="66"/>
      <c r="Q159" s="38"/>
      <c r="R159" s="38"/>
      <c r="S159" s="38"/>
      <c r="T159" s="38"/>
      <c r="U159" s="38"/>
      <c r="V159" s="38"/>
      <c r="W159" s="4"/>
      <c r="X159" s="4"/>
      <c r="Y159" s="38"/>
      <c r="Z159" s="38"/>
      <c r="AA159" s="38"/>
      <c r="AB159" s="38"/>
      <c r="AC159" s="4"/>
      <c r="AD159" s="4"/>
      <c r="AE159" s="38"/>
      <c r="AF159" s="38"/>
      <c r="AG159" s="38"/>
      <c r="AH159" s="38"/>
      <c r="AI159" s="38"/>
      <c r="AJ159" s="38"/>
      <c r="AK159" s="4"/>
      <c r="AL159" s="4"/>
      <c r="AM159" s="38"/>
      <c r="AN159" s="38"/>
      <c r="AO159" s="38"/>
      <c r="AP159" s="38"/>
      <c r="AQ159" s="4"/>
      <c r="AR159" s="4"/>
      <c r="AS159" s="4"/>
    </row>
    <row r="160" spans="1:47" x14ac:dyDescent="0.2">
      <c r="A160" s="4"/>
      <c r="B160" s="4"/>
      <c r="C160" s="4"/>
      <c r="D160" s="4"/>
      <c r="E160" s="4"/>
      <c r="F160" s="4"/>
      <c r="G160" s="4"/>
      <c r="H160" s="4"/>
      <c r="I160" s="38"/>
      <c r="J160" s="38"/>
      <c r="K160" s="4"/>
      <c r="L160" s="4"/>
      <c r="M160" s="4"/>
      <c r="N160" s="38"/>
      <c r="O160" s="66"/>
      <c r="P160" s="66"/>
      <c r="Q160" s="38"/>
      <c r="R160" s="38"/>
      <c r="S160" s="38"/>
      <c r="T160" s="38"/>
      <c r="U160" s="38"/>
      <c r="V160" s="38"/>
      <c r="W160" s="4"/>
      <c r="X160" s="4"/>
      <c r="Y160" s="38"/>
      <c r="Z160" s="38"/>
      <c r="AA160" s="38"/>
      <c r="AB160" s="38"/>
      <c r="AC160" s="4"/>
      <c r="AD160" s="4"/>
      <c r="AE160" s="38"/>
      <c r="AF160" s="38"/>
      <c r="AG160" s="38"/>
      <c r="AH160" s="38"/>
      <c r="AI160" s="38"/>
      <c r="AJ160" s="38"/>
      <c r="AK160" s="4"/>
      <c r="AL160" s="4"/>
      <c r="AM160" s="38"/>
      <c r="AN160" s="38"/>
      <c r="AO160" s="38"/>
      <c r="AP160" s="38"/>
      <c r="AQ160" s="4"/>
      <c r="AR160" s="4"/>
      <c r="AS160" s="4"/>
    </row>
    <row r="161" spans="1:45" x14ac:dyDescent="0.2">
      <c r="A161" s="4"/>
      <c r="B161" s="4"/>
      <c r="C161" s="4"/>
      <c r="D161" s="4"/>
      <c r="E161" s="4"/>
      <c r="F161" s="4"/>
      <c r="G161" s="4"/>
      <c r="H161" s="4"/>
      <c r="I161" s="38"/>
      <c r="J161" s="38"/>
      <c r="K161" s="4"/>
      <c r="L161" s="4"/>
      <c r="M161" s="4"/>
      <c r="N161" s="38"/>
      <c r="O161" s="66"/>
      <c r="P161" s="66"/>
      <c r="Q161" s="38"/>
      <c r="R161" s="38"/>
      <c r="S161" s="38"/>
      <c r="T161" s="38"/>
      <c r="U161" s="38"/>
      <c r="V161" s="38"/>
      <c r="W161" s="4"/>
      <c r="X161" s="4"/>
      <c r="Y161" s="38"/>
      <c r="Z161" s="38"/>
      <c r="AA161" s="38"/>
      <c r="AB161" s="38"/>
      <c r="AC161" s="4"/>
      <c r="AD161" s="4"/>
      <c r="AE161" s="38"/>
      <c r="AF161" s="38"/>
      <c r="AG161" s="38"/>
      <c r="AH161" s="38"/>
      <c r="AI161" s="38"/>
      <c r="AJ161" s="38"/>
      <c r="AK161" s="4"/>
      <c r="AL161" s="4"/>
      <c r="AM161" s="38"/>
      <c r="AN161" s="38"/>
      <c r="AO161" s="38"/>
      <c r="AP161" s="38"/>
      <c r="AQ161" s="4"/>
      <c r="AR161" s="4"/>
      <c r="AS161" s="4"/>
    </row>
    <row r="162" spans="1:45" x14ac:dyDescent="0.2">
      <c r="A162" s="4"/>
      <c r="B162" s="4"/>
      <c r="C162" s="4"/>
      <c r="D162" s="4"/>
      <c r="E162" s="4"/>
      <c r="F162" s="4"/>
      <c r="G162" s="4"/>
      <c r="H162" s="4"/>
      <c r="I162" s="38"/>
      <c r="J162" s="38"/>
      <c r="K162" s="4"/>
      <c r="L162" s="4"/>
      <c r="M162" s="4"/>
      <c r="N162" s="38"/>
      <c r="O162" s="66"/>
      <c r="P162" s="66"/>
      <c r="Q162" s="38"/>
      <c r="R162" s="38"/>
      <c r="S162" s="38"/>
      <c r="T162" s="38"/>
      <c r="U162" s="38"/>
      <c r="V162" s="38"/>
      <c r="W162" s="4"/>
      <c r="X162" s="4"/>
      <c r="Y162" s="38"/>
      <c r="Z162" s="38"/>
      <c r="AA162" s="38"/>
      <c r="AB162" s="38"/>
      <c r="AC162" s="4"/>
      <c r="AD162" s="4"/>
      <c r="AE162" s="38"/>
      <c r="AF162" s="38"/>
      <c r="AG162" s="38"/>
      <c r="AH162" s="38"/>
      <c r="AI162" s="38"/>
      <c r="AJ162" s="38"/>
      <c r="AK162" s="4"/>
      <c r="AL162" s="4"/>
      <c r="AM162" s="38"/>
      <c r="AN162" s="38"/>
      <c r="AO162" s="38"/>
      <c r="AP162" s="38"/>
      <c r="AQ162" s="4"/>
      <c r="AR162" s="4"/>
      <c r="AS162" s="4"/>
    </row>
    <row r="163" spans="1:45" x14ac:dyDescent="0.2">
      <c r="A163" s="4"/>
      <c r="B163" s="4"/>
      <c r="C163" s="4"/>
      <c r="D163" s="4"/>
      <c r="E163" s="4"/>
      <c r="F163" s="4"/>
      <c r="G163" s="4"/>
      <c r="H163" s="4"/>
      <c r="I163" s="38"/>
      <c r="J163" s="38"/>
      <c r="K163" s="4"/>
      <c r="L163" s="4"/>
      <c r="M163" s="4"/>
      <c r="N163" s="38"/>
      <c r="O163" s="66"/>
      <c r="P163" s="66"/>
      <c r="Q163" s="38"/>
      <c r="R163" s="38"/>
      <c r="S163" s="38"/>
      <c r="T163" s="38"/>
      <c r="U163" s="38"/>
      <c r="V163" s="38"/>
      <c r="W163" s="4"/>
      <c r="X163" s="4"/>
      <c r="Y163" s="38"/>
      <c r="Z163" s="38"/>
      <c r="AA163" s="38"/>
      <c r="AB163" s="38"/>
      <c r="AC163" s="4"/>
      <c r="AD163" s="4"/>
      <c r="AE163" s="38"/>
      <c r="AF163" s="38"/>
      <c r="AG163" s="38"/>
      <c r="AH163" s="38"/>
      <c r="AI163" s="38"/>
      <c r="AJ163" s="38"/>
      <c r="AK163" s="4"/>
      <c r="AL163" s="4"/>
      <c r="AM163" s="38"/>
      <c r="AN163" s="38"/>
      <c r="AO163" s="38"/>
      <c r="AP163" s="38"/>
      <c r="AQ163" s="4"/>
      <c r="AR163" s="4"/>
      <c r="AS163" s="4"/>
    </row>
    <row r="164" spans="1:45" x14ac:dyDescent="0.2">
      <c r="A164" s="4"/>
      <c r="B164" s="4"/>
      <c r="C164" s="4"/>
      <c r="D164" s="4"/>
      <c r="E164" s="4"/>
      <c r="F164" s="4"/>
      <c r="G164" s="4"/>
      <c r="H164" s="4"/>
      <c r="I164" s="38"/>
      <c r="J164" s="38"/>
      <c r="K164" s="4"/>
      <c r="L164" s="4"/>
      <c r="M164" s="4"/>
      <c r="N164" s="38"/>
      <c r="O164" s="66"/>
      <c r="P164" s="66"/>
      <c r="Q164" s="38"/>
      <c r="R164" s="38"/>
      <c r="S164" s="38"/>
      <c r="T164" s="38"/>
      <c r="U164" s="38"/>
      <c r="V164" s="38"/>
      <c r="W164" s="4"/>
      <c r="X164" s="4"/>
      <c r="Y164" s="38"/>
      <c r="Z164" s="38"/>
      <c r="AA164" s="38"/>
      <c r="AB164" s="38"/>
      <c r="AC164" s="4"/>
      <c r="AD164" s="4"/>
      <c r="AE164" s="38"/>
      <c r="AF164" s="38"/>
      <c r="AG164" s="38"/>
      <c r="AH164" s="38"/>
      <c r="AI164" s="38"/>
      <c r="AJ164" s="38"/>
      <c r="AK164" s="4"/>
      <c r="AL164" s="4"/>
      <c r="AM164" s="38"/>
      <c r="AN164" s="38"/>
      <c r="AO164" s="38"/>
      <c r="AP164" s="38"/>
      <c r="AQ164" s="4"/>
      <c r="AR164" s="4"/>
      <c r="AS164" s="4"/>
    </row>
    <row r="165" spans="1:45" x14ac:dyDescent="0.2">
      <c r="A165" s="4"/>
      <c r="B165" s="4"/>
      <c r="C165" s="4"/>
      <c r="D165" s="4"/>
      <c r="E165" s="4"/>
      <c r="F165" s="4"/>
      <c r="G165" s="4"/>
      <c r="H165" s="4"/>
      <c r="I165" s="38"/>
      <c r="J165" s="38"/>
      <c r="K165" s="4"/>
      <c r="L165" s="4"/>
      <c r="M165" s="4"/>
      <c r="N165" s="38"/>
      <c r="O165" s="66"/>
      <c r="P165" s="66"/>
      <c r="Q165" s="38"/>
      <c r="R165" s="38"/>
      <c r="S165" s="38"/>
      <c r="T165" s="38"/>
      <c r="U165" s="38"/>
      <c r="V165" s="38"/>
      <c r="W165" s="4"/>
      <c r="X165" s="4"/>
      <c r="Y165" s="38"/>
      <c r="Z165" s="38"/>
      <c r="AA165" s="38"/>
      <c r="AB165" s="38"/>
      <c r="AC165" s="4"/>
      <c r="AD165" s="4"/>
      <c r="AE165" s="38"/>
      <c r="AF165" s="38"/>
      <c r="AG165" s="38"/>
      <c r="AH165" s="38"/>
      <c r="AI165" s="38"/>
      <c r="AJ165" s="38"/>
      <c r="AK165" s="4"/>
      <c r="AL165" s="4"/>
      <c r="AM165" s="38"/>
      <c r="AN165" s="38"/>
      <c r="AO165" s="38"/>
      <c r="AP165" s="38"/>
      <c r="AQ165" s="4"/>
      <c r="AR165" s="4"/>
      <c r="AS165" s="4"/>
    </row>
    <row r="166" spans="1:45" x14ac:dyDescent="0.2">
      <c r="A166" s="4"/>
      <c r="B166" s="4"/>
      <c r="C166" s="4"/>
      <c r="D166" s="4"/>
      <c r="E166" s="4"/>
      <c r="F166" s="4"/>
      <c r="G166" s="4"/>
      <c r="H166" s="4"/>
      <c r="I166" s="38"/>
      <c r="J166" s="38"/>
      <c r="K166" s="4"/>
      <c r="L166" s="4"/>
      <c r="M166" s="4"/>
      <c r="N166" s="38"/>
      <c r="O166" s="66"/>
      <c r="P166" s="66"/>
      <c r="Q166" s="38"/>
      <c r="R166" s="38"/>
      <c r="S166" s="38"/>
      <c r="T166" s="38"/>
      <c r="U166" s="38"/>
      <c r="V166" s="38"/>
      <c r="W166" s="4"/>
      <c r="X166" s="4"/>
      <c r="Y166" s="38"/>
      <c r="Z166" s="38"/>
      <c r="AA166" s="38"/>
      <c r="AB166" s="38"/>
      <c r="AC166" s="4"/>
      <c r="AD166" s="4"/>
      <c r="AE166" s="38"/>
      <c r="AF166" s="38"/>
      <c r="AG166" s="38"/>
      <c r="AH166" s="38"/>
      <c r="AI166" s="38"/>
      <c r="AJ166" s="38"/>
      <c r="AK166" s="4"/>
      <c r="AL166" s="4"/>
      <c r="AM166" s="38"/>
      <c r="AN166" s="38"/>
      <c r="AO166" s="38"/>
      <c r="AP166" s="38"/>
      <c r="AQ166" s="4"/>
      <c r="AR166" s="4"/>
      <c r="AS166" s="4"/>
    </row>
    <row r="167" spans="1:45" x14ac:dyDescent="0.2">
      <c r="A167" s="4"/>
      <c r="B167" s="4"/>
      <c r="C167" s="4"/>
      <c r="D167" s="4"/>
      <c r="E167" s="4"/>
      <c r="F167" s="4"/>
      <c r="G167" s="4"/>
      <c r="H167" s="4"/>
      <c r="I167" s="38"/>
      <c r="J167" s="38"/>
      <c r="K167" s="4"/>
      <c r="L167" s="4"/>
      <c r="M167" s="4"/>
      <c r="N167" s="38"/>
      <c r="O167" s="66"/>
      <c r="P167" s="66"/>
      <c r="Q167" s="38"/>
      <c r="R167" s="38"/>
      <c r="S167" s="38"/>
      <c r="T167" s="38"/>
      <c r="U167" s="38"/>
      <c r="V167" s="38"/>
      <c r="W167" s="4"/>
      <c r="X167" s="4"/>
      <c r="Y167" s="38"/>
      <c r="Z167" s="38"/>
      <c r="AA167" s="38"/>
      <c r="AB167" s="38"/>
      <c r="AC167" s="4"/>
      <c r="AD167" s="4"/>
      <c r="AE167" s="38"/>
      <c r="AF167" s="38"/>
      <c r="AG167" s="38"/>
      <c r="AH167" s="38"/>
      <c r="AI167" s="38"/>
      <c r="AJ167" s="38"/>
      <c r="AK167" s="4"/>
      <c r="AL167" s="4"/>
      <c r="AM167" s="38"/>
      <c r="AN167" s="38"/>
      <c r="AO167" s="38"/>
      <c r="AP167" s="38"/>
      <c r="AQ167" s="4"/>
      <c r="AR167" s="4"/>
      <c r="AS167" s="4"/>
    </row>
    <row r="168" spans="1:45" x14ac:dyDescent="0.2">
      <c r="A168" s="4"/>
      <c r="B168" s="4"/>
      <c r="C168" s="4"/>
      <c r="D168" s="4"/>
      <c r="E168" s="4"/>
      <c r="F168" s="4"/>
      <c r="G168" s="4"/>
      <c r="H168" s="4"/>
      <c r="I168" s="38"/>
      <c r="J168" s="38"/>
      <c r="K168" s="4"/>
      <c r="L168" s="4"/>
      <c r="M168" s="4"/>
      <c r="N168" s="38"/>
      <c r="O168" s="66"/>
      <c r="P168" s="66"/>
      <c r="Q168" s="38"/>
      <c r="R168" s="38"/>
      <c r="S168" s="38"/>
      <c r="T168" s="38"/>
      <c r="U168" s="38"/>
      <c r="V168" s="38"/>
      <c r="W168" s="4"/>
      <c r="X168" s="4"/>
      <c r="Y168" s="38"/>
      <c r="Z168" s="38"/>
      <c r="AA168" s="38"/>
      <c r="AB168" s="38"/>
      <c r="AC168" s="4"/>
      <c r="AD168" s="4"/>
      <c r="AE168" s="38"/>
      <c r="AF168" s="38"/>
      <c r="AG168" s="38"/>
      <c r="AH168" s="38"/>
      <c r="AI168" s="38"/>
      <c r="AJ168" s="38"/>
      <c r="AK168" s="4"/>
      <c r="AL168" s="4"/>
      <c r="AM168" s="38"/>
      <c r="AN168" s="38"/>
      <c r="AO168" s="38"/>
      <c r="AP168" s="38"/>
      <c r="AQ168" s="4"/>
      <c r="AR168" s="4"/>
      <c r="AS168" s="4"/>
    </row>
    <row r="169" spans="1:45" x14ac:dyDescent="0.2">
      <c r="A169" s="4"/>
      <c r="B169" s="4"/>
      <c r="C169" s="4"/>
      <c r="D169" s="4"/>
      <c r="E169" s="4"/>
      <c r="F169" s="4"/>
      <c r="G169" s="4"/>
      <c r="H169" s="4"/>
      <c r="I169" s="38"/>
      <c r="J169" s="38"/>
      <c r="K169" s="4"/>
      <c r="L169" s="4"/>
      <c r="M169" s="4"/>
      <c r="N169" s="38"/>
      <c r="O169" s="66"/>
      <c r="P169" s="66"/>
      <c r="Q169" s="38"/>
      <c r="R169" s="38"/>
      <c r="S169" s="38"/>
      <c r="T169" s="38"/>
      <c r="U169" s="38"/>
      <c r="V169" s="38"/>
      <c r="W169" s="4"/>
      <c r="X169" s="4"/>
      <c r="Y169" s="38"/>
      <c r="Z169" s="38"/>
      <c r="AA169" s="38"/>
      <c r="AB169" s="38"/>
      <c r="AC169" s="4"/>
      <c r="AD169" s="4"/>
      <c r="AE169" s="38"/>
      <c r="AF169" s="38"/>
      <c r="AG169" s="38"/>
      <c r="AH169" s="38"/>
      <c r="AI169" s="38"/>
      <c r="AJ169" s="38"/>
      <c r="AK169" s="4"/>
      <c r="AL169" s="4"/>
      <c r="AM169" s="38"/>
      <c r="AN169" s="38"/>
      <c r="AO169" s="38"/>
      <c r="AP169" s="38"/>
      <c r="AQ169" s="4"/>
      <c r="AR169" s="4"/>
      <c r="AS169" s="4"/>
    </row>
    <row r="170" spans="1:45" x14ac:dyDescent="0.2">
      <c r="A170" s="4"/>
      <c r="B170" s="4"/>
      <c r="C170" s="4"/>
      <c r="D170" s="4"/>
      <c r="E170" s="4"/>
      <c r="F170" s="4"/>
      <c r="G170" s="4"/>
      <c r="H170" s="4"/>
      <c r="I170" s="38"/>
      <c r="J170" s="38"/>
      <c r="K170" s="4"/>
      <c r="L170" s="4"/>
      <c r="M170" s="4"/>
      <c r="N170" s="38"/>
      <c r="O170" s="66"/>
      <c r="P170" s="66"/>
      <c r="Q170" s="38"/>
      <c r="R170" s="38"/>
      <c r="S170" s="38"/>
      <c r="T170" s="38"/>
      <c r="U170" s="38"/>
      <c r="V170" s="38"/>
      <c r="W170" s="4"/>
      <c r="X170" s="4"/>
      <c r="Y170" s="38"/>
      <c r="Z170" s="38"/>
      <c r="AA170" s="38"/>
      <c r="AB170" s="38"/>
      <c r="AC170" s="4"/>
      <c r="AD170" s="4"/>
      <c r="AE170" s="38"/>
      <c r="AF170" s="38"/>
      <c r="AG170" s="38"/>
      <c r="AH170" s="38"/>
      <c r="AI170" s="38"/>
      <c r="AJ170" s="38"/>
      <c r="AK170" s="4"/>
      <c r="AL170" s="4"/>
      <c r="AM170" s="38"/>
      <c r="AN170" s="38"/>
      <c r="AO170" s="38"/>
      <c r="AP170" s="38"/>
      <c r="AQ170" s="4"/>
      <c r="AR170" s="4"/>
      <c r="AS170" s="4"/>
    </row>
    <row r="171" spans="1:45" x14ac:dyDescent="0.2">
      <c r="A171" s="4"/>
      <c r="B171" s="4"/>
      <c r="C171" s="4"/>
      <c r="D171" s="4"/>
      <c r="E171" s="4"/>
      <c r="F171" s="4"/>
      <c r="G171" s="4"/>
      <c r="H171" s="4"/>
      <c r="I171" s="38"/>
      <c r="J171" s="38"/>
      <c r="K171" s="4"/>
      <c r="L171" s="4"/>
      <c r="M171" s="4"/>
      <c r="N171" s="38"/>
      <c r="O171" s="66"/>
      <c r="P171" s="66"/>
      <c r="Q171" s="38"/>
      <c r="R171" s="38"/>
      <c r="S171" s="38"/>
      <c r="T171" s="38"/>
      <c r="U171" s="38"/>
      <c r="V171" s="38"/>
      <c r="W171" s="4"/>
      <c r="X171" s="4"/>
      <c r="Y171" s="38"/>
      <c r="Z171" s="38"/>
      <c r="AA171" s="38"/>
      <c r="AB171" s="38"/>
      <c r="AC171" s="4"/>
      <c r="AD171" s="4"/>
      <c r="AE171" s="38"/>
      <c r="AF171" s="38"/>
      <c r="AG171" s="38"/>
      <c r="AH171" s="38"/>
      <c r="AI171" s="38"/>
      <c r="AJ171" s="38"/>
      <c r="AK171" s="4"/>
      <c r="AL171" s="4"/>
      <c r="AM171" s="38"/>
      <c r="AN171" s="38"/>
      <c r="AO171" s="38"/>
      <c r="AP171" s="38"/>
      <c r="AQ171" s="4"/>
      <c r="AR171" s="4"/>
      <c r="AS171" s="4"/>
    </row>
    <row r="172" spans="1:45" x14ac:dyDescent="0.2">
      <c r="A172" s="4"/>
      <c r="B172" s="4"/>
      <c r="C172" s="4"/>
      <c r="D172" s="4"/>
      <c r="E172" s="4"/>
      <c r="F172" s="4"/>
      <c r="G172" s="4"/>
      <c r="H172" s="4"/>
      <c r="I172" s="38"/>
      <c r="J172" s="38"/>
      <c r="K172" s="4"/>
      <c r="L172" s="4"/>
      <c r="M172" s="4"/>
      <c r="N172" s="38"/>
      <c r="O172" s="66"/>
      <c r="P172" s="66"/>
      <c r="Q172" s="38"/>
      <c r="R172" s="38"/>
      <c r="S172" s="38"/>
      <c r="T172" s="38"/>
      <c r="U172" s="38"/>
      <c r="V172" s="38"/>
      <c r="W172" s="4"/>
      <c r="X172" s="4"/>
      <c r="Y172" s="38"/>
      <c r="Z172" s="38"/>
      <c r="AA172" s="38"/>
      <c r="AB172" s="38"/>
      <c r="AC172" s="4"/>
      <c r="AD172" s="4"/>
      <c r="AE172" s="38"/>
      <c r="AF172" s="38"/>
      <c r="AG172" s="38"/>
      <c r="AH172" s="38"/>
      <c r="AI172" s="38"/>
      <c r="AJ172" s="38"/>
      <c r="AK172" s="4"/>
      <c r="AL172" s="4"/>
      <c r="AM172" s="38"/>
      <c r="AN172" s="38"/>
      <c r="AO172" s="38"/>
      <c r="AP172" s="38"/>
      <c r="AQ172" s="4"/>
      <c r="AR172" s="4"/>
      <c r="AS172" s="4"/>
    </row>
    <row r="173" spans="1:45" x14ac:dyDescent="0.2">
      <c r="A173" s="4"/>
      <c r="B173" s="4"/>
      <c r="C173" s="4"/>
      <c r="D173" s="4"/>
      <c r="E173" s="4"/>
      <c r="F173" s="4"/>
      <c r="G173" s="4"/>
      <c r="H173" s="4"/>
      <c r="I173" s="38"/>
      <c r="J173" s="38"/>
      <c r="K173" s="4"/>
      <c r="L173" s="4"/>
      <c r="M173" s="4"/>
      <c r="N173" s="38"/>
      <c r="O173" s="66"/>
      <c r="P173" s="66"/>
      <c r="Q173" s="38"/>
      <c r="R173" s="38"/>
      <c r="S173" s="38"/>
      <c r="T173" s="38"/>
      <c r="U173" s="38"/>
      <c r="V173" s="38"/>
      <c r="W173" s="4"/>
      <c r="X173" s="4"/>
      <c r="Y173" s="38"/>
      <c r="Z173" s="38"/>
      <c r="AA173" s="38"/>
      <c r="AB173" s="38"/>
      <c r="AC173" s="4"/>
      <c r="AD173" s="4"/>
      <c r="AE173" s="38"/>
      <c r="AF173" s="38"/>
      <c r="AG173" s="38"/>
      <c r="AH173" s="38"/>
      <c r="AI173" s="38"/>
      <c r="AJ173" s="38"/>
      <c r="AK173" s="4"/>
      <c r="AL173" s="4"/>
      <c r="AM173" s="38"/>
      <c r="AN173" s="38"/>
      <c r="AO173" s="38"/>
      <c r="AP173" s="38"/>
      <c r="AQ173" s="4"/>
      <c r="AR173" s="4"/>
      <c r="AS173" s="4"/>
    </row>
    <row r="174" spans="1:45" x14ac:dyDescent="0.2">
      <c r="A174" s="4"/>
      <c r="B174" s="4"/>
      <c r="C174" s="4"/>
      <c r="D174" s="4"/>
      <c r="E174" s="4"/>
      <c r="F174" s="4"/>
      <c r="G174" s="4"/>
      <c r="H174" s="4"/>
      <c r="I174" s="38"/>
      <c r="J174" s="38"/>
      <c r="K174" s="4"/>
      <c r="L174" s="4"/>
      <c r="M174" s="4"/>
      <c r="N174" s="38"/>
      <c r="O174" s="66"/>
      <c r="P174" s="66"/>
      <c r="Q174" s="38"/>
      <c r="R174" s="38"/>
      <c r="S174" s="38"/>
      <c r="T174" s="38"/>
      <c r="U174" s="38"/>
      <c r="V174" s="38"/>
      <c r="W174" s="4"/>
      <c r="X174" s="4"/>
      <c r="Y174" s="38"/>
      <c r="Z174" s="38"/>
      <c r="AA174" s="38"/>
      <c r="AB174" s="38"/>
      <c r="AC174" s="4"/>
      <c r="AD174" s="4"/>
      <c r="AE174" s="38"/>
      <c r="AF174" s="38"/>
      <c r="AG174" s="38"/>
      <c r="AH174" s="38"/>
      <c r="AI174" s="38"/>
      <c r="AJ174" s="38"/>
      <c r="AK174" s="4"/>
      <c r="AL174" s="4"/>
      <c r="AM174" s="38"/>
      <c r="AN174" s="38"/>
      <c r="AO174" s="38"/>
      <c r="AP174" s="38"/>
      <c r="AQ174" s="4"/>
      <c r="AR174" s="4"/>
      <c r="AS174" s="4"/>
    </row>
    <row r="175" spans="1:45" x14ac:dyDescent="0.2">
      <c r="A175" s="4"/>
      <c r="B175" s="4"/>
      <c r="C175" s="4"/>
      <c r="D175" s="4"/>
      <c r="E175" s="4"/>
      <c r="F175" s="4"/>
      <c r="G175" s="4"/>
      <c r="H175" s="4"/>
      <c r="I175" s="38"/>
      <c r="J175" s="38"/>
      <c r="K175" s="4"/>
      <c r="L175" s="4"/>
      <c r="M175" s="4"/>
      <c r="N175" s="38"/>
      <c r="O175" s="66"/>
      <c r="P175" s="66"/>
      <c r="Q175" s="38"/>
      <c r="R175" s="38"/>
      <c r="S175" s="38"/>
      <c r="T175" s="38"/>
      <c r="U175" s="38"/>
      <c r="V175" s="38"/>
      <c r="W175" s="4"/>
      <c r="X175" s="4"/>
      <c r="Y175" s="38"/>
      <c r="Z175" s="38"/>
      <c r="AA175" s="38"/>
      <c r="AB175" s="38"/>
      <c r="AC175" s="4"/>
      <c r="AD175" s="4"/>
      <c r="AE175" s="38"/>
      <c r="AF175" s="38"/>
      <c r="AG175" s="38"/>
      <c r="AH175" s="38"/>
      <c r="AI175" s="38"/>
      <c r="AJ175" s="38"/>
      <c r="AK175" s="4"/>
      <c r="AL175" s="4"/>
      <c r="AM175" s="38"/>
      <c r="AN175" s="38"/>
      <c r="AO175" s="38"/>
      <c r="AP175" s="38"/>
      <c r="AQ175" s="4"/>
      <c r="AR175" s="4"/>
      <c r="AS175" s="4"/>
    </row>
    <row r="176" spans="1:45" x14ac:dyDescent="0.2">
      <c r="A176" s="4"/>
      <c r="B176" s="4"/>
      <c r="C176" s="4"/>
      <c r="D176" s="4"/>
      <c r="E176" s="4"/>
      <c r="F176" s="4"/>
      <c r="G176" s="4"/>
      <c r="H176" s="4"/>
      <c r="I176" s="38"/>
      <c r="J176" s="38"/>
      <c r="K176" s="4"/>
      <c r="L176" s="4"/>
      <c r="M176" s="4"/>
      <c r="N176" s="38"/>
      <c r="O176" s="66"/>
      <c r="P176" s="66"/>
      <c r="Q176" s="38"/>
      <c r="R176" s="38"/>
      <c r="S176" s="38"/>
      <c r="T176" s="38"/>
      <c r="U176" s="38"/>
      <c r="V176" s="38"/>
      <c r="W176" s="4"/>
      <c r="X176" s="4"/>
      <c r="Y176" s="38"/>
      <c r="Z176" s="38"/>
      <c r="AA176" s="38"/>
      <c r="AB176" s="38"/>
      <c r="AC176" s="4"/>
      <c r="AD176" s="4"/>
      <c r="AE176" s="38"/>
      <c r="AF176" s="38"/>
      <c r="AG176" s="38"/>
      <c r="AH176" s="38"/>
      <c r="AI176" s="38"/>
      <c r="AJ176" s="38"/>
      <c r="AK176" s="4"/>
      <c r="AL176" s="4"/>
      <c r="AM176" s="38"/>
      <c r="AN176" s="38"/>
      <c r="AO176" s="38"/>
      <c r="AP176" s="38"/>
      <c r="AQ176" s="4"/>
      <c r="AR176" s="4"/>
      <c r="AS176" s="4"/>
    </row>
    <row r="177" spans="1:45" x14ac:dyDescent="0.2">
      <c r="A177" s="4"/>
      <c r="B177" s="4"/>
      <c r="C177" s="4"/>
      <c r="D177" s="4"/>
      <c r="E177" s="4"/>
      <c r="F177" s="4"/>
      <c r="G177" s="4"/>
      <c r="H177" s="4"/>
      <c r="I177" s="38"/>
      <c r="J177" s="38"/>
      <c r="K177" s="4"/>
      <c r="L177" s="4"/>
      <c r="M177" s="4"/>
      <c r="N177" s="38"/>
      <c r="O177" s="66"/>
      <c r="P177" s="66"/>
      <c r="Q177" s="38"/>
      <c r="R177" s="38"/>
      <c r="S177" s="38"/>
      <c r="T177" s="38"/>
      <c r="U177" s="38"/>
      <c r="V177" s="38"/>
      <c r="W177" s="4"/>
      <c r="X177" s="4"/>
      <c r="Y177" s="38"/>
      <c r="Z177" s="38"/>
      <c r="AA177" s="38"/>
      <c r="AB177" s="38"/>
      <c r="AC177" s="4"/>
      <c r="AD177" s="4"/>
      <c r="AE177" s="38"/>
      <c r="AF177" s="38"/>
      <c r="AG177" s="38"/>
      <c r="AH177" s="38"/>
      <c r="AI177" s="38"/>
      <c r="AJ177" s="38"/>
      <c r="AK177" s="4"/>
      <c r="AL177" s="4"/>
      <c r="AM177" s="38"/>
      <c r="AN177" s="38"/>
      <c r="AO177" s="38"/>
      <c r="AP177" s="38"/>
      <c r="AQ177" s="4"/>
      <c r="AR177" s="4"/>
      <c r="AS177" s="4"/>
    </row>
    <row r="178" spans="1:45" x14ac:dyDescent="0.2">
      <c r="A178" s="4"/>
      <c r="B178" s="4"/>
      <c r="C178" s="4"/>
      <c r="D178" s="4"/>
      <c r="E178" s="4"/>
      <c r="F178" s="4"/>
      <c r="G178" s="4"/>
      <c r="H178" s="4"/>
      <c r="I178" s="38"/>
      <c r="J178" s="38"/>
      <c r="K178" s="4"/>
      <c r="L178" s="4"/>
      <c r="M178" s="4"/>
      <c r="N178" s="38"/>
      <c r="O178" s="66"/>
      <c r="P178" s="66"/>
      <c r="Q178" s="38"/>
      <c r="R178" s="38"/>
      <c r="S178" s="38"/>
      <c r="T178" s="38"/>
      <c r="U178" s="38"/>
      <c r="V178" s="38"/>
      <c r="W178" s="4"/>
      <c r="X178" s="4"/>
      <c r="Y178" s="38"/>
      <c r="Z178" s="38"/>
      <c r="AA178" s="38"/>
      <c r="AB178" s="38"/>
      <c r="AC178" s="4"/>
      <c r="AD178" s="4"/>
      <c r="AE178" s="38"/>
      <c r="AF178" s="38"/>
      <c r="AG178" s="38"/>
      <c r="AH178" s="38"/>
      <c r="AI178" s="38"/>
      <c r="AJ178" s="38"/>
      <c r="AK178" s="4"/>
      <c r="AL178" s="4"/>
      <c r="AM178" s="38"/>
      <c r="AN178" s="38"/>
      <c r="AO178" s="38"/>
      <c r="AP178" s="38"/>
      <c r="AQ178" s="4"/>
      <c r="AR178" s="4"/>
      <c r="AS178" s="4"/>
    </row>
    <row r="179" spans="1:45" x14ac:dyDescent="0.2">
      <c r="A179" s="4"/>
      <c r="B179" s="4"/>
      <c r="C179" s="4"/>
      <c r="D179" s="4"/>
      <c r="E179" s="4"/>
      <c r="F179" s="4"/>
      <c r="G179" s="4"/>
      <c r="H179" s="4"/>
      <c r="I179" s="38"/>
      <c r="J179" s="38"/>
      <c r="K179" s="4"/>
      <c r="L179" s="4"/>
      <c r="M179" s="4"/>
      <c r="N179" s="38"/>
      <c r="O179" s="66"/>
      <c r="P179" s="66"/>
      <c r="Q179" s="38"/>
      <c r="R179" s="38"/>
      <c r="S179" s="38"/>
      <c r="T179" s="38"/>
      <c r="U179" s="38"/>
      <c r="V179" s="38"/>
      <c r="W179" s="4"/>
      <c r="X179" s="4"/>
      <c r="Y179" s="38"/>
      <c r="Z179" s="38"/>
      <c r="AA179" s="38"/>
      <c r="AB179" s="38"/>
      <c r="AC179" s="4"/>
      <c r="AD179" s="4"/>
      <c r="AE179" s="38"/>
      <c r="AF179" s="38"/>
      <c r="AG179" s="38"/>
      <c r="AH179" s="38"/>
      <c r="AI179" s="38"/>
      <c r="AJ179" s="38"/>
      <c r="AK179" s="4"/>
      <c r="AL179" s="4"/>
      <c r="AM179" s="38"/>
      <c r="AN179" s="38"/>
      <c r="AO179" s="38"/>
      <c r="AP179" s="38"/>
      <c r="AQ179" s="4"/>
      <c r="AR179" s="4"/>
      <c r="AS179" s="4"/>
    </row>
    <row r="180" spans="1:45" x14ac:dyDescent="0.2">
      <c r="A180" s="4"/>
      <c r="B180" s="4"/>
      <c r="C180" s="4"/>
      <c r="D180" s="4"/>
      <c r="E180" s="4"/>
      <c r="F180" s="4"/>
      <c r="G180" s="4"/>
      <c r="H180" s="4"/>
      <c r="I180" s="38"/>
      <c r="J180" s="38"/>
      <c r="K180" s="4"/>
      <c r="L180" s="4"/>
      <c r="M180" s="4"/>
      <c r="N180" s="38"/>
      <c r="O180" s="66"/>
      <c r="P180" s="66"/>
      <c r="Q180" s="38"/>
      <c r="R180" s="38"/>
      <c r="S180" s="38"/>
      <c r="T180" s="38"/>
      <c r="U180" s="38"/>
      <c r="V180" s="38"/>
      <c r="W180" s="4"/>
      <c r="X180" s="4"/>
      <c r="Y180" s="38"/>
      <c r="Z180" s="38"/>
      <c r="AA180" s="38"/>
      <c r="AB180" s="38"/>
      <c r="AC180" s="4"/>
      <c r="AD180" s="4"/>
      <c r="AE180" s="38"/>
      <c r="AF180" s="38"/>
      <c r="AG180" s="38"/>
      <c r="AH180" s="38"/>
      <c r="AI180" s="38"/>
      <c r="AJ180" s="38"/>
      <c r="AK180" s="4"/>
      <c r="AL180" s="4"/>
      <c r="AM180" s="38"/>
      <c r="AN180" s="38"/>
      <c r="AO180" s="38"/>
      <c r="AP180" s="38"/>
      <c r="AQ180" s="4"/>
      <c r="AR180" s="4"/>
      <c r="AS180" s="4"/>
    </row>
    <row r="181" spans="1:45" x14ac:dyDescent="0.2">
      <c r="A181" s="4"/>
      <c r="B181" s="4"/>
      <c r="C181" s="4"/>
      <c r="D181" s="4"/>
      <c r="E181" s="4"/>
      <c r="F181" s="4"/>
      <c r="G181" s="4"/>
      <c r="H181" s="4"/>
      <c r="I181" s="38"/>
      <c r="J181" s="38"/>
      <c r="K181" s="4"/>
      <c r="L181" s="4"/>
      <c r="M181" s="4"/>
      <c r="N181" s="38"/>
      <c r="O181" s="66"/>
      <c r="P181" s="66"/>
      <c r="Q181" s="38"/>
      <c r="R181" s="38"/>
      <c r="S181" s="38"/>
      <c r="T181" s="38"/>
      <c r="U181" s="38"/>
      <c r="V181" s="38"/>
      <c r="W181" s="4"/>
      <c r="X181" s="4"/>
      <c r="Y181" s="38"/>
      <c r="Z181" s="38"/>
      <c r="AA181" s="38"/>
      <c r="AB181" s="38"/>
      <c r="AC181" s="4"/>
      <c r="AD181" s="4"/>
      <c r="AE181" s="38"/>
      <c r="AF181" s="38"/>
      <c r="AG181" s="38"/>
      <c r="AH181" s="38"/>
      <c r="AI181" s="38"/>
      <c r="AJ181" s="38"/>
      <c r="AK181" s="4"/>
      <c r="AL181" s="4"/>
      <c r="AM181" s="38"/>
      <c r="AN181" s="38"/>
      <c r="AO181" s="38"/>
      <c r="AP181" s="38"/>
      <c r="AQ181" s="4"/>
      <c r="AR181" s="4"/>
      <c r="AS181" s="4"/>
    </row>
    <row r="182" spans="1:45" x14ac:dyDescent="0.2">
      <c r="A182" s="4"/>
      <c r="B182" s="4"/>
      <c r="C182" s="4"/>
      <c r="D182" s="4"/>
      <c r="E182" s="4"/>
      <c r="F182" s="4"/>
      <c r="G182" s="4"/>
      <c r="H182" s="4"/>
      <c r="I182" s="38"/>
      <c r="J182" s="38"/>
      <c r="K182" s="4"/>
      <c r="L182" s="4"/>
      <c r="M182" s="4"/>
      <c r="N182" s="38"/>
      <c r="O182" s="66"/>
      <c r="P182" s="66"/>
      <c r="Q182" s="38"/>
      <c r="R182" s="38"/>
      <c r="S182" s="38"/>
      <c r="T182" s="38"/>
      <c r="U182" s="38"/>
      <c r="V182" s="38"/>
      <c r="W182" s="4"/>
      <c r="X182" s="4"/>
      <c r="Y182" s="38"/>
      <c r="Z182" s="38"/>
      <c r="AA182" s="38"/>
      <c r="AB182" s="38"/>
      <c r="AC182" s="4"/>
      <c r="AD182" s="4"/>
      <c r="AE182" s="38"/>
      <c r="AF182" s="38"/>
      <c r="AG182" s="38"/>
      <c r="AH182" s="38"/>
      <c r="AI182" s="38"/>
      <c r="AJ182" s="38"/>
      <c r="AK182" s="4"/>
      <c r="AL182" s="4"/>
      <c r="AM182" s="38"/>
      <c r="AN182" s="38"/>
      <c r="AO182" s="38"/>
      <c r="AP182" s="38"/>
      <c r="AQ182" s="4"/>
      <c r="AR182" s="4"/>
      <c r="AS182" s="4"/>
    </row>
    <row r="183" spans="1:45" x14ac:dyDescent="0.2">
      <c r="A183" s="4"/>
      <c r="B183" s="4"/>
      <c r="C183" s="4"/>
      <c r="D183" s="4"/>
      <c r="E183" s="4"/>
      <c r="F183" s="4"/>
      <c r="G183" s="4"/>
      <c r="H183" s="4"/>
      <c r="I183" s="38"/>
      <c r="J183" s="38"/>
      <c r="K183" s="4"/>
      <c r="L183" s="4"/>
      <c r="M183" s="4"/>
      <c r="N183" s="38"/>
      <c r="O183" s="66"/>
      <c r="P183" s="66"/>
      <c r="Q183" s="38"/>
      <c r="R183" s="38"/>
      <c r="S183" s="38"/>
      <c r="T183" s="38"/>
      <c r="U183" s="38"/>
      <c r="V183" s="38"/>
      <c r="W183" s="4"/>
      <c r="X183" s="4"/>
      <c r="Y183" s="38"/>
      <c r="Z183" s="38"/>
      <c r="AA183" s="38"/>
      <c r="AB183" s="38"/>
      <c r="AC183" s="4"/>
      <c r="AD183" s="4"/>
      <c r="AE183" s="38"/>
      <c r="AF183" s="38"/>
      <c r="AG183" s="38"/>
      <c r="AH183" s="38"/>
      <c r="AI183" s="38"/>
      <c r="AJ183" s="38"/>
      <c r="AK183" s="4"/>
      <c r="AL183" s="4"/>
      <c r="AM183" s="38"/>
      <c r="AN183" s="38"/>
      <c r="AO183" s="38"/>
      <c r="AP183" s="38"/>
      <c r="AQ183" s="4"/>
      <c r="AR183" s="4"/>
      <c r="AS183" s="4"/>
    </row>
    <row r="184" spans="1:45" x14ac:dyDescent="0.2">
      <c r="A184" s="4"/>
      <c r="B184" s="4"/>
      <c r="C184" s="4"/>
      <c r="D184" s="4"/>
      <c r="E184" s="4"/>
      <c r="F184" s="4"/>
      <c r="G184" s="4"/>
      <c r="H184" s="4"/>
      <c r="I184" s="38"/>
      <c r="J184" s="38"/>
      <c r="K184" s="4"/>
      <c r="L184" s="4"/>
      <c r="M184" s="4"/>
      <c r="N184" s="38"/>
      <c r="O184" s="66"/>
      <c r="P184" s="66"/>
      <c r="Q184" s="38"/>
      <c r="R184" s="38"/>
      <c r="S184" s="38"/>
      <c r="T184" s="38"/>
      <c r="U184" s="38"/>
      <c r="V184" s="38"/>
      <c r="W184" s="4"/>
      <c r="X184" s="4"/>
      <c r="Y184" s="38"/>
      <c r="Z184" s="38"/>
      <c r="AA184" s="38"/>
      <c r="AB184" s="38"/>
      <c r="AC184" s="4"/>
      <c r="AD184" s="4"/>
      <c r="AE184" s="38"/>
      <c r="AF184" s="38"/>
      <c r="AG184" s="38"/>
      <c r="AH184" s="38"/>
      <c r="AI184" s="38"/>
      <c r="AJ184" s="38"/>
      <c r="AK184" s="4"/>
      <c r="AL184" s="4"/>
      <c r="AM184" s="38"/>
      <c r="AN184" s="38"/>
      <c r="AO184" s="38"/>
      <c r="AP184" s="38"/>
      <c r="AQ184" s="4"/>
      <c r="AR184" s="4"/>
      <c r="AS184" s="4"/>
    </row>
    <row r="185" spans="1:45" x14ac:dyDescent="0.2">
      <c r="A185" s="4"/>
      <c r="B185" s="4"/>
      <c r="C185" s="4"/>
      <c r="D185" s="4"/>
      <c r="E185" s="4"/>
      <c r="F185" s="4"/>
      <c r="G185" s="4"/>
      <c r="H185" s="4"/>
      <c r="I185" s="38"/>
      <c r="J185" s="38"/>
      <c r="K185" s="4"/>
      <c r="L185" s="4"/>
      <c r="M185" s="4"/>
      <c r="N185" s="38"/>
      <c r="O185" s="66"/>
      <c r="P185" s="66"/>
      <c r="Q185" s="38"/>
      <c r="R185" s="38"/>
      <c r="S185" s="38"/>
      <c r="T185" s="38"/>
      <c r="U185" s="38"/>
      <c r="V185" s="38"/>
      <c r="W185" s="4"/>
      <c r="X185" s="4"/>
      <c r="Y185" s="38"/>
      <c r="Z185" s="38"/>
      <c r="AA185" s="38"/>
      <c r="AB185" s="38"/>
      <c r="AC185" s="4"/>
      <c r="AD185" s="4"/>
      <c r="AE185" s="38"/>
      <c r="AF185" s="38"/>
      <c r="AG185" s="38"/>
      <c r="AH185" s="38"/>
      <c r="AI185" s="38"/>
      <c r="AJ185" s="38"/>
      <c r="AK185" s="4"/>
      <c r="AL185" s="4"/>
      <c r="AM185" s="38"/>
      <c r="AN185" s="38"/>
      <c r="AO185" s="38"/>
      <c r="AP185" s="38"/>
      <c r="AQ185" s="4"/>
      <c r="AR185" s="4"/>
      <c r="AS185" s="4"/>
    </row>
    <row r="186" spans="1:45" x14ac:dyDescent="0.2">
      <c r="A186" s="4"/>
      <c r="B186" s="4"/>
      <c r="C186" s="4"/>
      <c r="D186" s="4"/>
      <c r="E186" s="4"/>
      <c r="F186" s="4"/>
      <c r="G186" s="4"/>
      <c r="H186" s="4"/>
      <c r="I186" s="38"/>
      <c r="J186" s="38"/>
      <c r="K186" s="4"/>
      <c r="L186" s="4"/>
      <c r="M186" s="4"/>
      <c r="N186" s="38"/>
      <c r="O186" s="66"/>
      <c r="P186" s="66"/>
      <c r="Q186" s="38"/>
      <c r="R186" s="38"/>
      <c r="S186" s="38"/>
      <c r="T186" s="38"/>
      <c r="U186" s="38"/>
      <c r="V186" s="38"/>
      <c r="W186" s="4"/>
      <c r="X186" s="4"/>
      <c r="Y186" s="38"/>
      <c r="Z186" s="38"/>
      <c r="AA186" s="38"/>
      <c r="AB186" s="38"/>
      <c r="AC186" s="4"/>
      <c r="AD186" s="4"/>
      <c r="AE186" s="38"/>
      <c r="AF186" s="38"/>
      <c r="AG186" s="38"/>
      <c r="AH186" s="38"/>
      <c r="AI186" s="38"/>
      <c r="AJ186" s="38"/>
      <c r="AK186" s="4"/>
      <c r="AL186" s="4"/>
      <c r="AM186" s="38"/>
      <c r="AN186" s="38"/>
      <c r="AO186" s="38"/>
      <c r="AP186" s="38"/>
      <c r="AQ186" s="4"/>
      <c r="AR186" s="4"/>
      <c r="AS186" s="4"/>
    </row>
    <row r="187" spans="1:45" x14ac:dyDescent="0.2">
      <c r="A187" s="4"/>
      <c r="B187" s="4"/>
      <c r="C187" s="4"/>
      <c r="D187" s="4"/>
      <c r="E187" s="4"/>
      <c r="F187" s="4"/>
      <c r="G187" s="4"/>
      <c r="H187" s="4"/>
      <c r="I187" s="38"/>
      <c r="J187" s="38"/>
      <c r="K187" s="4"/>
      <c r="L187" s="4"/>
      <c r="M187" s="4"/>
      <c r="N187" s="38"/>
      <c r="O187" s="66"/>
      <c r="P187" s="66"/>
      <c r="Q187" s="38"/>
      <c r="R187" s="38"/>
      <c r="S187" s="38"/>
      <c r="T187" s="38"/>
      <c r="U187" s="38"/>
      <c r="V187" s="38"/>
      <c r="W187" s="4"/>
      <c r="X187" s="4"/>
      <c r="Y187" s="38"/>
      <c r="Z187" s="38"/>
      <c r="AA187" s="38"/>
      <c r="AB187" s="38"/>
      <c r="AC187" s="4"/>
      <c r="AD187" s="4"/>
      <c r="AE187" s="38"/>
      <c r="AF187" s="38"/>
      <c r="AG187" s="38"/>
      <c r="AH187" s="38"/>
      <c r="AI187" s="38"/>
      <c r="AJ187" s="38"/>
      <c r="AK187" s="4"/>
      <c r="AL187" s="4"/>
      <c r="AM187" s="38"/>
      <c r="AN187" s="38"/>
      <c r="AO187" s="38"/>
      <c r="AP187" s="38"/>
      <c r="AQ187" s="4"/>
      <c r="AR187" s="4"/>
      <c r="AS187" s="4"/>
    </row>
    <row r="188" spans="1:45" x14ac:dyDescent="0.2">
      <c r="A188" s="4"/>
      <c r="B188" s="4"/>
      <c r="C188" s="4"/>
      <c r="D188" s="4"/>
      <c r="E188" s="4"/>
      <c r="F188" s="4"/>
      <c r="G188" s="4"/>
      <c r="H188" s="4"/>
      <c r="I188" s="38"/>
      <c r="J188" s="38"/>
      <c r="K188" s="4"/>
      <c r="L188" s="4"/>
      <c r="M188" s="4"/>
      <c r="N188" s="38"/>
      <c r="O188" s="66"/>
      <c r="P188" s="66"/>
      <c r="Q188" s="38"/>
      <c r="R188" s="38"/>
      <c r="S188" s="38"/>
      <c r="T188" s="38"/>
      <c r="U188" s="38"/>
      <c r="V188" s="38"/>
      <c r="W188" s="4"/>
      <c r="X188" s="4"/>
      <c r="Y188" s="38"/>
      <c r="Z188" s="38"/>
      <c r="AA188" s="38"/>
      <c r="AB188" s="38"/>
      <c r="AC188" s="4"/>
      <c r="AD188" s="4"/>
      <c r="AE188" s="38"/>
      <c r="AF188" s="38"/>
      <c r="AG188" s="38"/>
      <c r="AH188" s="38"/>
      <c r="AI188" s="38"/>
      <c r="AJ188" s="38"/>
      <c r="AK188" s="4"/>
      <c r="AL188" s="4"/>
      <c r="AM188" s="38"/>
      <c r="AN188" s="38"/>
      <c r="AO188" s="38"/>
      <c r="AP188" s="38"/>
      <c r="AQ188" s="4"/>
      <c r="AR188" s="4"/>
      <c r="AS188" s="4"/>
    </row>
    <row r="189" spans="1:45" x14ac:dyDescent="0.2">
      <c r="A189" s="4"/>
      <c r="B189" s="4"/>
      <c r="C189" s="4"/>
      <c r="D189" s="4"/>
      <c r="E189" s="4"/>
      <c r="F189" s="4"/>
      <c r="G189" s="4"/>
      <c r="H189" s="4"/>
      <c r="I189" s="38"/>
      <c r="J189" s="38"/>
      <c r="K189" s="4"/>
      <c r="L189" s="4"/>
      <c r="M189" s="4"/>
      <c r="N189" s="38"/>
      <c r="O189" s="66"/>
      <c r="P189" s="66"/>
      <c r="Q189" s="38"/>
      <c r="R189" s="38"/>
      <c r="S189" s="38"/>
      <c r="T189" s="38"/>
      <c r="U189" s="38"/>
      <c r="V189" s="38"/>
      <c r="W189" s="4"/>
      <c r="X189" s="4"/>
      <c r="Y189" s="38"/>
      <c r="Z189" s="38"/>
      <c r="AA189" s="38"/>
      <c r="AB189" s="38"/>
      <c r="AC189" s="4"/>
      <c r="AD189" s="4"/>
      <c r="AE189" s="38"/>
      <c r="AF189" s="38"/>
      <c r="AG189" s="38"/>
      <c r="AH189" s="38"/>
      <c r="AI189" s="38"/>
      <c r="AJ189" s="38"/>
      <c r="AK189" s="4"/>
      <c r="AL189" s="4"/>
      <c r="AM189" s="38"/>
      <c r="AN189" s="38"/>
      <c r="AO189" s="38"/>
      <c r="AP189" s="38"/>
      <c r="AQ189" s="4"/>
      <c r="AR189" s="4"/>
      <c r="AS189" s="4"/>
    </row>
    <row r="190" spans="1:45" x14ac:dyDescent="0.2">
      <c r="A190" s="4"/>
      <c r="B190" s="4"/>
      <c r="C190" s="4"/>
      <c r="D190" s="4"/>
      <c r="E190" s="4"/>
      <c r="F190" s="4"/>
      <c r="G190" s="4"/>
      <c r="H190" s="4"/>
      <c r="I190" s="38"/>
      <c r="J190" s="38"/>
      <c r="K190" s="4"/>
      <c r="L190" s="4"/>
      <c r="M190" s="4"/>
      <c r="N190" s="38"/>
      <c r="O190" s="66"/>
      <c r="P190" s="66"/>
      <c r="Q190" s="38"/>
      <c r="R190" s="38"/>
      <c r="S190" s="38"/>
      <c r="T190" s="38"/>
      <c r="U190" s="38"/>
      <c r="V190" s="38"/>
      <c r="W190" s="4"/>
      <c r="X190" s="4"/>
      <c r="Y190" s="38"/>
      <c r="Z190" s="38"/>
      <c r="AA190" s="38"/>
      <c r="AB190" s="38"/>
      <c r="AC190" s="4"/>
      <c r="AD190" s="4"/>
      <c r="AE190" s="38"/>
      <c r="AF190" s="38"/>
      <c r="AG190" s="38"/>
      <c r="AH190" s="38"/>
      <c r="AI190" s="38"/>
      <c r="AJ190" s="38"/>
      <c r="AK190" s="4"/>
      <c r="AL190" s="4"/>
      <c r="AM190" s="38"/>
      <c r="AN190" s="38"/>
      <c r="AO190" s="38"/>
      <c r="AP190" s="38"/>
      <c r="AQ190" s="4"/>
      <c r="AR190" s="4"/>
      <c r="AS190" s="4"/>
    </row>
    <row r="191" spans="1:45" x14ac:dyDescent="0.2">
      <c r="A191" s="4"/>
      <c r="B191" s="4"/>
      <c r="C191" s="4"/>
      <c r="D191" s="4"/>
      <c r="E191" s="4"/>
      <c r="F191" s="4"/>
      <c r="G191" s="4"/>
      <c r="H191" s="4"/>
      <c r="I191" s="38"/>
      <c r="J191" s="38"/>
      <c r="K191" s="4"/>
      <c r="L191" s="4"/>
      <c r="M191" s="4"/>
      <c r="N191" s="38"/>
      <c r="O191" s="66"/>
      <c r="P191" s="66"/>
      <c r="Q191" s="38"/>
      <c r="R191" s="38"/>
      <c r="S191" s="38"/>
      <c r="T191" s="38"/>
      <c r="U191" s="38"/>
      <c r="V191" s="38"/>
      <c r="W191" s="4"/>
      <c r="X191" s="4"/>
      <c r="Y191" s="38"/>
      <c r="Z191" s="38"/>
      <c r="AA191" s="38"/>
      <c r="AB191" s="38"/>
      <c r="AC191" s="4"/>
      <c r="AD191" s="4"/>
      <c r="AE191" s="38"/>
      <c r="AF191" s="38"/>
      <c r="AG191" s="38"/>
      <c r="AH191" s="38"/>
      <c r="AI191" s="38"/>
      <c r="AJ191" s="38"/>
      <c r="AK191" s="4"/>
      <c r="AL191" s="4"/>
      <c r="AM191" s="38"/>
      <c r="AN191" s="38"/>
      <c r="AO191" s="38"/>
      <c r="AP191" s="38"/>
      <c r="AQ191" s="4"/>
      <c r="AR191" s="4"/>
      <c r="AS191" s="4"/>
    </row>
    <row r="192" spans="1:45" x14ac:dyDescent="0.2">
      <c r="A192" s="4"/>
      <c r="B192" s="4"/>
      <c r="C192" s="4"/>
      <c r="D192" s="4"/>
      <c r="E192" s="4"/>
      <c r="F192" s="4"/>
      <c r="G192" s="4"/>
      <c r="H192" s="4"/>
      <c r="I192" s="38"/>
      <c r="J192" s="38"/>
      <c r="K192" s="4"/>
      <c r="L192" s="4"/>
      <c r="M192" s="4"/>
      <c r="N192" s="38"/>
      <c r="O192" s="66"/>
      <c r="P192" s="66"/>
      <c r="Q192" s="38"/>
      <c r="R192" s="38"/>
      <c r="S192" s="38"/>
      <c r="T192" s="38"/>
      <c r="U192" s="38"/>
      <c r="V192" s="38"/>
      <c r="W192" s="4"/>
      <c r="X192" s="4"/>
      <c r="Y192" s="38"/>
      <c r="Z192" s="38"/>
      <c r="AA192" s="38"/>
      <c r="AB192" s="38"/>
      <c r="AC192" s="4"/>
      <c r="AD192" s="4"/>
      <c r="AE192" s="38"/>
      <c r="AF192" s="38"/>
      <c r="AG192" s="38"/>
      <c r="AH192" s="38"/>
      <c r="AI192" s="38"/>
      <c r="AJ192" s="38"/>
      <c r="AK192" s="4"/>
      <c r="AL192" s="4"/>
      <c r="AM192" s="38"/>
      <c r="AN192" s="38"/>
      <c r="AO192" s="38"/>
      <c r="AP192" s="38"/>
      <c r="AQ192" s="4"/>
      <c r="AR192" s="4"/>
      <c r="AS192" s="4"/>
    </row>
    <row r="193" spans="1:45" x14ac:dyDescent="0.2">
      <c r="A193" s="4"/>
      <c r="B193" s="4"/>
      <c r="C193" s="4"/>
      <c r="D193" s="4"/>
      <c r="E193" s="4"/>
      <c r="F193" s="4"/>
      <c r="G193" s="4"/>
      <c r="H193" s="4"/>
      <c r="I193" s="38"/>
      <c r="J193" s="38"/>
      <c r="K193" s="4"/>
      <c r="L193" s="4"/>
      <c r="M193" s="4"/>
      <c r="N193" s="38"/>
      <c r="O193" s="66"/>
      <c r="P193" s="66"/>
      <c r="Q193" s="38"/>
      <c r="R193" s="38"/>
      <c r="S193" s="38"/>
      <c r="T193" s="38"/>
      <c r="U193" s="38"/>
      <c r="V193" s="38"/>
      <c r="W193" s="4"/>
      <c r="X193" s="4"/>
      <c r="Y193" s="38"/>
      <c r="Z193" s="38"/>
      <c r="AA193" s="38"/>
      <c r="AB193" s="38"/>
      <c r="AC193" s="4"/>
      <c r="AD193" s="4"/>
      <c r="AE193" s="38"/>
      <c r="AF193" s="38"/>
      <c r="AG193" s="38"/>
      <c r="AH193" s="38"/>
      <c r="AI193" s="38"/>
      <c r="AJ193" s="38"/>
      <c r="AK193" s="4"/>
      <c r="AL193" s="4"/>
      <c r="AM193" s="38"/>
      <c r="AN193" s="38"/>
      <c r="AO193" s="38"/>
      <c r="AP193" s="38"/>
      <c r="AQ193" s="4"/>
      <c r="AR193" s="4"/>
      <c r="AS193" s="4"/>
    </row>
    <row r="194" spans="1:45" x14ac:dyDescent="0.2">
      <c r="A194" s="4"/>
      <c r="B194" s="4"/>
      <c r="C194" s="4"/>
      <c r="D194" s="4"/>
      <c r="E194" s="4"/>
      <c r="F194" s="4"/>
      <c r="G194" s="4"/>
      <c r="H194" s="4"/>
      <c r="I194" s="38"/>
      <c r="J194" s="38"/>
      <c r="K194" s="4"/>
      <c r="L194" s="4"/>
      <c r="M194" s="4"/>
      <c r="N194" s="38"/>
      <c r="O194" s="66"/>
      <c r="P194" s="66"/>
      <c r="Q194" s="38"/>
      <c r="R194" s="38"/>
      <c r="S194" s="38"/>
      <c r="T194" s="38"/>
      <c r="U194" s="38"/>
      <c r="V194" s="38"/>
      <c r="W194" s="4"/>
      <c r="X194" s="4"/>
      <c r="Y194" s="38"/>
      <c r="Z194" s="38"/>
      <c r="AA194" s="38"/>
      <c r="AB194" s="38"/>
      <c r="AC194" s="4"/>
      <c r="AD194" s="4"/>
      <c r="AE194" s="38"/>
      <c r="AF194" s="38"/>
      <c r="AG194" s="38"/>
      <c r="AH194" s="38"/>
      <c r="AI194" s="38"/>
      <c r="AJ194" s="38"/>
      <c r="AK194" s="4"/>
      <c r="AL194" s="4"/>
      <c r="AM194" s="38"/>
      <c r="AN194" s="38"/>
      <c r="AO194" s="38"/>
      <c r="AP194" s="38"/>
      <c r="AQ194" s="4"/>
      <c r="AR194" s="4"/>
      <c r="AS194" s="4"/>
    </row>
    <row r="195" spans="1:45" x14ac:dyDescent="0.2">
      <c r="A195" s="4"/>
      <c r="B195" s="4"/>
      <c r="C195" s="4"/>
      <c r="D195" s="4"/>
      <c r="E195" s="4"/>
      <c r="F195" s="4"/>
      <c r="G195" s="4"/>
      <c r="H195" s="4"/>
      <c r="I195" s="38"/>
      <c r="J195" s="38"/>
      <c r="K195" s="4"/>
      <c r="L195" s="4"/>
      <c r="M195" s="4"/>
      <c r="N195" s="38"/>
      <c r="O195" s="66"/>
      <c r="P195" s="66"/>
      <c r="Q195" s="38"/>
      <c r="R195" s="38"/>
      <c r="S195" s="38"/>
      <c r="T195" s="38"/>
      <c r="U195" s="38"/>
      <c r="V195" s="38"/>
      <c r="W195" s="4"/>
      <c r="X195" s="4"/>
      <c r="Y195" s="38"/>
      <c r="Z195" s="38"/>
      <c r="AA195" s="38"/>
      <c r="AB195" s="38"/>
      <c r="AC195" s="4"/>
      <c r="AD195" s="4"/>
      <c r="AE195" s="38"/>
      <c r="AF195" s="38"/>
      <c r="AG195" s="38"/>
      <c r="AH195" s="38"/>
      <c r="AI195" s="38"/>
      <c r="AJ195" s="38"/>
      <c r="AK195" s="4"/>
      <c r="AL195" s="4"/>
      <c r="AM195" s="38"/>
      <c r="AN195" s="38"/>
      <c r="AO195" s="38"/>
      <c r="AP195" s="38"/>
      <c r="AQ195" s="4"/>
      <c r="AR195" s="4"/>
      <c r="AS195" s="4"/>
    </row>
    <row r="196" spans="1:45" x14ac:dyDescent="0.2">
      <c r="A196" s="4"/>
      <c r="B196" s="4"/>
      <c r="C196" s="4"/>
      <c r="D196" s="4"/>
      <c r="E196" s="4"/>
      <c r="F196" s="4"/>
      <c r="G196" s="4"/>
      <c r="H196" s="4"/>
      <c r="I196" s="38"/>
      <c r="J196" s="38"/>
      <c r="K196" s="4"/>
      <c r="L196" s="4"/>
      <c r="M196" s="4"/>
      <c r="N196" s="38"/>
      <c r="O196" s="66"/>
      <c r="P196" s="66"/>
      <c r="Q196" s="38"/>
      <c r="R196" s="38"/>
      <c r="S196" s="38"/>
      <c r="T196" s="38"/>
      <c r="U196" s="38"/>
      <c r="V196" s="38"/>
      <c r="W196" s="4"/>
      <c r="X196" s="4"/>
      <c r="Y196" s="38"/>
      <c r="Z196" s="38"/>
      <c r="AA196" s="38"/>
      <c r="AB196" s="38"/>
      <c r="AC196" s="4"/>
      <c r="AD196" s="4"/>
      <c r="AE196" s="38"/>
      <c r="AF196" s="38"/>
      <c r="AG196" s="38"/>
      <c r="AH196" s="38"/>
      <c r="AI196" s="38"/>
      <c r="AJ196" s="38"/>
      <c r="AK196" s="4"/>
      <c r="AL196" s="4"/>
      <c r="AM196" s="38"/>
      <c r="AN196" s="38"/>
      <c r="AO196" s="38"/>
      <c r="AP196" s="38"/>
      <c r="AQ196" s="4"/>
      <c r="AR196" s="4"/>
      <c r="AS196" s="4"/>
    </row>
    <row r="197" spans="1:45" x14ac:dyDescent="0.2">
      <c r="A197" s="4"/>
      <c r="B197" s="4"/>
      <c r="C197" s="4"/>
      <c r="D197" s="4"/>
      <c r="E197" s="4"/>
      <c r="F197" s="4"/>
      <c r="G197" s="4"/>
      <c r="H197" s="4"/>
      <c r="I197" s="38"/>
      <c r="J197" s="38"/>
      <c r="K197" s="4"/>
      <c r="L197" s="4"/>
      <c r="M197" s="4"/>
      <c r="N197" s="38"/>
      <c r="O197" s="66"/>
      <c r="P197" s="66"/>
      <c r="Q197" s="38"/>
      <c r="R197" s="38"/>
      <c r="S197" s="38"/>
      <c r="T197" s="38"/>
      <c r="U197" s="38"/>
      <c r="V197" s="38"/>
      <c r="W197" s="4"/>
      <c r="X197" s="4"/>
      <c r="Y197" s="38"/>
      <c r="Z197" s="38"/>
      <c r="AA197" s="38"/>
      <c r="AB197" s="38"/>
      <c r="AC197" s="4"/>
      <c r="AD197" s="4"/>
      <c r="AE197" s="38"/>
      <c r="AF197" s="38"/>
      <c r="AG197" s="38"/>
      <c r="AH197" s="38"/>
      <c r="AI197" s="38"/>
      <c r="AJ197" s="38"/>
      <c r="AK197" s="4"/>
      <c r="AL197" s="4"/>
      <c r="AM197" s="38"/>
      <c r="AN197" s="38"/>
      <c r="AO197" s="38"/>
      <c r="AP197" s="38"/>
      <c r="AQ197" s="4"/>
      <c r="AR197" s="4"/>
      <c r="AS197" s="4"/>
    </row>
    <row r="198" spans="1:45" x14ac:dyDescent="0.2">
      <c r="A198" s="4"/>
      <c r="B198" s="4"/>
      <c r="C198" s="4"/>
      <c r="D198" s="4"/>
      <c r="E198" s="4"/>
      <c r="F198" s="4"/>
      <c r="G198" s="4"/>
      <c r="H198" s="4"/>
      <c r="I198" s="38"/>
      <c r="J198" s="38"/>
      <c r="K198" s="4"/>
      <c r="L198" s="4"/>
      <c r="M198" s="4"/>
      <c r="N198" s="38"/>
      <c r="O198" s="66"/>
      <c r="P198" s="66"/>
      <c r="Q198" s="38"/>
      <c r="R198" s="38"/>
      <c r="S198" s="38"/>
      <c r="T198" s="38"/>
      <c r="U198" s="38"/>
      <c r="V198" s="38"/>
      <c r="W198" s="4"/>
      <c r="X198" s="4"/>
      <c r="Y198" s="38"/>
      <c r="Z198" s="38"/>
      <c r="AA198" s="38"/>
      <c r="AB198" s="38"/>
      <c r="AC198" s="4"/>
      <c r="AD198" s="4"/>
      <c r="AE198" s="38"/>
      <c r="AF198" s="38"/>
      <c r="AG198" s="38"/>
      <c r="AH198" s="38"/>
      <c r="AI198" s="38"/>
      <c r="AJ198" s="38"/>
      <c r="AK198" s="4"/>
      <c r="AL198" s="4"/>
      <c r="AM198" s="38"/>
      <c r="AN198" s="38"/>
      <c r="AO198" s="38"/>
      <c r="AP198" s="38"/>
      <c r="AQ198" s="4"/>
      <c r="AR198" s="4"/>
      <c r="AS198" s="4"/>
    </row>
    <row r="199" spans="1:45" x14ac:dyDescent="0.2">
      <c r="A199" s="4"/>
      <c r="B199" s="4"/>
      <c r="C199" s="4"/>
      <c r="D199" s="4"/>
      <c r="E199" s="4"/>
      <c r="F199" s="4"/>
      <c r="G199" s="4"/>
      <c r="H199" s="4"/>
      <c r="I199" s="38"/>
      <c r="J199" s="38"/>
      <c r="K199" s="4"/>
      <c r="L199" s="4"/>
      <c r="M199" s="4"/>
      <c r="N199" s="38"/>
      <c r="O199" s="66"/>
      <c r="P199" s="66"/>
      <c r="Q199" s="38"/>
      <c r="R199" s="38"/>
      <c r="S199" s="38"/>
      <c r="T199" s="38"/>
      <c r="U199" s="38"/>
      <c r="V199" s="38"/>
      <c r="W199" s="4"/>
      <c r="X199" s="4"/>
      <c r="Y199" s="38"/>
      <c r="Z199" s="38"/>
      <c r="AA199" s="38"/>
      <c r="AB199" s="38"/>
      <c r="AC199" s="4"/>
      <c r="AD199" s="4"/>
      <c r="AE199" s="38"/>
      <c r="AF199" s="38"/>
      <c r="AG199" s="38"/>
      <c r="AH199" s="38"/>
      <c r="AI199" s="38"/>
      <c r="AJ199" s="38"/>
      <c r="AK199" s="4"/>
      <c r="AL199" s="4"/>
      <c r="AM199" s="38"/>
      <c r="AN199" s="38"/>
      <c r="AO199" s="38"/>
      <c r="AP199" s="38"/>
      <c r="AQ199" s="4"/>
      <c r="AR199" s="4"/>
      <c r="AS199" s="4"/>
    </row>
    <row r="200" spans="1:45" x14ac:dyDescent="0.2">
      <c r="A200" s="4"/>
      <c r="B200" s="4"/>
      <c r="C200" s="4"/>
      <c r="D200" s="4"/>
      <c r="E200" s="4"/>
      <c r="F200" s="4"/>
      <c r="G200" s="4"/>
      <c r="H200" s="4"/>
      <c r="I200" s="38"/>
      <c r="J200" s="38"/>
      <c r="K200" s="4"/>
      <c r="L200" s="4"/>
      <c r="M200" s="4"/>
      <c r="N200" s="38"/>
      <c r="O200" s="66"/>
      <c r="P200" s="66"/>
      <c r="Q200" s="38"/>
      <c r="R200" s="38"/>
      <c r="S200" s="38"/>
      <c r="T200" s="38"/>
      <c r="U200" s="38"/>
      <c r="V200" s="38"/>
      <c r="W200" s="4"/>
      <c r="X200" s="4"/>
      <c r="Y200" s="38"/>
      <c r="Z200" s="38"/>
      <c r="AA200" s="38"/>
      <c r="AB200" s="38"/>
      <c r="AC200" s="4"/>
      <c r="AD200" s="4"/>
      <c r="AE200" s="38"/>
      <c r="AF200" s="38"/>
      <c r="AG200" s="38"/>
      <c r="AH200" s="38"/>
      <c r="AI200" s="38"/>
      <c r="AJ200" s="38"/>
      <c r="AK200" s="4"/>
      <c r="AL200" s="4"/>
      <c r="AM200" s="38"/>
      <c r="AN200" s="38"/>
      <c r="AO200" s="38"/>
      <c r="AP200" s="38"/>
      <c r="AQ200" s="4"/>
      <c r="AR200" s="4"/>
      <c r="AS200" s="4"/>
    </row>
    <row r="201" spans="1:45" x14ac:dyDescent="0.2">
      <c r="A201" s="4"/>
      <c r="B201" s="4"/>
      <c r="C201" s="4"/>
      <c r="D201" s="4"/>
      <c r="E201" s="4"/>
      <c r="F201" s="4"/>
      <c r="G201" s="4"/>
      <c r="H201" s="4"/>
      <c r="I201" s="38"/>
      <c r="J201" s="38"/>
      <c r="K201" s="4"/>
      <c r="L201" s="4"/>
      <c r="M201" s="4"/>
      <c r="N201" s="38"/>
      <c r="O201" s="66"/>
      <c r="P201" s="66"/>
      <c r="Q201" s="38"/>
      <c r="R201" s="38"/>
      <c r="S201" s="38"/>
      <c r="T201" s="38"/>
      <c r="U201" s="38"/>
      <c r="V201" s="38"/>
      <c r="W201" s="4"/>
      <c r="X201" s="4"/>
      <c r="Y201" s="38"/>
      <c r="Z201" s="38"/>
      <c r="AA201" s="38"/>
      <c r="AB201" s="38"/>
      <c r="AC201" s="4"/>
      <c r="AD201" s="4"/>
      <c r="AE201" s="38"/>
      <c r="AF201" s="38"/>
      <c r="AG201" s="38"/>
      <c r="AH201" s="38"/>
      <c r="AI201" s="38"/>
      <c r="AJ201" s="38"/>
      <c r="AK201" s="4"/>
      <c r="AL201" s="4"/>
      <c r="AM201" s="38"/>
      <c r="AN201" s="38"/>
      <c r="AO201" s="38"/>
      <c r="AP201" s="38"/>
      <c r="AQ201" s="4"/>
      <c r="AR201" s="4"/>
      <c r="AS201" s="4"/>
    </row>
    <row r="202" spans="1:45" x14ac:dyDescent="0.2">
      <c r="A202" s="4"/>
      <c r="B202" s="4"/>
      <c r="C202" s="4"/>
      <c r="D202" s="4"/>
      <c r="E202" s="4"/>
      <c r="F202" s="4"/>
      <c r="G202" s="4"/>
      <c r="H202" s="4"/>
      <c r="I202" s="38"/>
      <c r="J202" s="38"/>
      <c r="K202" s="4"/>
      <c r="L202" s="4"/>
      <c r="M202" s="4"/>
      <c r="N202" s="38"/>
      <c r="O202" s="66"/>
      <c r="P202" s="66"/>
      <c r="Q202" s="38"/>
      <c r="R202" s="38"/>
      <c r="S202" s="38"/>
      <c r="T202" s="38"/>
      <c r="U202" s="38"/>
      <c r="V202" s="38"/>
      <c r="W202" s="4"/>
      <c r="X202" s="4"/>
      <c r="Y202" s="38"/>
      <c r="Z202" s="38"/>
      <c r="AA202" s="38"/>
      <c r="AB202" s="38"/>
      <c r="AC202" s="4"/>
      <c r="AD202" s="4"/>
      <c r="AE202" s="38"/>
      <c r="AF202" s="38"/>
      <c r="AG202" s="38"/>
      <c r="AH202" s="38"/>
      <c r="AI202" s="38"/>
      <c r="AJ202" s="38"/>
      <c r="AK202" s="4"/>
      <c r="AL202" s="4"/>
      <c r="AM202" s="38"/>
      <c r="AN202" s="38"/>
      <c r="AO202" s="38"/>
      <c r="AP202" s="38"/>
      <c r="AQ202" s="4"/>
      <c r="AR202" s="4"/>
      <c r="AS202" s="4"/>
    </row>
    <row r="203" spans="1:45" x14ac:dyDescent="0.2">
      <c r="A203" s="4"/>
      <c r="B203" s="4"/>
      <c r="C203" s="4"/>
      <c r="D203" s="4"/>
      <c r="E203" s="4"/>
      <c r="F203" s="4"/>
      <c r="G203" s="4"/>
      <c r="H203" s="4"/>
      <c r="I203" s="38"/>
      <c r="J203" s="38"/>
      <c r="K203" s="4"/>
      <c r="L203" s="4"/>
      <c r="M203" s="4"/>
      <c r="N203" s="38"/>
      <c r="O203" s="66"/>
      <c r="P203" s="66"/>
      <c r="Q203" s="38"/>
      <c r="R203" s="38"/>
      <c r="S203" s="38"/>
      <c r="T203" s="38"/>
      <c r="U203" s="38"/>
      <c r="V203" s="38"/>
      <c r="W203" s="4"/>
      <c r="X203" s="4"/>
      <c r="Y203" s="38"/>
      <c r="Z203" s="38"/>
      <c r="AA203" s="38"/>
      <c r="AB203" s="38"/>
      <c r="AC203" s="4"/>
      <c r="AD203" s="4"/>
      <c r="AE203" s="38"/>
      <c r="AF203" s="38"/>
      <c r="AG203" s="38"/>
      <c r="AH203" s="38"/>
      <c r="AI203" s="38"/>
      <c r="AJ203" s="38"/>
      <c r="AK203" s="4"/>
      <c r="AL203" s="4"/>
      <c r="AM203" s="38"/>
      <c r="AN203" s="38"/>
      <c r="AO203" s="38"/>
      <c r="AP203" s="38"/>
      <c r="AQ203" s="4"/>
      <c r="AR203" s="4"/>
      <c r="AS203" s="4"/>
    </row>
    <row r="204" spans="1:45" x14ac:dyDescent="0.2">
      <c r="A204" s="4"/>
      <c r="B204" s="4"/>
      <c r="C204" s="4"/>
      <c r="D204" s="4"/>
      <c r="E204" s="4"/>
      <c r="F204" s="4"/>
      <c r="G204" s="4"/>
      <c r="H204" s="4"/>
      <c r="I204" s="38"/>
      <c r="J204" s="38"/>
      <c r="K204" s="4"/>
      <c r="L204" s="4"/>
      <c r="M204" s="4"/>
      <c r="N204" s="38"/>
      <c r="O204" s="66"/>
      <c r="P204" s="66"/>
      <c r="Q204" s="38"/>
      <c r="R204" s="38"/>
      <c r="S204" s="38"/>
      <c r="T204" s="38"/>
      <c r="U204" s="38"/>
      <c r="V204" s="38"/>
      <c r="W204" s="4"/>
      <c r="X204" s="4"/>
      <c r="Y204" s="38"/>
      <c r="Z204" s="38"/>
      <c r="AA204" s="38"/>
      <c r="AB204" s="38"/>
      <c r="AC204" s="4"/>
      <c r="AD204" s="4"/>
      <c r="AE204" s="38"/>
      <c r="AF204" s="38"/>
      <c r="AG204" s="38"/>
      <c r="AH204" s="38"/>
      <c r="AI204" s="38"/>
      <c r="AJ204" s="38"/>
      <c r="AK204" s="4"/>
      <c r="AL204" s="4"/>
      <c r="AM204" s="38"/>
      <c r="AN204" s="38"/>
      <c r="AO204" s="38"/>
      <c r="AP204" s="38"/>
      <c r="AQ204" s="4"/>
      <c r="AR204" s="4"/>
      <c r="AS204" s="4"/>
    </row>
    <row r="205" spans="1:45" x14ac:dyDescent="0.2">
      <c r="A205" s="4"/>
      <c r="B205" s="4"/>
      <c r="C205" s="4"/>
      <c r="D205" s="4"/>
      <c r="E205" s="4"/>
      <c r="F205" s="4"/>
      <c r="G205" s="4"/>
      <c r="H205" s="4"/>
      <c r="I205" s="38"/>
      <c r="J205" s="38"/>
      <c r="K205" s="4"/>
      <c r="L205" s="4"/>
      <c r="M205" s="4"/>
      <c r="N205" s="38"/>
      <c r="O205" s="66"/>
      <c r="P205" s="66"/>
      <c r="Q205" s="38"/>
      <c r="R205" s="38"/>
      <c r="S205" s="38"/>
      <c r="T205" s="38"/>
      <c r="U205" s="38"/>
      <c r="V205" s="38"/>
      <c r="W205" s="4"/>
      <c r="X205" s="4"/>
      <c r="Y205" s="38"/>
      <c r="Z205" s="38"/>
      <c r="AA205" s="38"/>
      <c r="AB205" s="38"/>
      <c r="AC205" s="4"/>
      <c r="AD205" s="4"/>
      <c r="AE205" s="38"/>
      <c r="AF205" s="38"/>
      <c r="AG205" s="38"/>
      <c r="AH205" s="38"/>
      <c r="AI205" s="38"/>
      <c r="AJ205" s="38"/>
      <c r="AK205" s="4"/>
      <c r="AL205" s="4"/>
      <c r="AM205" s="38"/>
      <c r="AN205" s="38"/>
      <c r="AO205" s="38"/>
      <c r="AP205" s="38"/>
      <c r="AQ205" s="4"/>
      <c r="AR205" s="4"/>
      <c r="AS205" s="4"/>
    </row>
    <row r="206" spans="1:45" x14ac:dyDescent="0.2">
      <c r="A206" s="4"/>
      <c r="B206" s="4"/>
      <c r="C206" s="4"/>
      <c r="D206" s="4"/>
      <c r="E206" s="4"/>
      <c r="F206" s="4"/>
      <c r="G206" s="4"/>
      <c r="H206" s="4"/>
      <c r="I206" s="38"/>
      <c r="J206" s="38"/>
      <c r="K206" s="4"/>
      <c r="L206" s="4"/>
      <c r="M206" s="4"/>
      <c r="N206" s="38"/>
      <c r="O206" s="66"/>
      <c r="P206" s="66"/>
      <c r="Q206" s="38"/>
      <c r="R206" s="38"/>
      <c r="S206" s="38"/>
      <c r="T206" s="38"/>
      <c r="U206" s="38"/>
      <c r="V206" s="38"/>
      <c r="W206" s="4"/>
      <c r="X206" s="4"/>
      <c r="Y206" s="38"/>
      <c r="Z206" s="38"/>
      <c r="AA206" s="38"/>
      <c r="AB206" s="38"/>
      <c r="AC206" s="4"/>
      <c r="AD206" s="4"/>
      <c r="AE206" s="38"/>
      <c r="AF206" s="38"/>
      <c r="AG206" s="38"/>
      <c r="AH206" s="38"/>
      <c r="AI206" s="38"/>
      <c r="AJ206" s="38"/>
      <c r="AK206" s="4"/>
      <c r="AL206" s="4"/>
      <c r="AM206" s="38"/>
      <c r="AN206" s="38"/>
      <c r="AO206" s="38"/>
      <c r="AP206" s="38"/>
      <c r="AQ206" s="4"/>
      <c r="AR206" s="4"/>
      <c r="AS206" s="4"/>
    </row>
    <row r="207" spans="1:45" x14ac:dyDescent="0.2">
      <c r="A207" s="4"/>
      <c r="B207" s="4"/>
      <c r="C207" s="4"/>
      <c r="D207" s="4"/>
      <c r="E207" s="4"/>
      <c r="F207" s="4"/>
      <c r="G207" s="4"/>
      <c r="H207" s="4"/>
      <c r="I207" s="38"/>
      <c r="J207" s="38"/>
      <c r="K207" s="4"/>
      <c r="L207" s="4"/>
      <c r="M207" s="4"/>
      <c r="N207" s="38"/>
      <c r="O207" s="66"/>
      <c r="P207" s="66"/>
      <c r="Q207" s="38"/>
      <c r="R207" s="38"/>
      <c r="S207" s="38"/>
      <c r="T207" s="38"/>
      <c r="U207" s="38"/>
      <c r="V207" s="38"/>
      <c r="W207" s="4"/>
      <c r="X207" s="4"/>
      <c r="Y207" s="38"/>
      <c r="Z207" s="38"/>
      <c r="AA207" s="38"/>
      <c r="AB207" s="38"/>
      <c r="AC207" s="4"/>
      <c r="AD207" s="4"/>
      <c r="AE207" s="38"/>
      <c r="AF207" s="38"/>
      <c r="AG207" s="38"/>
      <c r="AH207" s="38"/>
      <c r="AI207" s="38"/>
      <c r="AJ207" s="38"/>
      <c r="AK207" s="4"/>
      <c r="AL207" s="4"/>
      <c r="AM207" s="38"/>
      <c r="AN207" s="38"/>
      <c r="AO207" s="38"/>
      <c r="AP207" s="38"/>
      <c r="AQ207" s="4"/>
      <c r="AR207" s="4"/>
      <c r="AS207" s="4"/>
    </row>
    <row r="208" spans="1:45" x14ac:dyDescent="0.2">
      <c r="A208" s="4"/>
      <c r="B208" s="4"/>
      <c r="C208" s="4"/>
      <c r="D208" s="4"/>
      <c r="E208" s="4"/>
      <c r="F208" s="4"/>
      <c r="G208" s="4"/>
      <c r="H208" s="4"/>
      <c r="I208" s="38"/>
      <c r="J208" s="38"/>
      <c r="K208" s="4"/>
      <c r="L208" s="4"/>
      <c r="M208" s="4"/>
      <c r="N208" s="38"/>
      <c r="O208" s="66"/>
      <c r="P208" s="66"/>
      <c r="Q208" s="38"/>
      <c r="R208" s="38"/>
      <c r="S208" s="38"/>
      <c r="T208" s="38"/>
      <c r="U208" s="38"/>
      <c r="V208" s="38"/>
      <c r="W208" s="4"/>
      <c r="X208" s="4"/>
      <c r="Y208" s="38"/>
      <c r="Z208" s="38"/>
      <c r="AA208" s="38"/>
      <c r="AB208" s="38"/>
      <c r="AC208" s="4"/>
      <c r="AD208" s="4"/>
      <c r="AE208" s="38"/>
      <c r="AF208" s="38"/>
      <c r="AG208" s="38"/>
      <c r="AH208" s="38"/>
      <c r="AI208" s="38"/>
      <c r="AJ208" s="38"/>
      <c r="AK208" s="4"/>
      <c r="AL208" s="4"/>
      <c r="AM208" s="38"/>
      <c r="AN208" s="38"/>
      <c r="AO208" s="38"/>
      <c r="AP208" s="38"/>
      <c r="AQ208" s="4"/>
      <c r="AR208" s="4"/>
      <c r="AS208" s="4"/>
    </row>
    <row r="209" spans="1:45" x14ac:dyDescent="0.2">
      <c r="A209" s="4"/>
      <c r="B209" s="4"/>
      <c r="C209" s="4"/>
      <c r="D209" s="4"/>
      <c r="E209" s="4"/>
      <c r="F209" s="4"/>
      <c r="G209" s="4"/>
      <c r="H209" s="4"/>
      <c r="I209" s="38"/>
      <c r="J209" s="38"/>
      <c r="K209" s="4"/>
      <c r="L209" s="4"/>
      <c r="M209" s="4"/>
      <c r="N209" s="38"/>
      <c r="O209" s="66"/>
      <c r="P209" s="66"/>
      <c r="Q209" s="38"/>
      <c r="R209" s="38"/>
      <c r="S209" s="38"/>
      <c r="T209" s="38"/>
      <c r="U209" s="38"/>
      <c r="V209" s="38"/>
      <c r="W209" s="4"/>
      <c r="X209" s="4"/>
      <c r="Y209" s="38"/>
      <c r="Z209" s="38"/>
      <c r="AA209" s="38"/>
      <c r="AB209" s="38"/>
      <c r="AC209" s="4"/>
      <c r="AD209" s="4"/>
      <c r="AE209" s="38"/>
      <c r="AF209" s="38"/>
      <c r="AG209" s="38"/>
      <c r="AH209" s="38"/>
      <c r="AI209" s="38"/>
      <c r="AJ209" s="38"/>
      <c r="AK209" s="4"/>
      <c r="AL209" s="4"/>
      <c r="AM209" s="38"/>
      <c r="AN209" s="38"/>
      <c r="AO209" s="38"/>
      <c r="AP209" s="38"/>
      <c r="AQ209" s="4"/>
      <c r="AR209" s="4"/>
      <c r="AS209" s="4"/>
    </row>
  </sheetData>
  <mergeCells count="5">
    <mergeCell ref="Q35:Q36"/>
    <mergeCell ref="R35:R36"/>
    <mergeCell ref="S35:S36"/>
    <mergeCell ref="T35:T36"/>
    <mergeCell ref="U35:U36"/>
  </mergeCells>
  <pageMargins left="0.39" right="0.23" top="0.43" bottom="0.33" header="0.31496062992125984" footer="0.23"/>
  <pageSetup paperSize="9" scale="96" orientation="landscape" r:id="rId1"/>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361"/>
  <sheetViews>
    <sheetView zoomScale="85" zoomScaleNormal="85" workbookViewId="0">
      <pane xSplit="4" ySplit="8" topLeftCell="E42" activePane="bottomRight" state="frozen"/>
      <selection pane="topRight" activeCell="E1" sqref="E1"/>
      <selection pane="bottomLeft" activeCell="A9" sqref="A9"/>
      <selection pane="bottomRight" activeCell="M54" sqref="M54"/>
    </sheetView>
  </sheetViews>
  <sheetFormatPr defaultColWidth="9.140625" defaultRowHeight="15" outlineLevelRow="1" x14ac:dyDescent="0.2"/>
  <cols>
    <col min="1" max="1" width="4.28515625" style="22" customWidth="1"/>
    <col min="2" max="2" width="4.5703125" style="22" customWidth="1"/>
    <col min="3" max="3" width="4.28515625" style="22" customWidth="1"/>
    <col min="4" max="4" width="71.140625" style="22" customWidth="1"/>
    <col min="5" max="5" width="9.28515625" style="22" bestFit="1" customWidth="1"/>
    <col min="6" max="6" width="10.28515625" style="22" customWidth="1"/>
    <col min="7" max="8" width="10.85546875" style="22" customWidth="1"/>
    <col min="9" max="9" width="10.28515625" style="22" bestFit="1" customWidth="1"/>
    <col min="10" max="10" width="10.42578125" style="22" customWidth="1"/>
    <col min="11" max="11" width="10.28515625" style="22" bestFit="1" customWidth="1"/>
    <col min="12" max="16384" width="9.140625" style="22"/>
  </cols>
  <sheetData>
    <row r="1" spans="1:27" ht="16.5" customHeight="1" x14ac:dyDescent="0.25">
      <c r="A1" s="327"/>
      <c r="B1" s="591"/>
      <c r="C1" s="327"/>
      <c r="D1" s="327"/>
      <c r="E1" s="327"/>
      <c r="F1" s="327"/>
      <c r="G1" s="327"/>
      <c r="H1" s="327"/>
      <c r="I1" s="327"/>
      <c r="J1" s="592"/>
      <c r="K1" s="589"/>
      <c r="L1" s="327"/>
      <c r="M1" s="327"/>
      <c r="N1" s="327"/>
      <c r="O1" s="327"/>
      <c r="P1" s="327"/>
      <c r="Q1" s="327"/>
      <c r="R1" s="589"/>
      <c r="S1" s="589"/>
      <c r="T1" s="21"/>
      <c r="U1" s="21"/>
      <c r="V1" s="21"/>
      <c r="W1" s="21"/>
      <c r="X1" s="21"/>
      <c r="Y1" s="21"/>
      <c r="Z1" s="21"/>
      <c r="AA1" s="21"/>
    </row>
    <row r="2" spans="1:27" ht="16.5" customHeight="1" x14ac:dyDescent="0.25">
      <c r="A2" s="327"/>
      <c r="B2" s="591"/>
      <c r="C2" s="327"/>
      <c r="D2" s="327" t="str">
        <f>МСФО_ввод!E2</f>
        <v>ОАО "Банк Москвы"</v>
      </c>
      <c r="E2" s="327"/>
      <c r="F2" s="327"/>
      <c r="G2" s="327"/>
      <c r="H2" s="327"/>
      <c r="I2" s="327"/>
      <c r="J2" s="592"/>
      <c r="K2" s="589"/>
      <c r="L2" s="327"/>
      <c r="M2" s="327"/>
      <c r="N2" s="327"/>
      <c r="O2" s="327"/>
      <c r="P2" s="327"/>
      <c r="Q2" s="327"/>
      <c r="R2" s="589"/>
      <c r="S2" s="589"/>
      <c r="T2" s="21"/>
      <c r="U2" s="21"/>
      <c r="V2" s="21"/>
      <c r="W2" s="21"/>
      <c r="X2" s="21"/>
      <c r="Y2" s="21"/>
      <c r="Z2" s="21"/>
      <c r="AA2" s="21"/>
    </row>
    <row r="3" spans="1:27" ht="16.5" customHeight="1" x14ac:dyDescent="0.25">
      <c r="A3" s="327"/>
      <c r="B3" s="591"/>
      <c r="C3" s="327"/>
      <c r="D3" s="327" t="str">
        <f>МСФО_ввод!E3</f>
        <v>МСФО</v>
      </c>
      <c r="E3" s="327"/>
      <c r="F3" s="327"/>
      <c r="G3" s="327"/>
      <c r="H3" s="327"/>
      <c r="I3" s="327"/>
      <c r="J3" s="592"/>
      <c r="K3" s="589"/>
      <c r="L3" s="327"/>
      <c r="M3" s="327"/>
      <c r="N3" s="327"/>
      <c r="O3" s="327"/>
      <c r="P3" s="327"/>
      <c r="Q3" s="327"/>
      <c r="R3" s="589"/>
      <c r="S3" s="589"/>
      <c r="T3" s="21"/>
      <c r="U3" s="21"/>
      <c r="V3" s="21"/>
      <c r="W3" s="21"/>
      <c r="X3" s="21"/>
      <c r="Y3" s="21"/>
      <c r="Z3" s="21"/>
      <c r="AA3" s="21"/>
    </row>
    <row r="4" spans="1:27" ht="16.5" customHeight="1" x14ac:dyDescent="0.25">
      <c r="A4" s="327"/>
      <c r="B4" s="591"/>
      <c r="C4" s="327"/>
      <c r="D4" s="327" t="str">
        <f>МСФО_ввод!E4</f>
        <v>Консолидированная</v>
      </c>
      <c r="E4" s="327"/>
      <c r="F4" s="327"/>
      <c r="G4" s="327"/>
      <c r="H4" s="327"/>
      <c r="I4" s="327"/>
      <c r="J4" s="592"/>
      <c r="K4" s="589"/>
      <c r="L4" s="327"/>
      <c r="M4" s="327"/>
      <c r="N4" s="327"/>
      <c r="O4" s="327"/>
      <c r="P4" s="327"/>
      <c r="Q4" s="327"/>
      <c r="R4" s="589"/>
      <c r="S4" s="589"/>
      <c r="T4" s="21"/>
      <c r="U4" s="21"/>
      <c r="V4" s="21"/>
      <c r="W4" s="21"/>
      <c r="X4" s="21"/>
      <c r="Y4" s="21"/>
      <c r="Z4" s="21"/>
      <c r="AA4" s="21"/>
    </row>
    <row r="5" spans="1:27" ht="16.5" customHeight="1" x14ac:dyDescent="0.25">
      <c r="A5" s="21"/>
      <c r="B5" s="338"/>
      <c r="C5" s="21"/>
      <c r="D5" s="338" t="s">
        <v>878</v>
      </c>
      <c r="E5" s="21"/>
      <c r="F5" s="21"/>
      <c r="G5" s="21"/>
      <c r="H5" s="21"/>
      <c r="I5" s="21"/>
      <c r="J5" s="339"/>
      <c r="K5" s="340"/>
      <c r="L5" s="21"/>
      <c r="M5" s="21"/>
      <c r="N5" s="21"/>
      <c r="O5" s="21"/>
      <c r="P5" s="21"/>
      <c r="Q5" s="21"/>
      <c r="R5" s="340"/>
      <c r="S5" s="340"/>
      <c r="T5" s="21"/>
      <c r="U5" s="21"/>
      <c r="V5" s="21"/>
      <c r="W5" s="21"/>
      <c r="X5" s="21"/>
      <c r="Y5" s="21"/>
      <c r="Z5" s="21"/>
      <c r="AA5" s="21"/>
    </row>
    <row r="6" spans="1:27" ht="16.5" customHeight="1" x14ac:dyDescent="0.25">
      <c r="A6" s="21"/>
      <c r="B6" s="338"/>
      <c r="C6" s="21"/>
      <c r="D6" s="338"/>
      <c r="E6" s="21"/>
      <c r="F6" s="21"/>
      <c r="G6" s="21"/>
      <c r="H6" s="21"/>
      <c r="I6" s="21"/>
      <c r="J6" s="339"/>
      <c r="K6" s="340"/>
      <c r="L6" s="21"/>
      <c r="M6" s="21"/>
      <c r="N6" s="21"/>
      <c r="O6" s="21"/>
      <c r="P6" s="21"/>
      <c r="Q6" s="21"/>
      <c r="R6" s="340"/>
      <c r="S6" s="340"/>
      <c r="T6" s="21"/>
      <c r="U6" s="21"/>
      <c r="V6" s="21"/>
      <c r="W6" s="21"/>
      <c r="X6" s="21"/>
      <c r="Y6" s="21"/>
      <c r="Z6" s="21"/>
      <c r="AA6" s="21"/>
    </row>
    <row r="7" spans="1:27" s="1" customFormat="1" ht="14.25" x14ac:dyDescent="0.2">
      <c r="A7" s="4"/>
      <c r="B7" s="4"/>
      <c r="C7" s="4"/>
      <c r="D7" s="4" t="str">
        <f>МСФО_ввод!D7</f>
        <v>млрд руб.</v>
      </c>
      <c r="E7" s="4" t="s">
        <v>348</v>
      </c>
      <c r="F7" s="4"/>
      <c r="G7" s="4"/>
      <c r="H7" s="4"/>
      <c r="I7" s="4"/>
      <c r="J7" s="4"/>
      <c r="K7" s="4"/>
      <c r="L7" s="4"/>
      <c r="M7" s="4" t="s">
        <v>909</v>
      </c>
      <c r="N7" s="4"/>
      <c r="O7" s="4"/>
      <c r="P7" s="4"/>
      <c r="Q7" s="4"/>
      <c r="R7" s="71"/>
      <c r="S7" s="71"/>
      <c r="T7" s="4"/>
      <c r="U7" s="4"/>
      <c r="V7" s="4"/>
      <c r="W7" s="4"/>
      <c r="X7" s="4"/>
      <c r="Y7" s="4"/>
      <c r="Z7" s="4"/>
      <c r="AA7" s="4"/>
    </row>
    <row r="8" spans="1:27" s="1" customFormat="1" ht="14.25" x14ac:dyDescent="0.2">
      <c r="A8" s="15"/>
      <c r="B8" s="15"/>
      <c r="C8" s="15"/>
      <c r="D8" s="15"/>
      <c r="E8" s="539">
        <f>МСФО_ввод!E7</f>
        <v>2009</v>
      </c>
      <c r="F8" s="539">
        <f>МСФО_ввод!F7</f>
        <v>2010</v>
      </c>
      <c r="G8" s="539">
        <f>МСФО_ввод!G7</f>
        <v>2011</v>
      </c>
      <c r="H8" s="539">
        <f>МСФО_ввод!H7</f>
        <v>2012</v>
      </c>
      <c r="I8" s="539">
        <f>МСФО_ввод!I7</f>
        <v>2013</v>
      </c>
      <c r="J8" s="539">
        <f>МСФО_ввод!J7</f>
        <v>2014</v>
      </c>
      <c r="K8" s="539">
        <f>МСФО_ввод!K7</f>
        <v>2015</v>
      </c>
      <c r="L8" s="236"/>
      <c r="M8" s="539">
        <f>МСФО_ввод!E7</f>
        <v>2009</v>
      </c>
      <c r="N8" s="539">
        <f>МСФО_ввод!F7</f>
        <v>2010</v>
      </c>
      <c r="O8" s="539">
        <f>МСФО_ввод!G7</f>
        <v>2011</v>
      </c>
      <c r="P8" s="539">
        <f>МСФО_ввод!H7</f>
        <v>2012</v>
      </c>
      <c r="Q8" s="539">
        <f>МСФО_ввод!I7</f>
        <v>2013</v>
      </c>
      <c r="R8" s="539">
        <f>МСФО_ввод!J7</f>
        <v>2014</v>
      </c>
      <c r="S8" s="539">
        <f>МСФО_ввод!K7</f>
        <v>2015</v>
      </c>
      <c r="T8" s="4"/>
      <c r="U8" s="4"/>
      <c r="V8" s="4"/>
      <c r="W8" s="4"/>
      <c r="X8" s="4"/>
      <c r="Y8" s="4"/>
      <c r="Z8" s="4"/>
      <c r="AA8" s="4"/>
    </row>
    <row r="9" spans="1:27" s="611" customFormat="1" ht="24" customHeight="1" x14ac:dyDescent="0.25">
      <c r="A9" s="609"/>
      <c r="B9" s="609" t="s">
        <v>338</v>
      </c>
      <c r="C9" s="609"/>
      <c r="D9" s="609"/>
      <c r="E9" s="610"/>
      <c r="F9" s="610"/>
      <c r="G9" s="610"/>
      <c r="H9" s="610"/>
      <c r="I9" s="610"/>
      <c r="J9" s="610"/>
      <c r="K9" s="610"/>
      <c r="L9" s="609"/>
      <c r="M9" s="610"/>
      <c r="N9" s="610"/>
      <c r="O9" s="610"/>
      <c r="P9" s="610"/>
      <c r="Q9" s="610"/>
      <c r="R9" s="610"/>
      <c r="S9" s="610"/>
      <c r="T9" s="609"/>
      <c r="U9" s="609"/>
      <c r="V9" s="609"/>
      <c r="W9" s="609"/>
      <c r="X9" s="609"/>
      <c r="Y9" s="609"/>
      <c r="Z9" s="609"/>
      <c r="AA9" s="609"/>
    </row>
    <row r="10" spans="1:27" s="1" customFormat="1" x14ac:dyDescent="0.25">
      <c r="A10" s="597">
        <v>1</v>
      </c>
      <c r="B10" s="598" t="s">
        <v>879</v>
      </c>
      <c r="C10" s="509"/>
      <c r="D10" s="509"/>
      <c r="E10" s="599"/>
      <c r="F10" s="599"/>
      <c r="G10" s="599"/>
      <c r="H10" s="599"/>
      <c r="I10" s="599"/>
      <c r="J10" s="599"/>
      <c r="K10" s="599"/>
      <c r="L10" s="599"/>
      <c r="M10" s="570"/>
      <c r="N10" s="570"/>
      <c r="O10" s="570"/>
      <c r="P10" s="570"/>
      <c r="Q10" s="570"/>
      <c r="R10" s="570"/>
      <c r="S10" s="570"/>
      <c r="T10" s="547"/>
      <c r="U10" s="4"/>
      <c r="V10" s="4"/>
      <c r="W10" s="4"/>
      <c r="X10" s="4"/>
      <c r="Y10" s="4"/>
      <c r="Z10" s="4"/>
      <c r="AA10" s="4"/>
    </row>
    <row r="11" spans="1:27" s="1" customFormat="1" ht="14.25" outlineLevel="1" x14ac:dyDescent="0.2">
      <c r="A11" s="36"/>
      <c r="B11" s="489" t="s">
        <v>4</v>
      </c>
      <c r="C11" s="4" t="str">
        <f>МСФО_ввод!D187</f>
        <v>Корпоративные кредиты</v>
      </c>
      <c r="D11" s="4"/>
      <c r="E11" s="499">
        <f>МСФО_ввод!E187</f>
        <v>455.358</v>
      </c>
      <c r="F11" s="499">
        <f>МСФО_ввод!F187</f>
        <v>525.52800000000002</v>
      </c>
      <c r="G11" s="499">
        <f>МСФО_ввод!G187</f>
        <v>553.18100000000004</v>
      </c>
      <c r="H11" s="499">
        <f>МСФО_ввод!H187</f>
        <v>620.78499999999997</v>
      </c>
      <c r="I11" s="499">
        <f>МСФО_ввод!I187</f>
        <v>719.16899999999998</v>
      </c>
      <c r="J11" s="499">
        <f>МСФО_ввод!J187</f>
        <v>761.6</v>
      </c>
      <c r="K11" s="499">
        <f>МСФО_ввод!K187</f>
        <v>686.1</v>
      </c>
      <c r="L11" s="499"/>
      <c r="M11" s="647">
        <f t="shared" ref="M11:S14" si="0">E11/E$23</f>
        <v>0.75707894198684222</v>
      </c>
      <c r="N11" s="647">
        <f t="shared" si="0"/>
        <v>0.80330660373032348</v>
      </c>
      <c r="O11" s="647">
        <f t="shared" si="0"/>
        <v>0.70104640980180688</v>
      </c>
      <c r="P11" s="647">
        <f t="shared" si="0"/>
        <v>0.70797333175191135</v>
      </c>
      <c r="Q11" s="647">
        <f t="shared" si="0"/>
        <v>0.6408534982467553</v>
      </c>
      <c r="R11" s="647">
        <f t="shared" si="0"/>
        <v>0.55316676350958749</v>
      </c>
      <c r="S11" s="647">
        <f t="shared" si="0"/>
        <v>0.53748531139835487</v>
      </c>
      <c r="T11" s="547"/>
      <c r="U11" s="4"/>
      <c r="V11" s="4"/>
      <c r="W11" s="4"/>
      <c r="X11" s="4"/>
      <c r="Y11" s="4"/>
      <c r="Z11" s="4"/>
      <c r="AA11" s="4"/>
    </row>
    <row r="12" spans="1:27" s="1" customFormat="1" ht="14.25" outlineLevel="1" x14ac:dyDescent="0.2">
      <c r="A12" s="36"/>
      <c r="B12" s="489" t="s">
        <v>5</v>
      </c>
      <c r="C12" s="4" t="str">
        <f>МСФО_ввод!D188</f>
        <v>Кредиты малому и среднему бизнесу</v>
      </c>
      <c r="D12" s="4"/>
      <c r="E12" s="499">
        <f>МСФО_ввод!E188</f>
        <v>38.340000000000003</v>
      </c>
      <c r="F12" s="499">
        <f>МСФО_ввод!F188</f>
        <v>33.427</v>
      </c>
      <c r="G12" s="499">
        <f>МСФО_ввод!G188</f>
        <v>44.567999999999998</v>
      </c>
      <c r="H12" s="499">
        <f>МСФО_ввод!H188</f>
        <v>101.505</v>
      </c>
      <c r="I12" s="499">
        <f>МСФО_ввод!I188</f>
        <v>208.059</v>
      </c>
      <c r="J12" s="499">
        <f>МСФО_ввод!J188</f>
        <v>362.7</v>
      </c>
      <c r="K12" s="499">
        <f>МСФО_ввод!K188</f>
        <v>158.4</v>
      </c>
      <c r="L12" s="499"/>
      <c r="M12" s="647">
        <f t="shared" si="0"/>
        <v>6.37441455640958E-2</v>
      </c>
      <c r="N12" s="647">
        <f t="shared" si="0"/>
        <v>5.1095526485541248E-2</v>
      </c>
      <c r="O12" s="647">
        <f t="shared" si="0"/>
        <v>5.6481036752974029E-2</v>
      </c>
      <c r="P12" s="647">
        <f t="shared" si="0"/>
        <v>0.11576122657518748</v>
      </c>
      <c r="Q12" s="647">
        <f t="shared" si="0"/>
        <v>0.18540195418840588</v>
      </c>
      <c r="R12" s="647">
        <f t="shared" si="0"/>
        <v>0.26343695525857058</v>
      </c>
      <c r="S12" s="647">
        <f t="shared" si="0"/>
        <v>0.12408930669800236</v>
      </c>
      <c r="T12" s="547"/>
      <c r="U12" s="4"/>
      <c r="V12" s="4"/>
      <c r="W12" s="4"/>
      <c r="X12" s="4"/>
      <c r="Y12" s="4"/>
      <c r="Z12" s="4"/>
      <c r="AA12" s="4"/>
    </row>
    <row r="13" spans="1:27" s="1" customFormat="1" ht="14.25" outlineLevel="1" x14ac:dyDescent="0.2">
      <c r="A13" s="36"/>
      <c r="B13" s="489" t="s">
        <v>14</v>
      </c>
      <c r="C13" s="4" t="str">
        <f>МСФО_ввод!D189</f>
        <v>Кредиты государственным и муниципальным органам</v>
      </c>
      <c r="D13" s="4"/>
      <c r="E13" s="499">
        <f>МСФО_ввод!E189</f>
        <v>18.577999999999999</v>
      </c>
      <c r="F13" s="499">
        <f>МСФО_ввод!F189</f>
        <v>4.6070000000000002</v>
      </c>
      <c r="G13" s="499">
        <f>МСФО_ввод!G189</f>
        <v>116.595</v>
      </c>
      <c r="H13" s="499">
        <f>МСФО_ввод!H189</f>
        <v>45.594000000000001</v>
      </c>
      <c r="I13" s="499">
        <f>МСФО_ввод!I189</f>
        <v>8.8000000000000007</v>
      </c>
      <c r="J13" s="499">
        <f>МСФО_ввод!J189</f>
        <v>9</v>
      </c>
      <c r="K13" s="499">
        <f>МСФО_ввод!K189</f>
        <v>146.19999999999999</v>
      </c>
      <c r="L13" s="499"/>
      <c r="M13" s="647">
        <f t="shared" si="0"/>
        <v>3.0887812631449438E-2</v>
      </c>
      <c r="N13" s="647">
        <f t="shared" si="0"/>
        <v>7.0421243461539634E-3</v>
      </c>
      <c r="O13" s="647">
        <f t="shared" si="0"/>
        <v>0.14776087058456758</v>
      </c>
      <c r="P13" s="647">
        <f t="shared" si="0"/>
        <v>5.1997609619911317E-2</v>
      </c>
      <c r="Q13" s="647">
        <f t="shared" si="0"/>
        <v>7.8417045014057152E-3</v>
      </c>
      <c r="R13" s="647">
        <f t="shared" si="0"/>
        <v>6.5368971528181295E-3</v>
      </c>
      <c r="S13" s="647">
        <f t="shared" si="0"/>
        <v>0.1145319232275754</v>
      </c>
      <c r="T13" s="547"/>
      <c r="U13" s="4"/>
      <c r="V13" s="4"/>
      <c r="W13" s="4"/>
      <c r="X13" s="4"/>
      <c r="Y13" s="4"/>
      <c r="Z13" s="4"/>
      <c r="AA13" s="4"/>
    </row>
    <row r="14" spans="1:27" s="1" customFormat="1" ht="14.25" outlineLevel="1" x14ac:dyDescent="0.2">
      <c r="A14" s="36"/>
      <c r="B14" s="489" t="s">
        <v>540</v>
      </c>
      <c r="C14" s="4" t="str">
        <f>МСФО_ввод!D190</f>
        <v>Договоры обратного РЕПО</v>
      </c>
      <c r="D14" s="4"/>
      <c r="E14" s="499">
        <f>МСФО_ввод!E190</f>
        <v>0.89900000000000002</v>
      </c>
      <c r="F14" s="499">
        <f>МСФО_ввод!F190</f>
        <v>10.907</v>
      </c>
      <c r="G14" s="499">
        <f>МСФО_ввод!G190</f>
        <v>0.129</v>
      </c>
      <c r="H14" s="499">
        <f>МСФО_ввод!H190</f>
        <v>11.811999999999999</v>
      </c>
      <c r="I14" s="499">
        <f>МСФО_ввод!I190</f>
        <v>14.157999999999999</v>
      </c>
      <c r="J14" s="499">
        <f>МСФО_ввод!J190</f>
        <v>0</v>
      </c>
      <c r="K14" s="499">
        <f>МСФО_ввод!K190</f>
        <v>0</v>
      </c>
      <c r="L14" s="499"/>
      <c r="M14" s="647">
        <f t="shared" si="0"/>
        <v>1.4946788435608272E-3</v>
      </c>
      <c r="N14" s="647">
        <f t="shared" si="0"/>
        <v>1.667211856815743E-2</v>
      </c>
      <c r="O14" s="647">
        <f t="shared" si="0"/>
        <v>1.6348172996620108E-4</v>
      </c>
      <c r="P14" s="647">
        <f t="shared" si="0"/>
        <v>1.3470977866175208E-2</v>
      </c>
      <c r="Q14" s="647">
        <f t="shared" si="0"/>
        <v>1.2616233219420694E-2</v>
      </c>
      <c r="R14" s="647">
        <f t="shared" si="0"/>
        <v>0</v>
      </c>
      <c r="S14" s="647">
        <f t="shared" si="0"/>
        <v>0</v>
      </c>
      <c r="T14" s="547"/>
      <c r="U14" s="4"/>
      <c r="V14" s="4"/>
      <c r="W14" s="4"/>
      <c r="X14" s="4"/>
      <c r="Y14" s="4"/>
      <c r="Z14" s="4"/>
      <c r="AA14" s="4"/>
    </row>
    <row r="15" spans="1:27" s="3" customFormat="1" ht="21.75" customHeight="1" x14ac:dyDescent="0.25">
      <c r="A15" s="601"/>
      <c r="B15" s="605" t="s">
        <v>424</v>
      </c>
      <c r="C15" s="606"/>
      <c r="D15" s="606"/>
      <c r="E15" s="607">
        <f>SUM(E11:E14)</f>
        <v>513.17499999999995</v>
      </c>
      <c r="F15" s="607">
        <f t="shared" ref="F15:K15" si="1">SUM(F11:F14)</f>
        <v>574.46900000000005</v>
      </c>
      <c r="G15" s="607">
        <f t="shared" si="1"/>
        <v>714.47300000000007</v>
      </c>
      <c r="H15" s="607">
        <f t="shared" si="1"/>
        <v>779.69600000000003</v>
      </c>
      <c r="I15" s="607">
        <f t="shared" si="1"/>
        <v>950.18599999999992</v>
      </c>
      <c r="J15" s="607">
        <f t="shared" si="1"/>
        <v>1133.3</v>
      </c>
      <c r="K15" s="607">
        <f t="shared" si="1"/>
        <v>990.7</v>
      </c>
      <c r="L15" s="602"/>
      <c r="M15" s="653">
        <f>SUM(M11:M14)</f>
        <v>0.85320557902594829</v>
      </c>
      <c r="N15" s="653">
        <f t="shared" ref="N15:S15" si="2">SUM(N11:N14)</f>
        <v>0.8781163731301761</v>
      </c>
      <c r="O15" s="653">
        <f t="shared" si="2"/>
        <v>0.90545179886931459</v>
      </c>
      <c r="P15" s="653">
        <f t="shared" si="2"/>
        <v>0.88920314581318538</v>
      </c>
      <c r="Q15" s="653">
        <f t="shared" si="2"/>
        <v>0.84671339015598768</v>
      </c>
      <c r="R15" s="653">
        <f t="shared" si="2"/>
        <v>0.8231406159209762</v>
      </c>
      <c r="S15" s="653">
        <f t="shared" si="2"/>
        <v>0.77610654132393264</v>
      </c>
      <c r="T15" s="596"/>
      <c r="U15" s="6"/>
      <c r="V15" s="6"/>
      <c r="W15" s="6"/>
      <c r="X15" s="6"/>
      <c r="Y15" s="6"/>
      <c r="Z15" s="6"/>
      <c r="AA15" s="6"/>
    </row>
    <row r="16" spans="1:27" s="2" customFormat="1" x14ac:dyDescent="0.25">
      <c r="A16" s="597">
        <v>2</v>
      </c>
      <c r="B16" s="598" t="s">
        <v>880</v>
      </c>
      <c r="C16" s="598"/>
      <c r="D16" s="598"/>
      <c r="E16" s="600"/>
      <c r="F16" s="600"/>
      <c r="G16" s="600"/>
      <c r="H16" s="600"/>
      <c r="I16" s="600"/>
      <c r="J16" s="600"/>
      <c r="K16" s="600"/>
      <c r="L16" s="600"/>
      <c r="M16" s="654"/>
      <c r="N16" s="654"/>
      <c r="O16" s="654"/>
      <c r="P16" s="654"/>
      <c r="Q16" s="654"/>
      <c r="R16" s="654"/>
      <c r="S16" s="654"/>
      <c r="T16" s="594"/>
      <c r="U16" s="12"/>
      <c r="V16" s="12"/>
      <c r="W16" s="12"/>
      <c r="X16" s="12"/>
      <c r="Y16" s="12"/>
      <c r="Z16" s="12"/>
      <c r="AA16" s="12"/>
    </row>
    <row r="17" spans="1:27" s="1" customFormat="1" ht="14.25" outlineLevel="1" x14ac:dyDescent="0.2">
      <c r="A17" s="36"/>
      <c r="B17" s="489" t="s">
        <v>6</v>
      </c>
      <c r="C17" s="4" t="str">
        <f>МСФО_ввод!D194</f>
        <v>Потребительские кредиты</v>
      </c>
      <c r="D17" s="4"/>
      <c r="E17" s="499">
        <f>МСФО_ввод!E194</f>
        <v>43.194000000000003</v>
      </c>
      <c r="F17" s="499">
        <f>МСФО_ввод!F194</f>
        <v>40.119</v>
      </c>
      <c r="G17" s="499">
        <f>МСФО_ввод!G194</f>
        <v>43.872</v>
      </c>
      <c r="H17" s="499">
        <f>МСФО_ввод!H194</f>
        <v>69.935000000000002</v>
      </c>
      <c r="I17" s="499">
        <f>МСФО_ввод!I194</f>
        <v>109.17400000000001</v>
      </c>
      <c r="J17" s="499">
        <f>МСФО_ввод!J194</f>
        <v>159</v>
      </c>
      <c r="K17" s="499">
        <f>МСФО_ввод!K194</f>
        <v>184.5</v>
      </c>
      <c r="L17" s="499"/>
      <c r="M17" s="647">
        <f t="shared" ref="M17:S21" si="3">E17/E$23</f>
        <v>7.1814413758360812E-2</v>
      </c>
      <c r="N17" s="647">
        <f t="shared" si="3"/>
        <v>6.1324720348024934E-2</v>
      </c>
      <c r="O17" s="647">
        <f t="shared" si="3"/>
        <v>5.5598995791295923E-2</v>
      </c>
      <c r="P17" s="647">
        <f t="shared" si="3"/>
        <v>7.9757266937941343E-2</v>
      </c>
      <c r="Q17" s="647">
        <f t="shared" si="3"/>
        <v>9.7285255367780404E-2</v>
      </c>
      <c r="R17" s="647">
        <f t="shared" si="3"/>
        <v>0.11548518303312029</v>
      </c>
      <c r="S17" s="647">
        <f t="shared" si="3"/>
        <v>0.1445358401880141</v>
      </c>
      <c r="T17" s="547"/>
      <c r="U17" s="4"/>
      <c r="V17" s="4"/>
      <c r="W17" s="4"/>
      <c r="X17" s="4"/>
      <c r="Y17" s="4"/>
      <c r="Z17" s="4"/>
      <c r="AA17" s="4"/>
    </row>
    <row r="18" spans="1:27" s="1" customFormat="1" ht="14.25" outlineLevel="1" x14ac:dyDescent="0.2">
      <c r="A18" s="36"/>
      <c r="B18" s="489" t="s">
        <v>7</v>
      </c>
      <c r="C18" s="4" t="str">
        <f>МСФО_ввод!D195</f>
        <v>Ипотечные кредиты</v>
      </c>
      <c r="D18" s="4"/>
      <c r="E18" s="499">
        <f>МСФО_ввод!E195</f>
        <v>27.477</v>
      </c>
      <c r="F18" s="499">
        <f>МСФО_ввод!F195</f>
        <v>26.288</v>
      </c>
      <c r="G18" s="499">
        <f>МСФО_ввод!G195</f>
        <v>21.460999999999999</v>
      </c>
      <c r="H18" s="499">
        <f>МСФО_ввод!H195</f>
        <v>19.55</v>
      </c>
      <c r="I18" s="499">
        <f>МСФО_ввод!I195</f>
        <v>47.866</v>
      </c>
      <c r="J18" s="499">
        <f>МСФО_ввод!J195</f>
        <v>69</v>
      </c>
      <c r="K18" s="499">
        <f>МСФО_ввод!K195</f>
        <v>82.1</v>
      </c>
      <c r="L18" s="499"/>
      <c r="M18" s="647">
        <f t="shared" si="3"/>
        <v>4.5683304320935314E-2</v>
      </c>
      <c r="N18" s="647">
        <f t="shared" si="3"/>
        <v>4.0183061604448754E-2</v>
      </c>
      <c r="O18" s="647">
        <f t="shared" si="3"/>
        <v>2.7197530285307296E-2</v>
      </c>
      <c r="P18" s="647">
        <f t="shared" si="3"/>
        <v>2.2295768479827744E-2</v>
      </c>
      <c r="Q18" s="647">
        <f t="shared" si="3"/>
        <v>4.2653525870941587E-2</v>
      </c>
      <c r="R18" s="647">
        <f t="shared" si="3"/>
        <v>5.0116211504938987E-2</v>
      </c>
      <c r="S18" s="647">
        <f t="shared" si="3"/>
        <v>6.4316490403446919E-2</v>
      </c>
      <c r="T18" s="547"/>
      <c r="U18" s="4"/>
      <c r="V18" s="4"/>
      <c r="W18" s="4"/>
      <c r="X18" s="4"/>
      <c r="Y18" s="4"/>
      <c r="Z18" s="4"/>
      <c r="AA18" s="4"/>
    </row>
    <row r="19" spans="1:27" s="1" customFormat="1" ht="14.25" outlineLevel="1" x14ac:dyDescent="0.2">
      <c r="A19" s="36"/>
      <c r="B19" s="489" t="s">
        <v>9</v>
      </c>
      <c r="C19" s="4" t="str">
        <f>МСФО_ввод!D196</f>
        <v>Кредитные карты</v>
      </c>
      <c r="D19" s="4"/>
      <c r="E19" s="499">
        <f>МСФО_ввод!E196</f>
        <v>5.8639999999999999</v>
      </c>
      <c r="F19" s="499">
        <f>МСФО_ввод!F196</f>
        <v>5.7560000000000002</v>
      </c>
      <c r="G19" s="499">
        <f>МСФО_ввод!G196</f>
        <v>4.3520000000000003</v>
      </c>
      <c r="H19" s="499">
        <f>МСФО_ввод!H196</f>
        <v>0</v>
      </c>
      <c r="I19" s="499">
        <f>МСФО_ввод!I196</f>
        <v>0</v>
      </c>
      <c r="J19" s="499">
        <f>МСФО_ввод!J196</f>
        <v>13.2</v>
      </c>
      <c r="K19" s="499">
        <f>МСФО_ввод!K196</f>
        <v>17.399999999999999</v>
      </c>
      <c r="L19" s="499"/>
      <c r="M19" s="647">
        <f t="shared" si="3"/>
        <v>9.7494958160630595E-3</v>
      </c>
      <c r="N19" s="647">
        <f t="shared" si="3"/>
        <v>8.7984518637860241E-3</v>
      </c>
      <c r="O19" s="647">
        <f t="shared" si="3"/>
        <v>5.5152906109527692E-3</v>
      </c>
      <c r="P19" s="647">
        <f t="shared" si="3"/>
        <v>0</v>
      </c>
      <c r="Q19" s="647">
        <f t="shared" si="3"/>
        <v>0</v>
      </c>
      <c r="R19" s="647">
        <f t="shared" si="3"/>
        <v>9.5874491574665897E-3</v>
      </c>
      <c r="S19" s="647">
        <f t="shared" si="3"/>
        <v>1.36310223266745E-2</v>
      </c>
      <c r="T19" s="547"/>
      <c r="U19" s="4"/>
      <c r="V19" s="4"/>
      <c r="W19" s="4"/>
      <c r="X19" s="4"/>
      <c r="Y19" s="4"/>
      <c r="Z19" s="4"/>
      <c r="AA19" s="4"/>
    </row>
    <row r="20" spans="1:27" s="1" customFormat="1" ht="14.25" outlineLevel="1" x14ac:dyDescent="0.2">
      <c r="A20" s="36"/>
      <c r="B20" s="489" t="s">
        <v>478</v>
      </c>
      <c r="C20" s="4" t="str">
        <f>МСФО_ввод!D197</f>
        <v>Автокредиты</v>
      </c>
      <c r="D20" s="4"/>
      <c r="E20" s="499">
        <f>МСФО_ввод!E197</f>
        <v>10.426</v>
      </c>
      <c r="F20" s="499">
        <f>МСФО_ввод!F197</f>
        <v>6.0709999999999997</v>
      </c>
      <c r="G20" s="499">
        <f>МСФО_ввод!G197</f>
        <v>3.2949999999999999</v>
      </c>
      <c r="H20" s="499">
        <f>МСФО_ввод!H197</f>
        <v>2.2320000000000002</v>
      </c>
      <c r="I20" s="499">
        <f>МСФО_ввод!I197</f>
        <v>1.954</v>
      </c>
      <c r="J20" s="499">
        <f>МСФО_ввод!J197</f>
        <v>2.2999999999999998</v>
      </c>
      <c r="K20" s="499">
        <f>МСФО_ввод!K197</f>
        <v>1.8</v>
      </c>
      <c r="L20" s="499"/>
      <c r="M20" s="647">
        <f t="shared" si="3"/>
        <v>1.7334284341451817E-2</v>
      </c>
      <c r="N20" s="647">
        <f t="shared" si="3"/>
        <v>9.2799515748861975E-3</v>
      </c>
      <c r="O20" s="647">
        <f t="shared" si="3"/>
        <v>4.1757542654157565E-3</v>
      </c>
      <c r="P20" s="647">
        <f t="shared" si="3"/>
        <v>2.5454810868018175E-3</v>
      </c>
      <c r="Q20" s="647">
        <f t="shared" si="3"/>
        <v>1.741214840425769E-3</v>
      </c>
      <c r="R20" s="647">
        <f t="shared" si="3"/>
        <v>1.6705403834979663E-3</v>
      </c>
      <c r="S20" s="647">
        <f t="shared" si="3"/>
        <v>1.4101057579318449E-3</v>
      </c>
      <c r="T20" s="547"/>
      <c r="U20" s="4"/>
      <c r="V20" s="4"/>
      <c r="W20" s="4"/>
      <c r="X20" s="4"/>
      <c r="Y20" s="4"/>
      <c r="Z20" s="4"/>
      <c r="AA20" s="4"/>
    </row>
    <row r="21" spans="1:27" s="1" customFormat="1" ht="14.25" outlineLevel="1" x14ac:dyDescent="0.2">
      <c r="A21" s="36"/>
      <c r="B21" s="489" t="s">
        <v>479</v>
      </c>
      <c r="C21" s="4" t="str">
        <f>МСФО_ввод!D198</f>
        <v>Прочие</v>
      </c>
      <c r="D21" s="4"/>
      <c r="E21" s="499">
        <f>МСФО_ввод!E198</f>
        <v>1.331</v>
      </c>
      <c r="F21" s="499">
        <f>МСФО_ввод!F198</f>
        <v>1.5029999999999999</v>
      </c>
      <c r="G21" s="499">
        <f>МСФО_ввод!G198</f>
        <v>1.6259999999999999</v>
      </c>
      <c r="H21" s="499">
        <f>МСФО_ввод!H198</f>
        <v>5.4349999999999996</v>
      </c>
      <c r="I21" s="499">
        <f>МСФО_ввод!I198</f>
        <v>13.025</v>
      </c>
      <c r="J21" s="499">
        <f>МСФО_ввод!J198</f>
        <v>0</v>
      </c>
      <c r="K21" s="499">
        <f>МСФО_ввод!K198</f>
        <v>0</v>
      </c>
      <c r="L21" s="499"/>
      <c r="M21" s="647">
        <f t="shared" si="3"/>
        <v>2.2129227372407797E-3</v>
      </c>
      <c r="N21" s="647">
        <f t="shared" si="3"/>
        <v>2.2974414786779696E-3</v>
      </c>
      <c r="O21" s="647">
        <f t="shared" si="3"/>
        <v>2.0606301777135114E-3</v>
      </c>
      <c r="P21" s="647">
        <f t="shared" si="3"/>
        <v>6.1983376822436721E-3</v>
      </c>
      <c r="Q21" s="647">
        <f t="shared" si="3"/>
        <v>1.160661376486471E-2</v>
      </c>
      <c r="R21" s="647">
        <f t="shared" si="3"/>
        <v>0</v>
      </c>
      <c r="S21" s="647">
        <f t="shared" si="3"/>
        <v>0</v>
      </c>
      <c r="T21" s="547"/>
      <c r="U21" s="4"/>
      <c r="V21" s="4"/>
      <c r="W21" s="4"/>
      <c r="X21" s="4"/>
      <c r="Y21" s="4"/>
      <c r="Z21" s="4"/>
      <c r="AA21" s="4"/>
    </row>
    <row r="22" spans="1:27" s="3" customFormat="1" ht="21.75" customHeight="1" x14ac:dyDescent="0.25">
      <c r="A22" s="601"/>
      <c r="B22" s="605" t="s">
        <v>429</v>
      </c>
      <c r="C22" s="606"/>
      <c r="D22" s="606"/>
      <c r="E22" s="607">
        <f>SUM(E17:E21)</f>
        <v>88.292000000000016</v>
      </c>
      <c r="F22" s="607">
        <f t="shared" ref="F22:K22" si="4">SUM(F17:F21)</f>
        <v>79.736999999999995</v>
      </c>
      <c r="G22" s="607">
        <f t="shared" si="4"/>
        <v>74.606000000000009</v>
      </c>
      <c r="H22" s="607">
        <f t="shared" si="4"/>
        <v>97.152000000000001</v>
      </c>
      <c r="I22" s="607">
        <f t="shared" si="4"/>
        <v>172.01900000000003</v>
      </c>
      <c r="J22" s="607">
        <f t="shared" si="4"/>
        <v>243.5</v>
      </c>
      <c r="K22" s="607">
        <f t="shared" si="4"/>
        <v>285.8</v>
      </c>
      <c r="L22" s="602"/>
      <c r="M22" s="653">
        <f>SUM(M17:M21)</f>
        <v>0.14679442097405176</v>
      </c>
      <c r="N22" s="653">
        <f t="shared" ref="N22:S22" si="5">SUM(N17:N21)</f>
        <v>0.12188362686982389</v>
      </c>
      <c r="O22" s="653">
        <f t="shared" si="5"/>
        <v>9.4548201130685267E-2</v>
      </c>
      <c r="P22" s="653">
        <f t="shared" si="5"/>
        <v>0.11079685418681458</v>
      </c>
      <c r="Q22" s="653">
        <f t="shared" si="5"/>
        <v>0.15328660984401249</v>
      </c>
      <c r="R22" s="653">
        <f t="shared" si="5"/>
        <v>0.17685938407902382</v>
      </c>
      <c r="S22" s="653">
        <f t="shared" si="5"/>
        <v>0.22389345867606739</v>
      </c>
      <c r="T22" s="596"/>
      <c r="U22" s="6"/>
      <c r="V22" s="6"/>
      <c r="W22" s="6"/>
      <c r="X22" s="6"/>
      <c r="Y22" s="6"/>
      <c r="Z22" s="6"/>
      <c r="AA22" s="6"/>
    </row>
    <row r="23" spans="1:27" s="1" customFormat="1" ht="26.25" customHeight="1" x14ac:dyDescent="0.2">
      <c r="A23" s="515"/>
      <c r="B23" s="516" t="s">
        <v>442</v>
      </c>
      <c r="C23" s="517"/>
      <c r="D23" s="517"/>
      <c r="E23" s="518">
        <f>E15+E22</f>
        <v>601.46699999999998</v>
      </c>
      <c r="F23" s="518">
        <f t="shared" ref="F23:K23" si="6">F15+F22</f>
        <v>654.20600000000002</v>
      </c>
      <c r="G23" s="518">
        <f t="shared" si="6"/>
        <v>789.07900000000006</v>
      </c>
      <c r="H23" s="518">
        <f t="shared" si="6"/>
        <v>876.84800000000007</v>
      </c>
      <c r="I23" s="518">
        <f t="shared" si="6"/>
        <v>1122.2049999999999</v>
      </c>
      <c r="J23" s="518">
        <f t="shared" si="6"/>
        <v>1376.8</v>
      </c>
      <c r="K23" s="518">
        <f t="shared" si="6"/>
        <v>1276.5</v>
      </c>
      <c r="L23" s="604"/>
      <c r="M23" s="655">
        <f>M15+M22</f>
        <v>1</v>
      </c>
      <c r="N23" s="655">
        <f t="shared" ref="N23:S23" si="7">N15+N22</f>
        <v>1</v>
      </c>
      <c r="O23" s="655">
        <f t="shared" si="7"/>
        <v>0.99999999999999989</v>
      </c>
      <c r="P23" s="655">
        <f t="shared" si="7"/>
        <v>1</v>
      </c>
      <c r="Q23" s="655">
        <f t="shared" si="7"/>
        <v>1.0000000000000002</v>
      </c>
      <c r="R23" s="655">
        <f t="shared" si="7"/>
        <v>1</v>
      </c>
      <c r="S23" s="655">
        <f t="shared" si="7"/>
        <v>1</v>
      </c>
      <c r="T23" s="547"/>
      <c r="U23" s="4"/>
      <c r="V23" s="4"/>
      <c r="W23" s="4"/>
      <c r="X23" s="4"/>
      <c r="Y23" s="4"/>
      <c r="Z23" s="4"/>
      <c r="AA23" s="4"/>
    </row>
    <row r="24" spans="1:27" s="3" customFormat="1" ht="21.75" customHeight="1" x14ac:dyDescent="0.25">
      <c r="A24" s="601"/>
      <c r="B24" s="605" t="s">
        <v>430</v>
      </c>
      <c r="C24" s="606"/>
      <c r="D24" s="606"/>
      <c r="E24" s="607">
        <f>МСФО_ввод!E201</f>
        <v>-43.305599999999998</v>
      </c>
      <c r="F24" s="607">
        <f>МСФО_ввод!F201</f>
        <v>-148.53389999999999</v>
      </c>
      <c r="G24" s="607">
        <f>МСФО_ввод!G201</f>
        <v>-255.34700000000001</v>
      </c>
      <c r="H24" s="607">
        <f>МСФО_ввод!H201</f>
        <v>-226.85599999999999</v>
      </c>
      <c r="I24" s="607">
        <f>МСФО_ввод!I201</f>
        <v>-213.14699999999999</v>
      </c>
      <c r="J24" s="607">
        <f>МСФО_ввод!J201</f>
        <v>-280.5</v>
      </c>
      <c r="K24" s="607">
        <f>МСФО_ввод!K201</f>
        <v>-322.10000000000002</v>
      </c>
      <c r="L24" s="602"/>
      <c r="M24" s="653">
        <f>E24/E$23</f>
        <v>-7.1999960097561461E-2</v>
      </c>
      <c r="N24" s="653">
        <f t="shared" ref="N24:S25" si="8">F24/F$23</f>
        <v>-0.22704453948756201</v>
      </c>
      <c r="O24" s="653">
        <f t="shared" si="8"/>
        <v>-0.32360131241612056</v>
      </c>
      <c r="P24" s="653">
        <f t="shared" si="8"/>
        <v>-0.25871758845318682</v>
      </c>
      <c r="Q24" s="653">
        <f t="shared" si="8"/>
        <v>-0.18993588515467316</v>
      </c>
      <c r="R24" s="653">
        <f t="shared" si="8"/>
        <v>-0.20373329459616502</v>
      </c>
      <c r="S24" s="653">
        <f t="shared" si="8"/>
        <v>-0.25233059146102627</v>
      </c>
      <c r="T24" s="596"/>
      <c r="U24" s="6"/>
      <c r="V24" s="6"/>
      <c r="W24" s="6"/>
      <c r="X24" s="6"/>
      <c r="Y24" s="6"/>
      <c r="Z24" s="6"/>
      <c r="AA24" s="6"/>
    </row>
    <row r="25" spans="1:27" s="1" customFormat="1" ht="26.25" customHeight="1" x14ac:dyDescent="0.2">
      <c r="A25" s="515"/>
      <c r="B25" s="516" t="s">
        <v>443</v>
      </c>
      <c r="C25" s="517"/>
      <c r="D25" s="517"/>
      <c r="E25" s="518">
        <f>SUM(E23:E24)</f>
        <v>558.16139999999996</v>
      </c>
      <c r="F25" s="518">
        <f t="shared" ref="F25:K25" si="9">SUM(F23:F24)</f>
        <v>505.6721</v>
      </c>
      <c r="G25" s="518">
        <f t="shared" si="9"/>
        <v>533.73200000000008</v>
      </c>
      <c r="H25" s="518">
        <f t="shared" si="9"/>
        <v>649.99200000000008</v>
      </c>
      <c r="I25" s="518">
        <f t="shared" si="9"/>
        <v>909.05799999999999</v>
      </c>
      <c r="J25" s="518">
        <f t="shared" si="9"/>
        <v>1096.3</v>
      </c>
      <c r="K25" s="518">
        <f t="shared" si="9"/>
        <v>954.4</v>
      </c>
      <c r="L25" s="604"/>
      <c r="M25" s="655">
        <f>E25/E$23</f>
        <v>0.92800003990243851</v>
      </c>
      <c r="N25" s="655">
        <f t="shared" si="8"/>
        <v>0.77295546051243791</v>
      </c>
      <c r="O25" s="655">
        <f t="shared" si="8"/>
        <v>0.67639868758387944</v>
      </c>
      <c r="P25" s="655">
        <f t="shared" si="8"/>
        <v>0.74128241154681318</v>
      </c>
      <c r="Q25" s="655">
        <f t="shared" si="8"/>
        <v>0.81006411484532692</v>
      </c>
      <c r="R25" s="655">
        <f t="shared" si="8"/>
        <v>0.79626670540383493</v>
      </c>
      <c r="S25" s="655">
        <f t="shared" si="8"/>
        <v>0.74766940853897379</v>
      </c>
      <c r="T25" s="547"/>
      <c r="U25" s="4"/>
      <c r="V25" s="4"/>
      <c r="W25" s="4"/>
      <c r="X25" s="4"/>
      <c r="Y25" s="4"/>
      <c r="Z25" s="4"/>
      <c r="AA25" s="4"/>
    </row>
    <row r="26" spans="1:27" s="1" customFormat="1" ht="14.25" x14ac:dyDescent="0.2">
      <c r="A26" s="36"/>
      <c r="B26" s="4" t="s">
        <v>1010</v>
      </c>
      <c r="C26" s="4"/>
      <c r="D26" s="4"/>
      <c r="E26" s="499"/>
      <c r="F26" s="499"/>
      <c r="G26" s="499"/>
      <c r="H26" s="499"/>
      <c r="I26" s="499"/>
      <c r="J26" s="499"/>
      <c r="K26" s="499"/>
      <c r="L26" s="499"/>
      <c r="M26" s="547"/>
      <c r="N26" s="547"/>
      <c r="O26" s="547"/>
      <c r="P26" s="547"/>
      <c r="Q26" s="547"/>
      <c r="R26" s="547"/>
      <c r="S26" s="547"/>
      <c r="T26" s="547"/>
      <c r="U26" s="4"/>
      <c r="V26" s="4"/>
      <c r="W26" s="4"/>
      <c r="X26" s="4"/>
      <c r="Y26" s="4"/>
      <c r="Z26" s="4"/>
      <c r="AA26" s="4"/>
    </row>
    <row r="27" spans="1:27" s="1" customFormat="1" ht="14.25" x14ac:dyDescent="0.2">
      <c r="A27" s="704"/>
      <c r="B27" s="10" t="str">
        <f>МСФО_ввод!D208</f>
        <v>Рубли</v>
      </c>
      <c r="C27" s="10"/>
      <c r="D27" s="10"/>
      <c r="E27" s="705">
        <f>МСФО_ввод!E208</f>
        <v>356.74700000000001</v>
      </c>
      <c r="F27" s="705">
        <f>МСФО_ввод!F208</f>
        <v>303.95400000000001</v>
      </c>
      <c r="G27" s="705">
        <f>МСФО_ввод!G208</f>
        <v>391.483</v>
      </c>
      <c r="H27" s="705">
        <f>МСФО_ввод!H208</f>
        <v>509.55500000000001</v>
      </c>
      <c r="I27" s="705">
        <f>МСФО_ввод!I208</f>
        <v>804.21600000000001</v>
      </c>
      <c r="J27" s="705">
        <f>МСФО_ввод!J208</f>
        <v>897.2</v>
      </c>
      <c r="K27" s="705">
        <f>МСФО_ввод!K208</f>
        <v>807.3</v>
      </c>
      <c r="L27" s="705"/>
      <c r="M27" s="706">
        <f t="shared" ref="M27:S30" si="10">E27/E$25</f>
        <v>0.63914666976254542</v>
      </c>
      <c r="N27" s="706">
        <f t="shared" si="10"/>
        <v>0.60108912475099974</v>
      </c>
      <c r="O27" s="706">
        <f t="shared" si="10"/>
        <v>0.73348234694565806</v>
      </c>
      <c r="P27" s="706">
        <f t="shared" si="10"/>
        <v>0.7839404177282181</v>
      </c>
      <c r="Q27" s="706">
        <f t="shared" si="10"/>
        <v>0.88466962504042645</v>
      </c>
      <c r="R27" s="706">
        <f t="shared" si="10"/>
        <v>0.81838912706375999</v>
      </c>
      <c r="S27" s="706">
        <f t="shared" si="10"/>
        <v>0.84587175188600161</v>
      </c>
      <c r="T27" s="547"/>
      <c r="U27" s="4"/>
      <c r="V27" s="4"/>
      <c r="W27" s="4"/>
      <c r="X27" s="4"/>
      <c r="Y27" s="4"/>
      <c r="Z27" s="4"/>
      <c r="AA27" s="4"/>
    </row>
    <row r="28" spans="1:27" s="1" customFormat="1" ht="14.25" x14ac:dyDescent="0.2">
      <c r="A28" s="36"/>
      <c r="B28" s="4" t="str">
        <f>МСФО_ввод!D209</f>
        <v>Доллар США</v>
      </c>
      <c r="C28" s="4"/>
      <c r="D28" s="4"/>
      <c r="E28" s="499">
        <f>МСФО_ввод!E209</f>
        <v>137.51599999999999</v>
      </c>
      <c r="F28" s="499">
        <f>МСФО_ввод!F209</f>
        <v>149.46199999999999</v>
      </c>
      <c r="G28" s="499">
        <f>МСФО_ввод!G209</f>
        <v>110.489</v>
      </c>
      <c r="H28" s="499">
        <f>МСФО_ввод!H209</f>
        <v>116.539</v>
      </c>
      <c r="I28" s="499">
        <f>МСФО_ввод!I209</f>
        <v>82.295000000000002</v>
      </c>
      <c r="J28" s="499">
        <f>МСФО_ввод!J209</f>
        <v>170.3</v>
      </c>
      <c r="K28" s="499">
        <f>МСФО_ввод!K209</f>
        <v>123.2</v>
      </c>
      <c r="L28" s="499"/>
      <c r="M28" s="603">
        <f t="shared" si="10"/>
        <v>0.24637318166394165</v>
      </c>
      <c r="N28" s="603">
        <f t="shared" si="10"/>
        <v>0.29557098364730816</v>
      </c>
      <c r="O28" s="603">
        <f t="shared" si="10"/>
        <v>0.20701213343026084</v>
      </c>
      <c r="P28" s="603">
        <f t="shared" si="10"/>
        <v>0.17929297591354967</v>
      </c>
      <c r="Q28" s="603">
        <f t="shared" si="10"/>
        <v>9.0527777105531226E-2</v>
      </c>
      <c r="R28" s="603">
        <f t="shared" si="10"/>
        <v>0.15534069141658308</v>
      </c>
      <c r="S28" s="603">
        <f t="shared" si="10"/>
        <v>0.12908633696563288</v>
      </c>
      <c r="T28" s="547"/>
      <c r="U28" s="4"/>
      <c r="V28" s="4"/>
      <c r="W28" s="4"/>
      <c r="X28" s="4"/>
      <c r="Y28" s="4"/>
      <c r="Z28" s="4"/>
      <c r="AA28" s="4"/>
    </row>
    <row r="29" spans="1:27" s="1" customFormat="1" ht="14.25" x14ac:dyDescent="0.2">
      <c r="A29" s="36"/>
      <c r="B29" s="4" t="str">
        <f>МСФО_ввод!D210</f>
        <v>Евро</v>
      </c>
      <c r="C29" s="4"/>
      <c r="D29" s="4"/>
      <c r="E29" s="499">
        <f>МСФО_ввод!E210</f>
        <v>19.228999999999999</v>
      </c>
      <c r="F29" s="499">
        <f>МСФО_ввод!F210</f>
        <v>28.37</v>
      </c>
      <c r="G29" s="499">
        <f>МСФО_ввод!G210</f>
        <v>16.504999999999999</v>
      </c>
      <c r="H29" s="499">
        <f>МСФО_ввод!H210</f>
        <v>14.795999999999999</v>
      </c>
      <c r="I29" s="499">
        <f>МСФО_ввод!I210</f>
        <v>14.207000000000001</v>
      </c>
      <c r="J29" s="499">
        <f>МСФО_ввод!J210</f>
        <v>19.7</v>
      </c>
      <c r="K29" s="499">
        <f>МСФО_ввод!K210</f>
        <v>17.8</v>
      </c>
      <c r="L29" s="499"/>
      <c r="M29" s="603">
        <f t="shared" si="10"/>
        <v>3.4450608730736305E-2</v>
      </c>
      <c r="N29" s="603">
        <f t="shared" si="10"/>
        <v>5.6103550106877564E-2</v>
      </c>
      <c r="O29" s="603">
        <f t="shared" si="10"/>
        <v>3.0923759489781381E-2</v>
      </c>
      <c r="P29" s="603">
        <f t="shared" si="10"/>
        <v>2.2763357087471844E-2</v>
      </c>
      <c r="Q29" s="603">
        <f t="shared" si="10"/>
        <v>1.5628265743219905E-2</v>
      </c>
      <c r="R29" s="603">
        <f t="shared" si="10"/>
        <v>1.7969533886709844E-2</v>
      </c>
      <c r="S29" s="603">
        <f t="shared" si="10"/>
        <v>1.8650461022632021E-2</v>
      </c>
      <c r="T29" s="547"/>
      <c r="U29" s="4"/>
      <c r="V29" s="4"/>
      <c r="W29" s="4"/>
      <c r="X29" s="4"/>
      <c r="Y29" s="4"/>
      <c r="Z29" s="4"/>
      <c r="AA29" s="4"/>
    </row>
    <row r="30" spans="1:27" s="1" customFormat="1" ht="14.25" x14ac:dyDescent="0.2">
      <c r="A30" s="707"/>
      <c r="B30" s="15" t="str">
        <f>МСФО_ввод!D211</f>
        <v>Прочие валюты</v>
      </c>
      <c r="C30" s="15"/>
      <c r="D30" s="15"/>
      <c r="E30" s="708">
        <f>МСФО_ввод!E211</f>
        <v>44.704999999999998</v>
      </c>
      <c r="F30" s="708">
        <f>МСФО_ввод!F211</f>
        <v>23.931999999999999</v>
      </c>
      <c r="G30" s="708">
        <f>МСФО_ввод!G211</f>
        <v>15.256</v>
      </c>
      <c r="H30" s="708">
        <f>МСФО_ввод!H211</f>
        <v>9.1010000000000009</v>
      </c>
      <c r="I30" s="708">
        <f>МСФО_ввод!I211</f>
        <v>8.3420000000000005</v>
      </c>
      <c r="J30" s="708">
        <f>МСФО_ввод!J211</f>
        <v>9.1</v>
      </c>
      <c r="K30" s="708">
        <f>МСФО_ввод!K211</f>
        <v>6.1</v>
      </c>
      <c r="L30" s="708"/>
      <c r="M30" s="709">
        <f t="shared" si="10"/>
        <v>8.0093320677495791E-2</v>
      </c>
      <c r="N30" s="709">
        <f t="shared" si="10"/>
        <v>4.7327111778561637E-2</v>
      </c>
      <c r="O30" s="709">
        <f t="shared" si="10"/>
        <v>2.8583633733783993E-2</v>
      </c>
      <c r="P30" s="709">
        <f t="shared" si="10"/>
        <v>1.4001710790286649E-2</v>
      </c>
      <c r="Q30" s="709">
        <f t="shared" si="10"/>
        <v>9.1765321904652957E-3</v>
      </c>
      <c r="R30" s="709">
        <f t="shared" si="10"/>
        <v>8.3006476329471855E-3</v>
      </c>
      <c r="S30" s="709">
        <f t="shared" si="10"/>
        <v>6.3914501257334453E-3</v>
      </c>
      <c r="T30" s="547"/>
      <c r="U30" s="4"/>
      <c r="V30" s="4"/>
      <c r="W30" s="4"/>
      <c r="X30" s="4"/>
      <c r="Y30" s="4"/>
      <c r="Z30" s="4"/>
      <c r="AA30" s="4"/>
    </row>
    <row r="31" spans="1:27" s="1" customFormat="1" ht="14.25" x14ac:dyDescent="0.2">
      <c r="A31" s="36"/>
      <c r="B31" s="4"/>
      <c r="C31" s="4"/>
      <c r="D31" s="4"/>
      <c r="E31" s="499"/>
      <c r="F31" s="499"/>
      <c r="G31" s="499"/>
      <c r="H31" s="499"/>
      <c r="I31" s="499"/>
      <c r="J31" s="499"/>
      <c r="K31" s="499"/>
      <c r="L31" s="499"/>
      <c r="M31" s="547"/>
      <c r="N31" s="547"/>
      <c r="O31" s="547"/>
      <c r="P31" s="547"/>
      <c r="Q31" s="547"/>
      <c r="R31" s="547"/>
      <c r="S31" s="547"/>
      <c r="T31" s="547"/>
      <c r="U31" s="4"/>
      <c r="V31" s="4"/>
      <c r="W31" s="4"/>
      <c r="X31" s="4"/>
      <c r="Y31" s="4"/>
      <c r="Z31" s="4"/>
      <c r="AA31" s="4"/>
    </row>
    <row r="32" spans="1:27" s="1" customFormat="1" x14ac:dyDescent="0.2">
      <c r="A32" s="616"/>
      <c r="B32" s="617" t="s">
        <v>905</v>
      </c>
      <c r="C32" s="507"/>
      <c r="D32" s="507"/>
      <c r="E32" s="618"/>
      <c r="F32" s="618"/>
      <c r="G32" s="618"/>
      <c r="H32" s="618"/>
      <c r="I32" s="618"/>
      <c r="J32" s="618"/>
      <c r="K32" s="618"/>
      <c r="L32" s="618"/>
      <c r="M32" s="619"/>
      <c r="N32" s="619"/>
      <c r="O32" s="619"/>
      <c r="P32" s="619"/>
      <c r="Q32" s="619"/>
      <c r="R32" s="619"/>
      <c r="S32" s="619"/>
      <c r="T32" s="547"/>
      <c r="U32" s="4"/>
      <c r="V32" s="4"/>
      <c r="W32" s="4"/>
      <c r="X32" s="4"/>
      <c r="Y32" s="4"/>
      <c r="Z32" s="4"/>
      <c r="AA32" s="4"/>
    </row>
    <row r="33" spans="1:27" s="1" customFormat="1" ht="14.25" x14ac:dyDescent="0.2">
      <c r="A33" s="4"/>
      <c r="B33" s="4"/>
      <c r="C33" s="4"/>
      <c r="D33" s="4"/>
      <c r="E33" s="4" t="s">
        <v>348</v>
      </c>
      <c r="F33" s="4"/>
      <c r="G33" s="4"/>
      <c r="H33" s="4"/>
      <c r="I33" s="4"/>
      <c r="J33" s="4"/>
      <c r="K33" s="4"/>
      <c r="L33" s="4"/>
      <c r="M33" s="4"/>
      <c r="N33" s="4"/>
      <c r="O33" s="4"/>
      <c r="P33" s="4"/>
      <c r="Q33" s="4"/>
      <c r="R33" s="71"/>
      <c r="S33" s="71"/>
      <c r="T33" s="547"/>
      <c r="U33" s="4"/>
      <c r="V33" s="4"/>
      <c r="W33" s="4"/>
      <c r="X33" s="4"/>
      <c r="Y33" s="4"/>
      <c r="Z33" s="4"/>
      <c r="AA33" s="4"/>
    </row>
    <row r="34" spans="1:27" s="1" customFormat="1" ht="14.25" x14ac:dyDescent="0.2">
      <c r="A34" s="15"/>
      <c r="B34" s="15"/>
      <c r="C34" s="15"/>
      <c r="D34" s="15"/>
      <c r="E34" s="539">
        <f>E8</f>
        <v>2009</v>
      </c>
      <c r="F34" s="539">
        <f t="shared" ref="F34:K34" si="11">F8</f>
        <v>2010</v>
      </c>
      <c r="G34" s="539">
        <f t="shared" si="11"/>
        <v>2011</v>
      </c>
      <c r="H34" s="539">
        <f t="shared" si="11"/>
        <v>2012</v>
      </c>
      <c r="I34" s="539">
        <f t="shared" si="11"/>
        <v>2013</v>
      </c>
      <c r="J34" s="539">
        <f t="shared" si="11"/>
        <v>2014</v>
      </c>
      <c r="K34" s="539">
        <f t="shared" si="11"/>
        <v>2015</v>
      </c>
      <c r="L34" s="38"/>
      <c r="M34" s="540"/>
      <c r="N34" s="540"/>
      <c r="O34" s="540"/>
      <c r="P34" s="540"/>
      <c r="Q34" s="540"/>
      <c r="R34" s="540"/>
      <c r="S34" s="540"/>
      <c r="T34" s="547"/>
      <c r="U34" s="4"/>
      <c r="V34" s="4"/>
      <c r="W34" s="4"/>
      <c r="X34" s="4"/>
      <c r="Y34" s="4"/>
      <c r="Z34" s="4"/>
      <c r="AA34" s="4"/>
    </row>
    <row r="35" spans="1:27" s="1" customFormat="1" x14ac:dyDescent="0.25">
      <c r="A35" s="597">
        <v>1</v>
      </c>
      <c r="B35" s="598" t="s">
        <v>879</v>
      </c>
      <c r="C35" s="509"/>
      <c r="D35" s="509"/>
      <c r="E35" s="599"/>
      <c r="F35" s="599"/>
      <c r="G35" s="599"/>
      <c r="H35" s="599"/>
      <c r="I35" s="599"/>
      <c r="J35" s="599"/>
      <c r="K35" s="599"/>
      <c r="L35" s="499"/>
      <c r="M35" s="547"/>
      <c r="N35" s="547"/>
      <c r="O35" s="547"/>
      <c r="P35" s="547"/>
      <c r="Q35" s="547"/>
      <c r="R35" s="547"/>
      <c r="S35" s="547"/>
      <c r="T35" s="547"/>
      <c r="U35" s="4"/>
      <c r="V35" s="4"/>
      <c r="W35" s="4"/>
      <c r="X35" s="4"/>
      <c r="Y35" s="4"/>
      <c r="Z35" s="4"/>
      <c r="AA35" s="4"/>
    </row>
    <row r="36" spans="1:27" s="1" customFormat="1" ht="14.25" outlineLevel="1" x14ac:dyDescent="0.2">
      <c r="A36" s="36"/>
      <c r="B36" s="489" t="s">
        <v>4</v>
      </c>
      <c r="C36" s="4" t="str">
        <f>C11</f>
        <v>Корпоративные кредиты</v>
      </c>
      <c r="D36" s="4"/>
      <c r="E36" s="603">
        <f>IF(E11=0,"-",-МСФО_ввод!E239/E11)</f>
        <v>4.80830467456375E-2</v>
      </c>
      <c r="F36" s="603">
        <f>IF(F11=0,"-",-МСФО_ввод!F239/F11)</f>
        <v>0.24184439268697386</v>
      </c>
      <c r="G36" s="603">
        <f>IF(G11=0,"-",-МСФО_ввод!G239/G11)</f>
        <v>0.42318879354135441</v>
      </c>
      <c r="H36" s="603">
        <f>IF(H11=0,"-",-МСФО_ввод!H239/H11)</f>
        <v>0.33267878573096965</v>
      </c>
      <c r="I36" s="603">
        <f>IF(I11=0,"-",-МСФО_ввод!I239/I11)</f>
        <v>0.26197458455522971</v>
      </c>
      <c r="J36" s="603">
        <f>IF(J11=0,"-",-МСФО_ввод!J239/J11)</f>
        <v>0.30711659663865548</v>
      </c>
      <c r="K36" s="603">
        <f>IF(K11=0,"-",-МСФО_ввод!K239/K11)</f>
        <v>0.3678764028567264</v>
      </c>
      <c r="L36" s="499"/>
      <c r="M36" s="603"/>
      <c r="N36" s="603"/>
      <c r="O36" s="603"/>
      <c r="P36" s="603"/>
      <c r="Q36" s="603"/>
      <c r="R36" s="603"/>
      <c r="S36" s="603"/>
      <c r="T36" s="547"/>
      <c r="U36" s="4"/>
      <c r="V36" s="4"/>
      <c r="W36" s="4"/>
      <c r="X36" s="4"/>
      <c r="Y36" s="4"/>
      <c r="Z36" s="4"/>
      <c r="AA36" s="4"/>
    </row>
    <row r="37" spans="1:27" s="1" customFormat="1" ht="14.25" outlineLevel="1" x14ac:dyDescent="0.2">
      <c r="A37" s="36"/>
      <c r="B37" s="489" t="s">
        <v>5</v>
      </c>
      <c r="C37" s="4" t="str">
        <f>C12</f>
        <v>Кредиты малому и среднему бизнесу</v>
      </c>
      <c r="D37" s="4"/>
      <c r="E37" s="603">
        <f>IF(E12=0,"-",-МСФО_ввод!E240/E12)</f>
        <v>0.20383411580594679</v>
      </c>
      <c r="F37" s="603">
        <f>IF(F12=0,"-",-МСФО_ввод!F240/F12)</f>
        <v>0.22550632722051037</v>
      </c>
      <c r="G37" s="603">
        <f>IF(G12=0,"-",-МСФО_ввод!G240/G12)</f>
        <v>0.1868156524860887</v>
      </c>
      <c r="H37" s="603">
        <f>IF(H12=0,"-",-МСФО_ввод!H240/H12)</f>
        <v>0.10561056105610563</v>
      </c>
      <c r="I37" s="603">
        <f>IF(I12=0,"-",-МСФО_ввод!I240/I12)</f>
        <v>6.6274470222388845E-2</v>
      </c>
      <c r="J37" s="603">
        <f>IF(J12=0,"-",-МСФО_ввод!J240/J12)</f>
        <v>7.0306038047973529E-2</v>
      </c>
      <c r="K37" s="603">
        <f>IF(K12=0,"-",-МСФО_ввод!K240/K12)</f>
        <v>0.25441919191919188</v>
      </c>
      <c r="L37" s="499"/>
      <c r="M37" s="603"/>
      <c r="N37" s="603"/>
      <c r="O37" s="603"/>
      <c r="P37" s="603"/>
      <c r="Q37" s="603"/>
      <c r="R37" s="603"/>
      <c r="S37" s="603"/>
      <c r="T37" s="547"/>
      <c r="U37" s="4"/>
      <c r="V37" s="4"/>
      <c r="W37" s="4"/>
      <c r="X37" s="4"/>
      <c r="Y37" s="4"/>
      <c r="Z37" s="4"/>
      <c r="AA37" s="4"/>
    </row>
    <row r="38" spans="1:27" s="1" customFormat="1" ht="14.25" outlineLevel="1" x14ac:dyDescent="0.2">
      <c r="A38" s="36"/>
      <c r="B38" s="489" t="s">
        <v>14</v>
      </c>
      <c r="C38" s="4" t="str">
        <f>C13</f>
        <v>Кредиты государственным и муниципальным органам</v>
      </c>
      <c r="D38" s="4"/>
      <c r="E38" s="603">
        <f>IF(E13=0,"-",-МСФО_ввод!E241/E13)</f>
        <v>5.1135751964689414E-4</v>
      </c>
      <c r="F38" s="603">
        <f>IF(F13=0,"-",-МСФО_ввод!F241/F13)</f>
        <v>0</v>
      </c>
      <c r="G38" s="603">
        <f>IF(G13=0,"-",-МСФО_ввод!G241/G13)</f>
        <v>2.7445430764612546E-4</v>
      </c>
      <c r="H38" s="603">
        <f>IF(H13=0,"-",-МСФО_ввод!H241/H13)</f>
        <v>1.5133570206606133E-3</v>
      </c>
      <c r="I38" s="603">
        <f>IF(I13=0,"-",-МСФО_ввод!I241/I13)</f>
        <v>0</v>
      </c>
      <c r="J38" s="603">
        <f>IF(J13=0,"-",-МСФО_ввод!J241/J13)</f>
        <v>1.1111111111111112E-2</v>
      </c>
      <c r="K38" s="603">
        <f>IF(K13=0,"-",-МСФО_ввод!K241/K13)</f>
        <v>0</v>
      </c>
      <c r="L38" s="499"/>
      <c r="M38" s="603"/>
      <c r="N38" s="603"/>
      <c r="O38" s="603"/>
      <c r="P38" s="603"/>
      <c r="Q38" s="603"/>
      <c r="R38" s="603"/>
      <c r="S38" s="603"/>
      <c r="T38" s="547"/>
      <c r="U38" s="4"/>
      <c r="V38" s="4"/>
      <c r="W38" s="4"/>
      <c r="X38" s="4"/>
      <c r="Y38" s="4"/>
      <c r="Z38" s="4"/>
      <c r="AA38" s="4"/>
    </row>
    <row r="39" spans="1:27" s="1" customFormat="1" ht="14.25" outlineLevel="1" x14ac:dyDescent="0.2">
      <c r="A39" s="36"/>
      <c r="B39" s="489" t="s">
        <v>540</v>
      </c>
      <c r="C39" s="4" t="str">
        <f>C14</f>
        <v>Договоры обратного РЕПО</v>
      </c>
      <c r="D39" s="4"/>
      <c r="E39" s="603">
        <f>IF(E14=0,"-",-МСФО_ввод!E242/E14)</f>
        <v>0</v>
      </c>
      <c r="F39" s="603">
        <f>IF(F14=0,"-",-МСФО_ввод!F242/F14)</f>
        <v>0</v>
      </c>
      <c r="G39" s="603">
        <f>IF(G14=0,"-",-МСФО_ввод!G242/G14)</f>
        <v>3.1007751937984496E-3</v>
      </c>
      <c r="H39" s="603">
        <f>IF(H14=0,"-",-МСФО_ввод!H242/H14)</f>
        <v>4.9949204199119541E-3</v>
      </c>
      <c r="I39" s="603">
        <f>IF(I14=0,"-",-МСФО_ввод!I242/I14)</f>
        <v>0</v>
      </c>
      <c r="J39" s="603" t="str">
        <f>IF(J14=0,"-",-МСФО_ввод!J242/J14)</f>
        <v>-</v>
      </c>
      <c r="K39" s="603" t="str">
        <f>IF(K14=0,"-",-МСФО_ввод!K242/K14)</f>
        <v>-</v>
      </c>
      <c r="L39" s="499"/>
      <c r="M39" s="603"/>
      <c r="N39" s="603"/>
      <c r="O39" s="603"/>
      <c r="P39" s="603"/>
      <c r="Q39" s="603"/>
      <c r="R39" s="603"/>
      <c r="S39" s="603"/>
      <c r="T39" s="547"/>
      <c r="U39" s="4"/>
      <c r="V39" s="4"/>
      <c r="W39" s="4"/>
      <c r="X39" s="4"/>
      <c r="Y39" s="4"/>
      <c r="Z39" s="4"/>
      <c r="AA39" s="4"/>
    </row>
    <row r="40" spans="1:27" s="3" customFormat="1" ht="21.75" customHeight="1" x14ac:dyDescent="0.25">
      <c r="A40" s="601"/>
      <c r="B40" s="605" t="s">
        <v>424</v>
      </c>
      <c r="C40" s="606"/>
      <c r="D40" s="606"/>
      <c r="E40" s="615">
        <f>IF(E15=0,"-",-МСФО_ввод!E243/E15)</f>
        <v>5.7912992643834954E-2</v>
      </c>
      <c r="F40" s="615">
        <f>IF(F15=0,"-",-МСФО_ввод!F243/F15)</f>
        <v>0.2343625156448825</v>
      </c>
      <c r="G40" s="615">
        <f>IF(G15=0,"-",-МСФО_ввод!G243/G15)</f>
        <v>0.3393527817006381</v>
      </c>
      <c r="H40" s="615">
        <f>IF(H15=0,"-",-МСФО_ввод!H243/H15)</f>
        <v>0.27878814307114563</v>
      </c>
      <c r="I40" s="615">
        <f>IF(I15=0,"-",-МСФО_ввод!I243/I15)</f>
        <v>0.21279307419810436</v>
      </c>
      <c r="J40" s="615">
        <f>IF(J15=0,"-",-МСФО_ввод!J243/J15)</f>
        <v>0.22897732286243713</v>
      </c>
      <c r="K40" s="615">
        <f>IF(K15=0,"-",-МСФО_ввод!K243/K15)</f>
        <v>0.29544766326839605</v>
      </c>
      <c r="L40" s="595"/>
      <c r="M40" s="612"/>
      <c r="N40" s="612"/>
      <c r="O40" s="612"/>
      <c r="P40" s="612"/>
      <c r="Q40" s="612"/>
      <c r="R40" s="612"/>
      <c r="S40" s="612"/>
      <c r="T40" s="596"/>
      <c r="U40" s="6"/>
      <c r="V40" s="6"/>
      <c r="W40" s="6"/>
      <c r="X40" s="6"/>
      <c r="Y40" s="6"/>
      <c r="Z40" s="6"/>
      <c r="AA40" s="6"/>
    </row>
    <row r="41" spans="1:27" s="2" customFormat="1" x14ac:dyDescent="0.25">
      <c r="A41" s="597">
        <v>2</v>
      </c>
      <c r="B41" s="598" t="s">
        <v>880</v>
      </c>
      <c r="C41" s="598"/>
      <c r="D41" s="598"/>
      <c r="E41" s="600"/>
      <c r="F41" s="600"/>
      <c r="G41" s="600"/>
      <c r="H41" s="600"/>
      <c r="I41" s="600"/>
      <c r="J41" s="600"/>
      <c r="K41" s="600"/>
      <c r="L41" s="593"/>
      <c r="M41" s="594"/>
      <c r="N41" s="594"/>
      <c r="O41" s="594"/>
      <c r="P41" s="594"/>
      <c r="Q41" s="594"/>
      <c r="R41" s="594"/>
      <c r="S41" s="594"/>
      <c r="T41" s="594"/>
      <c r="U41" s="12"/>
      <c r="V41" s="12"/>
      <c r="W41" s="12"/>
      <c r="X41" s="12"/>
      <c r="Y41" s="12"/>
      <c r="Z41" s="12"/>
      <c r="AA41" s="12"/>
    </row>
    <row r="42" spans="1:27" s="1" customFormat="1" ht="14.25" outlineLevel="1" x14ac:dyDescent="0.2">
      <c r="A42" s="36"/>
      <c r="B42" s="489" t="s">
        <v>6</v>
      </c>
      <c r="C42" s="4" t="str">
        <f>C17</f>
        <v>Потребительские кредиты</v>
      </c>
      <c r="D42" s="4"/>
      <c r="E42" s="603">
        <f>IF(E17=0,"-",-МСФО_ввод!E247/E17)</f>
        <v>0.1933601889151271</v>
      </c>
      <c r="F42" s="603">
        <f>IF(F17=0,"-",-МСФО_ввод!F247/F17)</f>
        <v>0.21446197562252298</v>
      </c>
      <c r="G42" s="603">
        <f>IF(G17=0,"-",-МСФО_ввод!G247/G17)</f>
        <v>0.19454321663019694</v>
      </c>
      <c r="H42" s="603">
        <f>IF(H17=0,"-",-МСФО_ввод!H247/H17)</f>
        <v>7.0980195896189327E-2</v>
      </c>
      <c r="I42" s="603">
        <f>IF(I17=0,"-",-МСФО_ввод!I247/I17)</f>
        <v>6.8487002399838792E-2</v>
      </c>
      <c r="J42" s="603">
        <f>IF(J17=0,"-",-МСФО_ввод!J247/J17)</f>
        <v>9.496855345911949E-2</v>
      </c>
      <c r="K42" s="603">
        <f>IF(K17=0,"-",-МСФО_ввод!K247/K17)</f>
        <v>0.11219512195121951</v>
      </c>
      <c r="L42" s="499"/>
      <c r="M42" s="603"/>
      <c r="N42" s="603"/>
      <c r="O42" s="603"/>
      <c r="P42" s="603"/>
      <c r="Q42" s="603"/>
      <c r="R42" s="603"/>
      <c r="S42" s="603"/>
      <c r="T42" s="547"/>
      <c r="U42" s="4"/>
      <c r="V42" s="4"/>
      <c r="W42" s="4"/>
      <c r="X42" s="4"/>
      <c r="Y42" s="4"/>
      <c r="Z42" s="4"/>
      <c r="AA42" s="4"/>
    </row>
    <row r="43" spans="1:27" s="1" customFormat="1" ht="14.25" outlineLevel="1" x14ac:dyDescent="0.2">
      <c r="A43" s="36"/>
      <c r="B43" s="489" t="s">
        <v>7</v>
      </c>
      <c r="C43" s="4" t="str">
        <f>C18</f>
        <v>Ипотечные кредиты</v>
      </c>
      <c r="D43" s="4"/>
      <c r="E43" s="603">
        <f>IF(E18=0,"-",-МСФО_ввод!E248/E18)</f>
        <v>4.8950030934963785E-2</v>
      </c>
      <c r="F43" s="603">
        <f>IF(F18=0,"-",-МСФО_ввод!F248/F18)</f>
        <v>6.1625076080340846E-2</v>
      </c>
      <c r="G43" s="603">
        <f>IF(G18=0,"-",-МСФО_ввод!G248/G18)</f>
        <v>5.8617958156656262E-2</v>
      </c>
      <c r="H43" s="603">
        <f>IF(H18=0,"-",-МСФО_ввод!H248/H18)</f>
        <v>6.9411764705882353E-2</v>
      </c>
      <c r="I43" s="603">
        <f>IF(I18=0,"-",-МСФО_ввод!I248/I18)</f>
        <v>2.3210629674508002E-2</v>
      </c>
      <c r="J43" s="603">
        <f>IF(J18=0,"-",-МСФО_ввод!J248/J18)</f>
        <v>3.3333333333333333E-2</v>
      </c>
      <c r="K43" s="603">
        <f>IF(K18=0,"-",-МСФО_ввод!K248/K18)</f>
        <v>4.6285018270401948E-2</v>
      </c>
      <c r="L43" s="499"/>
      <c r="M43" s="603"/>
      <c r="N43" s="603"/>
      <c r="O43" s="603"/>
      <c r="P43" s="603"/>
      <c r="Q43" s="603"/>
      <c r="R43" s="603"/>
      <c r="S43" s="603"/>
      <c r="T43" s="547"/>
      <c r="U43" s="4"/>
      <c r="V43" s="4"/>
      <c r="W43" s="4"/>
      <c r="X43" s="4"/>
      <c r="Y43" s="4"/>
      <c r="Z43" s="4"/>
      <c r="AA43" s="4"/>
    </row>
    <row r="44" spans="1:27" s="1" customFormat="1" ht="14.25" outlineLevel="1" x14ac:dyDescent="0.2">
      <c r="A44" s="36"/>
      <c r="B44" s="489" t="s">
        <v>9</v>
      </c>
      <c r="C44" s="4" t="str">
        <f>C19</f>
        <v>Кредитные карты</v>
      </c>
      <c r="D44" s="4"/>
      <c r="E44" s="603">
        <f>IF(E19=0,"-",-МСФО_ввод!E249/E19)</f>
        <v>0.23328785811732608</v>
      </c>
      <c r="F44" s="603">
        <f>IF(F19=0,"-",-МСФО_ввод!F249/F19)</f>
        <v>0.23558026407227242</v>
      </c>
      <c r="G44" s="603">
        <f>IF(G19=0,"-",-МСФО_ввод!G249/G19)</f>
        <v>0.25965073529411759</v>
      </c>
      <c r="H44" s="603" t="str">
        <f>IF(H19=0,"-",-МСФО_ввод!H249/H19)</f>
        <v>-</v>
      </c>
      <c r="I44" s="603" t="str">
        <f>IF(I19=0,"-",-МСФО_ввод!I249/I19)</f>
        <v>-</v>
      </c>
      <c r="J44" s="603">
        <f>IF(J19=0,"-",-МСФО_ввод!J249/J19)</f>
        <v>0.17424242424242423</v>
      </c>
      <c r="K44" s="603">
        <f>IF(K19=0,"-",-МСФО_ввод!K249/K19)</f>
        <v>0.20114942528735633</v>
      </c>
      <c r="L44" s="499"/>
      <c r="M44" s="603"/>
      <c r="N44" s="603"/>
      <c r="O44" s="603"/>
      <c r="P44" s="603"/>
      <c r="Q44" s="603"/>
      <c r="R44" s="603"/>
      <c r="S44" s="603"/>
      <c r="T44" s="547"/>
      <c r="U44" s="4"/>
      <c r="V44" s="4"/>
      <c r="W44" s="4"/>
      <c r="X44" s="4"/>
      <c r="Y44" s="4"/>
      <c r="Z44" s="4"/>
      <c r="AA44" s="4"/>
    </row>
    <row r="45" spans="1:27" s="1" customFormat="1" ht="14.25" outlineLevel="1" x14ac:dyDescent="0.2">
      <c r="A45" s="36"/>
      <c r="B45" s="489" t="s">
        <v>478</v>
      </c>
      <c r="C45" s="4" t="str">
        <f>C20</f>
        <v>Автокредиты</v>
      </c>
      <c r="D45" s="4"/>
      <c r="E45" s="603">
        <f>IF(E20=0,"-",-МСФО_ввод!E250/E20)</f>
        <v>0.15921734126222903</v>
      </c>
      <c r="F45" s="603">
        <f>IF(F20=0,"-",-МСФО_ввод!F250/F20)</f>
        <v>0.2627244276066546</v>
      </c>
      <c r="G45" s="603">
        <f>IF(G20=0,"-",-МСФО_ввод!G250/G20)</f>
        <v>0.37663125948406678</v>
      </c>
      <c r="H45" s="603">
        <f>IF(H20=0,"-",-МСФО_ввод!H250/H20)</f>
        <v>0.4887992831541218</v>
      </c>
      <c r="I45" s="603">
        <f>IF(I20=0,"-",-МСФО_ввод!I250/I20)</f>
        <v>0.45957011258955988</v>
      </c>
      <c r="J45" s="603">
        <f>IF(J20=0,"-",-МСФО_ввод!J250/J20)</f>
        <v>0.56521739130434789</v>
      </c>
      <c r="K45" s="603">
        <f>IF(K20=0,"-",-МСФО_ввод!K250/K20)</f>
        <v>0.77777777777777768</v>
      </c>
      <c r="L45" s="499"/>
      <c r="M45" s="603"/>
      <c r="N45" s="603"/>
      <c r="O45" s="603"/>
      <c r="P45" s="603"/>
      <c r="Q45" s="603"/>
      <c r="R45" s="603"/>
      <c r="S45" s="603"/>
      <c r="T45" s="547"/>
      <c r="U45" s="4"/>
      <c r="V45" s="4"/>
      <c r="W45" s="4"/>
      <c r="X45" s="4"/>
      <c r="Y45" s="4"/>
      <c r="Z45" s="4"/>
      <c r="AA45" s="4"/>
    </row>
    <row r="46" spans="1:27" s="1" customFormat="1" ht="14.25" outlineLevel="1" x14ac:dyDescent="0.2">
      <c r="A46" s="36"/>
      <c r="B46" s="489" t="s">
        <v>479</v>
      </c>
      <c r="C46" s="4" t="str">
        <f>C21</f>
        <v>Прочие</v>
      </c>
      <c r="D46" s="4"/>
      <c r="E46" s="603">
        <f>IF(E21=0,"-",-МСФО_ввод!E251/E21)</f>
        <v>0.64462809917355368</v>
      </c>
      <c r="F46" s="603">
        <f>IF(F21=0,"-",-МСФО_ввод!F251/F21)</f>
        <v>0.48037258815701933</v>
      </c>
      <c r="G46" s="603">
        <f>IF(G21=0,"-",-МСФО_ввод!G251/G21)</f>
        <v>0.44341943419434204</v>
      </c>
      <c r="H46" s="603">
        <f>IF(H21=0,"-",-МСФО_ввод!H251/H21)</f>
        <v>0.10505979760809568</v>
      </c>
      <c r="I46" s="603">
        <f>IF(I21=0,"-",-МСФО_ввод!I251/I21)</f>
        <v>2.0422264875239925E-2</v>
      </c>
      <c r="J46" s="603" t="str">
        <f>IF(J21=0,"-",-МСФО_ввод!J251/J21)</f>
        <v>-</v>
      </c>
      <c r="K46" s="603" t="str">
        <f>IF(K21=0,"-",-МСФО_ввод!K251/K21)</f>
        <v>-</v>
      </c>
      <c r="L46" s="499"/>
      <c r="M46" s="603"/>
      <c r="N46" s="603"/>
      <c r="O46" s="603"/>
      <c r="P46" s="603"/>
      <c r="Q46" s="603"/>
      <c r="R46" s="603"/>
      <c r="S46" s="603"/>
      <c r="T46" s="547"/>
      <c r="U46" s="4"/>
      <c r="V46" s="4"/>
      <c r="W46" s="4"/>
      <c r="X46" s="4"/>
      <c r="Y46" s="4"/>
      <c r="Z46" s="4"/>
      <c r="AA46" s="4"/>
    </row>
    <row r="47" spans="1:27" s="3" customFormat="1" ht="21.75" customHeight="1" x14ac:dyDescent="0.25">
      <c r="A47" s="601"/>
      <c r="B47" s="605" t="s">
        <v>429</v>
      </c>
      <c r="C47" s="606"/>
      <c r="D47" s="606"/>
      <c r="E47" s="615">
        <f>IF(E22=0,"-",-МСФО_ввод!E252/E22)</f>
        <v>0.15384179767136319</v>
      </c>
      <c r="F47" s="615">
        <f>IF(F22=0,"-",-МСФО_ввод!F252/F22)</f>
        <v>0.17428546346112847</v>
      </c>
      <c r="G47" s="615">
        <f>IF(G22=0,"-",-МСФО_ввод!G252/G22)</f>
        <v>0.17270728895799262</v>
      </c>
      <c r="H47" s="615">
        <f>IF(H22=0,"-",-МСФО_ввод!H252/H22)</f>
        <v>9.7620223978919632E-2</v>
      </c>
      <c r="I47" s="615">
        <f>IF(I22=0,"-",-МСФО_ввод!I252/I22)</f>
        <v>6.3574372598375742E-2</v>
      </c>
      <c r="J47" s="615">
        <f>IF(J22=0,"-",-МСФО_ввод!J252/J22)</f>
        <v>8.6242299794661192E-2</v>
      </c>
      <c r="K47" s="615">
        <f>IF(K22=0,"-",-МСФО_ввод!K252/K22)</f>
        <v>0.10286913925822253</v>
      </c>
      <c r="L47" s="595"/>
      <c r="M47" s="612"/>
      <c r="N47" s="612"/>
      <c r="O47" s="612"/>
      <c r="P47" s="612"/>
      <c r="Q47" s="612"/>
      <c r="R47" s="612"/>
      <c r="S47" s="612"/>
      <c r="T47" s="596"/>
      <c r="U47" s="6"/>
      <c r="V47" s="6"/>
      <c r="W47" s="6"/>
      <c r="X47" s="6"/>
      <c r="Y47" s="6"/>
      <c r="Z47" s="6"/>
      <c r="AA47" s="6"/>
    </row>
    <row r="48" spans="1:27" s="1" customFormat="1" ht="26.25" customHeight="1" x14ac:dyDescent="0.2">
      <c r="A48" s="515"/>
      <c r="B48" s="516" t="s">
        <v>442</v>
      </c>
      <c r="C48" s="517"/>
      <c r="D48" s="517"/>
      <c r="E48" s="608">
        <f>IF(E23=0,"-",-МСФО_ввод!E253/E23)</f>
        <v>7.1994806032583666E-2</v>
      </c>
      <c r="F48" s="608">
        <f>IF(F23=0,"-",-МСФО_ввод!F253/F23)</f>
        <v>0.22704010663307889</v>
      </c>
      <c r="G48" s="608">
        <f>IF(G23=0,"-",-МСФО_ввод!G253/G23)</f>
        <v>0.32359675013528427</v>
      </c>
      <c r="H48" s="608">
        <f>IF(H23=0,"-",-МСФО_ввод!H253/H23)</f>
        <v>0.25871530755615563</v>
      </c>
      <c r="I48" s="608">
        <f>IF(I23=0,"-",-МСФО_ввод!I253/I23)</f>
        <v>0.18991984530455666</v>
      </c>
      <c r="J48" s="608">
        <f>IF(J23=0,"-",-МСФО_ввод!J253/J23)</f>
        <v>0.20373329459616502</v>
      </c>
      <c r="K48" s="608">
        <f>IF(K23=0,"-",-МСФО_ввод!K253/K23)</f>
        <v>0.25233059146102621</v>
      </c>
      <c r="L48" s="499"/>
      <c r="M48" s="613"/>
      <c r="N48" s="613"/>
      <c r="O48" s="613"/>
      <c r="P48" s="613"/>
      <c r="Q48" s="613"/>
      <c r="R48" s="613"/>
      <c r="S48" s="613"/>
      <c r="T48" s="547"/>
      <c r="U48" s="4"/>
      <c r="V48" s="4"/>
      <c r="W48" s="4"/>
      <c r="X48" s="4"/>
      <c r="Y48" s="4"/>
      <c r="Z48" s="4"/>
      <c r="AA48" s="4"/>
    </row>
    <row r="49" spans="1:27" s="1" customFormat="1" ht="14.25" x14ac:dyDescent="0.2">
      <c r="A49" s="4"/>
      <c r="B49" s="4"/>
      <c r="C49" s="4"/>
      <c r="D49" s="4"/>
      <c r="E49" s="499"/>
      <c r="F49" s="499"/>
      <c r="G49" s="499"/>
      <c r="H49" s="499"/>
      <c r="I49" s="499"/>
      <c r="J49" s="499"/>
      <c r="K49" s="499"/>
      <c r="L49" s="499"/>
      <c r="M49" s="547"/>
      <c r="N49" s="547"/>
      <c r="O49" s="547"/>
      <c r="P49" s="547"/>
      <c r="Q49" s="547"/>
      <c r="R49" s="547"/>
      <c r="S49" s="547"/>
      <c r="T49" s="547"/>
      <c r="U49" s="4"/>
      <c r="V49" s="4"/>
      <c r="W49" s="4"/>
      <c r="X49" s="4"/>
      <c r="Y49" s="4"/>
      <c r="Z49" s="4"/>
      <c r="AA49" s="4"/>
    </row>
    <row r="50" spans="1:27" s="1" customFormat="1" ht="14.25" x14ac:dyDescent="0.2">
      <c r="A50" s="4"/>
      <c r="B50" s="4"/>
      <c r="C50" s="4"/>
      <c r="D50" s="4"/>
      <c r="E50" s="499"/>
      <c r="F50" s="499"/>
      <c r="G50" s="499"/>
      <c r="H50" s="499"/>
      <c r="I50" s="499"/>
      <c r="J50" s="499"/>
      <c r="K50" s="499"/>
      <c r="L50" s="499"/>
      <c r="M50" s="547"/>
      <c r="N50" s="547"/>
      <c r="O50" s="547"/>
      <c r="P50" s="547"/>
      <c r="Q50" s="547"/>
      <c r="R50" s="547"/>
      <c r="S50" s="547"/>
      <c r="T50" s="547"/>
      <c r="U50" s="4"/>
      <c r="V50" s="4"/>
      <c r="W50" s="4"/>
      <c r="X50" s="4"/>
      <c r="Y50" s="4"/>
      <c r="Z50" s="4"/>
      <c r="AA50" s="4"/>
    </row>
    <row r="51" spans="1:27" s="1" customFormat="1" x14ac:dyDescent="0.2">
      <c r="A51" s="616"/>
      <c r="B51" s="617" t="s">
        <v>1028</v>
      </c>
      <c r="C51" s="507"/>
      <c r="D51" s="507"/>
      <c r="E51" s="618"/>
      <c r="F51" s="618"/>
      <c r="G51" s="618"/>
      <c r="H51" s="618"/>
      <c r="I51" s="618"/>
      <c r="J51" s="618"/>
      <c r="K51" s="618"/>
      <c r="L51" s="618"/>
      <c r="M51" s="619"/>
      <c r="N51" s="619"/>
      <c r="O51" s="619"/>
      <c r="P51" s="619"/>
      <c r="Q51" s="619"/>
      <c r="R51" s="619"/>
      <c r="S51" s="619"/>
      <c r="T51" s="547"/>
      <c r="U51" s="4"/>
      <c r="V51" s="4"/>
      <c r="W51" s="4"/>
      <c r="X51" s="4"/>
      <c r="Y51" s="4"/>
      <c r="Z51" s="4"/>
      <c r="AA51" s="4"/>
    </row>
    <row r="52" spans="1:27" s="1" customFormat="1" ht="14.25" x14ac:dyDescent="0.2">
      <c r="A52" s="4"/>
      <c r="B52" s="4"/>
      <c r="C52" s="4"/>
      <c r="D52" s="4"/>
      <c r="E52" s="4" t="s">
        <v>348</v>
      </c>
      <c r="F52" s="4"/>
      <c r="G52" s="4"/>
      <c r="H52" s="4"/>
      <c r="I52" s="4"/>
      <c r="J52" s="4"/>
      <c r="K52" s="4"/>
      <c r="L52" s="4"/>
      <c r="M52" s="547"/>
      <c r="N52" s="547"/>
      <c r="O52" s="547"/>
      <c r="P52" s="547"/>
      <c r="Q52" s="547"/>
      <c r="R52" s="547"/>
      <c r="S52" s="547"/>
      <c r="T52" s="547"/>
      <c r="U52" s="4"/>
      <c r="V52" s="4"/>
      <c r="W52" s="4"/>
      <c r="X52" s="4"/>
      <c r="Y52" s="4"/>
      <c r="Z52" s="4"/>
      <c r="AA52" s="4"/>
    </row>
    <row r="53" spans="1:27" s="1" customFormat="1" ht="14.25" x14ac:dyDescent="0.2">
      <c r="A53" s="15"/>
      <c r="B53" s="15"/>
      <c r="C53" s="15"/>
      <c r="D53" s="15"/>
      <c r="E53" s="539">
        <f>E8</f>
        <v>2009</v>
      </c>
      <c r="F53" s="539">
        <f t="shared" ref="F53:K53" si="12">F8</f>
        <v>2010</v>
      </c>
      <c r="G53" s="539">
        <f t="shared" si="12"/>
        <v>2011</v>
      </c>
      <c r="H53" s="539">
        <f t="shared" si="12"/>
        <v>2012</v>
      </c>
      <c r="I53" s="539">
        <f t="shared" si="12"/>
        <v>2013</v>
      </c>
      <c r="J53" s="539">
        <f t="shared" si="12"/>
        <v>2014</v>
      </c>
      <c r="K53" s="539">
        <f t="shared" si="12"/>
        <v>2015</v>
      </c>
      <c r="L53" s="4"/>
      <c r="M53" s="547"/>
      <c r="N53" s="547"/>
      <c r="O53" s="547"/>
      <c r="P53" s="547"/>
      <c r="Q53" s="547"/>
      <c r="R53" s="547"/>
      <c r="S53" s="547"/>
      <c r="T53" s="547"/>
      <c r="U53" s="4"/>
      <c r="V53" s="4"/>
      <c r="W53" s="4"/>
      <c r="X53" s="4"/>
      <c r="Y53" s="4"/>
      <c r="Z53" s="4"/>
      <c r="AA53" s="4"/>
    </row>
    <row r="54" spans="1:27" s="1" customFormat="1" ht="14.25" x14ac:dyDescent="0.2">
      <c r="A54" s="4"/>
      <c r="B54" s="4" t="s">
        <v>1029</v>
      </c>
      <c r="C54" s="4"/>
      <c r="D54" s="4"/>
      <c r="E54" s="603" t="e">
        <f>-МСФО_ввод!E59/Баланс_МСФО!E88</f>
        <v>#DIV/0!</v>
      </c>
      <c r="F54" s="603">
        <f>-МСФО_ввод!F59/Баланс_МСФО!F88</f>
        <v>0.168058085186191</v>
      </c>
      <c r="G54" s="603">
        <f>-МСФО_ввод!G59/Баланс_МСФО!G88</f>
        <v>0.16730860502257003</v>
      </c>
      <c r="H54" s="603">
        <f>-МСФО_ввод!H59/Баланс_МСФО!H88</f>
        <v>-1.8059614857073567E-2</v>
      </c>
      <c r="I54" s="603">
        <f>-МСФО_ввод!I59/Баланс_МСФО!I88</f>
        <v>-7.1283752856977781E-3</v>
      </c>
      <c r="J54" s="603">
        <f>-МСФО_ввод!J59/Баланс_МСФО!J88</f>
        <v>3.0091976606689462E-2</v>
      </c>
      <c r="K54" s="603">
        <f>-МСФО_ввод!K59/Баланс_МСФО!K88</f>
        <v>2.6759130139825876E-2</v>
      </c>
      <c r="L54" s="4"/>
      <c r="M54" s="547"/>
      <c r="N54" s="547"/>
      <c r="O54" s="547"/>
      <c r="P54" s="547"/>
      <c r="Q54" s="547"/>
      <c r="R54" s="547"/>
      <c r="S54" s="547"/>
      <c r="T54" s="547"/>
      <c r="U54" s="4"/>
      <c r="V54" s="4"/>
      <c r="W54" s="4"/>
      <c r="X54" s="4"/>
      <c r="Y54" s="4"/>
      <c r="Z54" s="4"/>
      <c r="AA54" s="4"/>
    </row>
    <row r="55" spans="1:27" s="1" customFormat="1" ht="14.25" x14ac:dyDescent="0.2">
      <c r="A55" s="4"/>
      <c r="B55" s="4"/>
      <c r="C55" s="4"/>
      <c r="D55" s="4"/>
      <c r="E55" s="499"/>
      <c r="F55" s="499"/>
      <c r="G55" s="499"/>
      <c r="H55" s="499"/>
      <c r="I55" s="499"/>
      <c r="J55" s="499"/>
      <c r="K55" s="499"/>
      <c r="L55" s="499"/>
      <c r="M55" s="547"/>
      <c r="N55" s="547"/>
      <c r="O55" s="547"/>
      <c r="P55" s="547"/>
      <c r="Q55" s="547"/>
      <c r="R55" s="547"/>
      <c r="S55" s="547"/>
      <c r="T55" s="547"/>
      <c r="U55" s="4"/>
      <c r="V55" s="4"/>
      <c r="W55" s="4"/>
      <c r="X55" s="4"/>
      <c r="Y55" s="4"/>
      <c r="Z55" s="4"/>
      <c r="AA55" s="4"/>
    </row>
    <row r="56" spans="1:27" s="1" customFormat="1" ht="14.25" x14ac:dyDescent="0.2">
      <c r="A56" s="4"/>
      <c r="B56" s="4"/>
      <c r="C56" s="4"/>
      <c r="D56" s="4"/>
      <c r="E56" s="499"/>
      <c r="F56" s="499"/>
      <c r="G56" s="499"/>
      <c r="H56" s="499"/>
      <c r="I56" s="499"/>
      <c r="J56" s="499"/>
      <c r="K56" s="499"/>
      <c r="L56" s="499"/>
      <c r="M56" s="547"/>
      <c r="N56" s="547"/>
      <c r="O56" s="547"/>
      <c r="P56" s="547"/>
      <c r="Q56" s="547"/>
      <c r="R56" s="547"/>
      <c r="S56" s="547"/>
      <c r="T56" s="547"/>
      <c r="U56" s="4"/>
      <c r="V56" s="4"/>
      <c r="W56" s="4"/>
      <c r="X56" s="4"/>
      <c r="Y56" s="4"/>
      <c r="Z56" s="4"/>
      <c r="AA56" s="4"/>
    </row>
    <row r="57" spans="1:27" s="1" customFormat="1" ht="14.25" x14ac:dyDescent="0.2">
      <c r="A57" s="4"/>
      <c r="B57" s="4"/>
      <c r="C57" s="4"/>
      <c r="D57" s="4"/>
      <c r="E57" s="499"/>
      <c r="F57" s="499"/>
      <c r="G57" s="499"/>
      <c r="H57" s="499"/>
      <c r="I57" s="499"/>
      <c r="J57" s="499"/>
      <c r="K57" s="499"/>
      <c r="L57" s="499"/>
      <c r="M57" s="547"/>
      <c r="N57" s="547"/>
      <c r="O57" s="547"/>
      <c r="P57" s="547"/>
      <c r="Q57" s="547"/>
      <c r="R57" s="547"/>
      <c r="S57" s="547"/>
      <c r="T57" s="547"/>
      <c r="U57" s="4"/>
      <c r="V57" s="4"/>
      <c r="W57" s="4"/>
      <c r="X57" s="4"/>
      <c r="Y57" s="4"/>
      <c r="Z57" s="4"/>
      <c r="AA57" s="4"/>
    </row>
    <row r="58" spans="1:27" s="1" customFormat="1" x14ac:dyDescent="0.2">
      <c r="A58" s="616"/>
      <c r="B58" s="617" t="s">
        <v>889</v>
      </c>
      <c r="C58" s="507"/>
      <c r="D58" s="507"/>
      <c r="E58" s="618"/>
      <c r="F58" s="618"/>
      <c r="G58" s="618"/>
      <c r="H58" s="618"/>
      <c r="I58" s="618"/>
      <c r="J58" s="618"/>
      <c r="K58" s="618"/>
      <c r="L58" s="618"/>
      <c r="M58" s="619"/>
      <c r="N58" s="619"/>
      <c r="O58" s="619"/>
      <c r="P58" s="619"/>
      <c r="Q58" s="619"/>
      <c r="R58" s="619"/>
      <c r="S58" s="619"/>
      <c r="T58" s="547"/>
      <c r="U58" s="4"/>
      <c r="V58" s="4"/>
      <c r="W58" s="4"/>
      <c r="X58" s="4"/>
      <c r="Y58" s="4"/>
      <c r="Z58" s="4"/>
      <c r="AA58" s="4"/>
    </row>
    <row r="59" spans="1:27" s="1" customFormat="1" ht="14.25" x14ac:dyDescent="0.2">
      <c r="A59" s="4"/>
      <c r="B59" s="4"/>
      <c r="C59" s="4"/>
      <c r="D59" s="4"/>
      <c r="E59" s="4" t="s">
        <v>348</v>
      </c>
      <c r="F59" s="4"/>
      <c r="G59" s="4"/>
      <c r="H59" s="4"/>
      <c r="I59" s="4"/>
      <c r="J59" s="4"/>
      <c r="K59" s="4"/>
      <c r="L59" s="4"/>
      <c r="M59" s="4"/>
      <c r="N59" s="4"/>
      <c r="O59" s="4"/>
      <c r="P59" s="4"/>
      <c r="Q59" s="4"/>
      <c r="R59" s="71"/>
      <c r="S59" s="71"/>
      <c r="T59" s="547"/>
      <c r="U59" s="4"/>
      <c r="V59" s="4"/>
      <c r="W59" s="4"/>
      <c r="X59" s="4"/>
      <c r="Y59" s="4"/>
      <c r="Z59" s="4"/>
      <c r="AA59" s="4"/>
    </row>
    <row r="60" spans="1:27" s="1" customFormat="1" ht="14.25" x14ac:dyDescent="0.2">
      <c r="A60" s="15"/>
      <c r="B60" s="15"/>
      <c r="C60" s="15"/>
      <c r="D60" s="15"/>
      <c r="E60" s="539">
        <f t="shared" ref="E60:K60" si="13">E8</f>
        <v>2009</v>
      </c>
      <c r="F60" s="539">
        <f t="shared" si="13"/>
        <v>2010</v>
      </c>
      <c r="G60" s="539">
        <f t="shared" si="13"/>
        <v>2011</v>
      </c>
      <c r="H60" s="539">
        <f t="shared" si="13"/>
        <v>2012</v>
      </c>
      <c r="I60" s="539">
        <f t="shared" si="13"/>
        <v>2013</v>
      </c>
      <c r="J60" s="539">
        <f t="shared" si="13"/>
        <v>2014</v>
      </c>
      <c r="K60" s="539">
        <f t="shared" si="13"/>
        <v>2015</v>
      </c>
      <c r="L60" s="38"/>
      <c r="M60" s="540"/>
      <c r="N60" s="540"/>
      <c r="O60" s="540"/>
      <c r="P60" s="540"/>
      <c r="Q60" s="540"/>
      <c r="R60" s="540"/>
      <c r="S60" s="540"/>
      <c r="T60" s="547"/>
      <c r="U60" s="4"/>
      <c r="V60" s="4"/>
      <c r="W60" s="4"/>
      <c r="X60" s="4"/>
      <c r="Y60" s="4"/>
      <c r="Z60" s="4"/>
      <c r="AA60" s="4"/>
    </row>
    <row r="61" spans="1:27" s="1" customFormat="1" x14ac:dyDescent="0.25">
      <c r="A61" s="597">
        <v>1</v>
      </c>
      <c r="B61" s="598" t="s">
        <v>879</v>
      </c>
      <c r="C61" s="509"/>
      <c r="D61" s="509"/>
      <c r="E61" s="599"/>
      <c r="F61" s="599"/>
      <c r="G61" s="599"/>
      <c r="H61" s="599"/>
      <c r="I61" s="599"/>
      <c r="J61" s="599"/>
      <c r="K61" s="599"/>
      <c r="L61" s="499"/>
      <c r="M61" s="547"/>
      <c r="N61" s="547"/>
      <c r="O61" s="547"/>
      <c r="P61" s="547"/>
      <c r="Q61" s="547"/>
      <c r="R61" s="547"/>
      <c r="S61" s="547"/>
      <c r="T61" s="547"/>
      <c r="U61" s="4"/>
      <c r="V61" s="4"/>
      <c r="W61" s="4"/>
      <c r="X61" s="4"/>
      <c r="Y61" s="4"/>
      <c r="Z61" s="4"/>
      <c r="AA61" s="4"/>
    </row>
    <row r="62" spans="1:27" s="1" customFormat="1" ht="14.25" outlineLevel="1" x14ac:dyDescent="0.2">
      <c r="A62" s="36"/>
      <c r="B62" s="489" t="s">
        <v>4</v>
      </c>
      <c r="C62" s="4" t="str">
        <f>C11</f>
        <v>Корпоративные кредиты</v>
      </c>
      <c r="D62" s="4"/>
      <c r="E62" s="603"/>
      <c r="F62" s="603"/>
      <c r="G62" s="603">
        <f>IF(G11=0,"-",МСФО_ввод!G260/G11)</f>
        <v>0.24010043728906086</v>
      </c>
      <c r="H62" s="603">
        <f>IF(H11=0,"-",МСФО_ввод!H260/H11)</f>
        <v>0.33530449350419228</v>
      </c>
      <c r="I62" s="603">
        <f>IF(I11=0,"-",МСФО_ввод!I260/I11)</f>
        <v>0.25199640140217394</v>
      </c>
      <c r="J62" s="603">
        <f>IF(J11=0,"-",МСФО_ввод!J260/J11)</f>
        <v>0.29871323529411764</v>
      </c>
      <c r="K62" s="603">
        <f>IF(K11=0,"-",МСФО_ввод!K260/K11)</f>
        <v>0.4478938930185104</v>
      </c>
      <c r="L62" s="499"/>
      <c r="M62" s="603"/>
      <c r="N62" s="603"/>
      <c r="O62" s="603"/>
      <c r="P62" s="603"/>
      <c r="Q62" s="603"/>
      <c r="R62" s="603"/>
      <c r="S62" s="603"/>
      <c r="T62" s="547"/>
      <c r="U62" s="4"/>
      <c r="V62" s="4"/>
      <c r="W62" s="4"/>
      <c r="X62" s="4"/>
      <c r="Y62" s="4"/>
      <c r="Z62" s="4"/>
      <c r="AA62" s="4"/>
    </row>
    <row r="63" spans="1:27" s="1" customFormat="1" ht="14.25" outlineLevel="1" x14ac:dyDescent="0.2">
      <c r="A63" s="36"/>
      <c r="B63" s="489" t="s">
        <v>5</v>
      </c>
      <c r="C63" s="4" t="str">
        <f>C12</f>
        <v>Кредиты малому и среднему бизнесу</v>
      </c>
      <c r="D63" s="4"/>
      <c r="E63" s="603"/>
      <c r="F63" s="603"/>
      <c r="G63" s="603">
        <f>IF(G12=0,"-",МСФО_ввод!G261/G12)</f>
        <v>5.6340872374798068E-2</v>
      </c>
      <c r="H63" s="603">
        <f>IF(H12=0,"-",МСФО_ввод!H261/H12)</f>
        <v>8.4872666371114736E-2</v>
      </c>
      <c r="I63" s="603">
        <f>IF(I12=0,"-",МСФО_ввод!I261/I12)</f>
        <v>4.5660125252933066E-2</v>
      </c>
      <c r="J63" s="603">
        <f>IF(J12=0,"-",МСФО_ввод!J261/J12)</f>
        <v>4.5216432313206503E-2</v>
      </c>
      <c r="K63" s="603">
        <f>IF(K12=0,"-",МСФО_ввод!K261/K12)</f>
        <v>0.3857323232323232</v>
      </c>
      <c r="L63" s="499"/>
      <c r="M63" s="603"/>
      <c r="N63" s="603"/>
      <c r="O63" s="603"/>
      <c r="P63" s="603"/>
      <c r="Q63" s="603"/>
      <c r="R63" s="603"/>
      <c r="S63" s="603"/>
      <c r="T63" s="547"/>
      <c r="U63" s="4"/>
      <c r="V63" s="4"/>
      <c r="W63" s="4"/>
      <c r="X63" s="4"/>
      <c r="Y63" s="4"/>
      <c r="Z63" s="4"/>
      <c r="AA63" s="4"/>
    </row>
    <row r="64" spans="1:27" s="1" customFormat="1" ht="14.25" outlineLevel="1" x14ac:dyDescent="0.2">
      <c r="A64" s="36"/>
      <c r="B64" s="489" t="s">
        <v>14</v>
      </c>
      <c r="C64" s="4" t="str">
        <f>C13</f>
        <v>Кредиты государственным и муниципальным органам</v>
      </c>
      <c r="D64" s="4"/>
      <c r="E64" s="603"/>
      <c r="F64" s="603"/>
      <c r="G64" s="603">
        <f>IF(G13=0,"-",МСФО_ввод!G262/G13)</f>
        <v>0</v>
      </c>
      <c r="H64" s="603">
        <f>IF(H13=0,"-",МСФО_ввод!H262/H13)</f>
        <v>0</v>
      </c>
      <c r="I64" s="603">
        <f>IF(I13=0,"-",МСФО_ввод!I262/I13)</f>
        <v>0</v>
      </c>
      <c r="J64" s="603">
        <f>IF(J13=0,"-",МСФО_ввод!J262/J13)</f>
        <v>0</v>
      </c>
      <c r="K64" s="603">
        <f>IF(K13=0,"-",МСФО_ввод!K262/K13)</f>
        <v>0</v>
      </c>
      <c r="L64" s="499"/>
      <c r="M64" s="603"/>
      <c r="N64" s="603"/>
      <c r="O64" s="603"/>
      <c r="P64" s="603"/>
      <c r="Q64" s="603"/>
      <c r="R64" s="603"/>
      <c r="S64" s="603"/>
      <c r="T64" s="547"/>
      <c r="U64" s="4"/>
      <c r="V64" s="4"/>
      <c r="W64" s="4"/>
      <c r="X64" s="4"/>
      <c r="Y64" s="4"/>
      <c r="Z64" s="4"/>
      <c r="AA64" s="4"/>
    </row>
    <row r="65" spans="1:27" s="1" customFormat="1" ht="14.25" outlineLevel="1" x14ac:dyDescent="0.2">
      <c r="A65" s="36"/>
      <c r="B65" s="489" t="s">
        <v>540</v>
      </c>
      <c r="C65" s="4" t="str">
        <f>C14</f>
        <v>Договоры обратного РЕПО</v>
      </c>
      <c r="D65" s="4"/>
      <c r="E65" s="603"/>
      <c r="F65" s="603"/>
      <c r="G65" s="603">
        <f>IF(G14=0,"-",МСФО_ввод!G263/G14)</f>
        <v>0</v>
      </c>
      <c r="H65" s="603">
        <f>IF(H14=0,"-",МСФО_ввод!H263/H14)</f>
        <v>0</v>
      </c>
      <c r="I65" s="603">
        <f>IF(I14=0,"-",МСФО_ввод!I263/I14)</f>
        <v>0</v>
      </c>
      <c r="J65" s="603" t="str">
        <f>IF(J14=0,"-",МСФО_ввод!J263/J14)</f>
        <v>-</v>
      </c>
      <c r="K65" s="603" t="str">
        <f>IF(K14=0,"-",МСФО_ввод!K263/K14)</f>
        <v>-</v>
      </c>
      <c r="L65" s="499"/>
      <c r="M65" s="603"/>
      <c r="N65" s="603"/>
      <c r="O65" s="603"/>
      <c r="P65" s="603"/>
      <c r="Q65" s="603"/>
      <c r="R65" s="603"/>
      <c r="S65" s="603"/>
      <c r="T65" s="547"/>
      <c r="U65" s="4"/>
      <c r="V65" s="4"/>
      <c r="W65" s="4"/>
      <c r="X65" s="4"/>
      <c r="Y65" s="4"/>
      <c r="Z65" s="4"/>
      <c r="AA65" s="4"/>
    </row>
    <row r="66" spans="1:27" s="3" customFormat="1" ht="21.75" customHeight="1" x14ac:dyDescent="0.25">
      <c r="A66" s="601"/>
      <c r="B66" s="605" t="s">
        <v>890</v>
      </c>
      <c r="C66" s="606"/>
      <c r="D66" s="606"/>
      <c r="E66" s="615"/>
      <c r="F66" s="615"/>
      <c r="G66" s="615">
        <f>IF(G15=0,"-",МСФО_ввод!G264/G15)</f>
        <v>0.18941233608547833</v>
      </c>
      <c r="H66" s="615">
        <f>IF(H15=0,"-",МСФО_ввод!H264/H15)</f>
        <v>0.27801476472881737</v>
      </c>
      <c r="I66" s="615">
        <f>IF(I15=0,"-",МСФО_ввод!I264/I15)</f>
        <v>0.20072701555274444</v>
      </c>
      <c r="J66" s="615">
        <f>IF(J15=0,"-",МСФО_ввод!J264/J15)</f>
        <v>0.215212212123886</v>
      </c>
      <c r="K66" s="615">
        <f>IF(K15=0,"-",МСФО_ввод!K264/K15)</f>
        <v>0.37185828202281213</v>
      </c>
      <c r="L66" s="595"/>
      <c r="M66" s="612"/>
      <c r="N66" s="612"/>
      <c r="O66" s="612"/>
      <c r="P66" s="612"/>
      <c r="Q66" s="612"/>
      <c r="R66" s="612"/>
      <c r="S66" s="612"/>
      <c r="T66" s="596"/>
      <c r="U66" s="6"/>
      <c r="V66" s="6"/>
      <c r="W66" s="6"/>
      <c r="X66" s="6"/>
      <c r="Y66" s="6"/>
      <c r="Z66" s="6"/>
      <c r="AA66" s="6"/>
    </row>
    <row r="67" spans="1:27" s="2" customFormat="1" x14ac:dyDescent="0.25">
      <c r="A67" s="597">
        <v>2</v>
      </c>
      <c r="B67" s="598" t="s">
        <v>880</v>
      </c>
      <c r="C67" s="598"/>
      <c r="D67" s="598"/>
      <c r="E67" s="600"/>
      <c r="F67" s="600"/>
      <c r="G67" s="600"/>
      <c r="H67" s="600"/>
      <c r="I67" s="600"/>
      <c r="J67" s="600"/>
      <c r="K67" s="600"/>
      <c r="L67" s="593"/>
      <c r="M67" s="594"/>
      <c r="N67" s="594"/>
      <c r="O67" s="594"/>
      <c r="P67" s="594"/>
      <c r="Q67" s="594"/>
      <c r="R67" s="594"/>
      <c r="S67" s="594"/>
      <c r="T67" s="594"/>
      <c r="U67" s="12"/>
      <c r="V67" s="12"/>
      <c r="W67" s="12"/>
      <c r="X67" s="12"/>
      <c r="Y67" s="12"/>
      <c r="Z67" s="12"/>
      <c r="AA67" s="12"/>
    </row>
    <row r="68" spans="1:27" s="1" customFormat="1" ht="14.25" outlineLevel="1" x14ac:dyDescent="0.2">
      <c r="A68" s="36"/>
      <c r="B68" s="489" t="s">
        <v>6</v>
      </c>
      <c r="C68" s="4" t="str">
        <f>C17</f>
        <v>Потребительские кредиты</v>
      </c>
      <c r="D68" s="4"/>
      <c r="E68" s="603"/>
      <c r="F68" s="603"/>
      <c r="G68" s="547">
        <f>IF(G17=0,"-",МСФО_ввод!G267/G17)</f>
        <v>1.0712983223924142E-3</v>
      </c>
      <c r="H68" s="547">
        <f>IF(H17=0,"-",МСФО_ввод!H267/H17)</f>
        <v>8.7938800314577813E-3</v>
      </c>
      <c r="I68" s="547">
        <f>IF(I17=0,"-",МСФО_ввод!I267/I17)</f>
        <v>0</v>
      </c>
      <c r="J68" s="547">
        <f>IF(J17=0,"-",МСФО_ввод!J267/J17)</f>
        <v>0</v>
      </c>
      <c r="K68" s="547">
        <f>IF(K17=0,"-",МСФО_ввод!K267/K17)</f>
        <v>0</v>
      </c>
      <c r="L68" s="499"/>
      <c r="M68" s="603"/>
      <c r="N68" s="603"/>
      <c r="O68" s="603"/>
      <c r="P68" s="603"/>
      <c r="Q68" s="603"/>
      <c r="R68" s="603"/>
      <c r="S68" s="603"/>
      <c r="T68" s="547"/>
      <c r="U68" s="4"/>
      <c r="V68" s="4"/>
      <c r="W68" s="4"/>
      <c r="X68" s="4"/>
      <c r="Y68" s="4"/>
      <c r="Z68" s="4"/>
      <c r="AA68" s="4"/>
    </row>
    <row r="69" spans="1:27" s="1" customFormat="1" ht="14.25" outlineLevel="1" x14ac:dyDescent="0.2">
      <c r="A69" s="36"/>
      <c r="B69" s="489" t="s">
        <v>7</v>
      </c>
      <c r="C69" s="4" t="str">
        <f>C18</f>
        <v>Ипотечные кредиты</v>
      </c>
      <c r="D69" s="4"/>
      <c r="E69" s="603"/>
      <c r="F69" s="603"/>
      <c r="G69" s="547">
        <f>IF(G18=0,"-",МСФО_ввод!G268/G18)</f>
        <v>4.0072689995806349E-3</v>
      </c>
      <c r="H69" s="547">
        <f>IF(H18=0,"-",МСФО_ввод!H268/H18)</f>
        <v>0</v>
      </c>
      <c r="I69" s="547">
        <f>IF(I18=0,"-",МСФО_ввод!I268/I18)</f>
        <v>8.3566623490577871E-5</v>
      </c>
      <c r="J69" s="547">
        <f>IF(J18=0,"-",МСФО_ввод!J268/J18)</f>
        <v>4.3478260869565227E-3</v>
      </c>
      <c r="K69" s="547">
        <f>IF(K18=0,"-",МСФО_ввод!K268/K18)</f>
        <v>7.3081607795371503E-3</v>
      </c>
      <c r="L69" s="499"/>
      <c r="M69" s="603"/>
      <c r="N69" s="603"/>
      <c r="O69" s="603"/>
      <c r="P69" s="603"/>
      <c r="Q69" s="603"/>
      <c r="R69" s="603"/>
      <c r="S69" s="603"/>
      <c r="T69" s="547"/>
      <c r="U69" s="4"/>
      <c r="V69" s="4"/>
      <c r="W69" s="4"/>
      <c r="X69" s="4"/>
      <c r="Y69" s="4"/>
      <c r="Z69" s="4"/>
      <c r="AA69" s="4"/>
    </row>
    <row r="70" spans="1:27" s="1" customFormat="1" ht="14.25" outlineLevel="1" x14ac:dyDescent="0.2">
      <c r="A70" s="36"/>
      <c r="B70" s="489" t="s">
        <v>9</v>
      </c>
      <c r="C70" s="4" t="str">
        <f>C19</f>
        <v>Кредитные карты</v>
      </c>
      <c r="D70" s="4"/>
      <c r="E70" s="603"/>
      <c r="F70" s="603"/>
      <c r="G70" s="547">
        <f>IF(G19=0,"-",МСФО_ввод!G269/G19)</f>
        <v>0</v>
      </c>
      <c r="H70" s="547" t="str">
        <f>IF(H19=0,"-",МСФО_ввод!H269/H19)</f>
        <v>-</v>
      </c>
      <c r="I70" s="547" t="str">
        <f>IF(I19=0,"-",МСФО_ввод!I269/I19)</f>
        <v>-</v>
      </c>
      <c r="J70" s="547">
        <f>IF(J19=0,"-",МСФО_ввод!J269/J19)</f>
        <v>0</v>
      </c>
      <c r="K70" s="547">
        <f>IF(K19=0,"-",МСФО_ввод!K269/K19)</f>
        <v>0</v>
      </c>
      <c r="L70" s="499"/>
      <c r="M70" s="603"/>
      <c r="N70" s="603"/>
      <c r="O70" s="603"/>
      <c r="P70" s="603"/>
      <c r="Q70" s="603"/>
      <c r="R70" s="603"/>
      <c r="S70" s="603"/>
      <c r="T70" s="547"/>
      <c r="U70" s="4"/>
      <c r="V70" s="4"/>
      <c r="W70" s="4"/>
      <c r="X70" s="4"/>
      <c r="Y70" s="4"/>
      <c r="Z70" s="4"/>
      <c r="AA70" s="4"/>
    </row>
    <row r="71" spans="1:27" s="1" customFormat="1" ht="14.25" outlineLevel="1" x14ac:dyDescent="0.2">
      <c r="A71" s="36"/>
      <c r="B71" s="489" t="s">
        <v>478</v>
      </c>
      <c r="C71" s="4" t="str">
        <f>C20</f>
        <v>Автокредиты</v>
      </c>
      <c r="D71" s="4"/>
      <c r="E71" s="603"/>
      <c r="F71" s="603"/>
      <c r="G71" s="547">
        <f>IF(G20=0,"-",МСФО_ввод!G270/G20)</f>
        <v>0</v>
      </c>
      <c r="H71" s="547">
        <f>IF(H20=0,"-",МСФО_ввод!H270/H20)</f>
        <v>0</v>
      </c>
      <c r="I71" s="547">
        <f>IF(I20=0,"-",МСФО_ввод!I270/I20)</f>
        <v>0</v>
      </c>
      <c r="J71" s="547">
        <f>IF(J20=0,"-",МСФО_ввод!J270/J20)</f>
        <v>0</v>
      </c>
      <c r="K71" s="547">
        <f>IF(K20=0,"-",МСФО_ввод!K270/K20)</f>
        <v>0</v>
      </c>
      <c r="L71" s="499"/>
      <c r="M71" s="603"/>
      <c r="N71" s="603"/>
      <c r="O71" s="603"/>
      <c r="P71" s="603"/>
      <c r="Q71" s="603"/>
      <c r="R71" s="603"/>
      <c r="S71" s="603"/>
      <c r="T71" s="547"/>
      <c r="U71" s="4"/>
      <c r="V71" s="4"/>
      <c r="W71" s="4"/>
      <c r="X71" s="4"/>
      <c r="Y71" s="4"/>
      <c r="Z71" s="4"/>
      <c r="AA71" s="4"/>
    </row>
    <row r="72" spans="1:27" s="1" customFormat="1" ht="14.25" outlineLevel="1" x14ac:dyDescent="0.2">
      <c r="A72" s="36"/>
      <c r="B72" s="489" t="s">
        <v>479</v>
      </c>
      <c r="C72" s="4" t="str">
        <f>C21</f>
        <v>Прочие</v>
      </c>
      <c r="D72" s="4"/>
      <c r="E72" s="603"/>
      <c r="F72" s="603"/>
      <c r="G72" s="547">
        <f>IF(G21=0,"-",МСФО_ввод!G271/G21)</f>
        <v>0</v>
      </c>
      <c r="H72" s="547">
        <f>IF(H21=0,"-",МСФО_ввод!H271/H21)</f>
        <v>1.655933762649494E-3</v>
      </c>
      <c r="I72" s="547">
        <f>IF(I21=0,"-",МСФО_ввод!I271/I21)</f>
        <v>3.8387715930902113E-4</v>
      </c>
      <c r="J72" s="547" t="str">
        <f>IF(J21=0,"-",МСФО_ввод!J271/J21)</f>
        <v>-</v>
      </c>
      <c r="K72" s="547" t="str">
        <f>IF(K21=0,"-",МСФО_ввод!K271/K21)</f>
        <v>-</v>
      </c>
      <c r="L72" s="499"/>
      <c r="M72" s="603"/>
      <c r="N72" s="603"/>
      <c r="O72" s="603"/>
      <c r="P72" s="603"/>
      <c r="Q72" s="603"/>
      <c r="R72" s="603"/>
      <c r="S72" s="603"/>
      <c r="T72" s="547"/>
      <c r="U72" s="4"/>
      <c r="V72" s="4"/>
      <c r="W72" s="4"/>
      <c r="X72" s="4"/>
      <c r="Y72" s="4"/>
      <c r="Z72" s="4"/>
      <c r="AA72" s="4"/>
    </row>
    <row r="73" spans="1:27" s="3" customFormat="1" ht="21.75" customHeight="1" x14ac:dyDescent="0.25">
      <c r="A73" s="601"/>
      <c r="B73" s="605" t="s">
        <v>891</v>
      </c>
      <c r="C73" s="606"/>
      <c r="D73" s="606"/>
      <c r="E73" s="615"/>
      <c r="F73" s="615"/>
      <c r="G73" s="614">
        <f>IF(G22=0,"-",МСФО_ввод!G272/G22)</f>
        <v>1.7826984424845185E-3</v>
      </c>
      <c r="H73" s="614">
        <f>IF(H22=0,"-",МСФО_ввод!H272/H22)</f>
        <v>6.422924901185771E-3</v>
      </c>
      <c r="I73" s="614">
        <f>IF(I22=0,"-",МСФО_ввод!I272/I22)</f>
        <v>5.2319801882350199E-5</v>
      </c>
      <c r="J73" s="614">
        <f>IF(J22=0,"-",МСФО_ввод!J272/J22)</f>
        <v>1.2320328542094457E-3</v>
      </c>
      <c r="K73" s="614">
        <f>IF(K22=0,"-",МСФО_ввод!K272/K22)</f>
        <v>2.0993701889433169E-3</v>
      </c>
      <c r="L73" s="595"/>
      <c r="M73" s="612"/>
      <c r="N73" s="612"/>
      <c r="O73" s="612"/>
      <c r="P73" s="612"/>
      <c r="Q73" s="612"/>
      <c r="R73" s="612"/>
      <c r="S73" s="612"/>
      <c r="T73" s="596"/>
      <c r="U73" s="6"/>
      <c r="V73" s="6"/>
      <c r="W73" s="6"/>
      <c r="X73" s="6"/>
      <c r="Y73" s="6"/>
      <c r="Z73" s="6"/>
      <c r="AA73" s="6"/>
    </row>
    <row r="74" spans="1:27" s="1" customFormat="1" ht="26.25" customHeight="1" x14ac:dyDescent="0.2">
      <c r="A74" s="515"/>
      <c r="B74" s="516" t="s">
        <v>892</v>
      </c>
      <c r="C74" s="517"/>
      <c r="D74" s="517"/>
      <c r="E74" s="608"/>
      <c r="F74" s="608"/>
      <c r="G74" s="608">
        <f>IF(G23=0,"-",МСФО_ввод!G274/G23)</f>
        <v>0.17167229136753098</v>
      </c>
      <c r="H74" s="608">
        <f>IF(H23=0,"-",МСФО_ввод!H274/H23)</f>
        <v>0.24792324325310655</v>
      </c>
      <c r="I74" s="608">
        <f>IF(I23=0,"-",МСФО_ввод!I274/I23)</f>
        <v>0.16996627175961612</v>
      </c>
      <c r="J74" s="608">
        <f>IF(J23=0,"-",МСФО_ввод!J274/J23)</f>
        <v>0.1773678094131319</v>
      </c>
      <c r="K74" s="608">
        <f>IF(K23=0,"-",МСФО_ввод!K274/K23)</f>
        <v>0.28907168037602821</v>
      </c>
      <c r="L74" s="499"/>
      <c r="M74" s="613"/>
      <c r="N74" s="613"/>
      <c r="O74" s="613"/>
      <c r="P74" s="613"/>
      <c r="Q74" s="613"/>
      <c r="R74" s="613"/>
      <c r="S74" s="613"/>
      <c r="T74" s="547"/>
      <c r="U74" s="4"/>
      <c r="V74" s="4"/>
      <c r="W74" s="4"/>
      <c r="X74" s="4"/>
      <c r="Y74" s="4"/>
      <c r="Z74" s="4"/>
      <c r="AA74" s="4"/>
    </row>
    <row r="75" spans="1:27" s="1" customFormat="1" ht="14.25" x14ac:dyDescent="0.2">
      <c r="A75" s="4"/>
      <c r="B75" s="4"/>
      <c r="C75" s="4"/>
      <c r="D75" s="4"/>
      <c r="E75" s="4"/>
      <c r="F75" s="4"/>
      <c r="G75" s="4"/>
      <c r="H75" s="4"/>
      <c r="I75" s="4"/>
      <c r="J75" s="4"/>
      <c r="K75" s="4"/>
      <c r="L75" s="4"/>
      <c r="M75" s="547"/>
      <c r="N75" s="547"/>
      <c r="O75" s="547"/>
      <c r="P75" s="547"/>
      <c r="Q75" s="547"/>
      <c r="R75" s="547"/>
      <c r="S75" s="547"/>
      <c r="T75" s="547"/>
      <c r="U75" s="4"/>
      <c r="V75" s="4"/>
      <c r="W75" s="4"/>
      <c r="X75" s="4"/>
      <c r="Y75" s="4"/>
      <c r="Z75" s="4"/>
      <c r="AA75" s="4"/>
    </row>
    <row r="76" spans="1:27" s="1" customFormat="1" ht="14.25" x14ac:dyDescent="0.2">
      <c r="A76" s="4"/>
      <c r="B76" s="4"/>
      <c r="C76" s="4"/>
      <c r="D76" s="4"/>
      <c r="E76" s="4"/>
      <c r="F76" s="4"/>
      <c r="G76" s="4"/>
      <c r="H76" s="4"/>
      <c r="I76" s="4"/>
      <c r="J76" s="4"/>
      <c r="K76" s="4"/>
      <c r="L76" s="4"/>
      <c r="M76" s="547"/>
      <c r="N76" s="547"/>
      <c r="O76" s="547"/>
      <c r="P76" s="547"/>
      <c r="Q76" s="547"/>
      <c r="R76" s="547"/>
      <c r="S76" s="547"/>
      <c r="T76" s="547"/>
      <c r="U76" s="4"/>
      <c r="V76" s="4"/>
      <c r="W76" s="4"/>
      <c r="X76" s="4"/>
      <c r="Y76" s="4"/>
      <c r="Z76" s="4"/>
      <c r="AA76" s="4"/>
    </row>
    <row r="77" spans="1:27" s="1" customFormat="1" x14ac:dyDescent="0.2">
      <c r="A77" s="616"/>
      <c r="B77" s="617" t="s">
        <v>992</v>
      </c>
      <c r="C77" s="507"/>
      <c r="D77" s="507"/>
      <c r="E77" s="618"/>
      <c r="F77" s="618"/>
      <c r="G77" s="618"/>
      <c r="H77" s="618"/>
      <c r="I77" s="618"/>
      <c r="J77" s="618"/>
      <c r="K77" s="618"/>
      <c r="L77" s="618"/>
      <c r="M77" s="619"/>
      <c r="N77" s="619"/>
      <c r="O77" s="619"/>
      <c r="P77" s="619"/>
      <c r="Q77" s="619"/>
      <c r="R77" s="619"/>
      <c r="S77" s="619"/>
      <c r="T77" s="547"/>
      <c r="U77" s="4"/>
      <c r="V77" s="4"/>
      <c r="W77" s="4"/>
      <c r="X77" s="4"/>
      <c r="Y77" s="4"/>
      <c r="Z77" s="4"/>
      <c r="AA77" s="4"/>
    </row>
    <row r="78" spans="1:27" s="1" customFormat="1" ht="14.25" x14ac:dyDescent="0.2">
      <c r="A78" s="4"/>
      <c r="B78" s="4"/>
      <c r="C78" s="4"/>
      <c r="D78" s="4"/>
      <c r="E78" s="4" t="s">
        <v>348</v>
      </c>
      <c r="F78" s="4"/>
      <c r="G78" s="4"/>
      <c r="H78" s="4"/>
      <c r="I78" s="4"/>
      <c r="J78" s="4"/>
      <c r="K78" s="4"/>
      <c r="L78" s="4"/>
      <c r="M78" s="547"/>
      <c r="N78" s="547"/>
      <c r="O78" s="547"/>
      <c r="P78" s="547"/>
      <c r="Q78" s="547"/>
      <c r="R78" s="547"/>
      <c r="S78" s="547"/>
      <c r="T78" s="547"/>
      <c r="U78" s="4"/>
      <c r="V78" s="4"/>
      <c r="W78" s="4"/>
      <c r="X78" s="4"/>
      <c r="Y78" s="4"/>
      <c r="Z78" s="4"/>
      <c r="AA78" s="4"/>
    </row>
    <row r="79" spans="1:27" s="1" customFormat="1" ht="14.25" x14ac:dyDescent="0.2">
      <c r="A79" s="15"/>
      <c r="B79" s="15"/>
      <c r="C79" s="15"/>
      <c r="D79" s="15"/>
      <c r="E79" s="539">
        <f t="shared" ref="E79:K79" si="14">E8</f>
        <v>2009</v>
      </c>
      <c r="F79" s="539">
        <f t="shared" si="14"/>
        <v>2010</v>
      </c>
      <c r="G79" s="539">
        <f t="shared" si="14"/>
        <v>2011</v>
      </c>
      <c r="H79" s="539">
        <f t="shared" si="14"/>
        <v>2012</v>
      </c>
      <c r="I79" s="539">
        <f t="shared" si="14"/>
        <v>2013</v>
      </c>
      <c r="J79" s="539">
        <f t="shared" si="14"/>
        <v>2014</v>
      </c>
      <c r="K79" s="539">
        <f t="shared" si="14"/>
        <v>2015</v>
      </c>
      <c r="L79" s="4"/>
      <c r="M79" s="547"/>
      <c r="N79" s="547"/>
      <c r="O79" s="547"/>
      <c r="P79" s="547"/>
      <c r="Q79" s="547"/>
      <c r="R79" s="547"/>
      <c r="S79" s="547"/>
      <c r="T79" s="547"/>
      <c r="U79" s="4"/>
      <c r="V79" s="4"/>
      <c r="W79" s="4"/>
      <c r="X79" s="4"/>
      <c r="Y79" s="4"/>
      <c r="Z79" s="4"/>
      <c r="AA79" s="4"/>
    </row>
    <row r="80" spans="1:27" s="1" customFormat="1" ht="14.25" x14ac:dyDescent="0.2">
      <c r="A80" s="4"/>
      <c r="B80" s="4" t="s">
        <v>993</v>
      </c>
      <c r="C80" s="4"/>
      <c r="D80" s="4"/>
      <c r="E80" s="603"/>
      <c r="F80" s="603"/>
      <c r="G80" s="603">
        <f>МСФО_ввод!G276/МСФО_ввод!G457</f>
        <v>8.6000221443813613E-2</v>
      </c>
      <c r="H80" s="603">
        <f>МСФО_ввод!H276/МСФО_ввод!H457</f>
        <v>0.16135634153596168</v>
      </c>
      <c r="I80" s="603">
        <f>МСФО_ввод!I276/МСФО_ввод!I457</f>
        <v>7.4176372712146388E-2</v>
      </c>
      <c r="J80" s="603">
        <f>МСФО_ввод!J276/МСФО_ввод!J457</f>
        <v>0.13092161929371235</v>
      </c>
      <c r="K80" s="603">
        <f>МСФО_ввод!K276/МСФО_ввод!K457</f>
        <v>0.37693136902623081</v>
      </c>
      <c r="L80" s="4"/>
      <c r="M80" s="547"/>
      <c r="N80" s="547"/>
      <c r="O80" s="547"/>
      <c r="P80" s="547"/>
      <c r="Q80" s="547"/>
      <c r="R80" s="547"/>
      <c r="S80" s="547"/>
      <c r="T80" s="547"/>
      <c r="U80" s="4"/>
      <c r="V80" s="4"/>
      <c r="W80" s="4"/>
      <c r="X80" s="4"/>
      <c r="Y80" s="4"/>
      <c r="Z80" s="4"/>
      <c r="AA80" s="4"/>
    </row>
    <row r="81" spans="1:27" s="1" customFormat="1" ht="14.25" x14ac:dyDescent="0.2">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s="1" customFormat="1" ht="14.25" x14ac:dyDescent="0.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s="1" customFormat="1" x14ac:dyDescent="0.2">
      <c r="A83" s="616"/>
      <c r="B83" s="617" t="s">
        <v>893</v>
      </c>
      <c r="C83" s="507"/>
      <c r="D83" s="507"/>
      <c r="E83" s="618"/>
      <c r="F83" s="618"/>
      <c r="G83" s="618"/>
      <c r="H83" s="618"/>
      <c r="I83" s="618"/>
      <c r="J83" s="618"/>
      <c r="K83" s="618"/>
      <c r="L83" s="618"/>
      <c r="M83" s="619"/>
      <c r="N83" s="619"/>
      <c r="O83" s="619"/>
      <c r="P83" s="619"/>
      <c r="Q83" s="619"/>
      <c r="R83" s="619"/>
      <c r="S83" s="619"/>
      <c r="T83" s="547"/>
      <c r="U83" s="4"/>
      <c r="V83" s="4"/>
      <c r="W83" s="4"/>
      <c r="X83" s="4"/>
      <c r="Y83" s="4"/>
      <c r="Z83" s="4"/>
      <c r="AA83" s="4"/>
    </row>
    <row r="84" spans="1:27" s="1" customFormat="1" ht="14.25" x14ac:dyDescent="0.2">
      <c r="A84" s="4"/>
      <c r="B84" s="4"/>
      <c r="C84" s="4"/>
      <c r="D84" s="4" t="s">
        <v>286</v>
      </c>
      <c r="E84" s="4" t="s">
        <v>348</v>
      </c>
      <c r="F84" s="4"/>
      <c r="G84" s="4"/>
      <c r="H84" s="4"/>
      <c r="I84" s="4"/>
      <c r="J84" s="4"/>
      <c r="K84" s="4"/>
      <c r="L84" s="4"/>
      <c r="M84" s="4" t="s">
        <v>17</v>
      </c>
      <c r="N84" s="4"/>
      <c r="O84" s="4"/>
      <c r="P84" s="4"/>
      <c r="Q84" s="4"/>
      <c r="R84" s="71"/>
      <c r="S84" s="71"/>
      <c r="T84" s="4"/>
      <c r="U84" s="4"/>
      <c r="V84" s="4"/>
      <c r="W84" s="4"/>
      <c r="X84" s="4"/>
      <c r="Y84" s="4"/>
      <c r="Z84" s="4"/>
      <c r="AA84" s="4"/>
    </row>
    <row r="85" spans="1:27" s="1" customFormat="1" ht="14.25" x14ac:dyDescent="0.2">
      <c r="A85" s="15"/>
      <c r="B85" s="15"/>
      <c r="C85" s="15"/>
      <c r="D85" s="15"/>
      <c r="E85" s="539">
        <f t="shared" ref="E85:K85" si="15">E8</f>
        <v>2009</v>
      </c>
      <c r="F85" s="539">
        <f t="shared" si="15"/>
        <v>2010</v>
      </c>
      <c r="G85" s="539">
        <f t="shared" si="15"/>
        <v>2011</v>
      </c>
      <c r="H85" s="539">
        <f t="shared" si="15"/>
        <v>2012</v>
      </c>
      <c r="I85" s="539">
        <f t="shared" si="15"/>
        <v>2013</v>
      </c>
      <c r="J85" s="539">
        <f t="shared" si="15"/>
        <v>2014</v>
      </c>
      <c r="K85" s="539">
        <f t="shared" si="15"/>
        <v>2015</v>
      </c>
      <c r="L85" s="15"/>
      <c r="M85" s="539">
        <f t="shared" ref="M85:S85" si="16">M8</f>
        <v>2009</v>
      </c>
      <c r="N85" s="539">
        <f t="shared" si="16"/>
        <v>2010</v>
      </c>
      <c r="O85" s="539">
        <f t="shared" si="16"/>
        <v>2011</v>
      </c>
      <c r="P85" s="539">
        <f t="shared" si="16"/>
        <v>2012</v>
      </c>
      <c r="Q85" s="539">
        <f t="shared" si="16"/>
        <v>2013</v>
      </c>
      <c r="R85" s="539">
        <f t="shared" si="16"/>
        <v>2014</v>
      </c>
      <c r="S85" s="539">
        <f t="shared" si="16"/>
        <v>2015</v>
      </c>
      <c r="T85" s="4"/>
      <c r="U85" s="4"/>
      <c r="V85" s="4"/>
      <c r="W85" s="4"/>
      <c r="X85" s="4"/>
      <c r="Y85" s="4"/>
      <c r="Z85" s="4"/>
      <c r="AA85" s="4"/>
    </row>
    <row r="86" spans="1:27" s="1" customFormat="1" ht="14.25" x14ac:dyDescent="0.2">
      <c r="A86" s="4"/>
      <c r="B86" s="4" t="s">
        <v>307</v>
      </c>
      <c r="C86" s="4"/>
      <c r="D86" s="4"/>
      <c r="E86" s="620">
        <f>МСФО_ввод!E218</f>
        <v>70.320999999999998</v>
      </c>
      <c r="F86" s="620">
        <f>МСФО_ввод!F218</f>
        <v>63.991</v>
      </c>
      <c r="G86" s="620">
        <f>МСФО_ввод!G218</f>
        <v>76.378</v>
      </c>
      <c r="H86" s="620">
        <f>МСФО_ввод!H218</f>
        <v>142.62700000000001</v>
      </c>
      <c r="I86" s="620">
        <f>МСФО_ввод!I218</f>
        <v>269.65899999999999</v>
      </c>
      <c r="J86" s="620">
        <f>МСФО_ввод!J218</f>
        <v>368</v>
      </c>
      <c r="K86" s="620">
        <f>МСФО_ввод!K218</f>
        <v>347.9</v>
      </c>
      <c r="L86" s="4"/>
      <c r="M86" s="624">
        <f t="shared" ref="M86:M99" si="17">E86/E$100</f>
        <v>0.11691600190201942</v>
      </c>
      <c r="N86" s="624">
        <f t="shared" ref="N86:N99" si="18">F86/F$100</f>
        <v>9.7808476296450272E-2</v>
      </c>
      <c r="O86" s="624">
        <f t="shared" ref="O86:O99" si="19">G86/G$100</f>
        <v>9.6794102476691124E-2</v>
      </c>
      <c r="P86" s="624">
        <f t="shared" ref="P86:P99" si="20">H86/H$100</f>
        <v>0.16265875043337047</v>
      </c>
      <c r="Q86" s="624">
        <f t="shared" ref="Q86:Q99" si="21">I86/I$100</f>
        <v>0.24029367157188611</v>
      </c>
      <c r="R86" s="624">
        <f t="shared" ref="R86:R99" si="22">J86/J$100</f>
        <v>0.2672864613596746</v>
      </c>
      <c r="S86" s="624">
        <f t="shared" ref="S86:S99" si="23">K86/K$100</f>
        <v>0.27254210732471607</v>
      </c>
      <c r="T86" s="4"/>
      <c r="U86" s="4"/>
      <c r="V86" s="4"/>
      <c r="W86" s="4"/>
      <c r="X86" s="4"/>
      <c r="Y86" s="4"/>
      <c r="Z86" s="4"/>
      <c r="AA86" s="4"/>
    </row>
    <row r="87" spans="1:27" s="1" customFormat="1" ht="14.25" x14ac:dyDescent="0.2">
      <c r="A87" s="4"/>
      <c r="B87" s="4" t="s">
        <v>432</v>
      </c>
      <c r="C87" s="4"/>
      <c r="D87" s="4"/>
      <c r="E87" s="620">
        <f>МСФО_ввод!E219</f>
        <v>88.293999999999997</v>
      </c>
      <c r="F87" s="620">
        <f>МСФО_ввод!F219</f>
        <v>79.739000000000004</v>
      </c>
      <c r="G87" s="620">
        <f>МСФО_ввод!G219</f>
        <v>74.608000000000004</v>
      </c>
      <c r="H87" s="620">
        <f>МСФО_ввод!H219</f>
        <v>97.153999999999996</v>
      </c>
      <c r="I87" s="620">
        <f>МСФО_ввод!I219</f>
        <v>172.02099999999999</v>
      </c>
      <c r="J87" s="620">
        <f>МСФО_ввод!J219</f>
        <v>243.5</v>
      </c>
      <c r="K87" s="620">
        <f>МСФО_ввод!K219</f>
        <v>285.8</v>
      </c>
      <c r="L87" s="4"/>
      <c r="M87" s="624">
        <f t="shared" si="17"/>
        <v>0.14679799024383758</v>
      </c>
      <c r="N87" s="624">
        <f t="shared" si="18"/>
        <v>0.12187885939276849</v>
      </c>
      <c r="O87" s="624">
        <f t="shared" si="19"/>
        <v>9.4550975380095992E-2</v>
      </c>
      <c r="P87" s="624">
        <f t="shared" si="20"/>
        <v>0.11079913508384578</v>
      </c>
      <c r="Q87" s="624">
        <f t="shared" si="21"/>
        <v>0.15328825545398972</v>
      </c>
      <c r="R87" s="624">
        <f t="shared" si="22"/>
        <v>0.17685938407902382</v>
      </c>
      <c r="S87" s="624">
        <f t="shared" si="23"/>
        <v>0.22389345867606741</v>
      </c>
      <c r="T87" s="4"/>
      <c r="U87" s="4"/>
      <c r="V87" s="4"/>
      <c r="W87" s="4"/>
      <c r="X87" s="4"/>
      <c r="Y87" s="4"/>
      <c r="Z87" s="4"/>
      <c r="AA87" s="4"/>
    </row>
    <row r="88" spans="1:27" s="1" customFormat="1" ht="14.25" x14ac:dyDescent="0.2">
      <c r="A88" s="4"/>
      <c r="B88" s="4" t="s">
        <v>433</v>
      </c>
      <c r="C88" s="4"/>
      <c r="D88" s="4"/>
      <c r="E88" s="620">
        <f>МСФО_ввод!E220</f>
        <v>214.17400000000001</v>
      </c>
      <c r="F88" s="620">
        <f>МСФО_ввод!F220</f>
        <v>281.46100000000001</v>
      </c>
      <c r="G88" s="620">
        <f>МСФО_ввод!G220</f>
        <v>249.6</v>
      </c>
      <c r="H88" s="620">
        <f>МСФО_ввод!H220</f>
        <v>153.09299999999999</v>
      </c>
      <c r="I88" s="620">
        <f>МСФО_ввод!I220</f>
        <v>187.9</v>
      </c>
      <c r="J88" s="620">
        <f>МСФО_ввод!J220</f>
        <v>236.9</v>
      </c>
      <c r="K88" s="620">
        <f>МСФО_ввод!K220</f>
        <v>231.2</v>
      </c>
      <c r="L88" s="4"/>
      <c r="M88" s="624">
        <f t="shared" si="17"/>
        <v>0.35608662833809401</v>
      </c>
      <c r="N88" s="624">
        <f t="shared" si="18"/>
        <v>0.43020536554945527</v>
      </c>
      <c r="O88" s="624">
        <f t="shared" si="19"/>
        <v>0.31631893972324626</v>
      </c>
      <c r="P88" s="624">
        <f t="shared" si="20"/>
        <v>0.17459468459755856</v>
      </c>
      <c r="Q88" s="624">
        <f t="shared" si="21"/>
        <v>0.16743806395617206</v>
      </c>
      <c r="R88" s="624">
        <f t="shared" si="22"/>
        <v>0.17206565950029054</v>
      </c>
      <c r="S88" s="624">
        <f t="shared" si="23"/>
        <v>0.18112025068546811</v>
      </c>
      <c r="T88" s="4"/>
      <c r="U88" s="4"/>
      <c r="V88" s="4"/>
      <c r="W88" s="4"/>
      <c r="X88" s="4"/>
      <c r="Y88" s="4"/>
      <c r="Z88" s="4"/>
      <c r="AA88" s="4"/>
    </row>
    <row r="89" spans="1:27" s="1" customFormat="1" ht="14.25" x14ac:dyDescent="0.2">
      <c r="A89" s="4"/>
      <c r="B89" s="4" t="s">
        <v>434</v>
      </c>
      <c r="C89" s="4"/>
      <c r="D89" s="4"/>
      <c r="E89" s="620">
        <f>МСФО_ввод!E221</f>
        <v>18.577999999999999</v>
      </c>
      <c r="F89" s="620">
        <f>МСФО_ввод!F221</f>
        <v>4.6059999999999999</v>
      </c>
      <c r="G89" s="620">
        <f>МСФО_ввод!G221</f>
        <v>116.595</v>
      </c>
      <c r="H89" s="620">
        <f>МСФО_ввод!H221</f>
        <v>45.594000000000001</v>
      </c>
      <c r="I89" s="620">
        <f>МСФО_ввод!I221</f>
        <v>8.8000000000000007</v>
      </c>
      <c r="J89" s="620">
        <f>МСФО_ввод!J221</f>
        <v>9</v>
      </c>
      <c r="K89" s="620">
        <f>МСФО_ввод!K221</f>
        <v>146.19999999999999</v>
      </c>
      <c r="L89" s="4"/>
      <c r="M89" s="624">
        <f t="shared" si="17"/>
        <v>3.0887863985661703E-2</v>
      </c>
      <c r="N89" s="624">
        <f t="shared" si="18"/>
        <v>7.0401437986818451E-3</v>
      </c>
      <c r="O89" s="624">
        <f t="shared" si="19"/>
        <v>0.14776124510028807</v>
      </c>
      <c r="P89" s="624">
        <f t="shared" si="20"/>
        <v>5.1997609619911331E-2</v>
      </c>
      <c r="Q89" s="624">
        <f t="shared" si="21"/>
        <v>7.8416975136472288E-3</v>
      </c>
      <c r="R89" s="624">
        <f t="shared" si="22"/>
        <v>6.5368971528181295E-3</v>
      </c>
      <c r="S89" s="624">
        <f t="shared" si="23"/>
        <v>0.11453192322757541</v>
      </c>
      <c r="T89" s="4"/>
      <c r="U89" s="4"/>
      <c r="V89" s="4"/>
      <c r="W89" s="4"/>
      <c r="X89" s="4"/>
      <c r="Y89" s="4"/>
      <c r="Z89" s="4"/>
      <c r="AA89" s="4"/>
    </row>
    <row r="90" spans="1:27" s="1" customFormat="1" ht="14.25" x14ac:dyDescent="0.2">
      <c r="A90" s="4"/>
      <c r="B90" s="4" t="s">
        <v>309</v>
      </c>
      <c r="C90" s="4"/>
      <c r="D90" s="4"/>
      <c r="E90" s="620">
        <f>МСФО_ввод!E222</f>
        <v>32.345999999999997</v>
      </c>
      <c r="F90" s="620">
        <f>МСФО_ввод!F222</f>
        <v>29.669</v>
      </c>
      <c r="G90" s="620">
        <f>МСФО_ввод!G222</f>
        <v>65.58</v>
      </c>
      <c r="H90" s="620">
        <f>МСФО_ввод!H222</f>
        <v>137.95699999999999</v>
      </c>
      <c r="I90" s="620">
        <f>МСФО_ввод!I222</f>
        <v>192.05199999999999</v>
      </c>
      <c r="J90" s="620">
        <f>МСФО_ввод!J222</f>
        <v>179.4</v>
      </c>
      <c r="K90" s="620">
        <f>МСФО_ввод!K222</f>
        <v>90.1</v>
      </c>
      <c r="L90" s="4"/>
      <c r="M90" s="624">
        <f t="shared" si="17"/>
        <v>5.3778600951674742E-2</v>
      </c>
      <c r="N90" s="624">
        <f t="shared" si="18"/>
        <v>4.534824714787053E-2</v>
      </c>
      <c r="O90" s="624">
        <f t="shared" si="19"/>
        <v>8.3109759884016393E-2</v>
      </c>
      <c r="P90" s="624">
        <f t="shared" si="20"/>
        <v>0.15733285586555482</v>
      </c>
      <c r="Q90" s="624">
        <f t="shared" si="21"/>
        <v>0.17113791941942924</v>
      </c>
      <c r="R90" s="624">
        <f t="shared" si="22"/>
        <v>0.13030214991284139</v>
      </c>
      <c r="S90" s="624">
        <f t="shared" si="23"/>
        <v>7.058362710536624E-2</v>
      </c>
      <c r="T90" s="4"/>
      <c r="U90" s="4"/>
      <c r="V90" s="4"/>
      <c r="W90" s="4"/>
      <c r="X90" s="4"/>
      <c r="Y90" s="4"/>
      <c r="Z90" s="4"/>
      <c r="AA90" s="4"/>
    </row>
    <row r="91" spans="1:27" s="1" customFormat="1" ht="14.25" x14ac:dyDescent="0.2">
      <c r="A91" s="4"/>
      <c r="B91" s="4" t="s">
        <v>308</v>
      </c>
      <c r="C91" s="4"/>
      <c r="D91" s="4"/>
      <c r="E91" s="620">
        <f>МСФО_ввод!E223</f>
        <v>17.494</v>
      </c>
      <c r="F91" s="620">
        <f>МСФО_ввод!F223</f>
        <v>26.744</v>
      </c>
      <c r="G91" s="620">
        <f>МСФО_ввод!G223</f>
        <v>26.207999999999998</v>
      </c>
      <c r="H91" s="620">
        <f>МСФО_ввод!H223</f>
        <v>46.634</v>
      </c>
      <c r="I91" s="620">
        <f>МСФО_ввод!I223</f>
        <v>43.697000000000003</v>
      </c>
      <c r="J91" s="620">
        <f>МСФО_ввод!J223</f>
        <v>60.3</v>
      </c>
      <c r="K91" s="620">
        <f>МСФО_ввод!K223</f>
        <v>40.4</v>
      </c>
      <c r="L91" s="4"/>
      <c r="M91" s="624">
        <f t="shared" si="17"/>
        <v>2.9085600848593275E-2</v>
      </c>
      <c r="N91" s="624">
        <f t="shared" si="18"/>
        <v>4.0877465425954683E-2</v>
      </c>
      <c r="O91" s="624">
        <f t="shared" si="19"/>
        <v>3.3213488670940858E-2</v>
      </c>
      <c r="P91" s="624">
        <f t="shared" si="20"/>
        <v>5.3183676076127229E-2</v>
      </c>
      <c r="Q91" s="624">
        <f t="shared" si="21"/>
        <v>3.8938483665209425E-2</v>
      </c>
      <c r="R91" s="624">
        <f t="shared" si="22"/>
        <v>4.3797210923881461E-2</v>
      </c>
      <c r="S91" s="624">
        <f t="shared" si="23"/>
        <v>3.1649040344692521E-2</v>
      </c>
      <c r="T91" s="4"/>
      <c r="U91" s="4"/>
      <c r="V91" s="4"/>
      <c r="W91" s="4"/>
      <c r="X91" s="4"/>
      <c r="Y91" s="4"/>
      <c r="Z91" s="4"/>
      <c r="AA91" s="4"/>
    </row>
    <row r="92" spans="1:27" s="1" customFormat="1" ht="14.25" x14ac:dyDescent="0.2">
      <c r="A92" s="4"/>
      <c r="B92" s="4" t="s">
        <v>435</v>
      </c>
      <c r="C92" s="4"/>
      <c r="D92" s="4"/>
      <c r="E92" s="620">
        <f>МСФО_ввод!E224</f>
        <v>54.738999999999997</v>
      </c>
      <c r="F92" s="620">
        <f>МСФО_ввод!F224</f>
        <v>53.26</v>
      </c>
      <c r="G92" s="620">
        <f>МСФО_ввод!G224</f>
        <v>72.620999999999995</v>
      </c>
      <c r="H92" s="620">
        <f>МСФО_ввод!H224</f>
        <v>63.756</v>
      </c>
      <c r="I92" s="620">
        <f>МСФО_ввод!I224</f>
        <v>49.521000000000001</v>
      </c>
      <c r="J92" s="620">
        <f>МСФО_ввод!J224</f>
        <v>47.4</v>
      </c>
      <c r="K92" s="620">
        <f>МСФО_ввод!K224</f>
        <v>33.6</v>
      </c>
      <c r="L92" s="4"/>
      <c r="M92" s="624">
        <f t="shared" si="17"/>
        <v>9.1009300608845725E-2</v>
      </c>
      <c r="N92" s="624">
        <f t="shared" si="18"/>
        <v>8.1406439148457452E-2</v>
      </c>
      <c r="O92" s="624">
        <f t="shared" si="19"/>
        <v>9.2032843436065173E-2</v>
      </c>
      <c r="P92" s="624">
        <f t="shared" si="20"/>
        <v>7.2710435560097084E-2</v>
      </c>
      <c r="Q92" s="624">
        <f t="shared" si="21"/>
        <v>4.4128261656059591E-2</v>
      </c>
      <c r="R92" s="624">
        <f t="shared" si="22"/>
        <v>3.4427658338175481E-2</v>
      </c>
      <c r="S92" s="624">
        <f t="shared" si="23"/>
        <v>2.632197414806111E-2</v>
      </c>
      <c r="T92" s="4"/>
      <c r="U92" s="4"/>
      <c r="V92" s="4"/>
      <c r="W92" s="4"/>
      <c r="X92" s="4"/>
      <c r="Y92" s="4"/>
      <c r="Z92" s="4"/>
      <c r="AA92" s="4"/>
    </row>
    <row r="93" spans="1:27" s="1" customFormat="1" ht="14.25" x14ac:dyDescent="0.2">
      <c r="A93" s="4"/>
      <c r="B93" s="37" t="s">
        <v>436</v>
      </c>
      <c r="C93" s="37"/>
      <c r="D93" s="37"/>
      <c r="E93" s="2231">
        <f>МСФО_ввод!E225</f>
        <v>54.412999999999997</v>
      </c>
      <c r="F93" s="2231">
        <f>МСФО_ввод!F225</f>
        <v>28.184000000000001</v>
      </c>
      <c r="G93" s="2231">
        <f>МСФО_ввод!G225</f>
        <v>29.366</v>
      </c>
      <c r="H93" s="621">
        <f>МСФО_ввод!H225</f>
        <v>33.896000000000001</v>
      </c>
      <c r="I93" s="621">
        <f>МСФО_ввод!I225</f>
        <v>75.096999999999994</v>
      </c>
      <c r="J93" s="621">
        <f>МСФО_ввод!J225</f>
        <v>47.8</v>
      </c>
      <c r="K93" s="621">
        <f>МСФО_ввод!K225</f>
        <v>31</v>
      </c>
      <c r="L93" s="4"/>
      <c r="M93" s="2226">
        <f t="shared" si="17"/>
        <v>9.0467291584229212E-2</v>
      </c>
      <c r="N93" s="2226">
        <f t="shared" si="18"/>
        <v>4.3078465658282487E-2</v>
      </c>
      <c r="O93" s="2226">
        <f t="shared" si="19"/>
        <v>3.7215632948368792E-2</v>
      </c>
      <c r="P93" s="625">
        <f t="shared" si="20"/>
        <v>3.8656642884513627E-2</v>
      </c>
      <c r="Q93" s="625">
        <f t="shared" si="21"/>
        <v>6.6919086157087027E-2</v>
      </c>
      <c r="R93" s="625">
        <f t="shared" si="22"/>
        <v>3.4718187100522949E-2</v>
      </c>
      <c r="S93" s="625">
        <f t="shared" si="23"/>
        <v>2.4285154719937332E-2</v>
      </c>
      <c r="T93" s="4"/>
      <c r="U93" s="4"/>
      <c r="V93" s="4"/>
      <c r="W93" s="4"/>
      <c r="X93" s="4"/>
      <c r="Y93" s="4"/>
      <c r="Z93" s="4"/>
      <c r="AA93" s="4"/>
    </row>
    <row r="94" spans="1:27" s="1" customFormat="1" ht="14.25" x14ac:dyDescent="0.2">
      <c r="A94" s="4"/>
      <c r="B94" s="622" t="s">
        <v>441</v>
      </c>
      <c r="C94" s="622"/>
      <c r="D94" s="622"/>
      <c r="E94" s="2201">
        <f>МСФО_ввод!E226</f>
        <v>0</v>
      </c>
      <c r="F94" s="2201">
        <f>МСФО_ввод!F226</f>
        <v>0</v>
      </c>
      <c r="G94" s="2199">
        <f>МСФО_ввод!G226</f>
        <v>0</v>
      </c>
      <c r="H94" s="623">
        <f>МСФО_ввод!H226</f>
        <v>46.137999999999998</v>
      </c>
      <c r="I94" s="623">
        <f>МСФО_ввод!I226</f>
        <v>39.838999999999999</v>
      </c>
      <c r="J94" s="623">
        <f>МСФО_ввод!J226</f>
        <v>38.799999999999997</v>
      </c>
      <c r="K94" s="623">
        <f>МСФО_ввод!K226</f>
        <v>2.8</v>
      </c>
      <c r="L94" s="4"/>
      <c r="M94" s="2227">
        <f t="shared" si="17"/>
        <v>0</v>
      </c>
      <c r="N94" s="2227">
        <f t="shared" si="18"/>
        <v>0</v>
      </c>
      <c r="O94" s="2228">
        <f t="shared" si="19"/>
        <v>0</v>
      </c>
      <c r="P94" s="626">
        <f t="shared" si="20"/>
        <v>5.2618013612393488E-2</v>
      </c>
      <c r="Q94" s="626">
        <f t="shared" si="21"/>
        <v>3.5500612187067258E-2</v>
      </c>
      <c r="R94" s="626">
        <f t="shared" si="22"/>
        <v>2.8181289947704823E-2</v>
      </c>
      <c r="S94" s="626">
        <f t="shared" si="23"/>
        <v>2.1934978456717592E-3</v>
      </c>
      <c r="T94" s="4"/>
      <c r="U94" s="4"/>
      <c r="V94" s="4"/>
      <c r="W94" s="4"/>
      <c r="X94" s="4"/>
      <c r="Y94" s="4"/>
      <c r="Z94" s="4"/>
      <c r="AA94" s="4"/>
    </row>
    <row r="95" spans="1:27" s="1" customFormat="1" ht="14.25" x14ac:dyDescent="0.2">
      <c r="A95" s="4"/>
      <c r="B95" s="4" t="s">
        <v>437</v>
      </c>
      <c r="C95" s="4"/>
      <c r="D95" s="4"/>
      <c r="E95" s="620">
        <f>МСФО_ввод!E227</f>
        <v>20.504000000000001</v>
      </c>
      <c r="F95" s="620">
        <f>МСФО_ввод!F227</f>
        <v>38.633000000000003</v>
      </c>
      <c r="G95" s="620">
        <f>МСФО_ввод!G227</f>
        <v>41.997</v>
      </c>
      <c r="H95" s="620">
        <f>МСФО_ввод!H227</f>
        <v>22.957000000000001</v>
      </c>
      <c r="I95" s="620">
        <f>МСФО_ввод!I227</f>
        <v>21.814</v>
      </c>
      <c r="J95" s="620">
        <f>МСФО_ввод!J227</f>
        <v>24.4</v>
      </c>
      <c r="K95" s="620">
        <f>МСФО_ввод!K227</f>
        <v>21</v>
      </c>
      <c r="L95" s="4"/>
      <c r="M95" s="624">
        <f t="shared" si="17"/>
        <v>3.4090040002261152E-2</v>
      </c>
      <c r="N95" s="624">
        <f t="shared" si="18"/>
        <v>5.9049473594111099E-2</v>
      </c>
      <c r="O95" s="624">
        <f t="shared" si="19"/>
        <v>5.3222942754636113E-2</v>
      </c>
      <c r="P95" s="624">
        <f t="shared" si="20"/>
        <v>2.618127657245042E-2</v>
      </c>
      <c r="Q95" s="624">
        <f t="shared" si="21"/>
        <v>1.9438498813943252E-2</v>
      </c>
      <c r="R95" s="624">
        <f t="shared" si="22"/>
        <v>1.7722254503195815E-2</v>
      </c>
      <c r="S95" s="624">
        <f t="shared" si="23"/>
        <v>1.6451233842538195E-2</v>
      </c>
      <c r="T95" s="4"/>
      <c r="U95" s="4"/>
      <c r="V95" s="4"/>
      <c r="W95" s="4"/>
      <c r="X95" s="4"/>
      <c r="Y95" s="4"/>
      <c r="Z95" s="4"/>
      <c r="AA95" s="4"/>
    </row>
    <row r="96" spans="1:27" s="1" customFormat="1" ht="14.25" x14ac:dyDescent="0.2">
      <c r="A96" s="4"/>
      <c r="B96" s="4" t="s">
        <v>438</v>
      </c>
      <c r="C96" s="4"/>
      <c r="D96" s="4"/>
      <c r="E96" s="620">
        <f>МСФО_ввод!E228</f>
        <v>9.3819999999999997</v>
      </c>
      <c r="F96" s="620">
        <f>МСФО_ввод!F228</f>
        <v>13.03</v>
      </c>
      <c r="G96" s="620">
        <f>МСФО_ввод!G228</f>
        <v>7.4470000000000001</v>
      </c>
      <c r="H96" s="620">
        <f>МСФО_ввод!H228</f>
        <v>12.363</v>
      </c>
      <c r="I96" s="620">
        <f>МСФО_ввод!I228</f>
        <v>14.076000000000001</v>
      </c>
      <c r="J96" s="620">
        <f>МСФО_ввод!J228</f>
        <v>19.100000000000001</v>
      </c>
      <c r="K96" s="620">
        <f>МСФО_ввод!K228</f>
        <v>8.3000000000000007</v>
      </c>
      <c r="L96" s="4"/>
      <c r="M96" s="624">
        <f t="shared" si="17"/>
        <v>1.559855419923986E-2</v>
      </c>
      <c r="N96" s="624">
        <f t="shared" si="18"/>
        <v>1.9915995157799488E-2</v>
      </c>
      <c r="O96" s="624">
        <f t="shared" si="19"/>
        <v>9.4376087504768232E-3</v>
      </c>
      <c r="P96" s="624">
        <f t="shared" si="20"/>
        <v>1.4099364998266519E-2</v>
      </c>
      <c r="Q96" s="624">
        <f t="shared" si="21"/>
        <v>1.2543151613874816E-2</v>
      </c>
      <c r="R96" s="624">
        <f t="shared" si="22"/>
        <v>1.3872748402091808E-2</v>
      </c>
      <c r="S96" s="624">
        <f t="shared" si="23"/>
        <v>6.5021543282412862E-3</v>
      </c>
      <c r="T96" s="4"/>
      <c r="U96" s="4"/>
      <c r="V96" s="4"/>
      <c r="W96" s="4"/>
      <c r="X96" s="4"/>
      <c r="Y96" s="4"/>
      <c r="Z96" s="4"/>
      <c r="AA96" s="4"/>
    </row>
    <row r="97" spans="1:27" s="1" customFormat="1" ht="14.25" x14ac:dyDescent="0.2">
      <c r="A97" s="4"/>
      <c r="B97" s="4" t="s">
        <v>439</v>
      </c>
      <c r="C97" s="4"/>
      <c r="D97" s="4"/>
      <c r="E97" s="620">
        <f>МСФО_ввод!E229</f>
        <v>1.5229999999999999</v>
      </c>
      <c r="F97" s="620">
        <f>МСФО_ввод!F229</f>
        <v>3.306</v>
      </c>
      <c r="G97" s="620">
        <f>МСФО_ввод!G229</f>
        <v>3.3420000000000001</v>
      </c>
      <c r="H97" s="620">
        <f>МСФО_ввод!H229</f>
        <v>3.581</v>
      </c>
      <c r="I97" s="620">
        <f>МСФО_ввод!I229</f>
        <v>4.2359999999999998</v>
      </c>
      <c r="J97" s="620">
        <f>МСФО_ввод!J229</f>
        <v>5.9</v>
      </c>
      <c r="K97" s="620">
        <f>МСФО_ввод!K229</f>
        <v>6.3</v>
      </c>
      <c r="L97" s="4"/>
      <c r="M97" s="624">
        <f t="shared" si="17"/>
        <v>2.5321464554937437E-3</v>
      </c>
      <c r="N97" s="624">
        <f t="shared" si="18"/>
        <v>5.0531297000525792E-3</v>
      </c>
      <c r="O97" s="624">
        <f t="shared" si="19"/>
        <v>4.2353281111982737E-3</v>
      </c>
      <c r="P97" s="624">
        <f t="shared" si="20"/>
        <v>4.0839461343357124E-3</v>
      </c>
      <c r="Q97" s="624">
        <f t="shared" si="21"/>
        <v>3.7747080304329152E-3</v>
      </c>
      <c r="R97" s="624">
        <f t="shared" si="22"/>
        <v>4.2852992446252179E-3</v>
      </c>
      <c r="S97" s="624">
        <f t="shared" si="23"/>
        <v>4.9353701527614577E-3</v>
      </c>
      <c r="T97" s="4"/>
      <c r="U97" s="4"/>
      <c r="V97" s="4"/>
      <c r="W97" s="4"/>
      <c r="X97" s="4"/>
      <c r="Y97" s="4"/>
      <c r="Z97" s="4"/>
      <c r="AA97" s="4"/>
    </row>
    <row r="98" spans="1:27" s="1" customFormat="1" ht="14.25" x14ac:dyDescent="0.2">
      <c r="A98" s="4"/>
      <c r="B98" s="4" t="s">
        <v>440</v>
      </c>
      <c r="C98" s="4"/>
      <c r="D98" s="4"/>
      <c r="E98" s="2216">
        <f>МСФО_ввод!E230</f>
        <v>19.698</v>
      </c>
      <c r="F98" s="2216">
        <f>МСФО_ввод!F230</f>
        <v>31.625</v>
      </c>
      <c r="G98" s="2216">
        <f>МСФО_ввод!G230</f>
        <v>25.335000000000001</v>
      </c>
      <c r="H98" s="620">
        <f>МСФО_ввод!H230</f>
        <v>54.347000000000001</v>
      </c>
      <c r="I98" s="620">
        <f>МСФО_ввод!I230</f>
        <v>6.0110000000000001</v>
      </c>
      <c r="J98" s="620">
        <f>МСФО_ввод!J230</f>
        <v>62.1</v>
      </c>
      <c r="K98" s="620">
        <f>МСФО_ввод!K230</f>
        <v>5.3</v>
      </c>
      <c r="L98" s="4"/>
      <c r="M98" s="2229">
        <f t="shared" si="17"/>
        <v>3.2749980880049753E-2</v>
      </c>
      <c r="N98" s="2229">
        <f t="shared" si="18"/>
        <v>4.8337939130115797E-2</v>
      </c>
      <c r="O98" s="2229">
        <f t="shared" si="19"/>
        <v>3.2107132763976143E-2</v>
      </c>
      <c r="P98" s="624">
        <f t="shared" si="20"/>
        <v>6.1979955476889961E-2</v>
      </c>
      <c r="Q98" s="624">
        <f t="shared" si="21"/>
        <v>5.3564140630151689E-3</v>
      </c>
      <c r="R98" s="624">
        <f t="shared" si="22"/>
        <v>4.5104590354445091E-2</v>
      </c>
      <c r="S98" s="624">
        <f t="shared" si="23"/>
        <v>4.1519780650215435E-3</v>
      </c>
      <c r="T98" s="4"/>
      <c r="U98" s="4"/>
      <c r="V98" s="4"/>
      <c r="W98" s="4"/>
      <c r="X98" s="4"/>
      <c r="Y98" s="4"/>
      <c r="Z98" s="4"/>
      <c r="AA98" s="4"/>
    </row>
    <row r="99" spans="1:27" s="1" customFormat="1" ht="14.25" x14ac:dyDescent="0.2">
      <c r="A99" s="4"/>
      <c r="B99" s="4" t="s">
        <v>294</v>
      </c>
      <c r="C99" s="4"/>
      <c r="D99" s="4"/>
      <c r="E99" s="2200">
        <f>МСФО_ввод!E231</f>
        <v>0</v>
      </c>
      <c r="F99" s="2200">
        <f>МСФО_ввод!F231</f>
        <v>0</v>
      </c>
      <c r="G99" s="2200">
        <f>МСФО_ввод!G231</f>
        <v>0</v>
      </c>
      <c r="H99" s="620">
        <f>МСФО_ввод!H231</f>
        <v>16.751000000000001</v>
      </c>
      <c r="I99" s="620">
        <f>МСФО_ввод!I231</f>
        <v>37.482999999999997</v>
      </c>
      <c r="J99" s="620">
        <f>МСФО_ввод!J231</f>
        <v>34.200000000000003</v>
      </c>
      <c r="K99" s="620">
        <f>МСФО_ввод!K231</f>
        <v>26.6</v>
      </c>
      <c r="L99" s="4"/>
      <c r="M99" s="2230">
        <f t="shared" si="17"/>
        <v>0</v>
      </c>
      <c r="N99" s="2230">
        <f t="shared" si="18"/>
        <v>0</v>
      </c>
      <c r="O99" s="2230">
        <f t="shared" si="19"/>
        <v>0</v>
      </c>
      <c r="P99" s="624">
        <f t="shared" si="20"/>
        <v>1.9103653084685149E-2</v>
      </c>
      <c r="Q99" s="624">
        <f t="shared" si="21"/>
        <v>3.3401175898186253E-2</v>
      </c>
      <c r="R99" s="624">
        <f t="shared" si="22"/>
        <v>2.4840209180708894E-2</v>
      </c>
      <c r="S99" s="624">
        <f t="shared" si="23"/>
        <v>2.0838229533881713E-2</v>
      </c>
      <c r="T99" s="4"/>
      <c r="U99" s="4"/>
      <c r="V99" s="4"/>
      <c r="W99" s="4"/>
      <c r="X99" s="4"/>
      <c r="Y99" s="4"/>
      <c r="Z99" s="4"/>
      <c r="AA99" s="4"/>
    </row>
    <row r="100" spans="1:27" s="1" customFormat="1" ht="26.25" customHeight="1" x14ac:dyDescent="0.2">
      <c r="A100" s="515"/>
      <c r="B100" s="516" t="s">
        <v>442</v>
      </c>
      <c r="C100" s="517"/>
      <c r="D100" s="517"/>
      <c r="E100" s="518">
        <f>SUM(E86:E99)</f>
        <v>601.46599999999989</v>
      </c>
      <c r="F100" s="518">
        <f t="shared" ref="F100:K100" si="24">SUM(F86:F99)</f>
        <v>654.24800000000005</v>
      </c>
      <c r="G100" s="518">
        <f t="shared" si="24"/>
        <v>789.077</v>
      </c>
      <c r="H100" s="518">
        <f t="shared" si="24"/>
        <v>876.84799999999984</v>
      </c>
      <c r="I100" s="518">
        <f t="shared" si="24"/>
        <v>1122.2059999999999</v>
      </c>
      <c r="J100" s="518">
        <f t="shared" si="24"/>
        <v>1376.8</v>
      </c>
      <c r="K100" s="518">
        <f t="shared" si="24"/>
        <v>1276.4999999999998</v>
      </c>
      <c r="L100" s="604"/>
      <c r="M100" s="608">
        <f>SUM(M86:M99)</f>
        <v>1</v>
      </c>
      <c r="N100" s="608">
        <f t="shared" ref="N100:S100" si="25">SUM(N86:N99)</f>
        <v>1</v>
      </c>
      <c r="O100" s="608">
        <f t="shared" si="25"/>
        <v>1</v>
      </c>
      <c r="P100" s="608">
        <f t="shared" si="25"/>
        <v>1</v>
      </c>
      <c r="Q100" s="608">
        <f t="shared" si="25"/>
        <v>1</v>
      </c>
      <c r="R100" s="608">
        <f t="shared" si="25"/>
        <v>1.0000000000000002</v>
      </c>
      <c r="S100" s="608">
        <f t="shared" si="25"/>
        <v>1.0000000000000004</v>
      </c>
      <c r="T100" s="547"/>
      <c r="U100" s="4"/>
      <c r="V100" s="4"/>
      <c r="W100" s="4"/>
      <c r="X100" s="4"/>
      <c r="Y100" s="4"/>
      <c r="Z100" s="4"/>
      <c r="AA100" s="4"/>
    </row>
    <row r="101" spans="1:27" s="1" customFormat="1" ht="15.75" outlineLevel="1" x14ac:dyDescent="0.25">
      <c r="A101" s="4"/>
      <c r="B101" s="304" t="s">
        <v>458</v>
      </c>
      <c r="C101" s="386"/>
      <c r="D101" s="386"/>
      <c r="E101" s="386">
        <f>МСФО_ввод!E200-E100</f>
        <v>1.00000000009004E-3</v>
      </c>
      <c r="F101" s="386">
        <f>МСФО_ввод!F200-F100</f>
        <v>-4.2000000000030013E-2</v>
      </c>
      <c r="G101" s="386">
        <f>МСФО_ввод!G200-G100</f>
        <v>2.0000000000663931E-3</v>
      </c>
      <c r="H101" s="386">
        <f>МСФО_ввод!H200-H100</f>
        <v>0</v>
      </c>
      <c r="I101" s="386">
        <f>МСФО_ввод!I200-I100</f>
        <v>-9.9999999997635314E-4</v>
      </c>
      <c r="J101" s="386">
        <f>МСФО_ввод!J200-J100</f>
        <v>0</v>
      </c>
      <c r="K101" s="386">
        <f>МСФО_ввод!K200-K100</f>
        <v>0</v>
      </c>
      <c r="L101" s="4"/>
      <c r="M101" s="4"/>
      <c r="N101" s="4"/>
      <c r="O101" s="4"/>
      <c r="P101" s="4"/>
      <c r="Q101" s="4"/>
      <c r="R101" s="4"/>
      <c r="S101" s="4"/>
      <c r="T101" s="4"/>
      <c r="U101" s="4"/>
      <c r="V101" s="4"/>
      <c r="W101" s="4"/>
      <c r="X101" s="4"/>
      <c r="Y101" s="4"/>
      <c r="Z101" s="4"/>
      <c r="AA101" s="4"/>
    </row>
    <row r="102" spans="1:27" s="1" customFormat="1" ht="14.2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s="1" customFormat="1" ht="14.2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s="1" customFormat="1" x14ac:dyDescent="0.2">
      <c r="A104" s="616"/>
      <c r="B104" s="617" t="s">
        <v>894</v>
      </c>
      <c r="C104" s="507"/>
      <c r="D104" s="507"/>
      <c r="E104" s="618"/>
      <c r="F104" s="618"/>
      <c r="G104" s="618"/>
      <c r="H104" s="618"/>
      <c r="I104" s="618"/>
      <c r="J104" s="618"/>
      <c r="K104" s="618"/>
      <c r="L104" s="618"/>
      <c r="M104" s="619"/>
      <c r="N104" s="619"/>
      <c r="O104" s="619"/>
      <c r="P104" s="619"/>
      <c r="Q104" s="619"/>
      <c r="R104" s="619"/>
      <c r="S104" s="619"/>
      <c r="T104" s="547"/>
      <c r="U104" s="4"/>
      <c r="V104" s="4"/>
      <c r="W104" s="4"/>
      <c r="X104" s="4"/>
      <c r="Y104" s="4"/>
      <c r="Z104" s="4"/>
      <c r="AA104" s="4"/>
    </row>
    <row r="105" spans="1:27" s="1" customFormat="1" ht="14.25" x14ac:dyDescent="0.2">
      <c r="A105" s="4"/>
      <c r="B105" s="4"/>
      <c r="C105" s="4"/>
      <c r="D105" s="4" t="s">
        <v>286</v>
      </c>
      <c r="E105" s="4" t="s">
        <v>348</v>
      </c>
      <c r="F105" s="4"/>
      <c r="G105" s="4"/>
      <c r="H105" s="4"/>
      <c r="I105" s="4"/>
      <c r="J105" s="4"/>
      <c r="K105" s="4"/>
      <c r="L105" s="4"/>
      <c r="M105" s="4" t="s">
        <v>17</v>
      </c>
      <c r="N105" s="4"/>
      <c r="O105" s="4"/>
      <c r="P105" s="4"/>
      <c r="Q105" s="4"/>
      <c r="R105" s="71"/>
      <c r="S105" s="71"/>
      <c r="T105" s="4"/>
      <c r="U105" s="4"/>
      <c r="V105" s="4"/>
      <c r="W105" s="4"/>
      <c r="X105" s="4"/>
      <c r="Y105" s="4"/>
      <c r="Z105" s="4"/>
      <c r="AA105" s="4"/>
    </row>
    <row r="106" spans="1:27" s="1" customFormat="1" ht="14.25" x14ac:dyDescent="0.2">
      <c r="A106" s="15"/>
      <c r="B106" s="15"/>
      <c r="C106" s="15"/>
      <c r="D106" s="15"/>
      <c r="E106" s="539">
        <f t="shared" ref="E106:K106" si="26">E8</f>
        <v>2009</v>
      </c>
      <c r="F106" s="539">
        <f t="shared" si="26"/>
        <v>2010</v>
      </c>
      <c r="G106" s="539">
        <f t="shared" si="26"/>
        <v>2011</v>
      </c>
      <c r="H106" s="539">
        <f t="shared" si="26"/>
        <v>2012</v>
      </c>
      <c r="I106" s="539">
        <f t="shared" si="26"/>
        <v>2013</v>
      </c>
      <c r="J106" s="539">
        <f t="shared" si="26"/>
        <v>2014</v>
      </c>
      <c r="K106" s="539">
        <f t="shared" si="26"/>
        <v>2015</v>
      </c>
      <c r="L106" s="15"/>
      <c r="M106" s="539">
        <f t="shared" ref="M106:S106" si="27">M8</f>
        <v>2009</v>
      </c>
      <c r="N106" s="539">
        <f t="shared" si="27"/>
        <v>2010</v>
      </c>
      <c r="O106" s="539">
        <f t="shared" si="27"/>
        <v>2011</v>
      </c>
      <c r="P106" s="539">
        <f t="shared" si="27"/>
        <v>2012</v>
      </c>
      <c r="Q106" s="539">
        <f t="shared" si="27"/>
        <v>2013</v>
      </c>
      <c r="R106" s="539">
        <f t="shared" si="27"/>
        <v>2014</v>
      </c>
      <c r="S106" s="539">
        <f t="shared" si="27"/>
        <v>2015</v>
      </c>
      <c r="T106" s="4"/>
      <c r="U106" s="4"/>
      <c r="V106" s="4"/>
      <c r="W106" s="4"/>
      <c r="X106" s="4"/>
      <c r="Y106" s="4"/>
      <c r="Z106" s="4"/>
      <c r="AA106" s="4"/>
    </row>
    <row r="107" spans="1:27" s="234" customFormat="1" ht="14.25" x14ac:dyDescent="0.2">
      <c r="A107" s="71"/>
      <c r="B107" s="71" t="s">
        <v>307</v>
      </c>
      <c r="C107" s="71"/>
      <c r="D107" s="71"/>
      <c r="E107" s="498">
        <f>E86</f>
        <v>70.320999999999998</v>
      </c>
      <c r="F107" s="498">
        <f t="shared" ref="F107:K107" si="28">F86</f>
        <v>63.991</v>
      </c>
      <c r="G107" s="498">
        <f t="shared" si="28"/>
        <v>76.378</v>
      </c>
      <c r="H107" s="498">
        <f t="shared" si="28"/>
        <v>142.62700000000001</v>
      </c>
      <c r="I107" s="498">
        <f t="shared" si="28"/>
        <v>269.65899999999999</v>
      </c>
      <c r="J107" s="498">
        <f t="shared" si="28"/>
        <v>368</v>
      </c>
      <c r="K107" s="498">
        <f t="shared" si="28"/>
        <v>347.9</v>
      </c>
      <c r="L107" s="71"/>
      <c r="M107" s="624">
        <f>E107/E$115</f>
        <v>0.13703202824783894</v>
      </c>
      <c r="N107" s="624">
        <f t="shared" ref="N107:N114" si="29">F107/F$115</f>
        <v>0.11138380773843404</v>
      </c>
      <c r="O107" s="624">
        <f t="shared" ref="O107:O114" si="30">G107/G$115</f>
        <v>0.10690176900607304</v>
      </c>
      <c r="P107" s="624">
        <f t="shared" ref="P107:P114" si="31">H107/H$115</f>
        <v>0.18292689183192384</v>
      </c>
      <c r="Q107" s="624">
        <f t="shared" ref="Q107:Q114" si="32">I107/I$115</f>
        <v>0.28379631334950561</v>
      </c>
      <c r="R107" s="624">
        <f t="shared" ref="R107:R114" si="33">J107/J$115</f>
        <v>0.32471543280684728</v>
      </c>
      <c r="S107" s="624">
        <f t="shared" ref="S107:S114" si="34">K107/K$115</f>
        <v>0.35116584233370346</v>
      </c>
      <c r="T107" s="71"/>
      <c r="U107" s="71"/>
      <c r="V107" s="71"/>
      <c r="W107" s="71"/>
      <c r="X107" s="71"/>
      <c r="Y107" s="71"/>
      <c r="Z107" s="71"/>
      <c r="AA107" s="71"/>
    </row>
    <row r="108" spans="1:27" s="234" customFormat="1" ht="14.25" x14ac:dyDescent="0.2">
      <c r="A108" s="71"/>
      <c r="B108" s="71" t="s">
        <v>433</v>
      </c>
      <c r="C108" s="71"/>
      <c r="D108" s="71"/>
      <c r="E108" s="498">
        <f>E88</f>
        <v>214.17400000000001</v>
      </c>
      <c r="F108" s="498">
        <f t="shared" ref="F108:K108" si="35">F88</f>
        <v>281.46100000000001</v>
      </c>
      <c r="G108" s="498">
        <f t="shared" si="35"/>
        <v>249.6</v>
      </c>
      <c r="H108" s="498">
        <f t="shared" si="35"/>
        <v>153.09299999999999</v>
      </c>
      <c r="I108" s="498">
        <f t="shared" si="35"/>
        <v>187.9</v>
      </c>
      <c r="J108" s="498">
        <f t="shared" si="35"/>
        <v>236.9</v>
      </c>
      <c r="K108" s="498">
        <f t="shared" si="35"/>
        <v>231.2</v>
      </c>
      <c r="L108" s="71"/>
      <c r="M108" s="624">
        <f t="shared" ref="M108:M114" si="36">E108/E$115</f>
        <v>0.41735324608513336</v>
      </c>
      <c r="N108" s="624">
        <f t="shared" si="29"/>
        <v>0.48991573674215722</v>
      </c>
      <c r="O108" s="624">
        <f t="shared" si="30"/>
        <v>0.34935035669847114</v>
      </c>
      <c r="P108" s="624">
        <f t="shared" si="31"/>
        <v>0.19635010658027383</v>
      </c>
      <c r="Q108" s="624">
        <f t="shared" si="32"/>
        <v>0.19775096428590225</v>
      </c>
      <c r="R108" s="624">
        <f t="shared" si="33"/>
        <v>0.20903555986940794</v>
      </c>
      <c r="S108" s="624">
        <f t="shared" si="34"/>
        <v>0.23337034420106997</v>
      </c>
      <c r="T108" s="71"/>
      <c r="U108" s="71"/>
      <c r="V108" s="71"/>
      <c r="W108" s="71"/>
      <c r="X108" s="71"/>
      <c r="Y108" s="71"/>
      <c r="Z108" s="71"/>
      <c r="AA108" s="71"/>
    </row>
    <row r="109" spans="1:27" s="234" customFormat="1" ht="14.25" x14ac:dyDescent="0.2">
      <c r="A109" s="71"/>
      <c r="B109" s="71" t="s">
        <v>434</v>
      </c>
      <c r="C109" s="71"/>
      <c r="D109" s="71"/>
      <c r="E109" s="498">
        <f>E89</f>
        <v>18.577999999999999</v>
      </c>
      <c r="F109" s="498">
        <f t="shared" ref="F109:K109" si="37">F89</f>
        <v>4.6059999999999999</v>
      </c>
      <c r="G109" s="498">
        <f t="shared" si="37"/>
        <v>116.595</v>
      </c>
      <c r="H109" s="498">
        <f t="shared" si="37"/>
        <v>45.594000000000001</v>
      </c>
      <c r="I109" s="498">
        <f t="shared" si="37"/>
        <v>8.8000000000000007</v>
      </c>
      <c r="J109" s="498">
        <f t="shared" si="37"/>
        <v>9</v>
      </c>
      <c r="K109" s="498">
        <f t="shared" si="37"/>
        <v>146.19999999999999</v>
      </c>
      <c r="L109" s="71"/>
      <c r="M109" s="624">
        <f t="shared" si="36"/>
        <v>3.6202286952522748E-2</v>
      </c>
      <c r="N109" s="624">
        <f t="shared" si="29"/>
        <v>8.0172808432940126E-3</v>
      </c>
      <c r="O109" s="624">
        <f t="shared" si="30"/>
        <v>0.16319112515728462</v>
      </c>
      <c r="P109" s="624">
        <f t="shared" si="31"/>
        <v>5.8476787047226232E-2</v>
      </c>
      <c r="Q109" s="624">
        <f t="shared" si="32"/>
        <v>9.2613543678336345E-3</v>
      </c>
      <c r="R109" s="624">
        <f t="shared" si="33"/>
        <v>7.9414100414718081E-3</v>
      </c>
      <c r="S109" s="624">
        <f t="shared" si="34"/>
        <v>0.1475724235389119</v>
      </c>
      <c r="T109" s="71"/>
      <c r="U109" s="71"/>
      <c r="V109" s="71"/>
      <c r="W109" s="71"/>
      <c r="X109" s="71"/>
      <c r="Y109" s="71"/>
      <c r="Z109" s="71"/>
      <c r="AA109" s="71"/>
    </row>
    <row r="110" spans="1:27" s="234" customFormat="1" ht="14.25" x14ac:dyDescent="0.2">
      <c r="A110" s="71"/>
      <c r="B110" s="71" t="s">
        <v>309</v>
      </c>
      <c r="C110" s="71"/>
      <c r="D110" s="71"/>
      <c r="E110" s="498">
        <f>E90</f>
        <v>32.345999999999997</v>
      </c>
      <c r="F110" s="498">
        <f t="shared" ref="F110:K110" si="38">F90</f>
        <v>29.669</v>
      </c>
      <c r="G110" s="498">
        <f t="shared" si="38"/>
        <v>65.58</v>
      </c>
      <c r="H110" s="498">
        <f t="shared" si="38"/>
        <v>137.95699999999999</v>
      </c>
      <c r="I110" s="498">
        <f t="shared" si="38"/>
        <v>192.05199999999999</v>
      </c>
      <c r="J110" s="498">
        <f t="shared" si="38"/>
        <v>179.4</v>
      </c>
      <c r="K110" s="498">
        <f t="shared" si="38"/>
        <v>90.1</v>
      </c>
      <c r="L110" s="71"/>
      <c r="M110" s="624">
        <f t="shared" si="36"/>
        <v>6.3031498211126094E-2</v>
      </c>
      <c r="N110" s="624">
        <f t="shared" si="29"/>
        <v>5.1642358953471572E-2</v>
      </c>
      <c r="O110" s="624">
        <f t="shared" si="30"/>
        <v>9.1788447084478114E-2</v>
      </c>
      <c r="P110" s="624">
        <f t="shared" si="31"/>
        <v>0.17693736260635584</v>
      </c>
      <c r="Q110" s="624">
        <f t="shared" si="32"/>
        <v>0.20212063966490737</v>
      </c>
      <c r="R110" s="624">
        <f t="shared" si="33"/>
        <v>0.15829877349333804</v>
      </c>
      <c r="S110" s="624">
        <f t="shared" si="34"/>
        <v>9.0945795901887561E-2</v>
      </c>
      <c r="T110" s="71"/>
      <c r="U110" s="71"/>
      <c r="V110" s="71"/>
      <c r="W110" s="71"/>
      <c r="X110" s="71"/>
      <c r="Y110" s="71"/>
      <c r="Z110" s="71"/>
      <c r="AA110" s="71"/>
    </row>
    <row r="111" spans="1:27" s="234" customFormat="1" ht="14.25" x14ac:dyDescent="0.2">
      <c r="A111" s="71"/>
      <c r="B111" s="71" t="s">
        <v>308</v>
      </c>
      <c r="C111" s="71"/>
      <c r="D111" s="71"/>
      <c r="E111" s="498">
        <f>E91</f>
        <v>17.494</v>
      </c>
      <c r="F111" s="498">
        <f t="shared" ref="F111:K111" si="39">F91</f>
        <v>26.744</v>
      </c>
      <c r="G111" s="498">
        <f t="shared" si="39"/>
        <v>26.207999999999998</v>
      </c>
      <c r="H111" s="498">
        <f t="shared" si="39"/>
        <v>46.634</v>
      </c>
      <c r="I111" s="498">
        <f t="shared" si="39"/>
        <v>43.697000000000003</v>
      </c>
      <c r="J111" s="498">
        <f t="shared" si="39"/>
        <v>60.3</v>
      </c>
      <c r="K111" s="498">
        <f t="shared" si="39"/>
        <v>40.4</v>
      </c>
      <c r="L111" s="71"/>
      <c r="M111" s="624">
        <f t="shared" si="36"/>
        <v>3.4089934758716384E-2</v>
      </c>
      <c r="N111" s="624">
        <f t="shared" si="29"/>
        <v>4.6551054900793545E-2</v>
      </c>
      <c r="O111" s="624">
        <f t="shared" si="30"/>
        <v>3.6681787453339471E-2</v>
      </c>
      <c r="P111" s="624">
        <f t="shared" si="31"/>
        <v>5.981064366277028E-2</v>
      </c>
      <c r="Q111" s="624">
        <f t="shared" si="32"/>
        <v>4.5987886569457535E-2</v>
      </c>
      <c r="R111" s="624">
        <f t="shared" si="33"/>
        <v>5.3207447277861114E-2</v>
      </c>
      <c r="S111" s="624">
        <f t="shared" si="34"/>
        <v>4.0779246997072784E-2</v>
      </c>
      <c r="T111" s="71"/>
      <c r="U111" s="71"/>
      <c r="V111" s="71"/>
      <c r="W111" s="71"/>
      <c r="X111" s="71"/>
      <c r="Y111" s="71"/>
      <c r="Z111" s="71"/>
      <c r="AA111" s="71"/>
    </row>
    <row r="112" spans="1:27" s="234" customFormat="1" ht="14.25" x14ac:dyDescent="0.2">
      <c r="A112" s="71"/>
      <c r="B112" s="71" t="s">
        <v>435</v>
      </c>
      <c r="C112" s="71"/>
      <c r="D112" s="71"/>
      <c r="E112" s="498">
        <f>E92</f>
        <v>54.738999999999997</v>
      </c>
      <c r="F112" s="498">
        <f t="shared" ref="F112:K112" si="40">F92</f>
        <v>53.26</v>
      </c>
      <c r="G112" s="498">
        <f t="shared" si="40"/>
        <v>72.620999999999995</v>
      </c>
      <c r="H112" s="498">
        <f t="shared" si="40"/>
        <v>63.756</v>
      </c>
      <c r="I112" s="498">
        <f t="shared" si="40"/>
        <v>49.521000000000001</v>
      </c>
      <c r="J112" s="498">
        <f t="shared" si="40"/>
        <v>47.4</v>
      </c>
      <c r="K112" s="498">
        <f t="shared" si="40"/>
        <v>33.6</v>
      </c>
      <c r="L112" s="71"/>
      <c r="M112" s="624">
        <f t="shared" si="36"/>
        <v>0.10666793979406516</v>
      </c>
      <c r="N112" s="624">
        <f t="shared" si="29"/>
        <v>9.270524917799372E-2</v>
      </c>
      <c r="O112" s="624">
        <f t="shared" si="30"/>
        <v>0.10164331832451791</v>
      </c>
      <c r="P112" s="624">
        <f t="shared" si="31"/>
        <v>8.177054075060218E-2</v>
      </c>
      <c r="Q112" s="624">
        <f t="shared" si="32"/>
        <v>5.2117219278351064E-2</v>
      </c>
      <c r="R112" s="624">
        <f t="shared" si="33"/>
        <v>4.1824759551751522E-2</v>
      </c>
      <c r="S112" s="624">
        <f t="shared" si="34"/>
        <v>3.3915413344100136E-2</v>
      </c>
      <c r="T112" s="71"/>
      <c r="U112" s="71"/>
      <c r="V112" s="71"/>
      <c r="W112" s="71"/>
      <c r="X112" s="71"/>
      <c r="Y112" s="71"/>
      <c r="Z112" s="71"/>
      <c r="AA112" s="71"/>
    </row>
    <row r="113" spans="1:27" s="234" customFormat="1" ht="14.25" x14ac:dyDescent="0.2">
      <c r="A113" s="71"/>
      <c r="B113" s="71" t="s">
        <v>895</v>
      </c>
      <c r="C113" s="71"/>
      <c r="D113" s="71"/>
      <c r="E113" s="498">
        <f t="shared" ref="E113:K113" si="41">SUM(E93:E94)</f>
        <v>54.412999999999997</v>
      </c>
      <c r="F113" s="498">
        <f t="shared" si="41"/>
        <v>28.184000000000001</v>
      </c>
      <c r="G113" s="498">
        <f t="shared" si="41"/>
        <v>29.366</v>
      </c>
      <c r="H113" s="498">
        <f t="shared" si="41"/>
        <v>80.033999999999992</v>
      </c>
      <c r="I113" s="498">
        <f t="shared" si="41"/>
        <v>114.93599999999999</v>
      </c>
      <c r="J113" s="498">
        <f t="shared" si="41"/>
        <v>86.6</v>
      </c>
      <c r="K113" s="498">
        <f t="shared" si="41"/>
        <v>33.799999999999997</v>
      </c>
      <c r="L113" s="71"/>
      <c r="M113" s="624">
        <f t="shared" si="36"/>
        <v>0.10603267520441491</v>
      </c>
      <c r="N113" s="624">
        <f t="shared" si="29"/>
        <v>4.9057543049804267E-2</v>
      </c>
      <c r="O113" s="624">
        <f t="shared" si="30"/>
        <v>4.1101853264452336E-2</v>
      </c>
      <c r="P113" s="624">
        <f t="shared" si="31"/>
        <v>0.10264796189274254</v>
      </c>
      <c r="Q113" s="624">
        <f t="shared" si="32"/>
        <v>0.12096170745696891</v>
      </c>
      <c r="R113" s="624">
        <f t="shared" si="33"/>
        <v>7.6414012176828722E-2</v>
      </c>
      <c r="S113" s="624">
        <f t="shared" si="34"/>
        <v>3.4117290804481684E-2</v>
      </c>
      <c r="T113" s="71"/>
      <c r="U113" s="71"/>
      <c r="V113" s="71"/>
      <c r="W113" s="71"/>
      <c r="X113" s="71"/>
      <c r="Y113" s="71"/>
      <c r="Z113" s="71"/>
      <c r="AA113" s="71"/>
    </row>
    <row r="114" spans="1:27" s="234" customFormat="1" ht="14.25" x14ac:dyDescent="0.2">
      <c r="A114" s="71"/>
      <c r="B114" s="71" t="s">
        <v>294</v>
      </c>
      <c r="C114" s="71"/>
      <c r="D114" s="71"/>
      <c r="E114" s="498">
        <f>E115-SUM(E107:E113)</f>
        <v>51.106999999999914</v>
      </c>
      <c r="F114" s="498">
        <f t="shared" ref="F114:K114" si="42">F115-SUM(F107:F113)</f>
        <v>86.593999999999994</v>
      </c>
      <c r="G114" s="498">
        <f t="shared" si="42"/>
        <v>78.121000000000095</v>
      </c>
      <c r="H114" s="498">
        <f t="shared" si="42"/>
        <v>109.99899999999991</v>
      </c>
      <c r="I114" s="498">
        <f t="shared" si="42"/>
        <v>83.62</v>
      </c>
      <c r="J114" s="498">
        <f t="shared" si="42"/>
        <v>145.70000000000005</v>
      </c>
      <c r="K114" s="498">
        <f t="shared" si="42"/>
        <v>67.499999999999886</v>
      </c>
      <c r="L114" s="71"/>
      <c r="M114" s="624">
        <f t="shared" si="36"/>
        <v>9.9590390746182422E-2</v>
      </c>
      <c r="N114" s="624">
        <f t="shared" si="29"/>
        <v>0.1507269685940516</v>
      </c>
      <c r="O114" s="624">
        <f t="shared" si="30"/>
        <v>0.1093413430113834</v>
      </c>
      <c r="P114" s="624">
        <f t="shared" si="31"/>
        <v>0.14107970562810529</v>
      </c>
      <c r="Q114" s="624">
        <f t="shared" si="32"/>
        <v>8.8003915027073679E-2</v>
      </c>
      <c r="R114" s="624">
        <f t="shared" si="33"/>
        <v>0.12856260478249365</v>
      </c>
      <c r="S114" s="624">
        <f t="shared" si="34"/>
        <v>6.813364287877248E-2</v>
      </c>
      <c r="T114" s="71"/>
      <c r="U114" s="71"/>
      <c r="V114" s="71"/>
      <c r="W114" s="71"/>
      <c r="X114" s="71"/>
      <c r="Y114" s="71"/>
      <c r="Z114" s="71"/>
      <c r="AA114" s="71"/>
    </row>
    <row r="115" spans="1:27" s="1" customFormat="1" ht="26.25" customHeight="1" x14ac:dyDescent="0.2">
      <c r="A115" s="515"/>
      <c r="B115" s="516" t="s">
        <v>442</v>
      </c>
      <c r="C115" s="517"/>
      <c r="D115" s="517"/>
      <c r="E115" s="518">
        <f>E100-E87</f>
        <v>513.17199999999991</v>
      </c>
      <c r="F115" s="518">
        <f t="shared" ref="F115:K115" si="43">F100-F87</f>
        <v>574.50900000000001</v>
      </c>
      <c r="G115" s="518">
        <f t="shared" si="43"/>
        <v>714.46900000000005</v>
      </c>
      <c r="H115" s="518">
        <f t="shared" si="43"/>
        <v>779.69399999999985</v>
      </c>
      <c r="I115" s="518">
        <f t="shared" si="43"/>
        <v>950.18499999999995</v>
      </c>
      <c r="J115" s="518">
        <f t="shared" si="43"/>
        <v>1133.3</v>
      </c>
      <c r="K115" s="518">
        <f t="shared" si="43"/>
        <v>990.69999999999982</v>
      </c>
      <c r="L115" s="604"/>
      <c r="M115" s="608">
        <f>SUM(M107:M114)</f>
        <v>1</v>
      </c>
      <c r="N115" s="608">
        <f t="shared" ref="N115:S115" si="44">SUM(N107:N114)</f>
        <v>1</v>
      </c>
      <c r="O115" s="608">
        <f t="shared" si="44"/>
        <v>1</v>
      </c>
      <c r="P115" s="608">
        <f t="shared" si="44"/>
        <v>1</v>
      </c>
      <c r="Q115" s="608">
        <f t="shared" si="44"/>
        <v>1</v>
      </c>
      <c r="R115" s="608">
        <f t="shared" si="44"/>
        <v>1</v>
      </c>
      <c r="S115" s="608">
        <f t="shared" si="44"/>
        <v>0.99999999999999989</v>
      </c>
      <c r="T115" s="547"/>
      <c r="U115" s="4"/>
      <c r="V115" s="4"/>
      <c r="W115" s="4"/>
      <c r="X115" s="4"/>
      <c r="Y115" s="4"/>
      <c r="Z115" s="4"/>
      <c r="AA115" s="4"/>
    </row>
    <row r="116" spans="1:27" s="1" customFormat="1" ht="14.2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s="1" customFormat="1" ht="14.2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s="1" customFormat="1" ht="14.2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s="1" customFormat="1" ht="14.2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s="1" customFormat="1" ht="14.2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s="1" customFormat="1" ht="14.2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s="1" customFormat="1" ht="14.2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s="1" customFormat="1" ht="14.2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s="1" customFormat="1" ht="14.2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s="1" customFormat="1" ht="14.2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s="1" customFormat="1" ht="14.2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s="1" customFormat="1" ht="14.2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s="1" customFormat="1" ht="14.2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s="1" customFormat="1" ht="14.2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s="1" customFormat="1" ht="14.2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s="1" customFormat="1" ht="14.2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s="1" customFormat="1" ht="14.2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s="1" customFormat="1" ht="14.2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s="1" customFormat="1" ht="14.2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s="1" customFormat="1" ht="14.2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s="1" customFormat="1" ht="14.2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s="1" customFormat="1" ht="14.2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s="1" customFormat="1" ht="14.2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s="1" customFormat="1" ht="14.2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s="1" customFormat="1" ht="14.2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s="1" customFormat="1" ht="14.2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s="1" customFormat="1" ht="14.2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s="1" customFormat="1" ht="14.2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s="1" customFormat="1" ht="14.2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s="1" customFormat="1" ht="14.2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s="1" customFormat="1" ht="14.2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s="1" customFormat="1" ht="14.2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s="1" customFormat="1" ht="14.2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s="1" customFormat="1" ht="14.2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s="1" customFormat="1" ht="14.2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s="1" customFormat="1" ht="14.2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s="1" customFormat="1" ht="14.2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s="1" customFormat="1" ht="14.2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s="1" customFormat="1" ht="14.2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s="1" customFormat="1" ht="14.2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s="1" customFormat="1" ht="14.2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s="1" customFormat="1" ht="14.2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s="1" customFormat="1" ht="14.2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s="1" customFormat="1" ht="14.2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s="1" customFormat="1" ht="14.2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s="1" customFormat="1" ht="14.2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s="1" customFormat="1" ht="14.2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s="1" customFormat="1" ht="14.2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s="1" customFormat="1" ht="14.2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s="1" customFormat="1" ht="14.2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s="1" customFormat="1" ht="14.2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s="1" customFormat="1" ht="14.2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s="1" customFormat="1" ht="14.2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s="1" customFormat="1" ht="14.2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s="1" customFormat="1" ht="14.2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s="1" customFormat="1" ht="14.2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s="1" customFormat="1" ht="14.2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s="1" customFormat="1" ht="14.2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s="1" customFormat="1" ht="14.2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s="1" customFormat="1" ht="14.2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s="1" customFormat="1" ht="14.2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s="1" customFormat="1" ht="14.2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s="1" customFormat="1" ht="14.2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s="1" customFormat="1" ht="14.2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s="1" customFormat="1" ht="14.2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s="1" customFormat="1" ht="14.2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s="1" customFormat="1" ht="14.2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s="1" customFormat="1" ht="14.2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s="1" customFormat="1" ht="14.2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s="1" customFormat="1" ht="14.2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s="1" customFormat="1" ht="14.2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s="1" customFormat="1" ht="14.2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s="1" customFormat="1" ht="14.2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s="1" customFormat="1" ht="14.2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s="1" customFormat="1" ht="14.2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s="1" customFormat="1" ht="14.2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s="1" customFormat="1" ht="14.2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s="1" customFormat="1" ht="14.2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s="1" customFormat="1" ht="14.2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s="1" customFormat="1" ht="14.2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s="1" customFormat="1" ht="14.2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s="1" customFormat="1" ht="14.2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s="1" customFormat="1" ht="14.2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s="1" customFormat="1" ht="14.2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s="1" customFormat="1" ht="14.2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s="1" customFormat="1" ht="14.2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s="1" customFormat="1" ht="14.2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s="1" customFormat="1" ht="14.2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s="1" customFormat="1" ht="14.2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s="1" customFormat="1" ht="14.2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s="1" customFormat="1" ht="14.2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s="1" customFormat="1" ht="14.2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s="1" customFormat="1" ht="14.2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s="1" customFormat="1" ht="14.2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s="1" customFormat="1" ht="14.2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s="1" customFormat="1" ht="14.2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s="1" customFormat="1" ht="14.2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s="1" customFormat="1" ht="14.2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s="1" customFormat="1" ht="14.2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s="1" customFormat="1" ht="14.2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s="1" customFormat="1" ht="14.2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s="1" customFormat="1" ht="14.2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s="1" customFormat="1" ht="14.2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s="1" customFormat="1" ht="14.2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s="1" customFormat="1" ht="14.2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s="1" customFormat="1" ht="14.2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s="1" customFormat="1" ht="14.2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s="1" customFormat="1" ht="14.2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s="1" customFormat="1" ht="14.2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s="1" customFormat="1" ht="14.2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s="1" customFormat="1" ht="14.2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s="1" customFormat="1" ht="14.2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s="1" customFormat="1" ht="14.2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s="1" customFormat="1" ht="14.2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s="1" customFormat="1" ht="14.2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s="1" customFormat="1" ht="14.2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s="1" customFormat="1" ht="14.2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s="1" customFormat="1" ht="14.2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s="1" customFormat="1" ht="14.2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s="1" customFormat="1" ht="14.2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s="1" customFormat="1" ht="14.2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s="1" customFormat="1" ht="14.25"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s="1" customFormat="1" ht="14.25"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s="1" customFormat="1" ht="14.25"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s="1" customFormat="1" ht="14.25"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s="1" customFormat="1" ht="14.25"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s="1" customFormat="1" ht="14.25"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s="1" customFormat="1" ht="14.25"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x14ac:dyDescent="0.2">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row>
    <row r="245" spans="1:27" x14ac:dyDescent="0.2">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row>
    <row r="246" spans="1:27" x14ac:dyDescent="0.2">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row>
    <row r="247" spans="1:27" x14ac:dyDescent="0.2">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row>
    <row r="248" spans="1:27" x14ac:dyDescent="0.2">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row>
    <row r="249" spans="1:27" x14ac:dyDescent="0.2">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row>
    <row r="250" spans="1:27" x14ac:dyDescent="0.2">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row>
    <row r="251" spans="1:27" x14ac:dyDescent="0.2">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row>
    <row r="252" spans="1:27" x14ac:dyDescent="0.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row>
    <row r="253" spans="1:27" x14ac:dyDescent="0.2">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row>
    <row r="254" spans="1:27" x14ac:dyDescent="0.2">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row>
    <row r="255" spans="1:27" x14ac:dyDescent="0.2">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row>
    <row r="256" spans="1:27" x14ac:dyDescent="0.2">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row>
    <row r="257" spans="1:27" x14ac:dyDescent="0.2">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row>
    <row r="258" spans="1:27" x14ac:dyDescent="0.2">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row>
    <row r="259" spans="1:27" x14ac:dyDescent="0.2">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row>
    <row r="260" spans="1:27" x14ac:dyDescent="0.2">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row>
    <row r="261" spans="1:27" x14ac:dyDescent="0.2">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row>
    <row r="262" spans="1:27" x14ac:dyDescent="0.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row>
    <row r="263" spans="1:27" x14ac:dyDescent="0.2">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row>
    <row r="264" spans="1:27" x14ac:dyDescent="0.2">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row>
    <row r="265" spans="1:27" x14ac:dyDescent="0.2">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row>
    <row r="266" spans="1:27" x14ac:dyDescent="0.2">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row>
    <row r="267" spans="1:27" x14ac:dyDescent="0.2">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row>
    <row r="268" spans="1:27" x14ac:dyDescent="0.2">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row>
    <row r="269" spans="1:27" x14ac:dyDescent="0.2">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row>
    <row r="270" spans="1:27" x14ac:dyDescent="0.2">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row>
    <row r="271" spans="1:27" x14ac:dyDescent="0.2">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row>
    <row r="272" spans="1:27" x14ac:dyDescent="0.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row>
    <row r="273" spans="1:27" x14ac:dyDescent="0.2">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row>
    <row r="274" spans="1:27" x14ac:dyDescent="0.2">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row>
    <row r="275" spans="1:27" x14ac:dyDescent="0.2">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row>
    <row r="276" spans="1:27" x14ac:dyDescent="0.2">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row>
    <row r="277" spans="1:27" x14ac:dyDescent="0.2">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row>
    <row r="278" spans="1:27" x14ac:dyDescent="0.2">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row>
    <row r="279" spans="1:27" x14ac:dyDescent="0.2">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row>
    <row r="280" spans="1:27" x14ac:dyDescent="0.2">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row>
    <row r="281" spans="1:27" x14ac:dyDescent="0.2">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row>
    <row r="282" spans="1:27" x14ac:dyDescent="0.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row>
    <row r="283" spans="1:27" x14ac:dyDescent="0.2">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row>
    <row r="284" spans="1:27" x14ac:dyDescent="0.2">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row>
    <row r="285" spans="1:27" x14ac:dyDescent="0.2">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row>
    <row r="286" spans="1:27" x14ac:dyDescent="0.2">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row>
    <row r="287" spans="1:27" x14ac:dyDescent="0.2">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row>
    <row r="288" spans="1:27" x14ac:dyDescent="0.2">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row>
    <row r="289" spans="1:27" x14ac:dyDescent="0.2">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row>
    <row r="290" spans="1:27" x14ac:dyDescent="0.2">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row>
    <row r="291" spans="1:27" x14ac:dyDescent="0.2">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row>
    <row r="292" spans="1:27" x14ac:dyDescent="0.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row>
    <row r="293" spans="1:27" x14ac:dyDescent="0.2">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row>
    <row r="294" spans="1:27" x14ac:dyDescent="0.2">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row>
    <row r="295" spans="1:27" x14ac:dyDescent="0.2">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row>
    <row r="296" spans="1:27" x14ac:dyDescent="0.2">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row>
    <row r="297" spans="1:27" x14ac:dyDescent="0.2">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row>
    <row r="298" spans="1:27" x14ac:dyDescent="0.2">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row>
    <row r="299" spans="1:27" x14ac:dyDescent="0.2">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row>
    <row r="300" spans="1:27" x14ac:dyDescent="0.2">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row>
    <row r="301" spans="1:27" x14ac:dyDescent="0.2">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row>
    <row r="302" spans="1:27" x14ac:dyDescent="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row>
    <row r="303" spans="1:27" x14ac:dyDescent="0.2">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row>
    <row r="304" spans="1:27" x14ac:dyDescent="0.2">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row>
    <row r="305" spans="1:27" x14ac:dyDescent="0.2">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row>
    <row r="306" spans="1:27" x14ac:dyDescent="0.2">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row>
    <row r="307" spans="1:27" x14ac:dyDescent="0.2">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row>
    <row r="308" spans="1:27" x14ac:dyDescent="0.2">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row>
    <row r="309" spans="1:27" x14ac:dyDescent="0.2">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row>
    <row r="310" spans="1:27" x14ac:dyDescent="0.2">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row>
    <row r="311" spans="1:27" x14ac:dyDescent="0.2">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row>
    <row r="312" spans="1:27" x14ac:dyDescent="0.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row>
    <row r="313" spans="1:27" x14ac:dyDescent="0.2">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row>
    <row r="314" spans="1:27" x14ac:dyDescent="0.2">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row>
    <row r="315" spans="1:27" x14ac:dyDescent="0.2">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row>
    <row r="316" spans="1:27" x14ac:dyDescent="0.2">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row>
    <row r="317" spans="1:27" x14ac:dyDescent="0.2">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row>
    <row r="318" spans="1:27" x14ac:dyDescent="0.2">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row>
    <row r="319" spans="1:27" x14ac:dyDescent="0.2">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row>
    <row r="320" spans="1:27" x14ac:dyDescent="0.2">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row>
    <row r="321" spans="1:27" x14ac:dyDescent="0.2">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row>
    <row r="322" spans="1:27" x14ac:dyDescent="0.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row>
    <row r="323" spans="1:27" x14ac:dyDescent="0.2">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row>
    <row r="324" spans="1:27" x14ac:dyDescent="0.2">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row>
    <row r="325" spans="1:27" x14ac:dyDescent="0.2">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row>
    <row r="326" spans="1:27" x14ac:dyDescent="0.2">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row>
    <row r="327" spans="1:27" x14ac:dyDescent="0.2">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row>
    <row r="328" spans="1:27" x14ac:dyDescent="0.2">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row>
    <row r="329" spans="1:27" x14ac:dyDescent="0.2">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row>
    <row r="330" spans="1:27" x14ac:dyDescent="0.2">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row>
    <row r="331" spans="1:27" x14ac:dyDescent="0.2">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row>
    <row r="332" spans="1:27" x14ac:dyDescent="0.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row>
    <row r="333" spans="1:27" x14ac:dyDescent="0.2">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row>
    <row r="334" spans="1:27" x14ac:dyDescent="0.2">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row>
    <row r="335" spans="1:27" x14ac:dyDescent="0.2">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row>
    <row r="336" spans="1:27" x14ac:dyDescent="0.2">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row>
    <row r="337" spans="1:27" x14ac:dyDescent="0.2">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row>
    <row r="338" spans="1:27" x14ac:dyDescent="0.2">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row>
    <row r="339" spans="1:27" x14ac:dyDescent="0.2">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row>
    <row r="340" spans="1:27" x14ac:dyDescent="0.2">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row>
    <row r="341" spans="1:27" x14ac:dyDescent="0.2">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row>
    <row r="342" spans="1:27" x14ac:dyDescent="0.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row>
    <row r="343" spans="1:27" x14ac:dyDescent="0.2">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row>
    <row r="344" spans="1:27" x14ac:dyDescent="0.2">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row>
    <row r="345" spans="1:27" x14ac:dyDescent="0.2">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row>
    <row r="346" spans="1:27" x14ac:dyDescent="0.2">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row>
    <row r="347" spans="1:27" x14ac:dyDescent="0.2">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row>
    <row r="348" spans="1:27" x14ac:dyDescent="0.2">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row>
    <row r="349" spans="1:27" x14ac:dyDescent="0.2">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row>
    <row r="350" spans="1:27" x14ac:dyDescent="0.2">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row>
    <row r="351" spans="1:27" x14ac:dyDescent="0.2">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row>
    <row r="352" spans="1:27" x14ac:dyDescent="0.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row>
    <row r="353" spans="1:27" x14ac:dyDescent="0.2">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row>
    <row r="354" spans="1:27" x14ac:dyDescent="0.2">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row>
    <row r="355" spans="1:27" x14ac:dyDescent="0.2">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row>
    <row r="356" spans="1:27" x14ac:dyDescent="0.2">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row>
    <row r="357" spans="1:27" x14ac:dyDescent="0.2">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row>
    <row r="358" spans="1:27" x14ac:dyDescent="0.2">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row>
    <row r="359" spans="1:27" x14ac:dyDescent="0.2">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row>
    <row r="360" spans="1:27" x14ac:dyDescent="0.2">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row>
    <row r="361" spans="1:27" x14ac:dyDescent="0.2">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row>
  </sheetData>
  <mergeCells count="12">
    <mergeCell ref="E93:E94"/>
    <mergeCell ref="F93:F94"/>
    <mergeCell ref="G93:G94"/>
    <mergeCell ref="E98:E99"/>
    <mergeCell ref="F98:F99"/>
    <mergeCell ref="G98:G99"/>
    <mergeCell ref="M93:M94"/>
    <mergeCell ref="N93:N94"/>
    <mergeCell ref="O93:O94"/>
    <mergeCell ref="M98:M99"/>
    <mergeCell ref="N98:N99"/>
    <mergeCell ref="O98:O99"/>
  </mergeCells>
  <pageMargins left="0.7" right="0.7" top="0.75" bottom="0.75" header="0.3" footer="0.3"/>
  <drawing r:id="rId1"/>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Q214"/>
  <sheetViews>
    <sheetView zoomScale="85" zoomScaleNormal="85" zoomScaleSheetLayoutView="100" workbookViewId="0">
      <pane xSplit="4" ySplit="8" topLeftCell="H31" activePane="bottomRight" state="frozen"/>
      <selection pane="topRight" activeCell="E1" sqref="E1"/>
      <selection pane="bottomLeft" activeCell="A9" sqref="A9"/>
      <selection pane="bottomRight" activeCell="V3" sqref="V3"/>
    </sheetView>
  </sheetViews>
  <sheetFormatPr defaultColWidth="9.140625" defaultRowHeight="14.25" outlineLevelRow="1" outlineLevelCol="1" x14ac:dyDescent="0.2"/>
  <cols>
    <col min="1" max="1" width="11.5703125" style="1" customWidth="1"/>
    <col min="2" max="2" width="4.85546875" style="1" customWidth="1"/>
    <col min="3" max="3" width="6.42578125" style="1" customWidth="1"/>
    <col min="4" max="4" width="85.7109375" style="1" customWidth="1"/>
    <col min="5" max="5" width="10.85546875" style="1" customWidth="1"/>
    <col min="6" max="6" width="10.140625" style="1" customWidth="1"/>
    <col min="7" max="8" width="10.85546875" style="1" customWidth="1"/>
    <col min="9" max="10" width="10.85546875" style="65" customWidth="1"/>
    <col min="11" max="11" width="10.85546875" style="1" customWidth="1"/>
    <col min="12" max="13" width="4.7109375" style="1" customWidth="1"/>
    <col min="14" max="14" width="4.7109375" style="65" customWidth="1"/>
    <col min="15" max="16" width="4.7109375" style="64" customWidth="1"/>
    <col min="17" max="21" width="9.7109375" style="65" customWidth="1"/>
    <col min="22" max="22" width="6.7109375" style="65" customWidth="1"/>
    <col min="23" max="23" width="7" style="1" customWidth="1"/>
    <col min="24" max="24" width="11.42578125" style="1" hidden="1" customWidth="1" outlineLevel="1"/>
    <col min="25" max="26" width="10.28515625" style="65" hidden="1" customWidth="1" outlineLevel="1"/>
    <col min="27" max="27" width="7.42578125" style="1" hidden="1" customWidth="1" outlineLevel="1"/>
    <col min="28" max="28" width="7.85546875" style="1" customWidth="1" collapsed="1"/>
    <col min="29" max="33" width="9.7109375" style="65" customWidth="1"/>
    <col min="34" max="34" width="6.7109375" style="65" customWidth="1"/>
    <col min="35" max="35" width="7" style="1" customWidth="1"/>
    <col min="36" max="36" width="11.42578125" style="1" hidden="1" customWidth="1" outlineLevel="1"/>
    <col min="37" max="38" width="10.28515625" style="65" hidden="1" customWidth="1" outlineLevel="1"/>
    <col min="39" max="39" width="9.140625" style="1" hidden="1" customWidth="1" outlineLevel="1"/>
    <col min="40" max="40" width="9.140625" style="1" customWidth="1" collapsed="1"/>
    <col min="41" max="46" width="9.140625" style="1" customWidth="1"/>
    <col min="47" max="16384" width="9.140625" style="1"/>
  </cols>
  <sheetData>
    <row r="1" spans="1:43" ht="16.5" customHeight="1" x14ac:dyDescent="0.25">
      <c r="A1" s="93"/>
      <c r="B1" s="336"/>
      <c r="C1" s="93"/>
      <c r="D1" s="327"/>
      <c r="E1" s="93"/>
      <c r="F1" s="93"/>
      <c r="G1" s="93"/>
      <c r="H1" s="93"/>
      <c r="I1" s="93"/>
      <c r="J1" s="230"/>
      <c r="K1" s="337"/>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4"/>
    </row>
    <row r="2" spans="1:43" ht="16.5" customHeight="1" x14ac:dyDescent="0.25">
      <c r="A2" s="93"/>
      <c r="B2" s="336"/>
      <c r="C2" s="93"/>
      <c r="D2" s="327" t="str">
        <f>МСФО_ввод!E2</f>
        <v>ОАО "Банк Москвы"</v>
      </c>
      <c r="E2" s="93"/>
      <c r="F2" s="93"/>
      <c r="G2" s="93"/>
      <c r="H2" s="93"/>
      <c r="I2" s="93"/>
      <c r="J2" s="230"/>
      <c r="K2" s="337"/>
      <c r="L2" s="93"/>
      <c r="M2" s="93"/>
      <c r="N2" s="93"/>
      <c r="O2" s="93"/>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c r="AQ2" s="4"/>
    </row>
    <row r="3" spans="1:43" ht="16.5" customHeight="1" x14ac:dyDescent="0.25">
      <c r="A3" s="93"/>
      <c r="B3" s="336"/>
      <c r="C3" s="93"/>
      <c r="D3" s="327" t="str">
        <f>МСФО_ввод!E3</f>
        <v>МСФО</v>
      </c>
      <c r="E3" s="93"/>
      <c r="F3" s="93"/>
      <c r="G3" s="93"/>
      <c r="H3" s="93"/>
      <c r="I3" s="93"/>
      <c r="J3" s="230"/>
      <c r="K3" s="337"/>
      <c r="L3" s="93"/>
      <c r="M3" s="93"/>
      <c r="N3" s="93"/>
      <c r="O3" s="93"/>
      <c r="P3" s="93"/>
      <c r="Q3" s="93"/>
      <c r="R3" s="93"/>
      <c r="S3" s="93"/>
      <c r="T3" s="93"/>
      <c r="U3" s="93"/>
      <c r="V3" s="93"/>
      <c r="W3" s="93"/>
      <c r="X3" s="93"/>
      <c r="Y3" s="93"/>
      <c r="Z3" s="93"/>
      <c r="AA3" s="93"/>
      <c r="AB3" s="93"/>
      <c r="AC3" s="93"/>
      <c r="AD3" s="93"/>
      <c r="AE3" s="93"/>
      <c r="AF3" s="93"/>
      <c r="AG3" s="93"/>
      <c r="AH3" s="93"/>
      <c r="AI3" s="93"/>
      <c r="AJ3" s="31"/>
      <c r="AK3" s="93"/>
      <c r="AL3" s="93"/>
      <c r="AM3" s="31"/>
      <c r="AN3" s="31"/>
      <c r="AO3" s="31"/>
      <c r="AP3" s="31"/>
      <c r="AQ3" s="4"/>
    </row>
    <row r="4" spans="1:43" ht="16.5" customHeight="1" x14ac:dyDescent="0.25">
      <c r="A4" s="93"/>
      <c r="B4" s="336"/>
      <c r="C4" s="93"/>
      <c r="D4" s="327" t="str">
        <f>МСФО_ввод!E4</f>
        <v>Консолидированная</v>
      </c>
      <c r="E4" s="93"/>
      <c r="F4" s="93"/>
      <c r="G4" s="93"/>
      <c r="H4" s="93"/>
      <c r="I4" s="93"/>
      <c r="J4" s="230"/>
      <c r="K4" s="337"/>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4"/>
    </row>
    <row r="5" spans="1:43" ht="16.5" customHeight="1" x14ac:dyDescent="0.25">
      <c r="A5" s="21"/>
      <c r="B5" s="338"/>
      <c r="C5" s="21"/>
      <c r="D5" s="338" t="s">
        <v>19</v>
      </c>
      <c r="E5" s="21"/>
      <c r="F5" s="21"/>
      <c r="G5" s="21"/>
      <c r="H5" s="21"/>
      <c r="I5" s="21"/>
      <c r="J5" s="339"/>
      <c r="K5" s="340"/>
      <c r="L5" s="21"/>
      <c r="M5" s="21"/>
      <c r="N5" s="21"/>
      <c r="O5" s="21"/>
      <c r="P5" s="21"/>
      <c r="Q5" s="338" t="s">
        <v>862</v>
      </c>
      <c r="R5" s="21"/>
      <c r="S5" s="21"/>
      <c r="T5" s="21"/>
      <c r="U5" s="21"/>
      <c r="V5" s="21"/>
      <c r="W5" s="4"/>
      <c r="X5" s="4"/>
      <c r="Y5" s="4"/>
      <c r="Z5" s="4"/>
      <c r="AA5" s="4"/>
      <c r="AB5" s="4"/>
      <c r="AC5" s="585" t="s">
        <v>867</v>
      </c>
      <c r="AD5" s="21"/>
      <c r="AE5" s="21"/>
      <c r="AF5" s="21"/>
      <c r="AG5" s="21"/>
      <c r="AH5" s="21"/>
      <c r="AI5" s="4"/>
      <c r="AJ5" s="4"/>
      <c r="AK5" s="4"/>
      <c r="AL5" s="4"/>
      <c r="AM5" s="4"/>
      <c r="AN5" s="4"/>
      <c r="AO5" s="4"/>
      <c r="AP5" s="4"/>
      <c r="AQ5" s="4"/>
    </row>
    <row r="6" spans="1:43" ht="16.5" customHeight="1" x14ac:dyDescent="0.25">
      <c r="A6" s="4"/>
      <c r="B6" s="95"/>
      <c r="C6" s="4"/>
      <c r="D6" s="95"/>
      <c r="E6" s="4"/>
      <c r="F6" s="4"/>
      <c r="G6" s="4"/>
      <c r="H6" s="4"/>
      <c r="I6" s="4"/>
      <c r="J6" s="38"/>
      <c r="K6" s="71"/>
      <c r="L6" s="4"/>
      <c r="M6" s="4"/>
      <c r="N6" s="21"/>
      <c r="O6" s="21"/>
      <c r="P6" s="21"/>
      <c r="Q6" s="21" t="s">
        <v>286</v>
      </c>
      <c r="R6" s="21"/>
      <c r="S6" s="21"/>
      <c r="T6" s="21"/>
      <c r="U6" s="21"/>
      <c r="V6" s="21"/>
      <c r="W6" s="4"/>
      <c r="X6" s="4"/>
      <c r="Y6" s="4"/>
      <c r="Z6" s="4"/>
      <c r="AA6" s="4"/>
      <c r="AB6" s="4"/>
      <c r="AC6" s="21" t="s">
        <v>868</v>
      </c>
      <c r="AD6" s="21"/>
      <c r="AE6" s="21"/>
      <c r="AF6" s="21"/>
      <c r="AG6" s="21"/>
      <c r="AH6" s="21"/>
      <c r="AI6" s="4"/>
      <c r="AJ6" s="4"/>
      <c r="AK6" s="4"/>
      <c r="AL6" s="4"/>
      <c r="AM6" s="4"/>
      <c r="AN6" s="4"/>
      <c r="AO6" s="4"/>
      <c r="AP6" s="4"/>
      <c r="AQ6" s="4"/>
    </row>
    <row r="7" spans="1:43" ht="15" x14ac:dyDescent="0.2">
      <c r="A7" s="4"/>
      <c r="B7" s="4"/>
      <c r="C7" s="4"/>
      <c r="D7" s="4"/>
      <c r="E7" s="4" t="s">
        <v>348</v>
      </c>
      <c r="F7" s="4"/>
      <c r="G7" s="4"/>
      <c r="H7" s="4"/>
      <c r="I7" s="4"/>
      <c r="J7" s="4"/>
      <c r="K7" s="4"/>
      <c r="L7" s="4"/>
      <c r="M7" s="4"/>
      <c r="N7" s="21"/>
      <c r="O7" s="21"/>
      <c r="P7" s="21"/>
      <c r="Q7" s="4" t="s">
        <v>348</v>
      </c>
      <c r="R7" s="4"/>
      <c r="S7" s="4"/>
      <c r="T7" s="4"/>
      <c r="U7" s="4"/>
      <c r="V7" s="4"/>
      <c r="W7" s="4"/>
      <c r="X7" s="4" t="s">
        <v>849</v>
      </c>
      <c r="Y7" s="4"/>
      <c r="Z7" s="4"/>
      <c r="AA7" s="4"/>
      <c r="AB7" s="4"/>
      <c r="AC7" s="4" t="s">
        <v>348</v>
      </c>
      <c r="AD7" s="4"/>
      <c r="AE7" s="4"/>
      <c r="AF7" s="4"/>
      <c r="AG7" s="4"/>
      <c r="AH7" s="4"/>
      <c r="AI7" s="4"/>
      <c r="AJ7" s="4" t="s">
        <v>849</v>
      </c>
      <c r="AK7" s="4"/>
      <c r="AL7" s="4"/>
      <c r="AM7" s="4"/>
      <c r="AN7" s="4"/>
      <c r="AO7" s="4"/>
      <c r="AP7" s="4"/>
      <c r="AQ7" s="4"/>
    </row>
    <row r="8" spans="1:43" ht="15" x14ac:dyDescent="0.2">
      <c r="A8" s="15"/>
      <c r="B8" s="15"/>
      <c r="C8" s="15"/>
      <c r="D8" s="15"/>
      <c r="E8" s="539">
        <f>МСФО_ввод!E7</f>
        <v>2009</v>
      </c>
      <c r="F8" s="539">
        <f>МСФО_ввод!F7</f>
        <v>2010</v>
      </c>
      <c r="G8" s="539">
        <f>МСФО_ввод!G7</f>
        <v>2011</v>
      </c>
      <c r="H8" s="539">
        <f>МСФО_ввод!H7</f>
        <v>2012</v>
      </c>
      <c r="I8" s="539">
        <f>МСФО_ввод!I7</f>
        <v>2013</v>
      </c>
      <c r="J8" s="539">
        <f>МСФО_ввод!J7</f>
        <v>2014</v>
      </c>
      <c r="K8" s="539">
        <f>МСФО_ввод!K7</f>
        <v>2015</v>
      </c>
      <c r="L8" s="540"/>
      <c r="M8" s="581"/>
      <c r="N8" s="490"/>
      <c r="O8" s="490"/>
      <c r="P8" s="490"/>
      <c r="Q8" s="539">
        <v>2013</v>
      </c>
      <c r="R8" s="539">
        <v>2014</v>
      </c>
      <c r="S8" s="539">
        <v>2015</v>
      </c>
      <c r="T8" s="539">
        <v>2016</v>
      </c>
      <c r="U8" s="539">
        <v>2017</v>
      </c>
      <c r="V8" s="539"/>
      <c r="W8" s="539"/>
      <c r="X8" s="539">
        <f>Q8</f>
        <v>2013</v>
      </c>
      <c r="Y8" s="539">
        <f>R8</f>
        <v>2014</v>
      </c>
      <c r="Z8" s="539">
        <f>S8</f>
        <v>2015</v>
      </c>
      <c r="AA8" s="4"/>
      <c r="AB8" s="4"/>
      <c r="AC8" s="539">
        <v>2013</v>
      </c>
      <c r="AD8" s="539">
        <v>2014</v>
      </c>
      <c r="AE8" s="539">
        <v>2015</v>
      </c>
      <c r="AF8" s="539">
        <v>2016</v>
      </c>
      <c r="AG8" s="539">
        <v>2017</v>
      </c>
      <c r="AH8" s="539"/>
      <c r="AI8" s="539"/>
      <c r="AJ8" s="539">
        <f>AC8</f>
        <v>2013</v>
      </c>
      <c r="AK8" s="539">
        <f>AD8</f>
        <v>2014</v>
      </c>
      <c r="AL8" s="539">
        <f>AE8</f>
        <v>2015</v>
      </c>
      <c r="AM8" s="4"/>
      <c r="AN8" s="4"/>
      <c r="AO8" s="4"/>
      <c r="AP8" s="4"/>
      <c r="AQ8" s="4"/>
    </row>
    <row r="9" spans="1:43" s="319" customFormat="1" ht="25.5" customHeight="1" x14ac:dyDescent="0.25">
      <c r="A9" s="628"/>
      <c r="B9" s="629" t="s">
        <v>896</v>
      </c>
      <c r="C9" s="628"/>
      <c r="D9" s="628"/>
      <c r="E9" s="627"/>
      <c r="F9" s="627"/>
      <c r="G9" s="627"/>
      <c r="H9" s="627"/>
      <c r="I9" s="627"/>
      <c r="J9" s="627"/>
      <c r="K9" s="627"/>
      <c r="L9" s="627"/>
      <c r="M9" s="630"/>
      <c r="N9" s="627"/>
      <c r="O9" s="627"/>
      <c r="P9" s="627"/>
      <c r="Q9" s="627"/>
      <c r="R9" s="627"/>
      <c r="S9" s="627"/>
      <c r="T9" s="627"/>
      <c r="U9" s="627"/>
      <c r="V9" s="627"/>
      <c r="W9" s="627"/>
      <c r="X9" s="627"/>
      <c r="Y9" s="627"/>
      <c r="Z9" s="627"/>
      <c r="AA9" s="628"/>
      <c r="AB9" s="628"/>
      <c r="AC9" s="627"/>
      <c r="AD9" s="627"/>
      <c r="AE9" s="627"/>
      <c r="AF9" s="627"/>
      <c r="AG9" s="627"/>
      <c r="AH9" s="627"/>
      <c r="AI9" s="627"/>
      <c r="AJ9" s="627"/>
      <c r="AK9" s="627"/>
      <c r="AL9" s="627"/>
      <c r="AM9" s="628"/>
      <c r="AN9" s="628"/>
      <c r="AO9" s="628"/>
      <c r="AP9" s="628"/>
      <c r="AQ9" s="318"/>
    </row>
    <row r="10" spans="1:43" x14ac:dyDescent="0.2">
      <c r="A10" s="4"/>
      <c r="B10" s="4" t="s">
        <v>842</v>
      </c>
      <c r="C10" s="43"/>
      <c r="D10" s="43"/>
      <c r="E10" s="543"/>
      <c r="F10" s="543">
        <f>ОПиУ_МСФО!F69</f>
        <v>4.7322508496620008E-2</v>
      </c>
      <c r="G10" s="543">
        <f>ОПиУ_МСФО!G69</f>
        <v>2.4947712243044214E-2</v>
      </c>
      <c r="H10" s="543">
        <f>ОПиУ_МСФО!H69</f>
        <v>3.3595158829241224E-2</v>
      </c>
      <c r="I10" s="543">
        <f>ОПиУ_МСФО!I69</f>
        <v>4.1191327053619442E-2</v>
      </c>
      <c r="J10" s="543">
        <f>ОПиУ_МСФО!J69</f>
        <v>3.3211204097751648E-2</v>
      </c>
      <c r="K10" s="543">
        <f>ОПиУ_МСФО!K69</f>
        <v>2.5286534920155018E-2</v>
      </c>
      <c r="L10" s="497"/>
      <c r="M10" s="43"/>
      <c r="N10" s="9"/>
      <c r="O10" s="66"/>
      <c r="P10" s="66"/>
      <c r="Q10" s="543">
        <f>ОПиУ_МСФО!Q69</f>
        <v>3.6939121522228467E-2</v>
      </c>
      <c r="R10" s="543">
        <f>ОПиУ_МСФО!R69</f>
        <v>3.2737101530174471E-2</v>
      </c>
      <c r="S10" s="543">
        <f>ОПиУ_МСФО!S69</f>
        <v>2.0185157174451466E-2</v>
      </c>
      <c r="T10" s="543">
        <f>ОПиУ_МСФО!T69</f>
        <v>1.9918681736506749E-2</v>
      </c>
      <c r="U10" s="543">
        <f>ОПиУ_МСФО!U69</f>
        <v>2.0197863787562387E-2</v>
      </c>
      <c r="V10" s="4"/>
      <c r="W10" s="4"/>
      <c r="X10" s="4"/>
      <c r="Y10" s="4"/>
      <c r="Z10" s="4"/>
      <c r="AA10" s="4"/>
      <c r="AB10" s="4"/>
      <c r="AC10" s="543">
        <f>ОПиУ_МСФО!AE69</f>
        <v>2.8400806043627318E-2</v>
      </c>
      <c r="AD10" s="543">
        <f>ОПиУ_МСФО!AF69</f>
        <v>2.7610524395471112E-2</v>
      </c>
      <c r="AE10" s="543">
        <f>ОПиУ_МСФО!AG69</f>
        <v>2.7110761176698091E-2</v>
      </c>
      <c r="AF10" s="543">
        <f>ОПиУ_МСФО!AH69</f>
        <v>3.5823679441162014E-2</v>
      </c>
      <c r="AG10" s="543">
        <f>ОПиУ_МСФО!AI69</f>
        <v>2.8735642830939791E-2</v>
      </c>
      <c r="AH10" s="4"/>
      <c r="AI10" s="4"/>
      <c r="AJ10" s="4"/>
      <c r="AK10" s="4"/>
      <c r="AL10" s="4"/>
      <c r="AM10" s="4"/>
      <c r="AN10" s="4"/>
      <c r="AO10" s="4"/>
      <c r="AP10" s="4"/>
      <c r="AQ10" s="4"/>
    </row>
    <row r="11" spans="1:43" x14ac:dyDescent="0.2">
      <c r="A11" s="4"/>
      <c r="B11" s="93" t="s">
        <v>840</v>
      </c>
      <c r="C11" s="548"/>
      <c r="D11" s="548"/>
      <c r="E11" s="549"/>
      <c r="F11" s="549">
        <f>ОПиУ_МСФО!F70</f>
        <v>6.3443638799236077E-2</v>
      </c>
      <c r="G11" s="549">
        <f>ОПиУ_МСФО!G70</f>
        <v>4.1233315662082673E-2</v>
      </c>
      <c r="H11" s="549">
        <f>ОПиУ_МСФО!H70</f>
        <v>6.2963510022915531E-2</v>
      </c>
      <c r="I11" s="549">
        <f>ОПиУ_МСФО!I70</f>
        <v>7.2145874530598259E-2</v>
      </c>
      <c r="J11" s="549">
        <f>ОПиУ_МСФО!J70</f>
        <v>5.4181648730942791E-2</v>
      </c>
      <c r="K11" s="549">
        <f>ОПиУ_МСФО!K70</f>
        <v>3.8932502262888982E-2</v>
      </c>
      <c r="L11" s="497"/>
      <c r="M11" s="43"/>
      <c r="N11" s="9"/>
      <c r="O11" s="66"/>
      <c r="P11" s="66"/>
      <c r="Q11" s="549"/>
      <c r="R11" s="93"/>
      <c r="S11" s="93"/>
      <c r="T11" s="93"/>
      <c r="U11" s="93"/>
      <c r="V11" s="4"/>
      <c r="W11" s="4"/>
      <c r="X11" s="4"/>
      <c r="Y11" s="4"/>
      <c r="Z11" s="4"/>
      <c r="AA11" s="4"/>
      <c r="AB11" s="4"/>
      <c r="AC11" s="549"/>
      <c r="AD11" s="93"/>
      <c r="AE11" s="93"/>
      <c r="AF11" s="93"/>
      <c r="AG11" s="93"/>
      <c r="AH11" s="4"/>
      <c r="AI11" s="4"/>
      <c r="AJ11" s="4"/>
      <c r="AK11" s="4"/>
      <c r="AL11" s="4"/>
      <c r="AM11" s="4"/>
      <c r="AN11" s="4"/>
      <c r="AO11" s="4"/>
      <c r="AP11" s="4"/>
      <c r="AQ11" s="4"/>
    </row>
    <row r="12" spans="1:43" x14ac:dyDescent="0.2">
      <c r="A12" s="4"/>
      <c r="B12" s="4" t="s">
        <v>846</v>
      </c>
      <c r="C12" s="43"/>
      <c r="D12" s="43"/>
      <c r="E12" s="543"/>
      <c r="F12" s="543">
        <f>ОПиУ_МСФО!F71</f>
        <v>-8.3292105480801376E-2</v>
      </c>
      <c r="G12" s="543">
        <f>ОПиУ_МСФО!G71</f>
        <v>2.5784609635024769E-2</v>
      </c>
      <c r="H12" s="543">
        <f>ОПиУ_МСФО!H71</f>
        <v>2.4070368194441045E-2</v>
      </c>
      <c r="I12" s="543">
        <f>ОПиУ_МСФО!I71</f>
        <v>2.5806358869186016E-2</v>
      </c>
      <c r="J12" s="543">
        <f>ОПиУ_МСФО!J71</f>
        <v>1.2773540037596778E-3</v>
      </c>
      <c r="K12" s="543">
        <f>ОПиУ_МСФО!K71</f>
        <v>6.596487370475212E-4</v>
      </c>
      <c r="L12" s="497"/>
      <c r="M12" s="43"/>
      <c r="N12" s="9"/>
      <c r="O12" s="66"/>
      <c r="P12" s="66"/>
      <c r="Q12" s="543">
        <f>ОПиУ_МСФО!Q71</f>
        <v>1.8589262218198916E-2</v>
      </c>
      <c r="R12" s="543">
        <f>ОПиУ_МСФО!R71</f>
        <v>8.7476615034043793E-3</v>
      </c>
      <c r="S12" s="543">
        <f>ОПиУ_МСФО!S71</f>
        <v>2.3977188058463199E-3</v>
      </c>
      <c r="T12" s="543">
        <f>ОПиУ_МСФО!T71</f>
        <v>1.1399275126791411E-2</v>
      </c>
      <c r="U12" s="543">
        <f>ОПиУ_МСФО!U71</f>
        <v>9.5028837234070428E-3</v>
      </c>
      <c r="V12" s="4"/>
      <c r="W12" s="4"/>
      <c r="X12" s="4"/>
      <c r="Y12" s="4"/>
      <c r="Z12" s="4"/>
      <c r="AA12" s="4"/>
      <c r="AB12" s="4"/>
      <c r="AC12" s="543">
        <f>ОПиУ_МСФО!AE71</f>
        <v>1.0635326602506896E-2</v>
      </c>
      <c r="AD12" s="543">
        <f>ОПиУ_МСФО!AF71</f>
        <v>1.0006130153587794E-2</v>
      </c>
      <c r="AE12" s="543">
        <f>ОПиУ_МСФО!AG71</f>
        <v>1.038053505982677E-2</v>
      </c>
      <c r="AF12" s="543">
        <f>ОПиУ_МСФО!AH71</f>
        <v>2.196968666444888E-2</v>
      </c>
      <c r="AG12" s="543">
        <f>ОПиУ_МСФО!AI71</f>
        <v>9.577714261724898E-3</v>
      </c>
      <c r="AH12" s="4"/>
      <c r="AI12" s="4"/>
      <c r="AJ12" s="4"/>
      <c r="AK12" s="4"/>
      <c r="AL12" s="4"/>
      <c r="AM12" s="4"/>
      <c r="AN12" s="4"/>
      <c r="AO12" s="4"/>
      <c r="AP12" s="4"/>
      <c r="AQ12" s="4"/>
    </row>
    <row r="13" spans="1:43" x14ac:dyDescent="0.2">
      <c r="A13" s="4"/>
      <c r="B13" s="93" t="s">
        <v>847</v>
      </c>
      <c r="C13" s="548"/>
      <c r="D13" s="548"/>
      <c r="E13" s="549"/>
      <c r="F13" s="549">
        <f>ОПиУ_МСФО!F72</f>
        <v>-1.1463276325413589</v>
      </c>
      <c r="G13" s="549">
        <f>ОПиУ_МСФО!G72</f>
        <v>0.24636709367494011</v>
      </c>
      <c r="H13" s="549">
        <f>ОПиУ_МСФО!H72</f>
        <v>0.16096468542001782</v>
      </c>
      <c r="I13" s="549">
        <f>ОПиУ_МСФО!I72</f>
        <v>0.18614524207300198</v>
      </c>
      <c r="J13" s="549">
        <f>ОПиУ_МСФО!J72</f>
        <v>1.1890862689519907E-2</v>
      </c>
      <c r="K13" s="549">
        <f>ОПиУ_МСФО!K72</f>
        <v>6.2926061877294085E-3</v>
      </c>
      <c r="L13" s="497"/>
      <c r="M13" s="43"/>
      <c r="N13" s="9"/>
      <c r="O13" s="66"/>
      <c r="P13" s="66"/>
      <c r="Q13" s="549">
        <f>ОПиУ_МСФО!Q72</f>
        <v>0.15084460228566221</v>
      </c>
      <c r="R13" s="549">
        <f>ОПиУ_МСФО!R72</f>
        <v>7.8811688354999451E-2</v>
      </c>
      <c r="S13" s="549">
        <f>ОПиУ_МСФО!S72</f>
        <v>2.2743106807580273E-2</v>
      </c>
      <c r="T13" s="549">
        <f>ОПиУ_МСФО!T72</f>
        <v>0.11500269131540286</v>
      </c>
      <c r="U13" s="549">
        <f>ОПиУ_МСФО!U72</f>
        <v>8.9357755358677349E-2</v>
      </c>
      <c r="V13" s="4"/>
      <c r="W13" s="4"/>
      <c r="X13" s="4"/>
      <c r="Y13" s="4"/>
      <c r="Z13" s="4"/>
      <c r="AA13" s="4"/>
      <c r="AB13" s="4"/>
      <c r="AC13" s="549">
        <f>ОПиУ_МСФО!AE72</f>
        <v>9.4908915827935994E-2</v>
      </c>
      <c r="AD13" s="549">
        <f>ОПиУ_МСФО!AF72</f>
        <v>8.9579572358921333E-2</v>
      </c>
      <c r="AE13" s="549">
        <f>ОПиУ_МСФО!AG72</f>
        <v>9.2472546189105012E-2</v>
      </c>
      <c r="AF13" s="549">
        <f>ОПиУ_МСФО!AH72</f>
        <v>0.19568401932346846</v>
      </c>
      <c r="AG13" s="549">
        <f>ОПиУ_МСФО!AI72</f>
        <v>8.5349429171902622E-2</v>
      </c>
      <c r="AH13" s="4"/>
      <c r="AI13" s="4"/>
      <c r="AJ13" s="4"/>
      <c r="AK13" s="4"/>
      <c r="AL13" s="4"/>
      <c r="AM13" s="4"/>
      <c r="AN13" s="4"/>
      <c r="AO13" s="4"/>
      <c r="AP13" s="4"/>
      <c r="AQ13" s="4"/>
    </row>
    <row r="14" spans="1:43" x14ac:dyDescent="0.2">
      <c r="A14" s="4"/>
      <c r="B14" s="4" t="s">
        <v>848</v>
      </c>
      <c r="C14" s="43"/>
      <c r="D14" s="43"/>
      <c r="E14" s="543"/>
      <c r="F14" s="545">
        <f>ОПиУ_МСФО!F73</f>
        <v>0.41758805791398451</v>
      </c>
      <c r="G14" s="545">
        <f>ОПиУ_МСФО!G73</f>
        <v>0.66206395348837221</v>
      </c>
      <c r="H14" s="545">
        <f>ОПиУ_МСФО!H73</f>
        <v>0.54081675392670148</v>
      </c>
      <c r="I14" s="545">
        <f>ОПиУ_МСФО!I73</f>
        <v>0.46192648850851581</v>
      </c>
      <c r="J14" s="545">
        <f>ОПиУ_МСФО!J73</f>
        <v>0.49740259740259735</v>
      </c>
      <c r="K14" s="545">
        <f>ОПиУ_МСФО!K73</f>
        <v>0.59370078740157484</v>
      </c>
      <c r="L14" s="497"/>
      <c r="M14" s="43"/>
      <c r="N14" s="9"/>
      <c r="O14" s="66"/>
      <c r="P14" s="66"/>
      <c r="Q14" s="545">
        <f>ОПиУ_МСФО!Q73</f>
        <v>0.47882361400733442</v>
      </c>
      <c r="R14" s="545">
        <f>ОПиУ_МСФО!R73</f>
        <v>0.45788426995124454</v>
      </c>
      <c r="S14" s="545">
        <f>ОПиУ_МСФО!S73</f>
        <v>0.55552559608643748</v>
      </c>
      <c r="T14" s="545">
        <f>ОПиУ_МСФО!T73</f>
        <v>0.62958395299067793</v>
      </c>
      <c r="U14" s="545">
        <f>ОПиУ_МСФО!U73</f>
        <v>0.61130407325544656</v>
      </c>
      <c r="V14" s="4"/>
      <c r="W14" s="4"/>
      <c r="X14" s="4"/>
      <c r="Y14" s="4"/>
      <c r="Z14" s="4"/>
      <c r="AA14" s="4"/>
      <c r="AB14" s="4"/>
      <c r="AC14" s="545">
        <f>ОПиУ_МСФО!AE73</f>
        <v>0.62209108894179665</v>
      </c>
      <c r="AD14" s="545">
        <f>ОПиУ_МСФО!AF73</f>
        <v>0.63330451132088628</v>
      </c>
      <c r="AE14" s="545">
        <f>ОПиУ_МСФО!AG73</f>
        <v>0.60874500695819855</v>
      </c>
      <c r="AF14" s="545">
        <f>ОПиУ_МСФО!AH73</f>
        <v>0.29824508529821864</v>
      </c>
      <c r="AG14" s="545">
        <f>ОПиУ_МСФО!AI73</f>
        <v>0.58903955567792121</v>
      </c>
      <c r="AH14" s="4"/>
      <c r="AI14" s="4"/>
      <c r="AJ14" s="4"/>
      <c r="AK14" s="4"/>
      <c r="AL14" s="4"/>
      <c r="AM14" s="4"/>
      <c r="AN14" s="4"/>
      <c r="AO14" s="4"/>
      <c r="AP14" s="4"/>
      <c r="AQ14" s="4"/>
    </row>
    <row r="15" spans="1:43" x14ac:dyDescent="0.2">
      <c r="A15" s="4"/>
      <c r="B15" s="93" t="s">
        <v>851</v>
      </c>
      <c r="C15" s="548"/>
      <c r="D15" s="548"/>
      <c r="E15" s="553"/>
      <c r="F15" s="553">
        <f>ОПиУ_МСФО!F74</f>
        <v>-6.7987911873659597</v>
      </c>
      <c r="G15" s="553">
        <f>ОПиУ_МСФО!G74</f>
        <v>2.4279514745043911</v>
      </c>
      <c r="H15" s="553">
        <f>ОПиУ_МСФО!H74</f>
        <v>2.1908556397957608</v>
      </c>
      <c r="I15" s="553">
        <f>ОПиУ_МСФО!I74</f>
        <v>2.056010034904014</v>
      </c>
      <c r="J15" s="553">
        <f>ОПиУ_МСФО!J74</f>
        <v>0.11281376327911997</v>
      </c>
      <c r="K15" s="553">
        <f>ОПиУ_МСФО!K74</f>
        <v>6.575702778234413E-2</v>
      </c>
      <c r="L15" s="497"/>
      <c r="M15" s="43"/>
      <c r="N15" s="9"/>
      <c r="O15" s="66"/>
      <c r="P15" s="66"/>
      <c r="Q15" s="553">
        <f>ОПиУ_МСФО!Q74</f>
        <v>1.1902994011976042</v>
      </c>
      <c r="R15" s="553">
        <f>ОПиУ_МСФО!R74</f>
        <v>0.6218947368421055</v>
      </c>
      <c r="S15" s="553">
        <f>ОПиУ_МСФО!S74</f>
        <v>0.22983293556085149</v>
      </c>
      <c r="T15" s="553">
        <f>ОПиУ_МСФО!T74</f>
        <v>1.1433703220726741</v>
      </c>
      <c r="U15" s="553">
        <f>ОПиУ_МСФО!U74</f>
        <v>0.9659720357492837</v>
      </c>
      <c r="V15" s="4"/>
      <c r="W15" s="4"/>
      <c r="X15" s="4"/>
      <c r="Y15" s="4"/>
      <c r="Z15" s="4"/>
      <c r="AA15" s="4"/>
      <c r="AB15" s="4"/>
      <c r="AC15" s="553">
        <f>ОПиУ_МСФО!AE74</f>
        <v>2.4468638920609518</v>
      </c>
      <c r="AD15" s="553">
        <f>ОПиУ_МСФО!AF74</f>
        <v>4.1463047825497616</v>
      </c>
      <c r="AE15" s="553">
        <f>ОПиУ_МСФО!AG74</f>
        <v>5.832161774632584</v>
      </c>
      <c r="AF15" s="553">
        <f>ОПиУ_МСФО!AH74</f>
        <v>10.571306349629118</v>
      </c>
      <c r="AG15" s="553">
        <f>ОПиУ_МСФО!AI74</f>
        <v>4.502492582627446</v>
      </c>
      <c r="AH15" s="4"/>
      <c r="AI15" s="4"/>
      <c r="AJ15" s="4"/>
      <c r="AK15" s="4"/>
      <c r="AL15" s="4"/>
      <c r="AM15" s="4"/>
      <c r="AN15" s="4"/>
      <c r="AO15" s="4"/>
      <c r="AP15" s="4"/>
      <c r="AQ15" s="4"/>
    </row>
    <row r="16" spans="1:43" x14ac:dyDescent="0.2">
      <c r="A16" s="4"/>
      <c r="B16" s="4" t="s">
        <v>853</v>
      </c>
      <c r="C16" s="43"/>
      <c r="D16" s="43"/>
      <c r="E16" s="519"/>
      <c r="F16" s="519">
        <f>ОПиУ_МСФО!F75</f>
        <v>-223.08014225088377</v>
      </c>
      <c r="G16" s="519">
        <f>ОПиУ_МСФО!G75</f>
        <v>75.411353378340579</v>
      </c>
      <c r="H16" s="519">
        <f>ОПиУ_МСФО!H75</f>
        <v>72.132396520420016</v>
      </c>
      <c r="I16" s="519">
        <f>ОПиУ_МСФО!I75</f>
        <v>62.818829513217992</v>
      </c>
      <c r="J16" s="519">
        <f>ОПиУ_МСФО!J75</f>
        <v>2.0052785589195565</v>
      </c>
      <c r="K16" s="519">
        <f>ОПиУ_МСФО!K75</f>
        <v>0.90223095168461276</v>
      </c>
      <c r="L16" s="497"/>
      <c r="M16" s="43"/>
      <c r="N16" s="9"/>
      <c r="O16" s="66"/>
      <c r="P16" s="66"/>
      <c r="Q16" s="519">
        <f>ОПиУ_МСФО!Q75</f>
        <v>36.368117802989516</v>
      </c>
      <c r="R16" s="519">
        <f>ОПиУ_МСФО!R75</f>
        <v>11.054255663902731</v>
      </c>
      <c r="S16" s="519">
        <f>ОПиУ_МСФО!S75</f>
        <v>3.1534635182402888</v>
      </c>
      <c r="T16" s="519">
        <f>ОПиУ_МСФО!T75</f>
        <v>18.849798161011758</v>
      </c>
      <c r="U16" s="519">
        <f>ОПиУ_МСФО!U75</f>
        <v>16.77028961269724</v>
      </c>
      <c r="V16" s="4"/>
      <c r="W16" s="4"/>
      <c r="X16" s="4"/>
      <c r="Y16" s="4"/>
      <c r="Z16" s="4"/>
      <c r="AA16" s="4"/>
      <c r="AB16" s="4"/>
      <c r="AC16" s="519">
        <f>ОПиУ_МСФО!AE75</f>
        <v>74.760883005418776</v>
      </c>
      <c r="AD16" s="519">
        <f>ОПиУ_МСФО!AF75</f>
        <v>73.70107899531024</v>
      </c>
      <c r="AE16" s="519">
        <f>ОПиУ_МСФО!AG75</f>
        <v>80.02120907475414</v>
      </c>
      <c r="AF16" s="519">
        <f>ОПиУ_МСФО!AH75</f>
        <v>174.2803596891552</v>
      </c>
      <c r="AG16" s="519">
        <f>ОПиУ_МСФО!AI75</f>
        <v>78.168002587273051</v>
      </c>
      <c r="AH16" s="4"/>
      <c r="AI16" s="4"/>
      <c r="AJ16" s="4"/>
      <c r="AK16" s="4"/>
      <c r="AL16" s="4"/>
      <c r="AM16" s="4"/>
      <c r="AN16" s="4"/>
      <c r="AO16" s="4"/>
      <c r="AP16" s="4"/>
      <c r="AQ16" s="4"/>
    </row>
    <row r="17" spans="1:43" x14ac:dyDescent="0.2">
      <c r="A17" s="4"/>
      <c r="B17" s="93" t="s">
        <v>871</v>
      </c>
      <c r="C17" s="548"/>
      <c r="D17" s="548"/>
      <c r="E17" s="549"/>
      <c r="F17" s="590">
        <f>ОПиУ_МСФО!F76</f>
        <v>0.86171802065147152</v>
      </c>
      <c r="G17" s="590">
        <f>ОПиУ_МСФО!G76</f>
        <v>0.88370500223301318</v>
      </c>
      <c r="H17" s="590">
        <f>ОПиУ_МСФО!H76</f>
        <v>0.88568346074871529</v>
      </c>
      <c r="I17" s="590">
        <f>ОПиУ_МСФО!I76</f>
        <v>0.88880054130123531</v>
      </c>
      <c r="J17" s="590">
        <f>ОПиУ_МСФО!J76</f>
        <v>0.9130618571227278</v>
      </c>
      <c r="K17" s="590">
        <f>ОПиУ_МСФО!K76</f>
        <v>0.89093559501722774</v>
      </c>
      <c r="L17" s="497"/>
      <c r="M17" s="43"/>
      <c r="N17" s="9"/>
      <c r="O17" s="66"/>
      <c r="P17" s="66"/>
      <c r="Q17" s="549"/>
      <c r="R17" s="93"/>
      <c r="S17" s="93"/>
      <c r="T17" s="93"/>
      <c r="U17" s="93"/>
      <c r="V17" s="4"/>
      <c r="W17" s="4"/>
      <c r="X17" s="4"/>
      <c r="Y17" s="4"/>
      <c r="Z17" s="4"/>
      <c r="AA17" s="4"/>
      <c r="AB17" s="4"/>
      <c r="AC17" s="549"/>
      <c r="AD17" s="93"/>
      <c r="AE17" s="93"/>
      <c r="AF17" s="93"/>
      <c r="AG17" s="93"/>
      <c r="AH17" s="4"/>
      <c r="AI17" s="4"/>
      <c r="AJ17" s="4"/>
      <c r="AK17" s="4"/>
      <c r="AL17" s="4"/>
      <c r="AM17" s="4"/>
      <c r="AN17" s="4"/>
      <c r="AO17" s="4"/>
      <c r="AP17" s="4"/>
      <c r="AQ17" s="4"/>
    </row>
    <row r="18" spans="1:43" s="4" customFormat="1" ht="24.75" customHeight="1" x14ac:dyDescent="0.2">
      <c r="C18" s="43"/>
      <c r="D18" s="43"/>
      <c r="E18" s="543"/>
      <c r="F18" s="545"/>
      <c r="G18" s="545"/>
      <c r="H18" s="545"/>
      <c r="I18" s="545"/>
      <c r="J18" s="545"/>
      <c r="K18" s="545"/>
      <c r="L18" s="497"/>
      <c r="M18" s="43"/>
      <c r="N18" s="9"/>
      <c r="O18" s="66"/>
      <c r="P18" s="66"/>
      <c r="Q18" s="543"/>
      <c r="AC18" s="543"/>
    </row>
    <row r="19" spans="1:43" ht="15" x14ac:dyDescent="0.25">
      <c r="A19" s="534"/>
      <c r="B19" s="534" t="s">
        <v>154</v>
      </c>
      <c r="C19" s="535"/>
      <c r="D19" s="535"/>
      <c r="E19" s="536"/>
      <c r="F19" s="536"/>
      <c r="G19" s="536"/>
      <c r="H19" s="536"/>
      <c r="I19" s="536"/>
      <c r="J19" s="536"/>
      <c r="K19" s="536"/>
      <c r="L19" s="497"/>
      <c r="M19" s="43"/>
      <c r="N19" s="9"/>
      <c r="O19" s="66"/>
      <c r="P19" s="66"/>
      <c r="Q19" s="534" t="s">
        <v>154</v>
      </c>
      <c r="R19" s="535"/>
      <c r="S19" s="535"/>
      <c r="T19" s="535"/>
      <c r="U19" s="535"/>
      <c r="V19" s="507"/>
      <c r="W19" s="507"/>
      <c r="X19" s="507"/>
      <c r="Y19" s="507"/>
      <c r="Z19" s="507"/>
      <c r="AA19" s="4"/>
      <c r="AB19" s="4"/>
      <c r="AC19" s="534" t="s">
        <v>154</v>
      </c>
      <c r="AD19" s="535"/>
      <c r="AE19" s="535"/>
      <c r="AF19" s="535"/>
      <c r="AG19" s="535"/>
      <c r="AH19" s="507"/>
      <c r="AI19" s="507"/>
      <c r="AJ19" s="507"/>
      <c r="AK19" s="507"/>
      <c r="AL19" s="507"/>
      <c r="AM19" s="4"/>
      <c r="AN19" s="4"/>
      <c r="AO19" s="4"/>
      <c r="AP19" s="4"/>
      <c r="AQ19" s="4"/>
    </row>
    <row r="20" spans="1:43" ht="15" x14ac:dyDescent="0.25">
      <c r="A20" s="4"/>
      <c r="C20" s="43"/>
      <c r="D20" s="43"/>
      <c r="E20" s="497" t="s">
        <v>348</v>
      </c>
      <c r="F20" s="497"/>
      <c r="G20" s="497"/>
      <c r="H20" s="497"/>
      <c r="I20" s="498"/>
      <c r="J20" s="498"/>
      <c r="K20" s="498"/>
      <c r="L20" s="497"/>
      <c r="M20"/>
      <c r="N20" s="9"/>
      <c r="O20" s="66"/>
      <c r="P20" s="66"/>
      <c r="Q20" s="497" t="s">
        <v>348</v>
      </c>
      <c r="R20" s="497"/>
      <c r="S20" s="497"/>
      <c r="T20" s="497"/>
      <c r="U20" s="497"/>
      <c r="V20" s="4"/>
      <c r="W20" s="4"/>
      <c r="X20" s="4"/>
      <c r="Y20" s="4"/>
      <c r="Z20" s="4"/>
      <c r="AA20" s="4"/>
      <c r="AB20" s="4"/>
      <c r="AC20" s="497" t="s">
        <v>348</v>
      </c>
      <c r="AD20" s="497"/>
      <c r="AE20" s="497"/>
      <c r="AF20" s="497"/>
      <c r="AG20" s="497"/>
      <c r="AH20" s="4"/>
      <c r="AI20" s="4"/>
      <c r="AJ20" s="4"/>
      <c r="AK20" s="4"/>
      <c r="AL20" s="4"/>
      <c r="AM20" s="4"/>
      <c r="AN20" s="4"/>
      <c r="AO20" s="4"/>
      <c r="AP20" s="4"/>
      <c r="AQ20" s="4"/>
    </row>
    <row r="21" spans="1:43" x14ac:dyDescent="0.2">
      <c r="A21" s="4"/>
      <c r="B21" s="15"/>
      <c r="C21" s="537"/>
      <c r="D21" s="537"/>
      <c r="E21" s="538">
        <f t="shared" ref="E21:K21" si="0">E8</f>
        <v>2009</v>
      </c>
      <c r="F21" s="538">
        <f t="shared" si="0"/>
        <v>2010</v>
      </c>
      <c r="G21" s="538">
        <f t="shared" si="0"/>
        <v>2011</v>
      </c>
      <c r="H21" s="538">
        <f t="shared" si="0"/>
        <v>2012</v>
      </c>
      <c r="I21" s="538">
        <f t="shared" si="0"/>
        <v>2013</v>
      </c>
      <c r="J21" s="538">
        <f t="shared" si="0"/>
        <v>2014</v>
      </c>
      <c r="K21" s="538">
        <f t="shared" si="0"/>
        <v>2015</v>
      </c>
      <c r="L21" s="497"/>
      <c r="M21" s="43"/>
      <c r="N21" s="9"/>
      <c r="O21" s="66"/>
      <c r="P21" s="66"/>
      <c r="Q21" s="538">
        <f>Q8</f>
        <v>2013</v>
      </c>
      <c r="R21" s="538">
        <f>R8</f>
        <v>2014</v>
      </c>
      <c r="S21" s="538">
        <f>S8</f>
        <v>2015</v>
      </c>
      <c r="T21" s="538">
        <f>T8</f>
        <v>2016</v>
      </c>
      <c r="U21" s="538">
        <f>U8</f>
        <v>2017</v>
      </c>
      <c r="V21" s="4"/>
      <c r="W21" s="4"/>
      <c r="X21" s="4"/>
      <c r="Y21" s="4"/>
      <c r="Z21" s="4"/>
      <c r="AA21" s="4"/>
      <c r="AB21" s="4"/>
      <c r="AC21" s="538">
        <f>AC8</f>
        <v>2013</v>
      </c>
      <c r="AD21" s="538">
        <f>AD8</f>
        <v>2014</v>
      </c>
      <c r="AE21" s="538">
        <f>AE8</f>
        <v>2015</v>
      </c>
      <c r="AF21" s="538">
        <f>AF8</f>
        <v>2016</v>
      </c>
      <c r="AG21" s="538">
        <f>AG8</f>
        <v>2017</v>
      </c>
      <c r="AH21" s="4"/>
      <c r="AI21" s="4"/>
      <c r="AJ21" s="4"/>
      <c r="AK21" s="4"/>
      <c r="AL21" s="4"/>
      <c r="AM21" s="4"/>
      <c r="AN21" s="4"/>
      <c r="AO21" s="4"/>
      <c r="AP21" s="4"/>
      <c r="AQ21" s="4"/>
    </row>
    <row r="22" spans="1:43" ht="15" x14ac:dyDescent="0.2">
      <c r="A22" s="4"/>
      <c r="B22" s="4" t="s">
        <v>153</v>
      </c>
      <c r="C22" s="43"/>
      <c r="D22" s="43"/>
      <c r="E22" s="543"/>
      <c r="F22" s="543">
        <f>ОПиУ_МСФО!F84</f>
        <v>-0.8270325396072481</v>
      </c>
      <c r="G22" s="543">
        <f>ОПиУ_МСФО!G84</f>
        <v>0.36883268657387325</v>
      </c>
      <c r="H22" s="543">
        <f>ОПиУ_МСФО!H84</f>
        <v>0.28787370518333288</v>
      </c>
      <c r="I22" s="543">
        <f>ОПиУ_МСФО!I84</f>
        <v>0.27889239054847831</v>
      </c>
      <c r="J22" s="543">
        <f>ОПиУ_МСФО!J84</f>
        <v>1.3230429988974633E-2</v>
      </c>
      <c r="K22" s="543">
        <f>ОПиУ_МСФО!K84</f>
        <v>6.1887570912841578E-3</v>
      </c>
      <c r="L22" s="497"/>
      <c r="M22" s="43"/>
      <c r="N22" s="9"/>
      <c r="O22" s="66"/>
      <c r="P22" s="502" t="s">
        <v>866</v>
      </c>
      <c r="Q22" s="543">
        <f>ОПиУ_МСФО!Q84</f>
        <v>0.20840847137764723</v>
      </c>
      <c r="R22" s="543">
        <f>ОПиУ_МСФО!R84</f>
        <v>0.10395734722246663</v>
      </c>
      <c r="S22" s="543">
        <f>ОПиУ_МСФО!S84</f>
        <v>2.8497447658503153E-2</v>
      </c>
      <c r="T22" s="543">
        <f>ОПиУ_МСФО!T84</f>
        <v>0.13440541439500123</v>
      </c>
      <c r="U22" s="543">
        <f>ОПиУ_МСФО!U84</f>
        <v>0.12473391580619565</v>
      </c>
      <c r="V22" s="543"/>
      <c r="W22" s="4"/>
      <c r="X22" s="4"/>
      <c r="Y22" s="4"/>
      <c r="Z22" s="4"/>
      <c r="AA22" s="4"/>
      <c r="AB22" s="502" t="s">
        <v>866</v>
      </c>
      <c r="AC22" s="543">
        <f>ОПиУ_МСФО!AE84</f>
        <v>0.21724669975965313</v>
      </c>
      <c r="AD22" s="543">
        <f>ОПиУ_МСФО!AF84</f>
        <v>0.21426071874144179</v>
      </c>
      <c r="AE22" s="543">
        <f>ОПиУ_МСФО!AG84</f>
        <v>0.22691281092435103</v>
      </c>
      <c r="AF22" s="543">
        <f>ОПиУ_МСФО!AH84</f>
        <v>0.42052802749817281</v>
      </c>
      <c r="AG22" s="543">
        <f>ОПиУ_МСФО!AI84</f>
        <v>0.20051897868759774</v>
      </c>
      <c r="AH22" s="543"/>
      <c r="AI22" s="4"/>
      <c r="AJ22" s="4"/>
      <c r="AK22" s="4"/>
      <c r="AL22" s="4"/>
      <c r="AM22" s="4"/>
      <c r="AN22" s="4"/>
      <c r="AO22" s="4"/>
      <c r="AP22" s="4"/>
      <c r="AQ22" s="4"/>
    </row>
    <row r="23" spans="1:43" x14ac:dyDescent="0.2">
      <c r="A23" s="4"/>
      <c r="B23" s="4" t="s">
        <v>854</v>
      </c>
      <c r="C23" s="43"/>
      <c r="D23" s="43"/>
      <c r="E23" s="543"/>
      <c r="F23" s="543">
        <f>ОПиУ_МСФО!F85</f>
        <v>0.10071200526203747</v>
      </c>
      <c r="G23" s="543">
        <f>ОПиУ_МСФО!G85</f>
        <v>6.9908689152636663E-2</v>
      </c>
      <c r="H23" s="543">
        <f>ОПиУ_МСФО!H85</f>
        <v>8.3614334206424959E-2</v>
      </c>
      <c r="I23" s="543">
        <f>ОПиУ_МСФО!I85</f>
        <v>9.2531599081762131E-2</v>
      </c>
      <c r="J23" s="543">
        <f>ОПиУ_МСФО!J85</f>
        <v>9.6546673450835716E-2</v>
      </c>
      <c r="K23" s="543">
        <f>ОПиУ_МСФО!K85</f>
        <v>0.10658824176126212</v>
      </c>
      <c r="L23" s="497"/>
      <c r="M23" s="43"/>
      <c r="N23" s="9"/>
      <c r="O23" s="66"/>
      <c r="P23" s="66"/>
      <c r="Q23" s="543">
        <f>ОПиУ_МСФО!Q85</f>
        <v>8.9196288880763322E-2</v>
      </c>
      <c r="R23" s="543">
        <f>ОПиУ_МСФО!R85</f>
        <v>8.4146640301282022E-2</v>
      </c>
      <c r="S23" s="543">
        <f>ОПиУ_МСФО!S85</f>
        <v>8.4138019466837452E-2</v>
      </c>
      <c r="T23" s="543">
        <f>ОПиУ_МСФО!T85</f>
        <v>8.4812618435819276E-2</v>
      </c>
      <c r="U23" s="543">
        <f>ОПиУ_МСФО!U85</f>
        <v>7.6185243299601649E-2</v>
      </c>
      <c r="V23" s="543"/>
      <c r="W23" s="4"/>
      <c r="X23" s="4"/>
      <c r="Y23" s="4"/>
      <c r="Z23" s="4"/>
      <c r="AA23" s="4"/>
      <c r="AB23" s="66"/>
      <c r="AC23" s="543">
        <f>ОПиУ_МСФО!AE85</f>
        <v>4.8955066356695366E-2</v>
      </c>
      <c r="AD23" s="543">
        <f>ОПиУ_МСФО!AF85</f>
        <v>4.6700721496517751E-2</v>
      </c>
      <c r="AE23" s="543">
        <f>ОПиУ_МСФО!AG85</f>
        <v>4.5746800357109263E-2</v>
      </c>
      <c r="AF23" s="543">
        <f>ОПиУ_МСФО!AH85</f>
        <v>5.2243097315420525E-2</v>
      </c>
      <c r="AG23" s="543">
        <f>ОПиУ_МСФО!AI85</f>
        <v>4.776462719095869E-2</v>
      </c>
      <c r="AH23" s="543"/>
      <c r="AI23" s="4"/>
      <c r="AJ23" s="4"/>
      <c r="AK23" s="4"/>
      <c r="AL23" s="4"/>
      <c r="AM23" s="4"/>
      <c r="AN23" s="4"/>
      <c r="AO23" s="4"/>
      <c r="AP23" s="4"/>
      <c r="AQ23" s="4"/>
    </row>
    <row r="24" spans="1:43" x14ac:dyDescent="0.2">
      <c r="A24" s="4"/>
      <c r="B24" s="4" t="s">
        <v>855</v>
      </c>
      <c r="C24" s="43"/>
      <c r="D24" s="43"/>
      <c r="E24" s="543"/>
      <c r="F24" s="555">
        <f>ОПиУ_МСФО!F86</f>
        <v>13.76274048932026</v>
      </c>
      <c r="G24" s="555">
        <f>ОПиУ_МСФО!G86</f>
        <v>9.5548118494795844</v>
      </c>
      <c r="H24" s="555">
        <f>ОПиУ_МСФО!H86</f>
        <v>6.6872548072277498</v>
      </c>
      <c r="I24" s="555">
        <f>ОПиУ_МСФО!I86</f>
        <v>7.2131540530992142</v>
      </c>
      <c r="J24" s="555">
        <f>ОПиУ_МСФО!J86</f>
        <v>9.3089798556399721</v>
      </c>
      <c r="K24" s="555">
        <f>ОПиУ_МСФО!K86</f>
        <v>9.5393287886733091</v>
      </c>
      <c r="L24" s="497"/>
      <c r="M24" s="43"/>
      <c r="N24" s="9"/>
      <c r="O24" s="66"/>
      <c r="P24" s="66"/>
      <c r="Q24" s="555">
        <f>ОПиУ_МСФО!Q86</f>
        <v>8.1146094188711313</v>
      </c>
      <c r="R24" s="555">
        <f>ОПиУ_МСФО!R86</f>
        <v>9.0094579361956146</v>
      </c>
      <c r="S24" s="555">
        <f>ОПиУ_МСФО!S86</f>
        <v>9.4853102674617702</v>
      </c>
      <c r="T24" s="555">
        <f>ОПиУ_МСФО!T86</f>
        <v>10.08859686570027</v>
      </c>
      <c r="U24" s="555">
        <f>ОПиУ_МСФО!U86</f>
        <v>9.403225164017913</v>
      </c>
      <c r="V24" s="555"/>
      <c r="W24" s="4"/>
      <c r="X24" s="4"/>
      <c r="Y24" s="4"/>
      <c r="Z24" s="4"/>
      <c r="AA24" s="4"/>
      <c r="AB24" s="66"/>
      <c r="AC24" s="555">
        <f>ОПиУ_МСФО!AE86</f>
        <v>8.923930535952195</v>
      </c>
      <c r="AD24" s="555">
        <f>ОПиУ_МСФО!AF86</f>
        <v>8.9524692347522308</v>
      </c>
      <c r="AE24" s="555">
        <f>ОПиУ_МСФО!AG86</f>
        <v>8.9082639436360811</v>
      </c>
      <c r="AF24" s="555">
        <f>ОПиУ_МСФО!AH86</f>
        <v>8.9070009195953777</v>
      </c>
      <c r="AG24" s="555">
        <f>ОПиУ_МСФО!AI86</f>
        <v>8.91125239692958</v>
      </c>
      <c r="AH24" s="555"/>
      <c r="AI24" s="4"/>
      <c r="AJ24" s="4"/>
      <c r="AK24" s="4"/>
      <c r="AL24" s="4"/>
      <c r="AM24" s="4"/>
      <c r="AN24" s="4"/>
      <c r="AO24" s="4"/>
      <c r="AP24" s="4"/>
      <c r="AQ24" s="4"/>
    </row>
    <row r="25" spans="1:43" s="2" customFormat="1" ht="15" x14ac:dyDescent="0.25">
      <c r="A25" s="12"/>
      <c r="B25" s="12" t="s">
        <v>151</v>
      </c>
      <c r="C25" s="46"/>
      <c r="D25" s="46"/>
      <c r="E25" s="554"/>
      <c r="F25" s="554">
        <f>ОПиУ_МСФО!F87</f>
        <v>-1.1463276325413589</v>
      </c>
      <c r="G25" s="554">
        <f>ОПиУ_МСФО!G87</f>
        <v>0.24636709367494017</v>
      </c>
      <c r="H25" s="554">
        <f>ОПиУ_МСФО!H87</f>
        <v>0.16096468542001782</v>
      </c>
      <c r="I25" s="554">
        <f>ОПиУ_МСФО!I87</f>
        <v>0.18614524207300198</v>
      </c>
      <c r="J25" s="554">
        <f>ОПиУ_МСФО!J87</f>
        <v>1.1890862689519907E-2</v>
      </c>
      <c r="K25" s="554">
        <f>ОПиУ_МСФО!K87</f>
        <v>6.2926061877294085E-3</v>
      </c>
      <c r="L25" s="554"/>
      <c r="M25" s="46"/>
      <c r="N25" s="17"/>
      <c r="O25" s="502"/>
      <c r="P25" s="502" t="s">
        <v>865</v>
      </c>
      <c r="Q25" s="554">
        <f>ОПиУ_МСФО!Q87</f>
        <v>0.15084460228566218</v>
      </c>
      <c r="R25" s="554">
        <f>ОПиУ_МСФО!R87</f>
        <v>7.8811688354999451E-2</v>
      </c>
      <c r="S25" s="554">
        <f>ОПиУ_МСФО!S87</f>
        <v>2.2743106807580273E-2</v>
      </c>
      <c r="T25" s="554">
        <f>ОПиУ_МСФО!T87</f>
        <v>0.11500269131540287</v>
      </c>
      <c r="U25" s="554">
        <f>ОПиУ_МСФО!U87</f>
        <v>8.9357755358677349E-2</v>
      </c>
      <c r="V25" s="554"/>
      <c r="W25" s="12"/>
      <c r="X25" s="12"/>
      <c r="Y25" s="12"/>
      <c r="Z25" s="12"/>
      <c r="AA25" s="12"/>
      <c r="AB25" s="502" t="s">
        <v>865</v>
      </c>
      <c r="AC25" s="554">
        <f>ОПиУ_МСФО!AE87</f>
        <v>9.490891582793598E-2</v>
      </c>
      <c r="AD25" s="554">
        <f>ОПиУ_МСФО!AF87</f>
        <v>8.9579572358921333E-2</v>
      </c>
      <c r="AE25" s="554">
        <f>ОПиУ_МСФО!AG87</f>
        <v>9.2472546189105012E-2</v>
      </c>
      <c r="AF25" s="554">
        <f>ОПиУ_МСФО!AH87</f>
        <v>0.19568401932346849</v>
      </c>
      <c r="AG25" s="554">
        <f>ОПиУ_МСФО!AI87</f>
        <v>8.5349429171902622E-2</v>
      </c>
      <c r="AH25" s="554"/>
      <c r="AI25" s="12"/>
      <c r="AJ25" s="12"/>
      <c r="AK25" s="12"/>
      <c r="AL25" s="12"/>
      <c r="AM25" s="12"/>
      <c r="AN25" s="12"/>
      <c r="AO25" s="12"/>
      <c r="AP25" s="12"/>
      <c r="AQ25" s="12"/>
    </row>
    <row r="26" spans="1:43" s="28" customFormat="1" ht="16.5" hidden="1" outlineLevel="1" x14ac:dyDescent="0.3">
      <c r="A26" s="12"/>
      <c r="B26" s="471" t="s">
        <v>861</v>
      </c>
      <c r="C26" s="12"/>
      <c r="D26" s="541"/>
      <c r="E26" s="542"/>
      <c r="F26" s="558">
        <f t="shared" ref="F26:K26" si="1">F13-F25</f>
        <v>0</v>
      </c>
      <c r="G26" s="558">
        <f t="shared" si="1"/>
        <v>0</v>
      </c>
      <c r="H26" s="558">
        <f t="shared" si="1"/>
        <v>0</v>
      </c>
      <c r="I26" s="558">
        <f t="shared" si="1"/>
        <v>0</v>
      </c>
      <c r="J26" s="558">
        <f t="shared" si="1"/>
        <v>0</v>
      </c>
      <c r="K26" s="558">
        <f t="shared" si="1"/>
        <v>0</v>
      </c>
      <c r="L26" s="12"/>
      <c r="M26" s="12"/>
      <c r="N26" s="11"/>
      <c r="O26" s="11"/>
      <c r="P26" s="11"/>
      <c r="Q26" s="558">
        <f>Q13-Q25</f>
        <v>0</v>
      </c>
      <c r="R26" s="558">
        <f>R13-R25</f>
        <v>0</v>
      </c>
      <c r="S26" s="558">
        <f>S13-S25</f>
        <v>0</v>
      </c>
      <c r="T26" s="558"/>
      <c r="U26" s="558"/>
      <c r="V26" s="11"/>
      <c r="W26" s="11"/>
      <c r="X26" s="11"/>
      <c r="Y26" s="11"/>
      <c r="Z26" s="11"/>
      <c r="AA26" s="11"/>
      <c r="AB26" s="11"/>
      <c r="AC26" s="558">
        <f>AC13-AC25</f>
        <v>0</v>
      </c>
      <c r="AD26" s="558">
        <f>AD13-AD25</f>
        <v>0</v>
      </c>
      <c r="AE26" s="558">
        <f>AE13-AE25</f>
        <v>0</v>
      </c>
      <c r="AF26" s="558"/>
      <c r="AG26" s="558"/>
      <c r="AH26" s="11"/>
      <c r="AI26" s="11"/>
      <c r="AJ26" s="11"/>
      <c r="AK26" s="11"/>
      <c r="AL26" s="11"/>
      <c r="AM26" s="11"/>
      <c r="AN26" s="11"/>
      <c r="AO26" s="11"/>
      <c r="AP26" s="11"/>
      <c r="AQ26" s="11"/>
    </row>
    <row r="27" spans="1:43" s="28" customFormat="1" ht="16.5" hidden="1" outlineLevel="1" x14ac:dyDescent="0.3">
      <c r="A27" s="12"/>
      <c r="B27" s="471"/>
      <c r="C27" s="12"/>
      <c r="D27" s="541"/>
      <c r="E27" s="542"/>
      <c r="F27" s="558"/>
      <c r="G27" s="558"/>
      <c r="H27" s="558"/>
      <c r="I27" s="558"/>
      <c r="J27" s="558"/>
      <c r="K27" s="558"/>
      <c r="L27" s="12"/>
      <c r="M27" s="12"/>
      <c r="N27" s="11"/>
      <c r="O27" s="11"/>
      <c r="P27" s="11"/>
      <c r="Q27" s="558"/>
      <c r="R27" s="558"/>
      <c r="S27" s="558"/>
      <c r="T27" s="558"/>
      <c r="U27" s="558"/>
      <c r="V27" s="11"/>
      <c r="W27" s="11"/>
      <c r="X27" s="11"/>
      <c r="Y27" s="11"/>
      <c r="Z27" s="11"/>
      <c r="AA27" s="11"/>
      <c r="AB27" s="11"/>
      <c r="AC27" s="558"/>
      <c r="AD27" s="558"/>
      <c r="AE27" s="558"/>
      <c r="AF27" s="558"/>
      <c r="AG27" s="558"/>
      <c r="AH27" s="11"/>
      <c r="AI27" s="11"/>
      <c r="AJ27" s="11"/>
      <c r="AK27" s="11"/>
      <c r="AL27" s="11"/>
      <c r="AM27" s="11"/>
      <c r="AN27" s="11"/>
      <c r="AO27" s="11"/>
      <c r="AP27" s="11"/>
      <c r="AQ27" s="11"/>
    </row>
    <row r="28" spans="1:43" ht="15" collapsed="1" x14ac:dyDescent="0.25">
      <c r="A28" s="534"/>
      <c r="B28" s="534" t="s">
        <v>856</v>
      </c>
      <c r="C28" s="535"/>
      <c r="D28" s="535"/>
      <c r="E28" s="536"/>
      <c r="F28" s="536"/>
      <c r="G28" s="536"/>
      <c r="H28" s="536"/>
      <c r="I28" s="536"/>
      <c r="J28" s="536"/>
      <c r="K28" s="536"/>
      <c r="L28" s="497"/>
      <c r="M28" s="43"/>
      <c r="N28" s="9"/>
      <c r="O28" s="66"/>
      <c r="P28" s="66"/>
      <c r="Q28" s="534" t="s">
        <v>856</v>
      </c>
      <c r="R28" s="535"/>
      <c r="S28" s="535"/>
      <c r="T28" s="535"/>
      <c r="U28" s="535"/>
      <c r="V28" s="507"/>
      <c r="W28" s="507"/>
      <c r="X28" s="507"/>
      <c r="Y28" s="507"/>
      <c r="Z28" s="4"/>
      <c r="AA28" s="4"/>
      <c r="AB28" s="4"/>
      <c r="AC28" s="534" t="s">
        <v>856</v>
      </c>
      <c r="AD28" s="535"/>
      <c r="AE28" s="535"/>
      <c r="AF28" s="535"/>
      <c r="AG28" s="535"/>
      <c r="AH28" s="507"/>
      <c r="AI28" s="507"/>
      <c r="AJ28" s="507"/>
      <c r="AK28" s="507"/>
      <c r="AL28" s="4"/>
      <c r="AM28" s="4"/>
      <c r="AN28" s="4"/>
      <c r="AO28" s="4"/>
      <c r="AP28" s="4"/>
      <c r="AQ28" s="4"/>
    </row>
    <row r="29" spans="1:43" x14ac:dyDescent="0.2">
      <c r="A29" s="4"/>
      <c r="C29" s="43"/>
      <c r="D29" s="43"/>
      <c r="E29" s="497" t="s">
        <v>348</v>
      </c>
      <c r="F29" s="497"/>
      <c r="G29" s="497"/>
      <c r="H29" s="497"/>
      <c r="I29" s="498"/>
      <c r="J29" s="498"/>
      <c r="K29" s="498"/>
      <c r="L29" s="497"/>
      <c r="M29" s="43"/>
      <c r="N29" s="9"/>
      <c r="O29" s="66"/>
      <c r="P29" s="66"/>
      <c r="Q29" s="497" t="s">
        <v>348</v>
      </c>
      <c r="R29" s="497"/>
      <c r="S29" s="497"/>
      <c r="T29" s="497"/>
      <c r="U29" s="497"/>
      <c r="V29" s="4"/>
      <c r="W29" s="4"/>
      <c r="X29" s="4"/>
      <c r="Y29" s="4"/>
      <c r="Z29" s="4"/>
      <c r="AA29" s="4"/>
      <c r="AB29" s="4"/>
      <c r="AC29" s="497" t="s">
        <v>348</v>
      </c>
      <c r="AD29" s="497"/>
      <c r="AE29" s="497"/>
      <c r="AF29" s="497"/>
      <c r="AG29" s="497"/>
      <c r="AH29" s="4"/>
      <c r="AI29" s="4"/>
      <c r="AJ29" s="4"/>
      <c r="AK29" s="4"/>
      <c r="AL29" s="4"/>
      <c r="AM29" s="4"/>
      <c r="AN29" s="4"/>
      <c r="AO29" s="4"/>
      <c r="AP29" s="4"/>
      <c r="AQ29" s="4"/>
    </row>
    <row r="30" spans="1:43" x14ac:dyDescent="0.2">
      <c r="A30" s="4"/>
      <c r="B30" s="15"/>
      <c r="C30" s="537"/>
      <c r="D30" s="537"/>
      <c r="E30" s="538">
        <f t="shared" ref="E30:K30" si="2">E8</f>
        <v>2009</v>
      </c>
      <c r="F30" s="538">
        <f t="shared" si="2"/>
        <v>2010</v>
      </c>
      <c r="G30" s="538">
        <f t="shared" si="2"/>
        <v>2011</v>
      </c>
      <c r="H30" s="538">
        <f t="shared" si="2"/>
        <v>2012</v>
      </c>
      <c r="I30" s="538">
        <f t="shared" si="2"/>
        <v>2013</v>
      </c>
      <c r="J30" s="538">
        <f t="shared" si="2"/>
        <v>2014</v>
      </c>
      <c r="K30" s="538">
        <f t="shared" si="2"/>
        <v>2015</v>
      </c>
      <c r="L30" s="497"/>
      <c r="M30" s="43"/>
      <c r="N30" s="9"/>
      <c r="O30" s="66"/>
      <c r="P30" s="66"/>
      <c r="Q30" s="538">
        <f>Q8</f>
        <v>2013</v>
      </c>
      <c r="R30" s="538">
        <f>R8</f>
        <v>2014</v>
      </c>
      <c r="S30" s="538">
        <f>S8</f>
        <v>2015</v>
      </c>
      <c r="T30" s="538">
        <f>T8</f>
        <v>2016</v>
      </c>
      <c r="U30" s="538">
        <f>U8</f>
        <v>2017</v>
      </c>
      <c r="V30" s="4"/>
      <c r="W30" s="4"/>
      <c r="X30" s="4"/>
      <c r="Y30" s="4"/>
      <c r="Z30" s="4"/>
      <c r="AA30" s="4"/>
      <c r="AB30" s="4"/>
      <c r="AC30" s="538">
        <f>AC8</f>
        <v>2013</v>
      </c>
      <c r="AD30" s="538">
        <f>AD8</f>
        <v>2014</v>
      </c>
      <c r="AE30" s="538">
        <f>AE8</f>
        <v>2015</v>
      </c>
      <c r="AF30" s="538">
        <f>AF8</f>
        <v>2016</v>
      </c>
      <c r="AG30" s="538">
        <f>AG8</f>
        <v>2017</v>
      </c>
      <c r="AH30" s="4"/>
      <c r="AI30" s="4"/>
      <c r="AJ30" s="4"/>
      <c r="AK30" s="4"/>
      <c r="AL30" s="4"/>
      <c r="AM30" s="4"/>
      <c r="AN30" s="4"/>
      <c r="AO30" s="4"/>
      <c r="AP30" s="4"/>
      <c r="AQ30" s="4"/>
    </row>
    <row r="31" spans="1:43" ht="15" x14ac:dyDescent="0.2">
      <c r="A31" s="4"/>
      <c r="B31" s="4" t="s">
        <v>841</v>
      </c>
      <c r="C31" s="43"/>
      <c r="D31" s="43"/>
      <c r="E31" s="642"/>
      <c r="F31" s="642">
        <f>ОПиУ_МСФО!F95</f>
        <v>4.7322508496620008E-2</v>
      </c>
      <c r="G31" s="642">
        <f>ОПиУ_МСФО!G95</f>
        <v>2.4947712243044214E-2</v>
      </c>
      <c r="H31" s="642">
        <f>ОПиУ_МСФО!H95</f>
        <v>3.3595158829241224E-2</v>
      </c>
      <c r="I31" s="642">
        <f>ОПиУ_МСФО!I95</f>
        <v>4.1191327053619442E-2</v>
      </c>
      <c r="J31" s="642">
        <f>ОПиУ_МСФО!J95</f>
        <v>3.3211204097751648E-2</v>
      </c>
      <c r="K31" s="632">
        <f>ОПиУ_МСФО!K95</f>
        <v>2.5286534920155018E-2</v>
      </c>
      <c r="L31" s="497"/>
      <c r="M31" s="43"/>
      <c r="N31" s="9"/>
      <c r="O31" s="66"/>
      <c r="P31" s="502" t="s">
        <v>866</v>
      </c>
      <c r="Q31" s="544">
        <f>ОПиУ_МСФО!Q95</f>
        <v>3.6939121522228467E-2</v>
      </c>
      <c r="R31" s="544">
        <f>ОПиУ_МСФО!R95</f>
        <v>3.2737101530174471E-2</v>
      </c>
      <c r="S31" s="544">
        <f>ОПиУ_МСФО!S95</f>
        <v>2.0185157174451466E-2</v>
      </c>
      <c r="T31" s="544">
        <f>ОПиУ_МСФО!T95</f>
        <v>1.9918681736506749E-2</v>
      </c>
      <c r="U31" s="544">
        <f>ОПиУ_МСФО!U95</f>
        <v>2.0197863787562387E-2</v>
      </c>
      <c r="V31" s="4"/>
      <c r="W31" s="4"/>
      <c r="X31" s="4"/>
      <c r="Y31" s="4"/>
      <c r="Z31" s="4"/>
      <c r="AA31" s="4"/>
      <c r="AB31" s="502" t="s">
        <v>866</v>
      </c>
      <c r="AC31" s="544">
        <f>ОПиУ_МСФО!AE95</f>
        <v>2.8400806043627318E-2</v>
      </c>
      <c r="AD31" s="544">
        <f>ОПиУ_МСФО!AF95</f>
        <v>2.7610524395471112E-2</v>
      </c>
      <c r="AE31" s="544">
        <f>ОПиУ_МСФО!AG95</f>
        <v>2.7110761176698091E-2</v>
      </c>
      <c r="AF31" s="544">
        <f>ОПиУ_МСФО!AH95</f>
        <v>3.5823679441162014E-2</v>
      </c>
      <c r="AG31" s="544">
        <f>ОПиУ_МСФО!AI95</f>
        <v>2.8735642830939791E-2</v>
      </c>
      <c r="AH31" s="4"/>
      <c r="AI31" s="4"/>
      <c r="AJ31" s="4"/>
      <c r="AK31" s="4"/>
      <c r="AL31" s="4"/>
      <c r="AM31" s="4"/>
      <c r="AN31" s="4"/>
      <c r="AO31" s="4"/>
      <c r="AP31" s="4"/>
      <c r="AQ31" s="4"/>
    </row>
    <row r="32" spans="1:43" x14ac:dyDescent="0.2">
      <c r="A32" s="4"/>
      <c r="B32" s="4" t="s">
        <v>816</v>
      </c>
      <c r="C32" s="43"/>
      <c r="D32" s="43"/>
      <c r="E32" s="642"/>
      <c r="F32" s="642">
        <f>ОПиУ_МСФО!F96</f>
        <v>-1.4798435361942723E-2</v>
      </c>
      <c r="G32" s="642">
        <f>ОПиУ_МСФО!G96</f>
        <v>-1.3745437390438715E-2</v>
      </c>
      <c r="H32" s="642">
        <f>ОПиУ_МСФО!H96</f>
        <v>-1.4958664142588647E-2</v>
      </c>
      <c r="I32" s="642">
        <f>ОПиУ_МСФО!I96</f>
        <v>-1.5196720520330234E-2</v>
      </c>
      <c r="J32" s="642">
        <f>ОПиУ_МСФО!J96</f>
        <v>-1.2613870787126825E-2</v>
      </c>
      <c r="K32" s="642">
        <f>ОПиУ_МСФО!K96</f>
        <v>-1.1104087073633289E-2</v>
      </c>
      <c r="L32" s="497"/>
      <c r="M32" s="43"/>
      <c r="N32" s="9"/>
      <c r="O32" s="66"/>
      <c r="P32" s="66"/>
      <c r="Q32" s="544">
        <f>ОПиУ_МСФО!Q96</f>
        <v>-9.8267414925462433E-3</v>
      </c>
      <c r="R32" s="544">
        <f>ОПиУ_МСФО!R96</f>
        <v>-7.7126893654761997E-3</v>
      </c>
      <c r="S32" s="544">
        <f>ОПиУ_МСФО!S96</f>
        <v>-5.8200080048452342E-3</v>
      </c>
      <c r="T32" s="544">
        <f>ОПиУ_МСФО!T96</f>
        <v>-7.3934614228856324E-3</v>
      </c>
      <c r="U32" s="544">
        <f>ОПиУ_МСФО!U96</f>
        <v>-6.7895030168509144E-3</v>
      </c>
      <c r="V32" s="4"/>
      <c r="W32" s="4"/>
      <c r="X32" s="4"/>
      <c r="Y32" s="4"/>
      <c r="Z32" s="4"/>
      <c r="AA32" s="4"/>
      <c r="AB32" s="66"/>
      <c r="AC32" s="544">
        <f>ОПиУ_МСФО!AE96</f>
        <v>-1.119089509201026E-2</v>
      </c>
      <c r="AD32" s="544">
        <f>ОПиУ_МСФО!AF96</f>
        <v>-1.1549486468631857E-2</v>
      </c>
      <c r="AE32" s="544">
        <f>ОПиУ_МСФО!AG96</f>
        <v>-1.0281039155383967E-2</v>
      </c>
      <c r="AF32" s="544">
        <f>ОПиУ_МСФО!AH96</f>
        <v>-6.4613391766899907E-3</v>
      </c>
      <c r="AG32" s="544">
        <f>ОПиУ_МСФО!AI96</f>
        <v>-1.0831773264374941E-2</v>
      </c>
      <c r="AH32" s="4"/>
      <c r="AI32" s="4"/>
      <c r="AJ32" s="4"/>
      <c r="AK32" s="4"/>
      <c r="AL32" s="4"/>
      <c r="AM32" s="4"/>
      <c r="AN32" s="4"/>
      <c r="AO32" s="4"/>
      <c r="AP32" s="4"/>
      <c r="AQ32" s="4"/>
    </row>
    <row r="33" spans="1:43" x14ac:dyDescent="0.2">
      <c r="A33" s="4"/>
      <c r="B33" s="4" t="s">
        <v>819</v>
      </c>
      <c r="C33" s="43"/>
      <c r="D33" s="43"/>
      <c r="E33" s="642"/>
      <c r="F33" s="642">
        <f>ОПиУ_МСФО!F97</f>
        <v>-1.3913467191238222E-3</v>
      </c>
      <c r="G33" s="642">
        <f>ОПиУ_МСФО!G97</f>
        <v>3.452332670798293E-3</v>
      </c>
      <c r="H33" s="642">
        <f>ОПиУ_МСФО!H97</f>
        <v>5.6565662747273971E-3</v>
      </c>
      <c r="I33" s="642">
        <f>ОПиУ_МСФО!I97</f>
        <v>2.1220645771632312E-3</v>
      </c>
      <c r="J33" s="642">
        <f>ОПиУ_МСФО!J97</f>
        <v>-2.1289233395994644E-3</v>
      </c>
      <c r="K33" s="642">
        <f>ОПиУ_МСФО!K97</f>
        <v>-7.0362531951735701E-3</v>
      </c>
      <c r="L33" s="497"/>
      <c r="M33" s="43"/>
      <c r="N33" s="9"/>
      <c r="O33" s="66"/>
      <c r="P33" s="66"/>
      <c r="Q33" s="544">
        <f>ОПиУ_МСФО!Q97</f>
        <v>8.5006737882799051E-3</v>
      </c>
      <c r="R33" s="544">
        <f>ОПиУ_МСФО!R97</f>
        <v>9.6019947274166191E-3</v>
      </c>
      <c r="S33" s="544">
        <f>ОПиУ_МСФО!S97</f>
        <v>1.3575868939644263E-2</v>
      </c>
      <c r="T33" s="544">
        <f>ОПиУ_МСФО!T97</f>
        <v>1.2522767273998321E-2</v>
      </c>
      <c r="U33" s="544">
        <f>ОПиУ_МСФО!U97</f>
        <v>1.1365458615195537E-2</v>
      </c>
      <c r="V33" s="4"/>
      <c r="W33" s="4"/>
      <c r="X33" s="4"/>
      <c r="Y33" s="4"/>
      <c r="Z33" s="4"/>
      <c r="AA33" s="4"/>
      <c r="AB33" s="66"/>
      <c r="AC33" s="544">
        <f>ОПиУ_МСФО!AE97</f>
        <v>3.0235874558444262E-4</v>
      </c>
      <c r="AD33" s="544">
        <f>ОПиУ_МСФО!AF97</f>
        <v>1.9838178866548635E-4</v>
      </c>
      <c r="AE33" s="544">
        <f>ОПиУ_МСФО!AG97</f>
        <v>2.2963736466880005E-4</v>
      </c>
      <c r="AF33" s="544">
        <f>ОПиУ_МСФО!AH97</f>
        <v>2.318487206102012E-4</v>
      </c>
      <c r="AG33" s="544">
        <f>ОПиУ_МСФО!AI97</f>
        <v>1.1448338180769887E-4</v>
      </c>
      <c r="AH33" s="4"/>
      <c r="AI33" s="4"/>
      <c r="AJ33" s="4"/>
      <c r="AK33" s="4"/>
      <c r="AL33" s="4"/>
      <c r="AM33" s="4"/>
      <c r="AN33" s="4"/>
      <c r="AO33" s="4"/>
      <c r="AP33" s="4"/>
      <c r="AQ33" s="4"/>
    </row>
    <row r="34" spans="1:43" x14ac:dyDescent="0.2">
      <c r="A34" s="4"/>
      <c r="B34" s="4" t="s">
        <v>857</v>
      </c>
      <c r="C34" s="43"/>
      <c r="D34" s="43"/>
      <c r="E34" s="642"/>
      <c r="F34" s="642">
        <f>ОПиУ_МСФО!F98</f>
        <v>2.2727320227404575E-3</v>
      </c>
      <c r="G34" s="642">
        <f>ОПиУ_МСФО!G98</f>
        <v>3.7602773932542084E-4</v>
      </c>
      <c r="H34" s="642">
        <f>ОПиУ_МСФО!H98</f>
        <v>2.1674296018865259E-4</v>
      </c>
      <c r="I34" s="642">
        <f>ОПиУ_МСФО!I98</f>
        <v>-6.1608326433771265E-4</v>
      </c>
      <c r="J34" s="642">
        <f>ОПиУ_МСФО!J98</f>
        <v>1.0644616697997308E-4</v>
      </c>
      <c r="K34" s="642">
        <f>ОПиУ_МСФО!K98</f>
        <v>-7.1461946513481575E-4</v>
      </c>
      <c r="L34" s="497"/>
      <c r="M34" s="43"/>
      <c r="N34" s="9"/>
      <c r="O34" s="66"/>
      <c r="P34" s="66"/>
      <c r="Q34" s="544">
        <f>ОПиУ_МСФО!Q98</f>
        <v>-5.5548957428363825E-3</v>
      </c>
      <c r="R34" s="544">
        <f>ОПиУ_МСФО!R98</f>
        <v>-3.58908792895265E-3</v>
      </c>
      <c r="S34" s="544">
        <f>ОПиУ_МСФО!S98</f>
        <v>-4.1729768625114894E-3</v>
      </c>
      <c r="T34" s="544">
        <f>ОПиУ_МСФО!T98</f>
        <v>-5.4984883143324994E-3</v>
      </c>
      <c r="U34" s="544">
        <f>ОПиУ_МСФО!U98</f>
        <v>2.0755789080034444E-3</v>
      </c>
      <c r="V34" s="4"/>
      <c r="W34" s="4"/>
      <c r="X34" s="4"/>
      <c r="Y34" s="4"/>
      <c r="Z34" s="4"/>
      <c r="AA34" s="4"/>
      <c r="AB34" s="66"/>
      <c r="AC34" s="544">
        <f>ОПиУ_МСФО!AE98</f>
        <v>9.3124424208359251E-6</v>
      </c>
      <c r="AD34" s="544">
        <f>ОПиУ_МСФО!AF98</f>
        <v>-3.6947897602454476E-6</v>
      </c>
      <c r="AE34" s="544">
        <f>ОПиУ_МСФО!AG98</f>
        <v>-7.4911358581162527E-7</v>
      </c>
      <c r="AF34" s="544">
        <f>ОПиУ_МСФО!AH98</f>
        <v>-2.1100985878034142E-5</v>
      </c>
      <c r="AG34" s="544">
        <f>ОПиУ_МСФО!AI98</f>
        <v>-5.4805072574645534E-6</v>
      </c>
      <c r="AH34" s="4"/>
      <c r="AI34" s="4"/>
      <c r="AJ34" s="4"/>
      <c r="AK34" s="4"/>
      <c r="AL34" s="4"/>
      <c r="AM34" s="4"/>
      <c r="AN34" s="4"/>
      <c r="AO34" s="4"/>
      <c r="AP34" s="4"/>
      <c r="AQ34" s="4"/>
    </row>
    <row r="35" spans="1:43" x14ac:dyDescent="0.2">
      <c r="A35" s="4"/>
      <c r="B35" s="4" t="s">
        <v>858</v>
      </c>
      <c r="C35" s="43"/>
      <c r="D35" s="43"/>
      <c r="E35" s="642"/>
      <c r="F35" s="642">
        <f>ОПиУ_МСФО!F99</f>
        <v>-0.1295827482561141</v>
      </c>
      <c r="G35" s="632">
        <f>ОПиУ_МСФО!G99</f>
        <v>-0.1386966271044984</v>
      </c>
      <c r="H35" s="632">
        <f>ОПиУ_МСФО!H99</f>
        <v>1.0945094503330531E-2</v>
      </c>
      <c r="I35" s="632">
        <f>ОПиУ_МСФО!I99</f>
        <v>3.7136130100356539E-3</v>
      </c>
      <c r="J35" s="632">
        <f>ОПиУ_МСФО!J99</f>
        <v>-6.6954639030403162E-2</v>
      </c>
      <c r="K35" s="642">
        <f>ОПиУ_МСФО!K99</f>
        <v>-4.0128631503724265E-3</v>
      </c>
      <c r="L35" s="497"/>
      <c r="M35" s="43"/>
      <c r="N35" s="9"/>
      <c r="O35" s="66"/>
      <c r="P35" s="66"/>
      <c r="Q35" s="544">
        <f>ОПиУ_МСФО!Q99</f>
        <v>-1.146889585692683E-2</v>
      </c>
      <c r="R35" s="544">
        <f>ОПиУ_МСФО!R99</f>
        <v>-2.2289657459757865E-2</v>
      </c>
      <c r="S35" s="544">
        <f>ОПиУ_МСФО!S99</f>
        <v>-2.1370322440892688E-2</v>
      </c>
      <c r="T35" s="544">
        <f>ОПиУ_МСФО!T99</f>
        <v>-8.1502241464955268E-3</v>
      </c>
      <c r="U35" s="544">
        <f>ОПиУ_МСФО!U99</f>
        <v>-1.7346514570503412E-2</v>
      </c>
      <c r="V35" s="4"/>
      <c r="W35" s="4"/>
      <c r="X35" s="4"/>
      <c r="Y35" s="4"/>
      <c r="Z35" s="4"/>
      <c r="AA35" s="4"/>
      <c r="AB35" s="66"/>
      <c r="AC35" s="544">
        <f>ОПиУ_МСФО!AE99</f>
        <v>-2.091825855848565E-3</v>
      </c>
      <c r="AD35" s="544">
        <f>ОПиУ_МСФО!AF99</f>
        <v>-1.8372342082820488E-3</v>
      </c>
      <c r="AE35" s="544">
        <f>ОПиУ_МСФО!AG99</f>
        <v>-2.2489751870766466E-3</v>
      </c>
      <c r="AF35" s="544">
        <f>ОПиУ_МСФО!AH99</f>
        <v>-3.6108323549280193E-3</v>
      </c>
      <c r="AG35" s="544">
        <f>ОПиУ_МСФО!AI99</f>
        <v>-2.7827688506103961E-3</v>
      </c>
      <c r="AH35" s="4"/>
      <c r="AI35" s="4"/>
      <c r="AJ35" s="4"/>
      <c r="AK35" s="4"/>
      <c r="AL35" s="4"/>
      <c r="AM35" s="4"/>
      <c r="AN35" s="4"/>
      <c r="AO35" s="4"/>
      <c r="AP35" s="4"/>
      <c r="AQ35" s="4"/>
    </row>
    <row r="36" spans="1:43" x14ac:dyDescent="0.2">
      <c r="A36" s="4"/>
      <c r="B36" s="4" t="s">
        <v>825</v>
      </c>
      <c r="C36" s="43"/>
      <c r="D36" s="43"/>
      <c r="E36" s="642"/>
      <c r="F36" s="642">
        <f>ОПиУ_МСФО!F100</f>
        <v>-5.654958553692099E-3</v>
      </c>
      <c r="G36" s="632">
        <f>ОПиУ_МСФО!G100</f>
        <v>0.15657836962751678</v>
      </c>
      <c r="H36" s="632">
        <f>ОПиУ_МСФО!H100</f>
        <v>-5.8019115539127289E-3</v>
      </c>
      <c r="I36" s="632">
        <f>ОПиУ_МСФО!I100</f>
        <v>-4.7917587226266518E-4</v>
      </c>
      <c r="J36" s="632">
        <f>ОПиУ_МСФО!J100</f>
        <v>4.8858790643807708E-2</v>
      </c>
      <c r="K36" s="642">
        <f>ОПиУ_МСФО!K100</f>
        <v>-1.3192974740950446E-3</v>
      </c>
      <c r="L36" s="497"/>
      <c r="M36" s="43"/>
      <c r="N36" s="9"/>
      <c r="O36" s="66"/>
      <c r="P36" s="66"/>
      <c r="Q36" s="544"/>
      <c r="R36" s="544"/>
      <c r="S36" s="544"/>
      <c r="T36" s="544"/>
      <c r="U36" s="544"/>
      <c r="V36" s="4"/>
      <c r="W36" s="4"/>
      <c r="X36" s="4"/>
      <c r="Y36" s="4"/>
      <c r="Z36" s="4"/>
      <c r="AA36" s="4"/>
      <c r="AB36" s="66"/>
      <c r="AC36" s="544"/>
      <c r="AD36" s="544"/>
      <c r="AE36" s="544"/>
      <c r="AF36" s="544"/>
      <c r="AG36" s="544"/>
      <c r="AH36" s="4"/>
      <c r="AI36" s="4"/>
      <c r="AJ36" s="4"/>
      <c r="AK36" s="4"/>
      <c r="AL36" s="4"/>
      <c r="AM36" s="4"/>
      <c r="AN36" s="4"/>
      <c r="AO36" s="4"/>
      <c r="AP36" s="4"/>
      <c r="AQ36" s="4"/>
    </row>
    <row r="37" spans="1:43" x14ac:dyDescent="0.2">
      <c r="A37" s="4"/>
      <c r="B37" s="4" t="s">
        <v>203</v>
      </c>
      <c r="C37" s="43"/>
      <c r="D37" s="43"/>
      <c r="E37" s="642"/>
      <c r="F37" s="657">
        <f>ОПиУ_МСФО!F101</f>
        <v>1.8540142890710907E-2</v>
      </c>
      <c r="G37" s="657">
        <f>ОПиУ_МСФО!G101</f>
        <v>-7.1277681507228097E-3</v>
      </c>
      <c r="H37" s="657">
        <f>ОПиУ_МСФО!H101</f>
        <v>-5.5826186765453849E-3</v>
      </c>
      <c r="I37" s="657">
        <f>ОПиУ_МСФО!I101</f>
        <v>-5.2024808988517914E-3</v>
      </c>
      <c r="J37" s="657">
        <f>ОПиУ_МСФО!J101</f>
        <v>1.5966925046995983E-4</v>
      </c>
      <c r="K37" s="657">
        <f>ОПиУ_МСФО!K101</f>
        <v>-1.6491218426188054E-4</v>
      </c>
      <c r="L37" s="497"/>
      <c r="M37" s="43"/>
      <c r="N37" s="9"/>
      <c r="O37" s="66"/>
      <c r="P37" s="66"/>
      <c r="Q37" s="569"/>
      <c r="R37" s="569"/>
      <c r="S37" s="569"/>
      <c r="T37" s="569"/>
      <c r="U37" s="569"/>
      <c r="V37" s="4"/>
      <c r="W37" s="4"/>
      <c r="X37" s="4"/>
      <c r="Y37" s="4"/>
      <c r="Z37" s="4"/>
      <c r="AA37" s="4"/>
      <c r="AB37" s="66"/>
      <c r="AC37" s="544">
        <f>ОПиУ_МСФО!AE101</f>
        <v>-4.7944296812668765E-3</v>
      </c>
      <c r="AD37" s="544">
        <f>ОПиУ_МСФО!AF101</f>
        <v>-4.412360563874655E-3</v>
      </c>
      <c r="AE37" s="544">
        <f>ОПиУ_МСФО!AG101</f>
        <v>-4.4291000254936983E-3</v>
      </c>
      <c r="AF37" s="544">
        <f>ОПиУ_МСФО!AH101</f>
        <v>-3.9925689798272932E-3</v>
      </c>
      <c r="AG37" s="544">
        <f>ОПиУ_МСФО!AI101</f>
        <v>-5.652389328779788E-3</v>
      </c>
      <c r="AH37" s="4"/>
      <c r="AI37" s="4"/>
      <c r="AJ37" s="4"/>
      <c r="AK37" s="4"/>
      <c r="AL37" s="4"/>
      <c r="AM37" s="4"/>
      <c r="AN37" s="4"/>
      <c r="AO37" s="4"/>
      <c r="AP37" s="4"/>
      <c r="AQ37" s="4"/>
    </row>
    <row r="38" spans="1:43" s="2" customFormat="1" ht="15" x14ac:dyDescent="0.25">
      <c r="A38" s="12"/>
      <c r="B38" s="12" t="s">
        <v>859</v>
      </c>
      <c r="C38" s="46"/>
      <c r="D38" s="46"/>
      <c r="E38" s="658"/>
      <c r="F38" s="658">
        <f>ОПиУ_МСФО!F102</f>
        <v>-8.3292105480801362E-2</v>
      </c>
      <c r="G38" s="658">
        <f>ОПиУ_МСФО!G102</f>
        <v>2.578460963502479E-2</v>
      </c>
      <c r="H38" s="658">
        <f>ОПиУ_МСФО!H102</f>
        <v>2.4070368194441041E-2</v>
      </c>
      <c r="I38" s="658">
        <f>ОПиУ_МСФО!I102</f>
        <v>2.5532544085035924E-2</v>
      </c>
      <c r="J38" s="658">
        <f>ОПиУ_МСФО!J102</f>
        <v>6.3867700187983519E-4</v>
      </c>
      <c r="K38" s="658">
        <f>ОПиУ_МСФО!K102</f>
        <v>9.3450237748399104E-4</v>
      </c>
      <c r="L38" s="500"/>
      <c r="M38" s="46"/>
      <c r="N38" s="17"/>
      <c r="O38" s="502"/>
      <c r="P38" s="502" t="s">
        <v>155</v>
      </c>
      <c r="Q38" s="584">
        <f>ОПиУ_МСФО!Q102</f>
        <v>1.8589262218198916E-2</v>
      </c>
      <c r="R38" s="584">
        <f>ОПиУ_МСФО!R102</f>
        <v>8.7476615034043793E-3</v>
      </c>
      <c r="S38" s="584">
        <f>ОПиУ_МСФО!S102</f>
        <v>2.3977188058463199E-3</v>
      </c>
      <c r="T38" s="584">
        <f>ОПиУ_МСФО!T102</f>
        <v>1.1399275126791411E-2</v>
      </c>
      <c r="U38" s="584">
        <f>ОПиУ_МСФО!U102</f>
        <v>9.5028837234070428E-3</v>
      </c>
      <c r="V38" s="12"/>
      <c r="W38" s="12"/>
      <c r="X38" s="12"/>
      <c r="Y38" s="12"/>
      <c r="Z38" s="12"/>
      <c r="AA38" s="12"/>
      <c r="AB38" s="502" t="s">
        <v>155</v>
      </c>
      <c r="AC38" s="584">
        <f>ОПиУ_МСФО!AE102</f>
        <v>1.0635326602506896E-2</v>
      </c>
      <c r="AD38" s="584">
        <f>ОПиУ_МСФО!AF102</f>
        <v>1.0006130153587794E-2</v>
      </c>
      <c r="AE38" s="584">
        <f>ОПиУ_МСФО!AG102</f>
        <v>1.038053505982677E-2</v>
      </c>
      <c r="AF38" s="584">
        <f>ОПиУ_МСФО!AH102</f>
        <v>2.196968666444888E-2</v>
      </c>
      <c r="AG38" s="584">
        <f>ОПиУ_МСФО!AI102</f>
        <v>9.577714261724898E-3</v>
      </c>
      <c r="AH38" s="12"/>
      <c r="AI38" s="12"/>
      <c r="AJ38" s="12"/>
      <c r="AK38" s="12"/>
      <c r="AL38" s="12"/>
      <c r="AM38" s="12"/>
      <c r="AN38" s="12"/>
      <c r="AO38" s="12"/>
      <c r="AP38" s="12"/>
      <c r="AQ38" s="12"/>
    </row>
    <row r="39" spans="1:43" s="28" customFormat="1" ht="16.5" outlineLevel="1" x14ac:dyDescent="0.3">
      <c r="A39" s="12"/>
      <c r="B39" s="471" t="s">
        <v>860</v>
      </c>
      <c r="C39" s="12"/>
      <c r="D39" s="541"/>
      <c r="E39" s="542"/>
      <c r="F39" s="558">
        <f t="shared" ref="F39:K39" si="3">F12-F38</f>
        <v>0</v>
      </c>
      <c r="G39" s="558">
        <f t="shared" si="3"/>
        <v>0</v>
      </c>
      <c r="H39" s="558">
        <f t="shared" si="3"/>
        <v>0</v>
      </c>
      <c r="I39" s="558">
        <f t="shared" si="3"/>
        <v>2.7381478415009278E-4</v>
      </c>
      <c r="J39" s="558">
        <f t="shared" si="3"/>
        <v>6.3867700187984257E-4</v>
      </c>
      <c r="K39" s="558">
        <f t="shared" si="3"/>
        <v>-2.7485364043646984E-4</v>
      </c>
      <c r="L39" s="12"/>
      <c r="M39" s="12"/>
      <c r="N39" s="11"/>
      <c r="O39" s="11"/>
      <c r="P39" s="11"/>
      <c r="Q39" s="558">
        <f>Q12-Q38</f>
        <v>0</v>
      </c>
      <c r="R39" s="558">
        <f>R12-R38</f>
        <v>0</v>
      </c>
      <c r="S39" s="558">
        <f>S12-S38</f>
        <v>0</v>
      </c>
      <c r="T39" s="558">
        <f>T12-T38</f>
        <v>0</v>
      </c>
      <c r="U39" s="558">
        <f>U12-U38</f>
        <v>0</v>
      </c>
      <c r="V39" s="11"/>
      <c r="W39" s="11"/>
      <c r="X39" s="11"/>
      <c r="Y39" s="11"/>
      <c r="Z39" s="11"/>
      <c r="AA39" s="11"/>
      <c r="AB39" s="11"/>
      <c r="AC39" s="558">
        <f>AC12-AC38</f>
        <v>0</v>
      </c>
      <c r="AD39" s="558">
        <f>AD12-AD38</f>
        <v>0</v>
      </c>
      <c r="AE39" s="558">
        <f>AE12-AE38</f>
        <v>0</v>
      </c>
      <c r="AF39" s="558">
        <f>AF12-AF38</f>
        <v>0</v>
      </c>
      <c r="AG39" s="558">
        <f>AG12-AG38</f>
        <v>0</v>
      </c>
      <c r="AH39" s="11"/>
      <c r="AI39" s="11"/>
      <c r="AJ39" s="11"/>
      <c r="AK39" s="11"/>
      <c r="AL39" s="11"/>
      <c r="AM39" s="11"/>
      <c r="AN39" s="11"/>
      <c r="AO39" s="11"/>
      <c r="AP39" s="11"/>
      <c r="AQ39" s="11"/>
    </row>
    <row r="40" spans="1:43" x14ac:dyDescent="0.2">
      <c r="A40" s="4"/>
      <c r="B40" s="4"/>
      <c r="C40" s="43"/>
      <c r="D40" s="43"/>
      <c r="E40" s="497"/>
      <c r="F40" s="497"/>
      <c r="G40" s="497"/>
      <c r="H40" s="497"/>
      <c r="I40" s="498"/>
      <c r="J40" s="498"/>
      <c r="K40" s="498"/>
      <c r="L40" s="497"/>
      <c r="M40" s="43"/>
      <c r="N40" s="9"/>
      <c r="O40" s="66"/>
      <c r="P40" s="66"/>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row>
    <row r="41" spans="1:43" x14ac:dyDescent="0.2">
      <c r="A41" s="4"/>
      <c r="B41" s="4"/>
      <c r="C41" s="43"/>
      <c r="D41" s="43"/>
      <c r="E41" s="497"/>
      <c r="F41" s="497"/>
      <c r="G41" s="497"/>
      <c r="H41" s="497"/>
      <c r="I41" s="498"/>
      <c r="J41" s="498"/>
      <c r="K41" s="498"/>
      <c r="L41" s="497"/>
      <c r="M41" s="43"/>
      <c r="N41" s="9"/>
      <c r="O41" s="66"/>
      <c r="P41" s="66"/>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row>
    <row r="42" spans="1:43" x14ac:dyDescent="0.2">
      <c r="A42" s="4"/>
      <c r="B42" s="4"/>
      <c r="C42" s="43"/>
      <c r="D42" s="43"/>
      <c r="E42" s="497"/>
      <c r="F42" s="497"/>
      <c r="G42" s="497"/>
      <c r="H42" s="497"/>
      <c r="I42" s="498"/>
      <c r="J42" s="498"/>
      <c r="K42" s="498"/>
      <c r="L42" s="497"/>
      <c r="M42" s="43"/>
      <c r="N42" s="9"/>
      <c r="O42" s="66"/>
      <c r="P42" s="66"/>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row>
    <row r="43" spans="1:43" s="319" customFormat="1" ht="25.5" customHeight="1" x14ac:dyDescent="0.25">
      <c r="A43" s="628"/>
      <c r="B43" s="629" t="s">
        <v>921</v>
      </c>
      <c r="C43" s="628"/>
      <c r="D43" s="628"/>
      <c r="E43" s="627"/>
      <c r="F43" s="627"/>
      <c r="G43" s="627"/>
      <c r="H43" s="627"/>
      <c r="I43" s="627"/>
      <c r="J43" s="627"/>
      <c r="K43" s="627"/>
      <c r="L43" s="627"/>
      <c r="M43" s="630"/>
      <c r="N43" s="627"/>
      <c r="O43" s="627"/>
      <c r="P43" s="627"/>
      <c r="Q43" s="627"/>
      <c r="R43" s="627"/>
      <c r="S43" s="627"/>
      <c r="T43" s="627"/>
      <c r="U43" s="627"/>
      <c r="V43" s="627"/>
      <c r="W43" s="627"/>
      <c r="X43" s="627"/>
      <c r="Y43" s="627"/>
      <c r="Z43" s="627"/>
      <c r="AA43" s="628"/>
      <c r="AB43" s="628"/>
      <c r="AC43" s="627"/>
      <c r="AD43" s="627"/>
      <c r="AE43" s="627"/>
      <c r="AF43" s="627"/>
      <c r="AG43" s="627"/>
      <c r="AH43" s="627"/>
      <c r="AI43" s="627"/>
      <c r="AJ43" s="627"/>
      <c r="AK43" s="627"/>
      <c r="AL43" s="627"/>
      <c r="AM43" s="628"/>
      <c r="AN43" s="628"/>
      <c r="AO43" s="628"/>
      <c r="AP43" s="628"/>
      <c r="AQ43" s="318"/>
    </row>
    <row r="44" spans="1:43" x14ac:dyDescent="0.2">
      <c r="A44" s="4"/>
      <c r="B44" s="4"/>
      <c r="C44" s="4"/>
      <c r="D44" s="4"/>
      <c r="E44" s="4" t="s">
        <v>348</v>
      </c>
      <c r="F44" s="4"/>
      <c r="G44" s="4"/>
      <c r="H44" s="4"/>
      <c r="I44" s="4"/>
      <c r="J44" s="4"/>
      <c r="K44" s="4"/>
      <c r="L44" s="497"/>
      <c r="M44" s="43"/>
      <c r="N44" s="9"/>
      <c r="O44" s="66"/>
      <c r="P44" s="66"/>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row>
    <row r="45" spans="1:43" x14ac:dyDescent="0.2">
      <c r="A45" s="15"/>
      <c r="B45" s="15"/>
      <c r="C45" s="15"/>
      <c r="D45" s="15"/>
      <c r="E45" s="539">
        <f>E8</f>
        <v>2009</v>
      </c>
      <c r="F45" s="539">
        <f t="shared" ref="F45:K45" si="4">F8</f>
        <v>2010</v>
      </c>
      <c r="G45" s="539">
        <f t="shared" si="4"/>
        <v>2011</v>
      </c>
      <c r="H45" s="539">
        <f t="shared" si="4"/>
        <v>2012</v>
      </c>
      <c r="I45" s="539">
        <f t="shared" si="4"/>
        <v>2013</v>
      </c>
      <c r="J45" s="539">
        <f t="shared" si="4"/>
        <v>2014</v>
      </c>
      <c r="K45" s="539">
        <f t="shared" si="4"/>
        <v>2015</v>
      </c>
      <c r="L45" s="497"/>
      <c r="M45" s="43"/>
      <c r="N45" s="9"/>
      <c r="O45" s="66"/>
      <c r="P45" s="66"/>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row>
    <row r="46" spans="1:43" x14ac:dyDescent="0.2">
      <c r="A46" s="350" t="s">
        <v>911</v>
      </c>
      <c r="B46" s="4" t="s">
        <v>557</v>
      </c>
      <c r="C46" s="43"/>
      <c r="D46" s="43"/>
      <c r="E46" s="543">
        <f>МСФО_ввод!E459</f>
        <v>0.18204297789069873</v>
      </c>
      <c r="F46" s="543">
        <f>МСФО_ввод!F459</f>
        <v>8.0640660862017849E-2</v>
      </c>
      <c r="G46" s="543">
        <f>МСФО_ввод!G459</f>
        <v>0.25733993735906402</v>
      </c>
      <c r="H46" s="543">
        <f>МСФО_ввод!H459</f>
        <v>0.19639150135270744</v>
      </c>
      <c r="I46" s="543">
        <f>МСФО_ввод!I459</f>
        <v>0.15182518630794492</v>
      </c>
      <c r="J46" s="543">
        <f>МСФО_ввод!J459</f>
        <v>0.10556464811783961</v>
      </c>
      <c r="K46" s="543">
        <f>МСФО_ввод!K459</f>
        <v>0.17053741038053802</v>
      </c>
      <c r="L46" s="497"/>
      <c r="M46" s="43"/>
      <c r="N46" s="9"/>
      <c r="O46" s="66"/>
      <c r="P46" s="66"/>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row>
    <row r="47" spans="1:43" x14ac:dyDescent="0.2">
      <c r="A47" s="350" t="s">
        <v>912</v>
      </c>
      <c r="B47" s="93" t="s">
        <v>558</v>
      </c>
      <c r="C47" s="548"/>
      <c r="D47" s="548"/>
      <c r="E47" s="549">
        <f>МСФО_ввод!E460</f>
        <v>0.12251496532545116</v>
      </c>
      <c r="F47" s="549">
        <f>МСФО_ввод!F460</f>
        <v>4.9683535599570922E-2</v>
      </c>
      <c r="G47" s="549">
        <f>МСФО_ввод!G460</f>
        <v>0.20641875969496248</v>
      </c>
      <c r="H47" s="549">
        <f>МСФО_ввод!H460</f>
        <v>0.15958286215985051</v>
      </c>
      <c r="I47" s="549">
        <f>МСФО_ввод!I460</f>
        <v>0.13199444233926991</v>
      </c>
      <c r="J47" s="549">
        <f>МСФО_ввод!J460</f>
        <v>8.4833606110201853E-2</v>
      </c>
      <c r="K47" s="549">
        <f>МСФО_ввод!K460</f>
        <v>0.11465163306575157</v>
      </c>
      <c r="L47" s="497"/>
      <c r="M47" s="43"/>
      <c r="N47" s="9"/>
      <c r="O47" s="66"/>
      <c r="P47" s="66"/>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row>
    <row r="48" spans="1:43" x14ac:dyDescent="0.2">
      <c r="A48" s="350"/>
      <c r="B48" s="4" t="s">
        <v>899</v>
      </c>
      <c r="C48" s="43"/>
      <c r="D48" s="43"/>
      <c r="E48" s="543">
        <f>МСФО_ввод!E458/МСФО_ввод!E24</f>
        <v>0.7969973558117609</v>
      </c>
      <c r="F48" s="543">
        <f>МСФО_ввод!F458/МСФО_ввод!F24</f>
        <v>0.77037844506495767</v>
      </c>
      <c r="G48" s="543">
        <f>МСФО_ввод!G458/МСФО_ввод!G24</f>
        <v>0.72840890866243635</v>
      </c>
      <c r="H48" s="543">
        <f>МСФО_ввод!H458/МСФО_ввод!H24</f>
        <v>0.88704230036001108</v>
      </c>
      <c r="I48" s="543">
        <f>МСФО_ввод!I458/МСФО_ввод!I24</f>
        <v>0.97221446188967175</v>
      </c>
      <c r="J48" s="543">
        <f>МСФО_ввод!J458/МСФО_ввод!J24</f>
        <v>1.0331125827814569</v>
      </c>
      <c r="K48" s="543">
        <f>МСФО_ввод!K458/МСФО_ввод!K24</f>
        <v>1.0813013517095151</v>
      </c>
      <c r="L48" s="497"/>
      <c r="M48" s="43"/>
      <c r="N48" s="9"/>
      <c r="O48" s="66"/>
      <c r="P48" s="66"/>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row>
    <row r="49" spans="1:43" x14ac:dyDescent="0.2">
      <c r="A49" s="350"/>
      <c r="B49" s="93" t="s">
        <v>898</v>
      </c>
      <c r="C49" s="548"/>
      <c r="D49" s="548"/>
      <c r="E49" s="659">
        <f>МСФО_ввод!E24/МСФО_ввод!E48</f>
        <v>9.7395871445938127</v>
      </c>
      <c r="F49" s="659">
        <f>МСФО_ввод!F24/МСФО_ввод!F48</f>
        <v>22.988633903442295</v>
      </c>
      <c r="G49" s="659">
        <f>МСФО_ввод!G24/МСФО_ввод!G48</f>
        <v>6.5075512008251062</v>
      </c>
      <c r="H49" s="659">
        <f>МСФО_ввод!H24/МСФО_ввод!H48</f>
        <v>6.8421456465832007</v>
      </c>
      <c r="I49" s="659">
        <f>МСФО_ввод!I24/МСФО_ввод!I48</f>
        <v>7.5375720884726487</v>
      </c>
      <c r="J49" s="659">
        <f>МСФО_ввод!J24/МСФО_ввод!J48</f>
        <v>11.34914712153518</v>
      </c>
      <c r="K49" s="659">
        <f>МСФО_ввод!K24/МСФО_ввод!K48</f>
        <v>7.7874097007223941</v>
      </c>
      <c r="L49" s="497"/>
      <c r="M49" s="43"/>
      <c r="N49" s="9"/>
      <c r="O49" s="66"/>
      <c r="P49" s="66"/>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row>
    <row r="50" spans="1:43" x14ac:dyDescent="0.2">
      <c r="A50" s="350"/>
      <c r="B50" s="4"/>
      <c r="C50" s="43"/>
      <c r="D50" s="43"/>
      <c r="E50" s="543"/>
      <c r="F50" s="543"/>
      <c r="G50" s="543"/>
      <c r="H50" s="543"/>
      <c r="I50" s="543"/>
      <c r="J50" s="543"/>
      <c r="K50" s="543"/>
      <c r="L50" s="497"/>
      <c r="M50" s="43"/>
      <c r="N50" s="9"/>
      <c r="O50" s="66"/>
      <c r="P50" s="66"/>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row>
    <row r="51" spans="1:43" x14ac:dyDescent="0.2">
      <c r="A51" s="666"/>
      <c r="B51" s="4"/>
      <c r="C51" s="43"/>
      <c r="D51" s="43"/>
      <c r="E51" s="543"/>
      <c r="F51" s="543"/>
      <c r="G51" s="543"/>
      <c r="H51" s="543"/>
      <c r="I51" s="543"/>
      <c r="J51" s="543"/>
      <c r="K51" s="543"/>
      <c r="L51" s="497"/>
      <c r="M51" s="43"/>
      <c r="N51" s="9"/>
      <c r="O51" s="66"/>
      <c r="P51" s="66"/>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row>
    <row r="52" spans="1:43" x14ac:dyDescent="0.2">
      <c r="A52" s="664" t="s">
        <v>766</v>
      </c>
      <c r="B52" s="4" t="s">
        <v>900</v>
      </c>
      <c r="C52" s="43"/>
      <c r="D52" s="43"/>
      <c r="E52" s="632" t="e">
        <f>Ввод!#REF!</f>
        <v>#REF!</v>
      </c>
      <c r="F52" s="632" t="e">
        <f>Ввод!#REF!</f>
        <v>#REF!</v>
      </c>
      <c r="G52" s="632" t="e">
        <f>Ввод!#REF!</f>
        <v>#REF!</v>
      </c>
      <c r="H52" s="632" t="e">
        <f>Ввод!#REF!</f>
        <v>#REF!</v>
      </c>
      <c r="I52" s="632" t="e">
        <f>Ввод!#REF!</f>
        <v>#REF!</v>
      </c>
      <c r="J52" s="632" t="e">
        <f>Ввод!#REF!</f>
        <v>#REF!</v>
      </c>
      <c r="K52" s="632" t="e">
        <f>Ввод!#REF!</f>
        <v>#REF!</v>
      </c>
      <c r="L52" s="497"/>
      <c r="M52" s="43"/>
      <c r="N52" s="9"/>
      <c r="O52" s="66"/>
      <c r="P52" s="66"/>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row>
    <row r="53" spans="1:43" x14ac:dyDescent="0.2">
      <c r="A53" s="665" t="s">
        <v>784</v>
      </c>
      <c r="B53" s="93" t="s">
        <v>901</v>
      </c>
      <c r="C53" s="548"/>
      <c r="D53" s="548"/>
      <c r="E53" s="660">
        <f>Ввод!F394</f>
        <v>0</v>
      </c>
      <c r="F53" s="660">
        <f>Ввод!G394</f>
        <v>7.7100000000000002E-2</v>
      </c>
      <c r="G53" s="660">
        <f>Ввод!H394</f>
        <v>0.10532999999999999</v>
      </c>
      <c r="H53" s="660">
        <f>Ввод!I394</f>
        <v>0.10917</v>
      </c>
      <c r="I53" s="660">
        <f>Ввод!J394</f>
        <v>0.11928</v>
      </c>
      <c r="J53" s="660">
        <f>Ввод!K394</f>
        <v>0.11613</v>
      </c>
      <c r="K53" s="660">
        <f>Ввод!L394</f>
        <v>9.4149999999999998E-2</v>
      </c>
      <c r="L53" s="497"/>
      <c r="M53" s="43"/>
      <c r="N53" s="9"/>
      <c r="O53" s="66"/>
      <c r="P53" s="66"/>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row>
    <row r="54" spans="1:43" x14ac:dyDescent="0.2">
      <c r="A54" s="350" t="s">
        <v>783</v>
      </c>
      <c r="B54" s="4" t="s">
        <v>902</v>
      </c>
      <c r="C54" s="43"/>
      <c r="D54" s="43"/>
      <c r="E54" s="632">
        <f>Ввод!F393</f>
        <v>0</v>
      </c>
      <c r="F54" s="632">
        <f>Ввод!G393</f>
        <v>7.7100000000000002E-2</v>
      </c>
      <c r="G54" s="632">
        <f>Ввод!H393</f>
        <v>0.10532999999999999</v>
      </c>
      <c r="H54" s="632">
        <f>Ввод!I393</f>
        <v>0.10917</v>
      </c>
      <c r="I54" s="632">
        <f>Ввод!J393</f>
        <v>0.11928</v>
      </c>
      <c r="J54" s="632">
        <f>Ввод!K393</f>
        <v>0.11613</v>
      </c>
      <c r="K54" s="632">
        <f>Ввод!L393</f>
        <v>9.4149999999999998E-2</v>
      </c>
      <c r="L54" s="497"/>
      <c r="M54" s="43"/>
      <c r="N54" s="9"/>
      <c r="O54" s="66"/>
      <c r="P54" s="66"/>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row>
    <row r="55" spans="1:43" x14ac:dyDescent="0.2">
      <c r="A55" s="350"/>
      <c r="B55" s="93" t="s">
        <v>903</v>
      </c>
      <c r="C55" s="548"/>
      <c r="D55" s="548"/>
      <c r="E55" s="661"/>
      <c r="F55" s="661" t="e">
        <f>Капитал_РСБУ!F46</f>
        <v>#REF!</v>
      </c>
      <c r="G55" s="661" t="e">
        <f>Капитал_РСБУ!G46</f>
        <v>#REF!</v>
      </c>
      <c r="H55" s="661" t="e">
        <f>Капитал_РСБУ!H46</f>
        <v>#REF!</v>
      </c>
      <c r="I55" s="661" t="e">
        <f>Капитал_РСБУ!I46</f>
        <v>#REF!</v>
      </c>
      <c r="J55" s="661">
        <f>Капитал!J134</f>
        <v>0.88263623034136085</v>
      </c>
      <c r="K55" s="661">
        <f>Капитал!K134</f>
        <v>0.96889130195074058</v>
      </c>
      <c r="L55" s="497"/>
      <c r="M55" s="43"/>
      <c r="N55" s="9"/>
      <c r="O55" s="66"/>
      <c r="P55" s="66"/>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row>
    <row r="56" spans="1:43" x14ac:dyDescent="0.2">
      <c r="A56" s="350"/>
      <c r="B56" s="4" t="s">
        <v>904</v>
      </c>
      <c r="C56" s="43"/>
      <c r="D56" s="43"/>
      <c r="E56" s="8" t="e">
        <f>Ввод!F24/Ввод!F60</f>
        <v>#DIV/0!</v>
      </c>
      <c r="F56" s="8">
        <f>Ввод!G24/Ввод!G60</f>
        <v>8.8699605922108731</v>
      </c>
      <c r="G56" s="8">
        <f>Ввод!H24/Ввод!H60</f>
        <v>6.8317161437445773</v>
      </c>
      <c r="H56" s="8">
        <f>Ввод!I24/Ввод!I60</f>
        <v>7.6104456958301858</v>
      </c>
      <c r="I56" s="8">
        <f>Ввод!J24/Ввод!J60</f>
        <v>7.6697375202729221</v>
      </c>
      <c r="J56" s="8">
        <f>Ввод!K24/Ввод!K60</f>
        <v>8.1678338902323606</v>
      </c>
      <c r="K56" s="8">
        <f>Ввод!L24/Ввод!L60</f>
        <v>8.3580162091750534</v>
      </c>
      <c r="L56" s="497"/>
      <c r="M56" s="43"/>
      <c r="N56" s="9"/>
      <c r="O56" s="66"/>
      <c r="P56" s="66"/>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row>
    <row r="57" spans="1:43" x14ac:dyDescent="0.2">
      <c r="A57" s="350"/>
      <c r="B57" s="4"/>
      <c r="C57" s="43"/>
      <c r="D57" s="43"/>
      <c r="E57" s="632"/>
      <c r="F57" s="632"/>
      <c r="G57" s="632"/>
      <c r="H57" s="632"/>
      <c r="I57" s="642"/>
      <c r="J57" s="642"/>
      <c r="K57" s="642"/>
      <c r="L57" s="497"/>
      <c r="M57" s="43"/>
      <c r="N57" s="9"/>
      <c r="O57" s="66"/>
      <c r="P57" s="66"/>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row>
    <row r="58" spans="1:43" ht="15" x14ac:dyDescent="0.25">
      <c r="A58" s="350"/>
      <c r="B58" s="95" t="s">
        <v>905</v>
      </c>
      <c r="C58" s="43"/>
      <c r="D58" s="43"/>
      <c r="E58" s="632"/>
      <c r="F58" s="632"/>
      <c r="G58" s="632"/>
      <c r="H58" s="632"/>
      <c r="I58" s="642"/>
      <c r="J58" s="642"/>
      <c r="K58" s="642"/>
      <c r="L58" s="497"/>
      <c r="M58" s="43"/>
      <c r="N58" s="9"/>
      <c r="O58" s="66"/>
      <c r="P58" s="66"/>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row>
    <row r="59" spans="1:43" x14ac:dyDescent="0.2">
      <c r="A59" s="350"/>
      <c r="B59" s="4" t="s">
        <v>74</v>
      </c>
      <c r="C59" s="43" t="s">
        <v>906</v>
      </c>
      <c r="D59" s="43"/>
      <c r="E59" s="656">
        <f>Кредиты_МСФО!E40</f>
        <v>5.7912992643834954E-2</v>
      </c>
      <c r="F59" s="656">
        <f>Кредиты_МСФО!F40</f>
        <v>0.2343625156448825</v>
      </c>
      <c r="G59" s="656">
        <f>Кредиты_МСФО!G40</f>
        <v>0.3393527817006381</v>
      </c>
      <c r="H59" s="656">
        <f>Кредиты_МСФО!H40</f>
        <v>0.27878814307114563</v>
      </c>
      <c r="I59" s="656">
        <f>Кредиты_МСФО!I40</f>
        <v>0.21279307419810436</v>
      </c>
      <c r="J59" s="656">
        <f>Кредиты_МСФО!J40</f>
        <v>0.22897732286243713</v>
      </c>
      <c r="K59" s="656">
        <f>Кредиты_МСФО!K40</f>
        <v>0.29544766326839605</v>
      </c>
      <c r="L59" s="497"/>
      <c r="M59" s="43"/>
      <c r="N59" s="9"/>
      <c r="O59" s="66"/>
      <c r="P59" s="66"/>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row>
    <row r="60" spans="1:43" x14ac:dyDescent="0.2">
      <c r="A60" s="350"/>
      <c r="B60" s="4" t="s">
        <v>74</v>
      </c>
      <c r="C60" s="43" t="s">
        <v>907</v>
      </c>
      <c r="D60" s="43"/>
      <c r="E60" s="656">
        <f>Кредиты_МСФО!E47</f>
        <v>0.15384179767136319</v>
      </c>
      <c r="F60" s="656">
        <f>Кредиты_МСФО!F47</f>
        <v>0.17428546346112847</v>
      </c>
      <c r="G60" s="656">
        <f>Кредиты_МСФО!G47</f>
        <v>0.17270728895799262</v>
      </c>
      <c r="H60" s="656">
        <f>Кредиты_МСФО!H47</f>
        <v>9.7620223978919632E-2</v>
      </c>
      <c r="I60" s="656">
        <f>Кредиты_МСФО!I47</f>
        <v>6.3574372598375742E-2</v>
      </c>
      <c r="J60" s="656">
        <f>Кредиты_МСФО!J47</f>
        <v>8.6242299794661192E-2</v>
      </c>
      <c r="K60" s="656">
        <f>Кредиты_МСФО!K47</f>
        <v>0.10286913925822253</v>
      </c>
      <c r="L60" s="497"/>
      <c r="M60" s="43"/>
      <c r="N60" s="9"/>
      <c r="O60" s="66"/>
      <c r="P60" s="66"/>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row>
    <row r="61" spans="1:43" x14ac:dyDescent="0.2">
      <c r="A61" s="350"/>
      <c r="B61" s="4" t="s">
        <v>74</v>
      </c>
      <c r="C61" s="43" t="s">
        <v>908</v>
      </c>
      <c r="D61" s="43"/>
      <c r="E61" s="656">
        <f>Кредиты_МСФО!E48</f>
        <v>7.1994806032583666E-2</v>
      </c>
      <c r="F61" s="656">
        <f>Кредиты_МСФО!F48</f>
        <v>0.22704010663307889</v>
      </c>
      <c r="G61" s="656">
        <f>Кредиты_МСФО!G48</f>
        <v>0.32359675013528427</v>
      </c>
      <c r="H61" s="656">
        <f>Кредиты_МСФО!H48</f>
        <v>0.25871530755615563</v>
      </c>
      <c r="I61" s="656">
        <f>Кредиты_МСФО!I48</f>
        <v>0.18991984530455666</v>
      </c>
      <c r="J61" s="656">
        <f>Кредиты_МСФО!J48</f>
        <v>0.20373329459616502</v>
      </c>
      <c r="K61" s="656">
        <f>Кредиты_МСФО!K48</f>
        <v>0.25233059146102621</v>
      </c>
      <c r="L61" s="497"/>
      <c r="M61" s="43"/>
      <c r="N61" s="9"/>
      <c r="O61" s="66"/>
      <c r="P61" s="66"/>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row>
    <row r="62" spans="1:43" x14ac:dyDescent="0.2">
      <c r="A62" s="350"/>
      <c r="B62" s="4"/>
      <c r="C62" s="43"/>
      <c r="D62" s="43"/>
      <c r="E62" s="497"/>
      <c r="F62" s="497"/>
      <c r="G62" s="497"/>
      <c r="H62" s="497"/>
      <c r="I62" s="498"/>
      <c r="J62" s="498"/>
      <c r="K62" s="498"/>
      <c r="L62" s="497"/>
      <c r="M62" s="43"/>
      <c r="N62" s="9"/>
      <c r="O62" s="66"/>
      <c r="P62" s="66"/>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row>
    <row r="63" spans="1:43" ht="15" x14ac:dyDescent="0.25">
      <c r="A63" s="350"/>
      <c r="B63" s="95" t="s">
        <v>913</v>
      </c>
      <c r="C63" s="43"/>
      <c r="D63" s="43"/>
      <c r="E63" s="632"/>
      <c r="F63" s="632"/>
      <c r="G63" s="632"/>
      <c r="H63" s="632"/>
      <c r="I63" s="642"/>
      <c r="J63" s="642"/>
      <c r="K63" s="642"/>
      <c r="L63" s="497"/>
      <c r="M63" s="43"/>
      <c r="N63" s="9"/>
      <c r="O63" s="66"/>
      <c r="P63" s="66"/>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row>
    <row r="64" spans="1:43" x14ac:dyDescent="0.2">
      <c r="A64" s="350"/>
      <c r="B64" s="4" t="s">
        <v>74</v>
      </c>
      <c r="C64" s="43" t="s">
        <v>906</v>
      </c>
      <c r="D64" s="43"/>
      <c r="E64" s="656"/>
      <c r="F64" s="656"/>
      <c r="G64" s="656">
        <f>Кредиты_МСФО!G66</f>
        <v>0.18941233608547833</v>
      </c>
      <c r="H64" s="656">
        <f>Кредиты_МСФО!H66</f>
        <v>0.27801476472881737</v>
      </c>
      <c r="I64" s="656">
        <f>Кредиты_МСФО!I66</f>
        <v>0.20072701555274444</v>
      </c>
      <c r="J64" s="656">
        <f>Кредиты_МСФО!J66</f>
        <v>0.215212212123886</v>
      </c>
      <c r="K64" s="656">
        <f>Кредиты_МСФО!K66</f>
        <v>0.37185828202281213</v>
      </c>
      <c r="L64" s="497"/>
      <c r="M64" s="43"/>
      <c r="N64" s="9"/>
      <c r="O64" s="66"/>
      <c r="P64" s="66"/>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row>
    <row r="65" spans="1:43" x14ac:dyDescent="0.2">
      <c r="A65" s="350"/>
      <c r="B65" s="4" t="s">
        <v>74</v>
      </c>
      <c r="C65" s="43" t="s">
        <v>907</v>
      </c>
      <c r="D65" s="43"/>
      <c r="E65" s="656"/>
      <c r="F65" s="656"/>
      <c r="G65" s="656">
        <f>Кредиты_МСФО!G73</f>
        <v>1.7826984424845185E-3</v>
      </c>
      <c r="H65" s="656">
        <f>Кредиты_МСФО!H73</f>
        <v>6.422924901185771E-3</v>
      </c>
      <c r="I65" s="656">
        <f>Кредиты_МСФО!I73</f>
        <v>5.2319801882350199E-5</v>
      </c>
      <c r="J65" s="656">
        <f>Кредиты_МСФО!J73</f>
        <v>1.2320328542094457E-3</v>
      </c>
      <c r="K65" s="656">
        <f>Кредиты_МСФО!K73</f>
        <v>2.0993701889433169E-3</v>
      </c>
      <c r="L65" s="497"/>
      <c r="M65" s="43"/>
      <c r="N65" s="9"/>
      <c r="O65" s="66"/>
      <c r="P65" s="66"/>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row>
    <row r="66" spans="1:43" x14ac:dyDescent="0.2">
      <c r="A66" s="350"/>
      <c r="B66" s="4" t="s">
        <v>74</v>
      </c>
      <c r="C66" s="43" t="s">
        <v>908</v>
      </c>
      <c r="D66" s="43"/>
      <c r="E66" s="656"/>
      <c r="F66" s="656"/>
      <c r="G66" s="656">
        <f>Кредиты_МСФО!G74</f>
        <v>0.17167229136753098</v>
      </c>
      <c r="H66" s="656">
        <f>Кредиты_МСФО!H74</f>
        <v>0.24792324325310655</v>
      </c>
      <c r="I66" s="656">
        <f>Кредиты_МСФО!I74</f>
        <v>0.16996627175961612</v>
      </c>
      <c r="J66" s="656">
        <f>Кредиты_МСФО!J74</f>
        <v>0.1773678094131319</v>
      </c>
      <c r="K66" s="656">
        <f>Кредиты_МСФО!K74</f>
        <v>0.28907168037602821</v>
      </c>
      <c r="L66" s="497"/>
      <c r="M66" s="43"/>
      <c r="N66" s="9"/>
      <c r="O66" s="66"/>
      <c r="P66" s="66"/>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row>
    <row r="67" spans="1:43" x14ac:dyDescent="0.2">
      <c r="A67" s="350"/>
      <c r="B67" s="4"/>
      <c r="C67" s="43"/>
      <c r="D67" s="43"/>
      <c r="E67" s="497"/>
      <c r="F67" s="497"/>
      <c r="G67" s="497"/>
      <c r="H67" s="497"/>
      <c r="I67" s="498"/>
      <c r="J67" s="498"/>
      <c r="K67" s="498"/>
      <c r="L67" s="497"/>
      <c r="M67" s="43"/>
      <c r="N67" s="9"/>
      <c r="O67" s="66"/>
      <c r="P67" s="66"/>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row>
    <row r="68" spans="1:43" x14ac:dyDescent="0.2">
      <c r="A68" s="350"/>
      <c r="B68" s="4" t="s">
        <v>914</v>
      </c>
      <c r="C68" s="43"/>
      <c r="D68" s="43"/>
      <c r="E68" s="632"/>
      <c r="F68" s="632"/>
      <c r="G68" s="656">
        <f>Кредиты_МСФО!G80</f>
        <v>8.6000221443813613E-2</v>
      </c>
      <c r="H68" s="656">
        <f>Кредиты_МСФО!H80</f>
        <v>0.16135634153596168</v>
      </c>
      <c r="I68" s="656">
        <f>Кредиты_МСФО!I80</f>
        <v>7.4176372712146388E-2</v>
      </c>
      <c r="J68" s="656">
        <f>Кредиты_МСФО!J80</f>
        <v>0.13092161929371235</v>
      </c>
      <c r="K68" s="656">
        <f>Кредиты_МСФО!K80</f>
        <v>0.37693136902623081</v>
      </c>
      <c r="L68" s="632"/>
      <c r="M68" s="43"/>
      <c r="N68" s="9"/>
      <c r="O68" s="66"/>
      <c r="P68" s="66"/>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row>
    <row r="69" spans="1:43" x14ac:dyDescent="0.2">
      <c r="A69" s="350"/>
      <c r="B69" s="4"/>
      <c r="C69" s="43"/>
      <c r="D69" s="43"/>
      <c r="E69" s="632"/>
      <c r="F69" s="632"/>
      <c r="G69" s="656"/>
      <c r="H69" s="656"/>
      <c r="I69" s="656"/>
      <c r="J69" s="656"/>
      <c r="K69" s="656"/>
      <c r="L69" s="632"/>
      <c r="M69" s="43"/>
      <c r="N69" s="9"/>
      <c r="O69" s="66"/>
      <c r="P69" s="66"/>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row>
    <row r="70" spans="1:43" ht="15" x14ac:dyDescent="0.25">
      <c r="A70" s="350"/>
      <c r="B70" s="95" t="s">
        <v>910</v>
      </c>
      <c r="C70" s="43"/>
      <c r="D70" s="43"/>
      <c r="E70" s="497"/>
      <c r="F70" s="497"/>
      <c r="G70" s="497"/>
      <c r="H70" s="497"/>
      <c r="I70" s="498"/>
      <c r="J70" s="498"/>
      <c r="K70" s="498"/>
      <c r="L70" s="497"/>
      <c r="M70" s="43"/>
      <c r="N70" s="9"/>
      <c r="O70" s="66"/>
      <c r="P70" s="66"/>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row>
    <row r="71" spans="1:43" ht="16.5" x14ac:dyDescent="0.2">
      <c r="A71" s="669" t="s">
        <v>765</v>
      </c>
      <c r="B71" s="4" t="s">
        <v>780</v>
      </c>
      <c r="C71" s="43"/>
      <c r="D71" s="43"/>
      <c r="E71" s="656">
        <f>Ввод!F400</f>
        <v>0</v>
      </c>
      <c r="F71" s="656">
        <f>Ввод!G400</f>
        <v>2.0470999999999999</v>
      </c>
      <c r="G71" s="656">
        <f>Ввод!H400</f>
        <v>1.52423</v>
      </c>
      <c r="H71" s="656">
        <f>Ввод!I400</f>
        <v>1.6833199999999999</v>
      </c>
      <c r="I71" s="662">
        <f>Ввод!J400</f>
        <v>1.96346</v>
      </c>
      <c r="J71" s="662">
        <f>Ввод!K400</f>
        <v>2.0877500000000002</v>
      </c>
      <c r="K71" s="662">
        <f>Ввод!L400</f>
        <v>2.71888</v>
      </c>
      <c r="L71" s="497"/>
      <c r="M71" s="43"/>
      <c r="N71" s="9"/>
      <c r="O71" s="66"/>
      <c r="P71" s="66"/>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row>
    <row r="72" spans="1:43" x14ac:dyDescent="0.2">
      <c r="A72" s="670" t="s">
        <v>773</v>
      </c>
      <c r="B72" s="93" t="s">
        <v>772</v>
      </c>
      <c r="C72" s="548"/>
      <c r="D72" s="548"/>
      <c r="E72" s="661">
        <f>Ввод!F401</f>
        <v>0</v>
      </c>
      <c r="F72" s="661">
        <f>Ввод!G401</f>
        <v>0.14299999999999999</v>
      </c>
      <c r="G72" s="661">
        <f>Ввод!H401</f>
        <v>0.34399999999999997</v>
      </c>
      <c r="H72" s="661">
        <f>Ввод!I401</f>
        <v>0.34370000000000001</v>
      </c>
      <c r="I72" s="663" t="str">
        <f>Ввод!J401</f>
        <v>х</v>
      </c>
      <c r="J72" s="663" t="str">
        <f>Ввод!K401</f>
        <v>х</v>
      </c>
      <c r="K72" s="663" t="str">
        <f>Ввод!L401</f>
        <v>х</v>
      </c>
      <c r="L72" s="497"/>
      <c r="M72" s="43"/>
      <c r="N72" s="9"/>
      <c r="O72" s="66"/>
      <c r="P72" s="66"/>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row>
    <row r="73" spans="1:43" x14ac:dyDescent="0.2">
      <c r="A73" s="664" t="s">
        <v>774</v>
      </c>
      <c r="B73" s="4" t="s">
        <v>767</v>
      </c>
      <c r="C73" s="43"/>
      <c r="D73" s="43"/>
      <c r="E73" s="656">
        <f>Ввод!F402</f>
        <v>0</v>
      </c>
      <c r="F73" s="656">
        <f>Ввод!G402</f>
        <v>4.0000000000000001E-3</v>
      </c>
      <c r="G73" s="656">
        <f>Ввод!H402</f>
        <v>2E-3</v>
      </c>
      <c r="H73" s="656">
        <f>Ввод!I402</f>
        <v>2.7000000000000001E-3</v>
      </c>
      <c r="I73" s="662">
        <f>Ввод!J402</f>
        <v>3.8E-3</v>
      </c>
      <c r="J73" s="662">
        <f>Ввод!K402</f>
        <v>0</v>
      </c>
      <c r="K73" s="662">
        <f>Ввод!L402</f>
        <v>0</v>
      </c>
      <c r="L73" s="497"/>
      <c r="M73" s="43"/>
      <c r="N73" s="9"/>
      <c r="O73" s="66"/>
      <c r="P73" s="66"/>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row>
    <row r="74" spans="1:43" x14ac:dyDescent="0.2">
      <c r="A74" s="670" t="s">
        <v>775</v>
      </c>
      <c r="B74" s="93" t="s">
        <v>781</v>
      </c>
      <c r="C74" s="548"/>
      <c r="D74" s="548"/>
      <c r="E74" s="661">
        <f>Ввод!F403</f>
        <v>0</v>
      </c>
      <c r="F74" s="661">
        <f>Ввод!G403</f>
        <v>0.22770000000000001</v>
      </c>
      <c r="G74" s="661">
        <f>Ввод!H403</f>
        <v>0.14377000000000001</v>
      </c>
      <c r="H74" s="661">
        <f>Ввод!I403</f>
        <v>0.14549999999999999</v>
      </c>
      <c r="I74" s="663">
        <f>Ввод!J403</f>
        <v>0.1522</v>
      </c>
      <c r="J74" s="663">
        <f>Ввод!K403</f>
        <v>0.15759999999999999</v>
      </c>
      <c r="K74" s="663">
        <f>Ввод!L403</f>
        <v>0</v>
      </c>
      <c r="L74" s="497"/>
      <c r="M74" s="43"/>
      <c r="N74" s="9"/>
      <c r="O74" s="66"/>
      <c r="P74" s="66"/>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row>
    <row r="75" spans="1:43" x14ac:dyDescent="0.2">
      <c r="A75" s="350"/>
      <c r="B75" s="4"/>
      <c r="C75" s="43"/>
      <c r="D75" s="43"/>
      <c r="E75" s="497"/>
      <c r="F75" s="497"/>
      <c r="G75" s="497"/>
      <c r="H75" s="497"/>
      <c r="I75" s="498"/>
      <c r="J75" s="498"/>
      <c r="K75" s="498"/>
      <c r="L75" s="497"/>
      <c r="M75" s="43"/>
      <c r="N75" s="9"/>
      <c r="O75" s="66"/>
      <c r="P75" s="66"/>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row>
    <row r="76" spans="1:43" x14ac:dyDescent="0.2">
      <c r="A76" s="350"/>
      <c r="B76" s="4"/>
      <c r="C76" s="43"/>
      <c r="D76" s="43"/>
      <c r="E76" s="497"/>
      <c r="F76" s="497"/>
      <c r="G76" s="497"/>
      <c r="H76" s="497"/>
      <c r="I76" s="498"/>
      <c r="J76" s="498"/>
      <c r="K76" s="498"/>
      <c r="L76" s="497"/>
      <c r="M76" s="43"/>
      <c r="N76" s="9"/>
      <c r="O76" s="66"/>
      <c r="P76" s="66"/>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row>
    <row r="77" spans="1:43" x14ac:dyDescent="0.2">
      <c r="A77" s="4"/>
      <c r="B77" s="4"/>
      <c r="C77" s="43"/>
      <c r="D77" s="43"/>
      <c r="E77" s="497"/>
      <c r="F77" s="497"/>
      <c r="G77" s="497"/>
      <c r="H77" s="497"/>
      <c r="I77" s="498"/>
      <c r="J77" s="498"/>
      <c r="K77" s="498"/>
      <c r="L77" s="497"/>
      <c r="M77" s="43"/>
      <c r="N77" s="9"/>
      <c r="O77" s="66"/>
      <c r="P77" s="66"/>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row>
    <row r="78" spans="1:43" s="319" customFormat="1" ht="25.5" customHeight="1" x14ac:dyDescent="0.25">
      <c r="A78" s="628"/>
      <c r="B78" s="629" t="s">
        <v>915</v>
      </c>
      <c r="C78" s="628"/>
      <c r="D78" s="628"/>
      <c r="E78" s="627"/>
      <c r="F78" s="627"/>
      <c r="G78" s="627"/>
      <c r="H78" s="627"/>
      <c r="I78" s="627"/>
      <c r="J78" s="627"/>
      <c r="K78" s="627"/>
      <c r="L78" s="627"/>
      <c r="M78" s="630"/>
      <c r="N78" s="627"/>
      <c r="O78" s="627"/>
      <c r="P78" s="627"/>
      <c r="Q78" s="627"/>
      <c r="R78" s="627"/>
      <c r="S78" s="627"/>
      <c r="T78" s="627"/>
      <c r="U78" s="627"/>
      <c r="V78" s="627"/>
      <c r="W78" s="627"/>
      <c r="X78" s="627"/>
      <c r="Y78" s="627"/>
      <c r="Z78" s="627"/>
      <c r="AA78" s="628"/>
      <c r="AB78" s="628"/>
      <c r="AC78" s="627"/>
      <c r="AD78" s="627"/>
      <c r="AE78" s="627"/>
      <c r="AF78" s="627"/>
      <c r="AG78" s="627"/>
      <c r="AH78" s="627"/>
      <c r="AI78" s="627"/>
      <c r="AJ78" s="627"/>
      <c r="AK78" s="627"/>
      <c r="AL78" s="627"/>
      <c r="AM78" s="628"/>
      <c r="AN78" s="628"/>
      <c r="AO78" s="628"/>
      <c r="AP78" s="628"/>
      <c r="AQ78" s="318"/>
    </row>
    <row r="79" spans="1:43" s="318" customFormat="1" ht="14.25" customHeight="1" x14ac:dyDescent="0.2">
      <c r="A79" s="4"/>
      <c r="B79" s="4"/>
      <c r="C79" s="4"/>
      <c r="D79" s="4"/>
      <c r="E79" s="4" t="s">
        <v>348</v>
      </c>
      <c r="F79" s="4"/>
      <c r="G79" s="4"/>
      <c r="H79" s="4"/>
      <c r="I79" s="4"/>
      <c r="J79" s="4"/>
      <c r="K79" s="4"/>
      <c r="L79" s="667"/>
      <c r="M79" s="668"/>
      <c r="N79" s="667"/>
      <c r="O79" s="667"/>
      <c r="P79" s="667"/>
      <c r="Q79" s="667"/>
      <c r="R79" s="667"/>
      <c r="S79" s="667"/>
      <c r="T79" s="667"/>
      <c r="U79" s="667"/>
      <c r="V79" s="667"/>
      <c r="W79" s="667"/>
      <c r="X79" s="667"/>
      <c r="Y79" s="667"/>
      <c r="Z79" s="667"/>
      <c r="AC79" s="667"/>
      <c r="AD79" s="667"/>
      <c r="AE79" s="667"/>
      <c r="AF79" s="667"/>
      <c r="AG79" s="667"/>
      <c r="AH79" s="667"/>
      <c r="AI79" s="667"/>
      <c r="AJ79" s="667"/>
      <c r="AK79" s="667"/>
      <c r="AL79" s="667"/>
    </row>
    <row r="80" spans="1:43" s="318" customFormat="1" ht="13.5" customHeight="1" x14ac:dyDescent="0.2">
      <c r="A80" s="15"/>
      <c r="B80" s="15"/>
      <c r="C80" s="15"/>
      <c r="D80" s="15"/>
      <c r="E80" s="539">
        <f>E8</f>
        <v>2009</v>
      </c>
      <c r="F80" s="539">
        <f t="shared" ref="F80:K80" si="5">F8</f>
        <v>2010</v>
      </c>
      <c r="G80" s="539">
        <f t="shared" si="5"/>
        <v>2011</v>
      </c>
      <c r="H80" s="539">
        <f t="shared" si="5"/>
        <v>2012</v>
      </c>
      <c r="I80" s="539">
        <f t="shared" si="5"/>
        <v>2013</v>
      </c>
      <c r="J80" s="539">
        <f t="shared" si="5"/>
        <v>2014</v>
      </c>
      <c r="K80" s="539">
        <f t="shared" si="5"/>
        <v>2015</v>
      </c>
      <c r="L80" s="667"/>
      <c r="M80" s="668"/>
      <c r="N80" s="667"/>
      <c r="O80" s="667"/>
      <c r="P80" s="667"/>
      <c r="Q80" s="667"/>
      <c r="R80" s="667"/>
      <c r="S80" s="667"/>
      <c r="T80" s="667"/>
      <c r="U80" s="667"/>
      <c r="V80" s="667"/>
      <c r="W80" s="667"/>
      <c r="X80" s="667"/>
      <c r="Y80" s="667"/>
      <c r="Z80" s="667"/>
      <c r="AC80" s="667"/>
      <c r="AD80" s="667"/>
      <c r="AE80" s="667"/>
      <c r="AF80" s="667"/>
      <c r="AG80" s="667"/>
      <c r="AH80" s="667"/>
      <c r="AI80" s="667"/>
      <c r="AJ80" s="667"/>
      <c r="AK80" s="667"/>
      <c r="AL80" s="667"/>
    </row>
    <row r="81" spans="1:43" x14ac:dyDescent="0.2">
      <c r="A81" s="4" t="s">
        <v>916</v>
      </c>
      <c r="B81" s="4" t="s">
        <v>490</v>
      </c>
      <c r="C81" s="43"/>
      <c r="D81" s="43"/>
      <c r="E81" s="497">
        <f>Баланс_МСФО!E124</f>
        <v>1.3040385208444305</v>
      </c>
      <c r="F81" s="497">
        <f>Баланс_МСФО!F124</f>
        <v>0.93110431932835003</v>
      </c>
      <c r="G81" s="497">
        <f>Баланс_МСФО!G124</f>
        <v>1.2747797882910425</v>
      </c>
      <c r="H81" s="497">
        <f>Баланс_МСФО!H124</f>
        <v>1.4007827215088942</v>
      </c>
      <c r="I81" s="497">
        <f>Баланс_МСФО!I124</f>
        <v>1.4766545055244942</v>
      </c>
      <c r="J81" s="497">
        <f>Баланс_МСФО!J124</f>
        <v>1.7352010129787907</v>
      </c>
      <c r="K81" s="497">
        <f>Баланс_МСФО!K124</f>
        <v>1.38943077594992</v>
      </c>
      <c r="L81" s="497"/>
      <c r="M81" s="43"/>
      <c r="N81" s="9"/>
      <c r="O81" s="66"/>
      <c r="P81" s="66"/>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row>
    <row r="82" spans="1:43" x14ac:dyDescent="0.2">
      <c r="A82" s="93" t="s">
        <v>916</v>
      </c>
      <c r="B82" s="93" t="s">
        <v>491</v>
      </c>
      <c r="C82" s="548"/>
      <c r="D82" s="548"/>
      <c r="E82" s="631">
        <f>Баланс_МСФО!E125</f>
        <v>1.3040385208444305</v>
      </c>
      <c r="F82" s="631">
        <f>Баланс_МСФО!F125</f>
        <v>0.93110431932835003</v>
      </c>
      <c r="G82" s="631">
        <f>Баланс_МСФО!G125</f>
        <v>0.94789494808852848</v>
      </c>
      <c r="H82" s="631">
        <f>Баланс_МСФО!H125</f>
        <v>1.0527105116544229</v>
      </c>
      <c r="I82" s="631">
        <f>Баланс_МСФО!I125</f>
        <v>1.1734922153245992</v>
      </c>
      <c r="J82" s="631">
        <f>Баланс_МСФО!J125</f>
        <v>1.5672623302358828</v>
      </c>
      <c r="K82" s="631">
        <f>Баланс_МСФО!K125</f>
        <v>1.2547988430186694</v>
      </c>
      <c r="L82" s="497"/>
      <c r="M82" s="43"/>
      <c r="N82" s="9"/>
      <c r="O82" s="66"/>
      <c r="P82" s="66"/>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row>
    <row r="83" spans="1:43" x14ac:dyDescent="0.2">
      <c r="A83" s="4"/>
      <c r="B83" s="4" t="s">
        <v>492</v>
      </c>
      <c r="C83" s="43"/>
      <c r="D83" s="43"/>
      <c r="E83" s="656">
        <f>Баланс_МСФО!E126</f>
        <v>0.15252806725112714</v>
      </c>
      <c r="F83" s="656">
        <f>Баланс_МСФО!F126</f>
        <v>0.17778371639368001</v>
      </c>
      <c r="G83" s="656">
        <f>Баланс_МСФО!G126</f>
        <v>0.20912778893183839</v>
      </c>
      <c r="H83" s="656">
        <f>Баланс_МСФО!H126</f>
        <v>0.18385169545596919</v>
      </c>
      <c r="I83" s="656">
        <f>Баланс_МСФО!I126</f>
        <v>0.15511264419758969</v>
      </c>
      <c r="J83" s="656">
        <f>Баланс_МСФО!J126</f>
        <v>0.27626696726316285</v>
      </c>
      <c r="K83" s="656">
        <f>Баланс_МСФО!K126</f>
        <v>0.16883116883116883</v>
      </c>
      <c r="L83" s="497"/>
      <c r="M83" s="43"/>
      <c r="N83" s="9"/>
      <c r="O83" s="66"/>
      <c r="P83" s="66"/>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row>
    <row r="84" spans="1:43" x14ac:dyDescent="0.2">
      <c r="A84" s="93"/>
      <c r="B84" s="93" t="s">
        <v>493</v>
      </c>
      <c r="C84" s="548"/>
      <c r="D84" s="548"/>
      <c r="E84" s="661">
        <f>Баланс_МСФО!E127</f>
        <v>0.20266345776900421</v>
      </c>
      <c r="F84" s="661">
        <f>Баланс_МСФО!F127</f>
        <v>0.21025309883910526</v>
      </c>
      <c r="G84" s="661">
        <f>Баланс_МСФО!G127</f>
        <v>0.22734566877477461</v>
      </c>
      <c r="H84" s="661">
        <f>Баланс_МСФО!H127</f>
        <v>0.19931740931079692</v>
      </c>
      <c r="I84" s="661">
        <f>Баланс_МСФО!I127</f>
        <v>0.16986396245275284</v>
      </c>
      <c r="J84" s="661">
        <f>Баланс_МСФО!J127</f>
        <v>0.27936686862993759</v>
      </c>
      <c r="K84" s="661">
        <f>Баланс_МСФО!K127</f>
        <v>0.19361250993904053</v>
      </c>
      <c r="L84" s="497"/>
      <c r="M84" s="43"/>
      <c r="N84" s="9"/>
      <c r="O84" s="66"/>
      <c r="P84" s="66"/>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row>
    <row r="85" spans="1:43" x14ac:dyDescent="0.2">
      <c r="A85" s="4"/>
      <c r="B85" s="4" t="s">
        <v>38</v>
      </c>
      <c r="C85" s="43"/>
      <c r="D85" s="43"/>
      <c r="E85" s="656">
        <f>Баланс_МСФО!E128</f>
        <v>0.29406253796480603</v>
      </c>
      <c r="F85" s="656">
        <f>Баланс_МСФО!F128</f>
        <v>0.27804065250211735</v>
      </c>
      <c r="G85" s="656">
        <f>Баланс_МСФО!G128</f>
        <v>0.52945391317639867</v>
      </c>
      <c r="H85" s="656">
        <f>Баланс_МСФО!H128</f>
        <v>0.51230976117511673</v>
      </c>
      <c r="I85" s="656">
        <f>Баланс_МСФО!I128</f>
        <v>0.41036057840687956</v>
      </c>
      <c r="J85" s="656">
        <f>Баланс_МСФО!J128</f>
        <v>0.93099081987970889</v>
      </c>
      <c r="K85" s="656">
        <f>Баланс_МСФО!K128</f>
        <v>0.37094191294220413</v>
      </c>
      <c r="L85" s="497"/>
      <c r="M85" s="43"/>
      <c r="N85" s="9"/>
      <c r="O85" s="66"/>
      <c r="P85" s="66"/>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row>
    <row r="86" spans="1:43" x14ac:dyDescent="0.2">
      <c r="A86" s="93"/>
      <c r="B86" s="93" t="s">
        <v>39</v>
      </c>
      <c r="C86" s="548"/>
      <c r="D86" s="548"/>
      <c r="E86" s="661">
        <f>Баланс_МСФО!E129</f>
        <v>0.39071976599661706</v>
      </c>
      <c r="F86" s="661">
        <f>Баланс_МСФО!F129</f>
        <v>0.32882037780314471</v>
      </c>
      <c r="G86" s="661">
        <f>Баланс_МСФО!G129</f>
        <v>0.57557656297768256</v>
      </c>
      <c r="H86" s="661">
        <f>Баланс_МСФО!H129</f>
        <v>0.55540556266728747</v>
      </c>
      <c r="I86" s="661">
        <f>Баланс_МСФО!I129</f>
        <v>0.44938614929291038</v>
      </c>
      <c r="J86" s="661">
        <f>Баланс_МСФО!J129</f>
        <v>0.94143716365938601</v>
      </c>
      <c r="K86" s="661">
        <f>Баланс_МСФО!K129</f>
        <v>0.42538943077594993</v>
      </c>
      <c r="L86" s="497"/>
      <c r="M86" s="43"/>
      <c r="N86" s="9"/>
      <c r="O86" s="66"/>
      <c r="P86" s="66"/>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row>
    <row r="87" spans="1:43" x14ac:dyDescent="0.2">
      <c r="A87" s="4"/>
      <c r="B87" s="4" t="s">
        <v>489</v>
      </c>
      <c r="C87" s="43"/>
      <c r="D87" s="43"/>
      <c r="E87" s="656">
        <f>Баланс_МСФО!E130</f>
        <v>4.4589958336684055E-2</v>
      </c>
      <c r="F87" s="656">
        <f>Баланс_МСФО!F130</f>
        <v>0.17763822547664657</v>
      </c>
      <c r="G87" s="656">
        <f>Баланс_МСФО!G130</f>
        <v>7.2714086684352169E-3</v>
      </c>
      <c r="H87" s="656">
        <f>Баланс_МСФО!H130</f>
        <v>0.2306836476917237</v>
      </c>
      <c r="I87" s="656">
        <f>Баланс_МСФО!I130</f>
        <v>0.1374115836514842</v>
      </c>
      <c r="J87" s="656">
        <f>Баланс_МСФО!J130</f>
        <v>0.30401529636711278</v>
      </c>
      <c r="K87" s="656">
        <f>Баланс_МСФО!K130</f>
        <v>0</v>
      </c>
      <c r="L87" s="497"/>
      <c r="M87" s="43"/>
      <c r="N87" s="9"/>
      <c r="O87" s="66"/>
      <c r="P87" s="66"/>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row>
    <row r="88" spans="1:43" x14ac:dyDescent="0.2">
      <c r="A88" s="4"/>
      <c r="B88" s="4"/>
      <c r="C88" s="43"/>
      <c r="D88" s="43"/>
      <c r="E88" s="497"/>
      <c r="F88" s="497"/>
      <c r="G88" s="497"/>
      <c r="H88" s="497"/>
      <c r="I88" s="498"/>
      <c r="J88" s="498"/>
      <c r="K88" s="498"/>
      <c r="L88" s="497"/>
      <c r="M88" s="43"/>
      <c r="N88" s="9"/>
      <c r="O88" s="66"/>
      <c r="P88" s="66"/>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row>
    <row r="89" spans="1:43" x14ac:dyDescent="0.2">
      <c r="A89" s="4"/>
      <c r="B89" s="4"/>
      <c r="C89" s="43"/>
      <c r="D89" s="43"/>
      <c r="E89" s="497"/>
      <c r="F89" s="497"/>
      <c r="G89" s="497"/>
      <c r="H89" s="497"/>
      <c r="I89" s="498"/>
      <c r="J89" s="498"/>
      <c r="K89" s="498"/>
      <c r="L89" s="497"/>
      <c r="M89" s="43"/>
      <c r="N89" s="9"/>
      <c r="O89" s="66"/>
      <c r="P89" s="66"/>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row>
    <row r="90" spans="1:43" x14ac:dyDescent="0.2">
      <c r="A90" s="4" t="s">
        <v>762</v>
      </c>
      <c r="B90" s="4" t="s">
        <v>769</v>
      </c>
      <c r="C90" s="43"/>
      <c r="D90" s="43"/>
      <c r="E90" s="656">
        <f>Ввод!F397</f>
        <v>0</v>
      </c>
      <c r="F90" s="656">
        <f>Ввод!G397</f>
        <v>1.7318</v>
      </c>
      <c r="G90" s="656">
        <f>Ввод!H397</f>
        <v>2.4209399999999999</v>
      </c>
      <c r="H90" s="656">
        <f>Ввод!I397</f>
        <v>0.73041</v>
      </c>
      <c r="I90" s="656">
        <f>Ввод!J397</f>
        <v>1.21316</v>
      </c>
      <c r="J90" s="656">
        <f>Ввод!K397</f>
        <v>0.83565999999999996</v>
      </c>
      <c r="K90" s="656">
        <f>Ввод!L397</f>
        <v>0.47719</v>
      </c>
      <c r="L90" s="497"/>
      <c r="M90" s="43"/>
      <c r="N90" s="9"/>
      <c r="O90" s="66"/>
      <c r="P90" s="66"/>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row>
    <row r="91" spans="1:43" x14ac:dyDescent="0.2">
      <c r="A91" s="93" t="s">
        <v>763</v>
      </c>
      <c r="B91" s="93" t="s">
        <v>770</v>
      </c>
      <c r="C91" s="548"/>
      <c r="D91" s="548"/>
      <c r="E91" s="661">
        <f>Ввод!F398</f>
        <v>0</v>
      </c>
      <c r="F91" s="661">
        <f>Ввод!G398</f>
        <v>4.4734999999999996</v>
      </c>
      <c r="G91" s="661">
        <f>Ввод!H398</f>
        <v>3.3078599999999998</v>
      </c>
      <c r="H91" s="661">
        <f>Ввод!I398</f>
        <v>2.10697</v>
      </c>
      <c r="I91" s="661">
        <f>Ввод!J398</f>
        <v>6.4809599999999996</v>
      </c>
      <c r="J91" s="661">
        <f>Ввод!K398</f>
        <v>0.33194000000000001</v>
      </c>
      <c r="K91" s="661">
        <f>Ввод!L398</f>
        <v>2.1944699999999999</v>
      </c>
      <c r="L91" s="497"/>
      <c r="M91" s="43"/>
      <c r="N91" s="9"/>
      <c r="O91" s="66"/>
      <c r="P91" s="66"/>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row>
    <row r="92" spans="1:43" x14ac:dyDescent="0.2">
      <c r="A92" s="4" t="s">
        <v>764</v>
      </c>
      <c r="B92" s="4" t="s">
        <v>771</v>
      </c>
      <c r="C92" s="43"/>
      <c r="D92" s="43"/>
      <c r="E92" s="656">
        <f>Ввод!F399</f>
        <v>0</v>
      </c>
      <c r="F92" s="656">
        <f>Ввод!G399</f>
        <v>0.42370000000000002</v>
      </c>
      <c r="G92" s="656">
        <f>Ввод!H399</f>
        <v>0.32521</v>
      </c>
      <c r="H92" s="656">
        <f>Ввод!I399</f>
        <v>0.33023999999999998</v>
      </c>
      <c r="I92" s="656">
        <f>Ввод!J399</f>
        <v>0.29082999999999998</v>
      </c>
      <c r="J92" s="656">
        <f>Ввод!K399</f>
        <v>0.31678000000000001</v>
      </c>
      <c r="K92" s="656">
        <f>Ввод!L399</f>
        <v>0.40716999999999998</v>
      </c>
      <c r="L92" s="497"/>
      <c r="M92" s="43"/>
      <c r="N92" s="9"/>
      <c r="O92" s="66"/>
      <c r="P92" s="66"/>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row>
    <row r="93" spans="1:43" x14ac:dyDescent="0.2">
      <c r="A93" s="4"/>
      <c r="B93" s="4"/>
      <c r="C93" s="43"/>
      <c r="D93" s="43"/>
      <c r="E93" s="497"/>
      <c r="F93" s="497"/>
      <c r="G93" s="497"/>
      <c r="H93" s="497"/>
      <c r="I93" s="498"/>
      <c r="J93" s="498"/>
      <c r="K93" s="498"/>
      <c r="L93" s="497"/>
      <c r="M93" s="43"/>
      <c r="N93" s="9"/>
      <c r="O93" s="66"/>
      <c r="P93" s="66"/>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row>
    <row r="94" spans="1:43" ht="15" x14ac:dyDescent="0.25">
      <c r="A94" s="4"/>
      <c r="B94" s="12" t="s">
        <v>1030</v>
      </c>
      <c r="C94" s="43"/>
      <c r="D94" s="43"/>
      <c r="E94" s="497"/>
      <c r="F94" s="497"/>
      <c r="G94" s="497"/>
      <c r="H94" s="497"/>
      <c r="I94" s="498"/>
      <c r="J94" s="498"/>
      <c r="K94" s="498"/>
      <c r="L94" s="497"/>
      <c r="M94" s="43"/>
      <c r="N94" s="9"/>
      <c r="O94" s="66"/>
      <c r="P94" s="66"/>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row>
    <row r="95" spans="1:43" x14ac:dyDescent="0.2">
      <c r="A95" s="4" t="s">
        <v>70</v>
      </c>
      <c r="B95" s="4" t="s">
        <v>68</v>
      </c>
      <c r="C95" s="43"/>
      <c r="D95" s="43"/>
      <c r="E95" s="656">
        <f>Баланс_МСФО!E134</f>
        <v>0.20611257113686637</v>
      </c>
      <c r="F95" s="656">
        <f>Баланс_МСФО!F134</f>
        <v>0.26234431152463938</v>
      </c>
      <c r="G95" s="656">
        <f>Баланс_МСФО!G134</f>
        <v>0.21593360107811305</v>
      </c>
      <c r="H95" s="656">
        <f>Баланс_МСФО!H134</f>
        <v>0.20499163953819091</v>
      </c>
      <c r="I95" s="656">
        <f>Баланс_МСФО!I134</f>
        <v>0.20393182830086773</v>
      </c>
      <c r="J95" s="656">
        <f>Баланс_МСФО!J134</f>
        <v>0.10697913984032964</v>
      </c>
      <c r="K95" s="656">
        <f>Баланс_МСФО!K134</f>
        <v>0.13220313212710963</v>
      </c>
      <c r="L95" s="497"/>
      <c r="M95" s="43"/>
      <c r="N95" s="9"/>
      <c r="O95" s="66"/>
      <c r="P95" s="66"/>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row>
    <row r="96" spans="1:43" x14ac:dyDescent="0.2">
      <c r="A96" s="93" t="s">
        <v>71</v>
      </c>
      <c r="B96" s="93" t="s">
        <v>546</v>
      </c>
      <c r="C96" s="548"/>
      <c r="D96" s="548"/>
      <c r="E96" s="661">
        <f>Баланс_МСФО!E135</f>
        <v>0.22914781612858792</v>
      </c>
      <c r="F96" s="661">
        <f>Баланс_МСФО!F135</f>
        <v>0.14527150100920594</v>
      </c>
      <c r="G96" s="661">
        <f>Баланс_МСФО!G135</f>
        <v>0.22181462296697332</v>
      </c>
      <c r="H96" s="661">
        <f>Баланс_МСФО!H135</f>
        <v>0.32906252321092461</v>
      </c>
      <c r="I96" s="661">
        <f>Баланс_МСФО!I135</f>
        <v>0.30989709972273483</v>
      </c>
      <c r="J96" s="661">
        <f>Баланс_МСФО!J135</f>
        <v>0.48308009271182073</v>
      </c>
      <c r="K96" s="661">
        <f>Баланс_МСФО!K135</f>
        <v>0.20890983731184429</v>
      </c>
      <c r="L96" s="497"/>
      <c r="M96" s="43"/>
      <c r="N96" s="9"/>
      <c r="O96" s="66"/>
      <c r="P96" s="66"/>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row>
    <row r="97" spans="1:43" x14ac:dyDescent="0.2">
      <c r="A97" s="4" t="s">
        <v>72</v>
      </c>
      <c r="B97" s="4" t="s">
        <v>69</v>
      </c>
      <c r="C97" s="43"/>
      <c r="D97" s="43"/>
      <c r="E97" s="656">
        <f>Баланс_МСФО!E136</f>
        <v>0.56473961273454565</v>
      </c>
      <c r="F97" s="656">
        <f>Баланс_МСФО!F136</f>
        <v>0.59238418746615473</v>
      </c>
      <c r="G97" s="656">
        <f>Баланс_МСФО!G136</f>
        <v>0.56225177595491371</v>
      </c>
      <c r="H97" s="656">
        <f>Баланс_МСФО!H136</f>
        <v>0.46594583725088451</v>
      </c>
      <c r="I97" s="656">
        <f>Баланс_МСФО!I136</f>
        <v>0.48617107197639753</v>
      </c>
      <c r="J97" s="656">
        <f>Баланс_МСФО!J136</f>
        <v>0.40994076744784957</v>
      </c>
      <c r="K97" s="656">
        <f>Баланс_МСФО!K136</f>
        <v>0.65888703056104603</v>
      </c>
      <c r="L97" s="497"/>
      <c r="M97" s="43"/>
      <c r="N97" s="9"/>
      <c r="O97" s="66"/>
      <c r="P97" s="66"/>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row>
    <row r="98" spans="1:43" x14ac:dyDescent="0.2">
      <c r="A98" s="4"/>
      <c r="B98" s="4"/>
      <c r="C98" s="43"/>
      <c r="D98" s="43"/>
      <c r="E98" s="497"/>
      <c r="F98" s="497"/>
      <c r="G98" s="497"/>
      <c r="H98" s="497"/>
      <c r="I98" s="498"/>
      <c r="J98" s="498"/>
      <c r="K98" s="498"/>
      <c r="L98" s="497"/>
      <c r="M98" s="43"/>
      <c r="N98" s="9"/>
      <c r="O98" s="66"/>
      <c r="P98" s="66"/>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row>
    <row r="99" spans="1:43" ht="20.25" customHeight="1" x14ac:dyDescent="0.25">
      <c r="A99" s="723"/>
      <c r="B99" s="723" t="s">
        <v>1031</v>
      </c>
      <c r="C99" s="724"/>
      <c r="D99" s="724"/>
      <c r="E99" s="725"/>
      <c r="F99" s="725"/>
      <c r="G99" s="725"/>
      <c r="H99" s="725"/>
      <c r="I99" s="725"/>
      <c r="J99" s="725"/>
      <c r="K99" s="725"/>
      <c r="L99" s="497"/>
      <c r="M99" s="43"/>
      <c r="N99" s="9"/>
      <c r="O99" s="66"/>
      <c r="P99" s="66"/>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row>
    <row r="100" spans="1:43" x14ac:dyDescent="0.2">
      <c r="A100" s="4"/>
      <c r="B100" s="4" t="s">
        <v>1032</v>
      </c>
      <c r="C100" s="43"/>
      <c r="D100" s="43"/>
      <c r="E100" s="497"/>
      <c r="F100" s="497"/>
      <c r="G100" s="497"/>
      <c r="H100" s="497"/>
      <c r="I100" s="498"/>
      <c r="J100" s="498"/>
      <c r="K100" s="498"/>
      <c r="L100" s="497"/>
      <c r="M100" s="43"/>
      <c r="N100" s="9"/>
      <c r="O100" s="66"/>
      <c r="P100" s="66"/>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row>
    <row r="101" spans="1:43" x14ac:dyDescent="0.2">
      <c r="A101" s="4"/>
      <c r="B101" s="4"/>
      <c r="C101" s="4"/>
      <c r="D101" s="4"/>
      <c r="E101" s="4" t="s">
        <v>348</v>
      </c>
      <c r="F101" s="4"/>
      <c r="G101" s="4"/>
      <c r="H101" s="4"/>
      <c r="I101" s="4"/>
      <c r="J101" s="4"/>
      <c r="K101" s="4"/>
      <c r="L101" s="497"/>
      <c r="M101" s="43"/>
      <c r="N101" s="9"/>
      <c r="O101" s="66"/>
      <c r="P101" s="66"/>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row>
    <row r="102" spans="1:43" x14ac:dyDescent="0.2">
      <c r="A102" s="15"/>
      <c r="B102" s="15"/>
      <c r="C102" s="15"/>
      <c r="D102" s="15"/>
      <c r="E102" s="539">
        <f t="shared" ref="E102:J102" si="6">E8</f>
        <v>2009</v>
      </c>
      <c r="F102" s="539">
        <f t="shared" si="6"/>
        <v>2010</v>
      </c>
      <c r="G102" s="539">
        <f t="shared" si="6"/>
        <v>2011</v>
      </c>
      <c r="H102" s="539">
        <f t="shared" si="6"/>
        <v>2012</v>
      </c>
      <c r="I102" s="539">
        <f t="shared" si="6"/>
        <v>2013</v>
      </c>
      <c r="J102" s="539">
        <f t="shared" si="6"/>
        <v>2014</v>
      </c>
      <c r="K102" s="539">
        <f>K8</f>
        <v>2015</v>
      </c>
      <c r="L102" s="497"/>
      <c r="M102" s="43"/>
      <c r="N102" s="9"/>
      <c r="O102" s="66"/>
      <c r="P102" s="66"/>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row>
    <row r="103" spans="1:43" x14ac:dyDescent="0.2">
      <c r="A103" s="712" t="s">
        <v>74</v>
      </c>
      <c r="B103" s="4" t="s">
        <v>1033</v>
      </c>
      <c r="C103" s="43"/>
      <c r="D103" s="43"/>
      <c r="E103" s="498">
        <f>Баланс_МСФО!E52</f>
        <v>177.46899999999999</v>
      </c>
      <c r="F103" s="498">
        <f>Баланс_МСФО!F52</f>
        <v>181.61799999999999</v>
      </c>
      <c r="G103" s="498">
        <f>Баланс_МСФО!G52</f>
        <v>162.977</v>
      </c>
      <c r="H103" s="498">
        <f>Баланс_МСФО!H52</f>
        <v>184.352</v>
      </c>
      <c r="I103" s="498">
        <f>Баланс_МСФО!I52</f>
        <v>227.2</v>
      </c>
      <c r="J103" s="498">
        <f>Баланс_МСФО!J52</f>
        <v>269.60000000000002</v>
      </c>
      <c r="K103" s="498">
        <f>Баланс_МСФО!K52</f>
        <v>412</v>
      </c>
      <c r="L103" s="497"/>
      <c r="M103" s="43"/>
      <c r="N103" s="9"/>
      <c r="O103" s="66"/>
      <c r="P103" s="66"/>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row>
    <row r="104" spans="1:43" x14ac:dyDescent="0.2">
      <c r="A104" s="712" t="s">
        <v>74</v>
      </c>
      <c r="B104" s="4" t="s">
        <v>1034</v>
      </c>
      <c r="C104" s="43"/>
      <c r="D104" s="43"/>
      <c r="E104" s="498">
        <f>Баланс_МСФО!E49</f>
        <v>250.55600000000001</v>
      </c>
      <c r="F104" s="498">
        <f>Баланс_МСФО!F49</f>
        <v>361.51699999999994</v>
      </c>
      <c r="G104" s="498">
        <f>Баланс_МСФО!G49</f>
        <v>255.708</v>
      </c>
      <c r="H104" s="498">
        <f>Баланс_МСФО!H49</f>
        <v>279.66700000000003</v>
      </c>
      <c r="I104" s="498">
        <f>Баланс_МСФО!I49</f>
        <v>388.5</v>
      </c>
      <c r="J104" s="498">
        <f>Баланс_МСФО!J49</f>
        <v>362.2</v>
      </c>
      <c r="K104" s="498">
        <f>Баланс_МСФО!K49</f>
        <v>274.89999999999998</v>
      </c>
      <c r="L104" s="497"/>
      <c r="M104" s="43"/>
      <c r="N104" s="9"/>
      <c r="O104" s="66"/>
      <c r="P104" s="66"/>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row>
    <row r="105" spans="1:43" x14ac:dyDescent="0.2">
      <c r="A105" s="712" t="s">
        <v>74</v>
      </c>
      <c r="B105" s="4" t="s">
        <v>1035</v>
      </c>
      <c r="C105" s="43"/>
      <c r="D105" s="43"/>
      <c r="E105" s="498">
        <f>Баланс_МСФО!E41+Баланс_МСФО!E45</f>
        <v>174.66199999999998</v>
      </c>
      <c r="F105" s="498">
        <f>Баланс_МСФО!F41+Баланс_МСФО!F45</f>
        <v>129.47400000000002</v>
      </c>
      <c r="G105" s="498">
        <f>Баланс_МСФО!G41+Баланс_МСФО!G45</f>
        <v>203.744</v>
      </c>
      <c r="H105" s="498">
        <f>Баланс_МСФО!H41+Баланс_МСФО!H45</f>
        <v>366.334</v>
      </c>
      <c r="I105" s="498">
        <f>Баланс_МСФО!I41+Баланс_МСФО!I45</f>
        <v>477.5</v>
      </c>
      <c r="J105" s="498">
        <f>Баланс_МСФО!J41+Баланс_МСФО!J45</f>
        <v>949.8</v>
      </c>
      <c r="K105" s="498">
        <f>Баланс_МСФО!K41+Баланс_МСФО!K45</f>
        <v>280</v>
      </c>
      <c r="L105" s="497"/>
      <c r="M105" s="43"/>
      <c r="N105" s="9"/>
      <c r="O105" s="66"/>
      <c r="P105" s="66"/>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row>
    <row r="106" spans="1:43" x14ac:dyDescent="0.2">
      <c r="A106" s="712" t="s">
        <v>74</v>
      </c>
      <c r="B106" s="4" t="s">
        <v>509</v>
      </c>
      <c r="C106" s="43"/>
      <c r="D106" s="43"/>
      <c r="E106" s="498">
        <f>Баланс_МСФО!E58</f>
        <v>17.818000000000001</v>
      </c>
      <c r="F106" s="498">
        <f>Баланс_МСФО!F58</f>
        <v>18.483000000000001</v>
      </c>
      <c r="G106" s="498">
        <f>Баланс_МСФО!G58</f>
        <v>11.036</v>
      </c>
      <c r="H106" s="498">
        <f>Баланс_МСФО!H58</f>
        <v>10.54</v>
      </c>
      <c r="I106" s="498">
        <f>Баланс_МСФО!I58</f>
        <v>20.9</v>
      </c>
      <c r="J106" s="498">
        <f>Баланс_МСФО!J58</f>
        <v>30.3</v>
      </c>
      <c r="K106" s="498">
        <f>Баланс_МСФО!K58</f>
        <v>30.4</v>
      </c>
      <c r="L106" s="497"/>
      <c r="M106" s="43"/>
      <c r="N106" s="9"/>
      <c r="O106" s="66"/>
      <c r="P106" s="66"/>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row>
    <row r="107" spans="1:43" s="2" customFormat="1" ht="15" x14ac:dyDescent="0.25">
      <c r="A107" s="715"/>
      <c r="B107" s="12" t="s">
        <v>18</v>
      </c>
      <c r="C107" s="46"/>
      <c r="D107" s="46"/>
      <c r="E107" s="716">
        <f t="shared" ref="E107:J107" si="7">SUM(E103:E106)</f>
        <v>620.50499999999988</v>
      </c>
      <c r="F107" s="716">
        <f t="shared" si="7"/>
        <v>691.09199999999998</v>
      </c>
      <c r="G107" s="716">
        <f t="shared" si="7"/>
        <v>633.46499999999992</v>
      </c>
      <c r="H107" s="716">
        <f t="shared" si="7"/>
        <v>840.89300000000003</v>
      </c>
      <c r="I107" s="716">
        <f t="shared" si="7"/>
        <v>1114.1000000000001</v>
      </c>
      <c r="J107" s="716">
        <f t="shared" si="7"/>
        <v>1611.8999999999999</v>
      </c>
      <c r="K107" s="716">
        <f>SUM(K103:K106)</f>
        <v>997.3</v>
      </c>
      <c r="L107" s="500"/>
      <c r="M107" s="46"/>
      <c r="N107" s="17"/>
      <c r="O107" s="502"/>
      <c r="P107" s="50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row>
    <row r="108" spans="1:43" x14ac:dyDescent="0.2">
      <c r="A108" s="4"/>
      <c r="B108" s="4"/>
      <c r="C108" s="43"/>
      <c r="D108" s="43"/>
      <c r="E108" s="497"/>
      <c r="F108" s="497"/>
      <c r="G108" s="497"/>
      <c r="H108" s="497"/>
      <c r="I108" s="498"/>
      <c r="J108" s="498"/>
      <c r="K108" s="498"/>
      <c r="L108" s="497"/>
      <c r="M108" s="43"/>
      <c r="N108" s="9"/>
      <c r="O108" s="66"/>
      <c r="P108" s="66"/>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row>
    <row r="109" spans="1:43" x14ac:dyDescent="0.2">
      <c r="A109" s="15"/>
      <c r="B109" s="15" t="s">
        <v>1036</v>
      </c>
      <c r="C109" s="537"/>
      <c r="D109" s="537"/>
      <c r="E109" s="713"/>
      <c r="F109" s="713"/>
      <c r="G109" s="713"/>
      <c r="H109" s="713"/>
      <c r="I109" s="714"/>
      <c r="J109" s="714"/>
      <c r="K109" s="714"/>
      <c r="L109" s="497"/>
      <c r="M109" s="43"/>
      <c r="N109" s="9"/>
      <c r="O109" s="66"/>
      <c r="P109" s="66"/>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row>
    <row r="110" spans="1:43" x14ac:dyDescent="0.2">
      <c r="A110" s="712" t="s">
        <v>74</v>
      </c>
      <c r="B110" s="4" t="s">
        <v>1033</v>
      </c>
      <c r="C110" s="43"/>
      <c r="D110" s="43"/>
      <c r="E110" s="718">
        <f t="shared" ref="E110:J110" si="8">E103/E$107</f>
        <v>0.28600736496885604</v>
      </c>
      <c r="F110" s="718">
        <f t="shared" si="8"/>
        <v>0.26279858542712115</v>
      </c>
      <c r="G110" s="718">
        <f t="shared" si="8"/>
        <v>0.25727861839249211</v>
      </c>
      <c r="H110" s="718">
        <f t="shared" si="8"/>
        <v>0.21923360046997656</v>
      </c>
      <c r="I110" s="717">
        <f t="shared" si="8"/>
        <v>0.20393142446818055</v>
      </c>
      <c r="J110" s="717">
        <f t="shared" si="8"/>
        <v>0.16725603325268321</v>
      </c>
      <c r="K110" s="717">
        <f>K103/K$107</f>
        <v>0.41311541161135068</v>
      </c>
      <c r="L110" s="497"/>
      <c r="M110" s="43"/>
      <c r="N110" s="9"/>
      <c r="O110" s="66"/>
      <c r="P110" s="66"/>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row>
    <row r="111" spans="1:43" x14ac:dyDescent="0.2">
      <c r="A111" s="712" t="s">
        <v>74</v>
      </c>
      <c r="B111" s="4" t="s">
        <v>1034</v>
      </c>
      <c r="C111" s="43"/>
      <c r="D111" s="43"/>
      <c r="E111" s="718">
        <f t="shared" ref="E111:K111" si="9">E104/E$107</f>
        <v>0.40379368417659817</v>
      </c>
      <c r="F111" s="718">
        <f t="shared" si="9"/>
        <v>0.52310980303635402</v>
      </c>
      <c r="G111" s="718">
        <f t="shared" si="9"/>
        <v>0.40366555374014357</v>
      </c>
      <c r="H111" s="718">
        <f t="shared" si="9"/>
        <v>0.3325833370000702</v>
      </c>
      <c r="I111" s="717">
        <f t="shared" si="9"/>
        <v>0.34871196481464856</v>
      </c>
      <c r="J111" s="717">
        <f t="shared" si="9"/>
        <v>0.22470376574229173</v>
      </c>
      <c r="K111" s="717">
        <f t="shared" si="9"/>
        <v>0.27564423944650557</v>
      </c>
      <c r="L111" s="497"/>
      <c r="M111" s="43"/>
      <c r="N111" s="9"/>
      <c r="O111" s="66"/>
      <c r="P111" s="66"/>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row>
    <row r="112" spans="1:43" x14ac:dyDescent="0.2">
      <c r="A112" s="712" t="s">
        <v>74</v>
      </c>
      <c r="B112" s="4" t="s">
        <v>1035</v>
      </c>
      <c r="C112" s="43"/>
      <c r="D112" s="43"/>
      <c r="E112" s="718">
        <f t="shared" ref="E112:K112" si="10">E105/E$107</f>
        <v>0.28148363026889389</v>
      </c>
      <c r="F112" s="718">
        <f t="shared" si="10"/>
        <v>0.18734698129916136</v>
      </c>
      <c r="G112" s="718">
        <f t="shared" si="10"/>
        <v>0.32163418657700116</v>
      </c>
      <c r="H112" s="718">
        <f t="shared" si="10"/>
        <v>0.43564876863049162</v>
      </c>
      <c r="I112" s="717">
        <f t="shared" si="10"/>
        <v>0.4285970738712862</v>
      </c>
      <c r="J112" s="717">
        <f t="shared" si="10"/>
        <v>0.58924250884049878</v>
      </c>
      <c r="K112" s="717">
        <f t="shared" si="10"/>
        <v>0.28075804672616067</v>
      </c>
      <c r="L112" s="497"/>
      <c r="M112" s="43"/>
      <c r="N112" s="9"/>
      <c r="O112" s="66"/>
      <c r="P112" s="66"/>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row>
    <row r="113" spans="1:43" x14ac:dyDescent="0.2">
      <c r="A113" s="719" t="s">
        <v>74</v>
      </c>
      <c r="B113" s="15" t="s">
        <v>509</v>
      </c>
      <c r="C113" s="537"/>
      <c r="D113" s="537"/>
      <c r="E113" s="720">
        <f t="shared" ref="E113:K113" si="11">E106/E$107</f>
        <v>2.8715320585652016E-2</v>
      </c>
      <c r="F113" s="720">
        <f t="shared" si="11"/>
        <v>2.6744630237363478E-2</v>
      </c>
      <c r="G113" s="720">
        <f t="shared" si="11"/>
        <v>1.7421641290363322E-2</v>
      </c>
      <c r="H113" s="720">
        <f t="shared" si="11"/>
        <v>1.2534293899461642E-2</v>
      </c>
      <c r="I113" s="721">
        <f t="shared" si="11"/>
        <v>1.8759536845884568E-2</v>
      </c>
      <c r="J113" s="721">
        <f t="shared" si="11"/>
        <v>1.8797692164526338E-2</v>
      </c>
      <c r="K113" s="721">
        <f t="shared" si="11"/>
        <v>3.0482302215983154E-2</v>
      </c>
      <c r="L113" s="497"/>
      <c r="M113" s="43"/>
      <c r="N113" s="9"/>
      <c r="O113" s="66"/>
      <c r="P113" s="66"/>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row>
    <row r="114" spans="1:43" ht="15" x14ac:dyDescent="0.25">
      <c r="A114" s="4" t="s">
        <v>1037</v>
      </c>
      <c r="B114" s="4" t="s">
        <v>1038</v>
      </c>
      <c r="C114" s="43"/>
      <c r="D114" s="43"/>
      <c r="E114" s="722">
        <f>MAX(E110:E113)</f>
        <v>0.40379368417659817</v>
      </c>
      <c r="F114" s="722">
        <f t="shared" ref="F114:K114" si="12">MAX(F110:F113)</f>
        <v>0.52310980303635402</v>
      </c>
      <c r="G114" s="722">
        <f t="shared" si="12"/>
        <v>0.40366555374014357</v>
      </c>
      <c r="H114" s="722">
        <f t="shared" si="12"/>
        <v>0.43564876863049162</v>
      </c>
      <c r="I114" s="722">
        <f t="shared" si="12"/>
        <v>0.4285970738712862</v>
      </c>
      <c r="J114" s="722">
        <f t="shared" si="12"/>
        <v>0.58924250884049878</v>
      </c>
      <c r="K114" s="722">
        <f t="shared" si="12"/>
        <v>0.41311541161135068</v>
      </c>
      <c r="L114" s="497"/>
      <c r="M114" s="43"/>
      <c r="N114" s="9"/>
      <c r="O114" s="66"/>
      <c r="P114" s="66"/>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row>
    <row r="115" spans="1:43" x14ac:dyDescent="0.2">
      <c r="A115" s="4"/>
      <c r="B115" s="4"/>
      <c r="C115" s="43"/>
      <c r="D115" s="43"/>
      <c r="E115" s="497"/>
      <c r="F115" s="497"/>
      <c r="G115" s="497"/>
      <c r="H115" s="497"/>
      <c r="I115" s="498"/>
      <c r="J115" s="498"/>
      <c r="K115" s="498"/>
      <c r="L115" s="497"/>
      <c r="M115" s="43"/>
      <c r="N115" s="9"/>
      <c r="O115" s="66"/>
      <c r="P115" s="66"/>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row>
    <row r="116" spans="1:43" x14ac:dyDescent="0.2">
      <c r="A116" s="4"/>
      <c r="B116" s="4" t="s">
        <v>1039</v>
      </c>
      <c r="C116" s="43"/>
      <c r="D116" s="43"/>
      <c r="E116" s="497"/>
      <c r="F116" s="497"/>
      <c r="G116" s="497"/>
      <c r="H116" s="497"/>
      <c r="I116" s="498"/>
      <c r="J116" s="498"/>
      <c r="K116" s="498"/>
      <c r="L116" s="497"/>
      <c r="M116" s="43"/>
      <c r="N116" s="9"/>
      <c r="O116" s="66"/>
      <c r="P116" s="66"/>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row>
    <row r="117" spans="1:43" x14ac:dyDescent="0.2">
      <c r="A117" s="4"/>
      <c r="B117" s="4"/>
      <c r="C117" s="43"/>
      <c r="D117" s="43"/>
      <c r="E117" s="497"/>
      <c r="F117" s="497"/>
      <c r="G117" s="497"/>
      <c r="H117" s="497"/>
      <c r="I117" s="498"/>
      <c r="J117" s="498"/>
      <c r="K117" s="498"/>
      <c r="L117" s="497"/>
      <c r="M117" s="43"/>
      <c r="N117" s="9"/>
      <c r="O117" s="66"/>
      <c r="P117" s="66"/>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row>
    <row r="118" spans="1:43" x14ac:dyDescent="0.2">
      <c r="A118" s="4"/>
      <c r="B118" s="4"/>
      <c r="C118" s="43"/>
      <c r="D118" s="43"/>
      <c r="E118" s="497"/>
      <c r="F118" s="497"/>
      <c r="G118" s="497"/>
      <c r="H118" s="497"/>
      <c r="I118" s="498"/>
      <c r="J118" s="498"/>
      <c r="K118" s="498"/>
      <c r="L118" s="497"/>
      <c r="M118" s="43"/>
      <c r="N118" s="9"/>
      <c r="O118" s="66"/>
      <c r="P118" s="66"/>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row>
    <row r="119" spans="1:43" ht="20.25" customHeight="1" x14ac:dyDescent="0.25">
      <c r="A119" s="723"/>
      <c r="B119" s="723" t="s">
        <v>1043</v>
      </c>
      <c r="C119" s="724"/>
      <c r="D119" s="724"/>
      <c r="E119" s="725"/>
      <c r="F119" s="725"/>
      <c r="G119" s="725"/>
      <c r="H119" s="725"/>
      <c r="I119" s="725"/>
      <c r="J119" s="725"/>
      <c r="K119" s="725"/>
      <c r="L119" s="497"/>
      <c r="M119" s="43"/>
      <c r="N119" s="9"/>
      <c r="O119" s="66"/>
      <c r="P119" s="66"/>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row>
    <row r="120" spans="1:43" x14ac:dyDescent="0.2">
      <c r="A120" s="4"/>
      <c r="B120" s="4"/>
      <c r="C120" s="4"/>
      <c r="D120" s="4"/>
      <c r="E120" s="4" t="s">
        <v>348</v>
      </c>
      <c r="F120" s="4"/>
      <c r="G120" s="4"/>
      <c r="H120" s="4"/>
      <c r="I120" s="4"/>
      <c r="J120" s="4"/>
      <c r="K120" s="4"/>
      <c r="L120" s="497"/>
      <c r="M120" s="43"/>
      <c r="N120" s="9"/>
      <c r="O120" s="66"/>
      <c r="P120" s="66"/>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row>
    <row r="121" spans="1:43" x14ac:dyDescent="0.2">
      <c r="A121" s="15"/>
      <c r="B121" s="15"/>
      <c r="C121" s="15"/>
      <c r="D121" s="15"/>
      <c r="E121" s="539">
        <f>E8</f>
        <v>2009</v>
      </c>
      <c r="F121" s="539">
        <f t="shared" ref="F121:K121" si="13">F8</f>
        <v>2010</v>
      </c>
      <c r="G121" s="539">
        <f t="shared" si="13"/>
        <v>2011</v>
      </c>
      <c r="H121" s="539">
        <f t="shared" si="13"/>
        <v>2012</v>
      </c>
      <c r="I121" s="539">
        <f t="shared" si="13"/>
        <v>2013</v>
      </c>
      <c r="J121" s="539">
        <f t="shared" si="13"/>
        <v>2014</v>
      </c>
      <c r="K121" s="539">
        <f t="shared" si="13"/>
        <v>2015</v>
      </c>
      <c r="L121" s="497"/>
      <c r="M121" s="43"/>
      <c r="N121" s="9"/>
      <c r="O121" s="66"/>
      <c r="P121" s="66"/>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row>
    <row r="122" spans="1:43" x14ac:dyDescent="0.2">
      <c r="A122" s="494" t="s">
        <v>1041</v>
      </c>
      <c r="B122" s="4" t="s">
        <v>1040</v>
      </c>
      <c r="C122" s="43"/>
      <c r="D122" s="43"/>
      <c r="E122" s="717">
        <f>МСФО_ввод!E27/МСФО_ввод!E37</f>
        <v>9.9725988177922664E-2</v>
      </c>
      <c r="F122" s="717">
        <f>МСФО_ввод!F27/МСФО_ввод!F37</f>
        <v>0</v>
      </c>
      <c r="G122" s="717">
        <f>МСФО_ввод!G27/МСФО_ввод!G37</f>
        <v>0.17806246370365911</v>
      </c>
      <c r="H122" s="717">
        <f>МСФО_ввод!H27/МСФО_ввод!H37</f>
        <v>0.23974265378546758</v>
      </c>
      <c r="I122" s="717">
        <f>МСФО_ввод!I27/МСФО_ввод!I37</f>
        <v>0.19286994614125602</v>
      </c>
      <c r="J122" s="717">
        <f>МСФО_ввод!J27/МСФО_ввод!J37</f>
        <v>0.20916816894154006</v>
      </c>
      <c r="K122" s="717">
        <f>МСФО_ввод!K27/МСФО_ввод!K37</f>
        <v>0.16048350311692261</v>
      </c>
      <c r="L122" s="497"/>
      <c r="M122" s="43"/>
      <c r="N122" s="9"/>
      <c r="O122" s="66"/>
      <c r="P122" s="66"/>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row>
    <row r="123" spans="1:43" x14ac:dyDescent="0.2">
      <c r="A123" s="4"/>
      <c r="B123" s="4"/>
      <c r="C123" s="43"/>
      <c r="D123" s="43"/>
      <c r="E123" s="497"/>
      <c r="F123" s="497"/>
      <c r="G123" s="497"/>
      <c r="H123" s="497"/>
      <c r="I123" s="498"/>
      <c r="J123" s="498"/>
      <c r="K123" s="498"/>
      <c r="L123" s="497"/>
      <c r="M123" s="43"/>
      <c r="N123" s="9"/>
      <c r="O123" s="66"/>
      <c r="P123" s="66"/>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row>
    <row r="124" spans="1:43" x14ac:dyDescent="0.2">
      <c r="A124" s="4"/>
      <c r="B124" s="4" t="s">
        <v>1042</v>
      </c>
      <c r="C124" s="43"/>
      <c r="D124" s="43"/>
      <c r="E124" s="497"/>
      <c r="F124" s="497"/>
      <c r="G124" s="497"/>
      <c r="H124" s="497"/>
      <c r="I124" s="498"/>
      <c r="J124" s="498"/>
      <c r="K124" s="498"/>
      <c r="L124" s="497"/>
      <c r="M124" s="43"/>
      <c r="N124" s="9"/>
      <c r="O124" s="66"/>
      <c r="P124" s="66"/>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row>
    <row r="125" spans="1:43" x14ac:dyDescent="0.2">
      <c r="A125" s="4"/>
      <c r="B125" s="4"/>
      <c r="C125" s="43"/>
      <c r="D125" s="43"/>
      <c r="E125" s="497"/>
      <c r="F125" s="497"/>
      <c r="G125" s="497"/>
      <c r="H125" s="497"/>
      <c r="I125" s="498"/>
      <c r="J125" s="498"/>
      <c r="K125" s="498"/>
      <c r="L125" s="497"/>
      <c r="M125" s="43"/>
      <c r="N125" s="9"/>
      <c r="O125" s="66"/>
      <c r="P125" s="66"/>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row>
    <row r="126" spans="1:43" x14ac:dyDescent="0.2">
      <c r="A126" s="4"/>
      <c r="B126" s="4"/>
      <c r="C126" s="43"/>
      <c r="D126" s="43"/>
      <c r="E126" s="497"/>
      <c r="F126" s="497"/>
      <c r="G126" s="497"/>
      <c r="H126" s="497"/>
      <c r="I126" s="498"/>
      <c r="J126" s="498"/>
      <c r="K126" s="498"/>
      <c r="L126" s="497"/>
      <c r="M126" s="43"/>
      <c r="N126" s="9"/>
      <c r="O126" s="66"/>
      <c r="P126" s="66"/>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row>
    <row r="127" spans="1:43" x14ac:dyDescent="0.2">
      <c r="A127" s="4"/>
      <c r="B127" s="4"/>
      <c r="C127" s="43"/>
      <c r="D127" s="43"/>
      <c r="E127" s="497"/>
      <c r="F127" s="497"/>
      <c r="G127" s="497"/>
      <c r="H127" s="497"/>
      <c r="I127" s="498"/>
      <c r="J127" s="498"/>
      <c r="K127" s="498"/>
      <c r="L127" s="497"/>
      <c r="M127" s="43"/>
      <c r="N127" s="9"/>
      <c r="O127" s="66"/>
      <c r="P127" s="66"/>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row>
    <row r="128" spans="1:43" ht="15" x14ac:dyDescent="0.25">
      <c r="A128" s="534"/>
      <c r="B128" s="534" t="s">
        <v>542</v>
      </c>
      <c r="C128" s="535"/>
      <c r="D128" s="535"/>
      <c r="E128" s="536"/>
      <c r="F128" s="536"/>
      <c r="G128" s="536"/>
      <c r="H128" s="536"/>
      <c r="I128" s="536"/>
      <c r="J128" s="536"/>
      <c r="K128" s="536"/>
      <c r="L128" s="497"/>
      <c r="M128" s="43"/>
      <c r="N128" s="9"/>
      <c r="O128" s="66"/>
      <c r="P128" s="66"/>
      <c r="Q128" s="534" t="s">
        <v>863</v>
      </c>
      <c r="R128" s="583"/>
      <c r="S128" s="583"/>
      <c r="T128" s="583"/>
      <c r="U128" s="583"/>
      <c r="V128" s="583"/>
      <c r="W128" s="583"/>
      <c r="X128" s="583"/>
      <c r="Y128" s="583"/>
      <c r="Z128" s="583"/>
      <c r="AA128" s="4"/>
      <c r="AB128" s="4"/>
      <c r="AC128" s="534" t="s">
        <v>869</v>
      </c>
      <c r="AD128" s="583"/>
      <c r="AE128" s="583"/>
      <c r="AF128" s="583"/>
      <c r="AG128" s="583"/>
      <c r="AH128" s="583"/>
      <c r="AI128" s="583"/>
      <c r="AJ128" s="583"/>
      <c r="AK128" s="583"/>
      <c r="AL128" s="583"/>
      <c r="AM128" s="4"/>
      <c r="AN128" s="4"/>
      <c r="AO128" s="4"/>
      <c r="AP128" s="4"/>
      <c r="AQ128" s="4"/>
    </row>
    <row r="129" spans="1:43" ht="15" hidden="1" outlineLevel="1" x14ac:dyDescent="0.25">
      <c r="A129" s="4"/>
      <c r="B129" s="559"/>
      <c r="C129" s="560"/>
      <c r="D129" s="560" t="s">
        <v>286</v>
      </c>
      <c r="E129" s="561" t="s">
        <v>348</v>
      </c>
      <c r="F129" s="561"/>
      <c r="G129" s="561"/>
      <c r="H129" s="561"/>
      <c r="I129" s="561"/>
      <c r="J129" s="561"/>
      <c r="K129" s="561"/>
      <c r="L129" s="497"/>
      <c r="M129" s="43"/>
      <c r="N129" s="9"/>
      <c r="O129" s="66"/>
      <c r="P129" s="66"/>
      <c r="Q129" s="561" t="s">
        <v>348</v>
      </c>
      <c r="R129" s="561"/>
      <c r="S129" s="561" t="s">
        <v>286</v>
      </c>
      <c r="T129" s="561"/>
      <c r="U129" s="561"/>
      <c r="V129" s="4"/>
      <c r="W129" s="4"/>
      <c r="X129" s="4"/>
      <c r="Y129" s="4"/>
      <c r="Z129" s="4"/>
      <c r="AA129" s="4"/>
      <c r="AB129" s="4"/>
      <c r="AC129" s="561" t="s">
        <v>348</v>
      </c>
      <c r="AD129" s="561"/>
      <c r="AE129" s="561" t="s">
        <v>304</v>
      </c>
      <c r="AF129" s="561"/>
      <c r="AG129" s="561"/>
      <c r="AH129" s="4"/>
      <c r="AI129" s="4"/>
      <c r="AJ129" s="4"/>
      <c r="AK129" s="4"/>
      <c r="AL129" s="4"/>
      <c r="AM129" s="4"/>
      <c r="AN129" s="4"/>
      <c r="AO129" s="4"/>
      <c r="AP129" s="4"/>
      <c r="AQ129" s="4"/>
    </row>
    <row r="130" spans="1:43" ht="15" hidden="1" outlineLevel="1" x14ac:dyDescent="0.25">
      <c r="A130" s="4"/>
      <c r="B130" s="562"/>
      <c r="C130" s="563"/>
      <c r="D130" s="563"/>
      <c r="E130" s="564">
        <f t="shared" ref="E130:K130" si="14">E8</f>
        <v>2009</v>
      </c>
      <c r="F130" s="564">
        <f t="shared" si="14"/>
        <v>2010</v>
      </c>
      <c r="G130" s="564">
        <f t="shared" si="14"/>
        <v>2011</v>
      </c>
      <c r="H130" s="564">
        <f t="shared" si="14"/>
        <v>2012</v>
      </c>
      <c r="I130" s="564">
        <f t="shared" si="14"/>
        <v>2013</v>
      </c>
      <c r="J130" s="564">
        <f t="shared" si="14"/>
        <v>2014</v>
      </c>
      <c r="K130" s="564">
        <f t="shared" si="14"/>
        <v>2015</v>
      </c>
      <c r="L130" s="497"/>
      <c r="M130" s="43"/>
      <c r="N130" s="9"/>
      <c r="O130" s="66"/>
      <c r="P130" s="66"/>
      <c r="Q130" s="564">
        <f>Q8</f>
        <v>2013</v>
      </c>
      <c r="R130" s="564">
        <f>R8</f>
        <v>2014</v>
      </c>
      <c r="S130" s="564">
        <f>S8</f>
        <v>2015</v>
      </c>
      <c r="T130" s="564"/>
      <c r="U130" s="564"/>
      <c r="V130" s="4"/>
      <c r="W130" s="4"/>
      <c r="X130" s="4"/>
      <c r="Y130" s="4"/>
      <c r="Z130" s="4"/>
      <c r="AA130" s="4"/>
      <c r="AB130" s="4"/>
      <c r="AC130" s="564">
        <f>AC8</f>
        <v>2013</v>
      </c>
      <c r="AD130" s="564">
        <f>AD8</f>
        <v>2014</v>
      </c>
      <c r="AE130" s="564">
        <f>AE8</f>
        <v>2015</v>
      </c>
      <c r="AF130" s="564"/>
      <c r="AG130" s="564"/>
      <c r="AH130" s="4"/>
      <c r="AI130" s="4"/>
      <c r="AJ130" s="4"/>
      <c r="AK130" s="4"/>
      <c r="AL130" s="4"/>
      <c r="AM130" s="4"/>
      <c r="AN130" s="4"/>
      <c r="AO130" s="4"/>
      <c r="AP130" s="4"/>
      <c r="AQ130" s="4"/>
    </row>
    <row r="131" spans="1:43" ht="15" hidden="1" outlineLevel="1" x14ac:dyDescent="0.25">
      <c r="A131" s="4"/>
      <c r="B131" s="501" t="s">
        <v>219</v>
      </c>
      <c r="C131" s="560"/>
      <c r="D131" s="560"/>
      <c r="E131" s="565"/>
      <c r="F131" s="565" t="e">
        <f>#REF!+#REF!</f>
        <v>#REF!</v>
      </c>
      <c r="G131" s="565" t="e">
        <f>#REF!+#REF!</f>
        <v>#REF!</v>
      </c>
      <c r="H131" s="565" t="e">
        <f>#REF!+#REF!</f>
        <v>#REF!</v>
      </c>
      <c r="I131" s="565" t="e">
        <f>#REF!+#REF!</f>
        <v>#REF!</v>
      </c>
      <c r="J131" s="565" t="e">
        <f>#REF!+#REF!</f>
        <v>#REF!</v>
      </c>
      <c r="K131" s="565" t="e">
        <f>#REF!+#REF!</f>
        <v>#REF!</v>
      </c>
      <c r="L131" s="497"/>
      <c r="M131" s="43"/>
      <c r="N131" s="9"/>
      <c r="O131" s="66"/>
      <c r="P131" s="66"/>
      <c r="Q131" s="565" t="e">
        <f>#REF!+#REF!</f>
        <v>#REF!</v>
      </c>
      <c r="R131" s="565" t="e">
        <f>#REF!+#REF!</f>
        <v>#REF!</v>
      </c>
      <c r="S131" s="565" t="e">
        <f>#REF!+#REF!</f>
        <v>#REF!</v>
      </c>
      <c r="T131" s="565"/>
      <c r="U131" s="565"/>
      <c r="V131" s="4"/>
      <c r="W131" s="4"/>
      <c r="X131" s="4"/>
      <c r="Y131" s="4"/>
      <c r="Z131" s="4"/>
      <c r="AA131" s="4"/>
      <c r="AB131" s="4"/>
      <c r="AC131" s="565" t="e">
        <f>#REF!+#REF!</f>
        <v>#REF!</v>
      </c>
      <c r="AD131" s="565" t="e">
        <f>#REF!+#REF!</f>
        <v>#REF!</v>
      </c>
      <c r="AE131" s="565" t="e">
        <f>#REF!+#REF!</f>
        <v>#REF!</v>
      </c>
      <c r="AF131" s="565"/>
      <c r="AG131" s="565"/>
      <c r="AH131" s="4"/>
      <c r="AI131" s="4"/>
      <c r="AJ131" s="4"/>
      <c r="AK131" s="4"/>
      <c r="AL131" s="4"/>
      <c r="AM131" s="4"/>
      <c r="AN131" s="4"/>
      <c r="AO131" s="4"/>
      <c r="AP131" s="4"/>
      <c r="AQ131" s="4"/>
    </row>
    <row r="132" spans="1:43" ht="15" hidden="1" outlineLevel="1" x14ac:dyDescent="0.25">
      <c r="A132" s="4"/>
      <c r="B132" s="559" t="s">
        <v>843</v>
      </c>
      <c r="C132" s="560"/>
      <c r="D132" s="560"/>
      <c r="E132" s="565"/>
      <c r="F132" s="565">
        <f>Баланс_МСФО!F87</f>
        <v>837.31825000000003</v>
      </c>
      <c r="G132" s="565">
        <f>Баланс_МСФО!G87</f>
        <v>954.71680000000015</v>
      </c>
      <c r="H132" s="565">
        <f>Баланс_МСФО!H87</f>
        <v>1176.5088000000001</v>
      </c>
      <c r="I132" s="565">
        <f>Баланс_МСФО!I87</f>
        <v>1460.8415</v>
      </c>
      <c r="J132" s="565">
        <f>Баланс_МСФО!J87</f>
        <v>1878.884</v>
      </c>
      <c r="K132" s="565">
        <f>Баланс_МСФО!K87</f>
        <v>1819.15</v>
      </c>
      <c r="L132" s="497"/>
      <c r="M132" s="43"/>
      <c r="N132" s="9"/>
      <c r="O132" s="66"/>
      <c r="P132" s="66"/>
      <c r="Q132" s="565">
        <v>53466.35</v>
      </c>
      <c r="R132" s="565">
        <v>67538.05</v>
      </c>
      <c r="S132" s="565">
        <v>80326.350000000006</v>
      </c>
      <c r="T132" s="565"/>
      <c r="U132" s="565"/>
      <c r="V132" s="4"/>
      <c r="W132" s="4"/>
      <c r="X132" s="4"/>
      <c r="Y132" s="4"/>
      <c r="Z132" s="4"/>
      <c r="AA132" s="4"/>
      <c r="AB132" s="4"/>
      <c r="AC132" s="565">
        <v>13530.285</v>
      </c>
      <c r="AD132" s="565">
        <v>14073.872499999999</v>
      </c>
      <c r="AE132" s="565">
        <v>14684.021499999999</v>
      </c>
      <c r="AF132" s="565"/>
      <c r="AG132" s="565"/>
      <c r="AH132" s="4"/>
      <c r="AI132" s="4"/>
      <c r="AJ132" s="4"/>
      <c r="AK132" s="4"/>
      <c r="AL132" s="4"/>
      <c r="AM132" s="4"/>
      <c r="AN132" s="4"/>
      <c r="AO132" s="4"/>
      <c r="AP132" s="4"/>
      <c r="AQ132" s="4"/>
    </row>
    <row r="133" spans="1:43" ht="15" hidden="1" outlineLevel="1" x14ac:dyDescent="0.25">
      <c r="A133" s="4"/>
      <c r="B133" s="501" t="s">
        <v>844</v>
      </c>
      <c r="C133" s="560"/>
      <c r="D133" s="560"/>
      <c r="E133" s="565"/>
      <c r="F133" s="565">
        <f>Баланс_МСФО!F103</f>
        <v>60.839500000000008</v>
      </c>
      <c r="G133" s="565">
        <f>Баланс_МСФО!G103</f>
        <v>99.920000000000016</v>
      </c>
      <c r="H133" s="565">
        <f>Баланс_МСФО!H103</f>
        <v>175.93300000000005</v>
      </c>
      <c r="I133" s="565">
        <f>Баланс_МСФО!I103</f>
        <v>202.52465000000004</v>
      </c>
      <c r="J133" s="565">
        <f>Баланс_МСФО!J103</f>
        <v>201.83565000000002</v>
      </c>
      <c r="K133" s="565">
        <f>Баланс_МСФО!K103</f>
        <v>190.7</v>
      </c>
      <c r="L133" s="497"/>
      <c r="M133" s="43"/>
      <c r="N133" s="9"/>
      <c r="O133" s="66"/>
      <c r="P133" s="66"/>
      <c r="Q133" s="565">
        <v>6588.9</v>
      </c>
      <c r="R133" s="565">
        <v>7496.35</v>
      </c>
      <c r="S133" s="565">
        <v>8468.5</v>
      </c>
      <c r="T133" s="565"/>
      <c r="U133" s="565"/>
      <c r="V133" s="4"/>
      <c r="W133" s="4"/>
      <c r="X133" s="4"/>
      <c r="Y133" s="4"/>
      <c r="Z133" s="4"/>
      <c r="AA133" s="4"/>
      <c r="AB133" s="4"/>
      <c r="AC133" s="565">
        <v>1516.18</v>
      </c>
      <c r="AD133" s="565">
        <v>1572.066</v>
      </c>
      <c r="AE133" s="565">
        <v>1648.3595</v>
      </c>
      <c r="AF133" s="565"/>
      <c r="AG133" s="565"/>
      <c r="AH133" s="4"/>
      <c r="AI133" s="4"/>
      <c r="AJ133" s="4"/>
      <c r="AK133" s="4"/>
      <c r="AL133" s="4"/>
      <c r="AM133" s="4"/>
      <c r="AN133" s="4"/>
      <c r="AO133" s="4"/>
      <c r="AP133" s="4"/>
      <c r="AQ133" s="4"/>
    </row>
    <row r="134" spans="1:43" ht="15" hidden="1" outlineLevel="1" x14ac:dyDescent="0.25">
      <c r="A134" s="4"/>
      <c r="B134" s="501" t="s">
        <v>872</v>
      </c>
      <c r="C134" s="560"/>
      <c r="D134" s="560"/>
      <c r="E134" s="565"/>
      <c r="F134" s="565">
        <f>Баланс_МСФО!F95</f>
        <v>597.01375000000007</v>
      </c>
      <c r="G134" s="565">
        <f>Баланс_МСФО!G95</f>
        <v>638.86030000000005</v>
      </c>
      <c r="H134" s="565">
        <f>Баланс_МСФО!H95</f>
        <v>755.02880000000005</v>
      </c>
      <c r="I134" s="565">
        <f>Баланс_МСФО!I95</f>
        <v>944.71650000000011</v>
      </c>
      <c r="J134" s="565">
        <f>Баланс_МСФО!J95</f>
        <v>1338.568</v>
      </c>
      <c r="K134" s="565">
        <f>Баланс_МСФО!K95</f>
        <v>1368.3999999999999</v>
      </c>
      <c r="L134" s="497"/>
      <c r="M134" s="43"/>
      <c r="N134" s="9"/>
      <c r="O134" s="66"/>
      <c r="P134" s="66"/>
      <c r="Q134" s="565"/>
      <c r="R134" s="565"/>
      <c r="S134" s="565"/>
      <c r="T134" s="565"/>
      <c r="U134" s="565"/>
      <c r="V134" s="4"/>
      <c r="W134" s="4"/>
      <c r="X134" s="4"/>
      <c r="Y134" s="4"/>
      <c r="Z134" s="4"/>
      <c r="AA134" s="4"/>
      <c r="AB134" s="4"/>
      <c r="AC134" s="565"/>
      <c r="AD134" s="565"/>
      <c r="AE134" s="565"/>
      <c r="AF134" s="565"/>
      <c r="AG134" s="565"/>
      <c r="AH134" s="4"/>
      <c r="AI134" s="4"/>
      <c r="AJ134" s="4"/>
      <c r="AK134" s="4"/>
      <c r="AL134" s="4"/>
      <c r="AM134" s="4"/>
      <c r="AN134" s="4"/>
      <c r="AO134" s="4"/>
      <c r="AP134" s="4"/>
      <c r="AQ134" s="4"/>
    </row>
    <row r="135" spans="1:43" ht="15" hidden="1" outlineLevel="1" x14ac:dyDescent="0.25">
      <c r="A135" s="4"/>
      <c r="B135" s="501" t="s">
        <v>873</v>
      </c>
      <c r="C135" s="560"/>
      <c r="D135" s="560"/>
      <c r="E135" s="565"/>
      <c r="F135" s="565">
        <f>Баланс_МСФО!F104</f>
        <v>767.72199999999987</v>
      </c>
      <c r="G135" s="565">
        <f>Баланс_МСФО!G104</f>
        <v>839.92950000000008</v>
      </c>
      <c r="H135" s="565">
        <f>Баланс_МСФО!H104</f>
        <v>980.75749999999994</v>
      </c>
      <c r="I135" s="565">
        <f>Баланс_МСФО!I104</f>
        <v>1221.9765000000002</v>
      </c>
      <c r="J135" s="565">
        <f>Баланс_МСФО!J104</f>
        <v>1588.4945</v>
      </c>
      <c r="K135" s="565">
        <f>Баланс_МСФО!K104</f>
        <v>1524.8000000000002</v>
      </c>
      <c r="L135" s="497"/>
      <c r="M135" s="43"/>
      <c r="N135" s="9"/>
      <c r="O135" s="66"/>
      <c r="P135" s="66"/>
      <c r="Q135" s="565"/>
      <c r="R135" s="565"/>
      <c r="S135" s="565"/>
      <c r="T135" s="565"/>
      <c r="U135" s="565"/>
      <c r="V135" s="4"/>
      <c r="W135" s="4"/>
      <c r="X135" s="4"/>
      <c r="Y135" s="4"/>
      <c r="Z135" s="4"/>
      <c r="AA135" s="4"/>
      <c r="AB135" s="4"/>
      <c r="AC135" s="565"/>
      <c r="AD135" s="565"/>
      <c r="AE135" s="565"/>
      <c r="AF135" s="565"/>
      <c r="AG135" s="565"/>
      <c r="AH135" s="4"/>
      <c r="AI135" s="4"/>
      <c r="AJ135" s="4"/>
      <c r="AK135" s="4"/>
      <c r="AL135" s="4"/>
      <c r="AM135" s="4"/>
      <c r="AN135" s="4"/>
      <c r="AO135" s="4"/>
      <c r="AP135" s="4"/>
      <c r="AQ135" s="4"/>
    </row>
    <row r="136" spans="1:43" ht="15" hidden="1" outlineLevel="1" x14ac:dyDescent="0.25">
      <c r="A136" s="4"/>
      <c r="B136" s="501" t="s">
        <v>874</v>
      </c>
      <c r="C136" s="560"/>
      <c r="D136" s="560"/>
      <c r="E136" s="565"/>
      <c r="F136" s="565">
        <f>Баланс_МСФО!F108</f>
        <v>731.97000000000014</v>
      </c>
      <c r="G136" s="565">
        <f>Баланс_МСФО!G108</f>
        <v>936.7296</v>
      </c>
      <c r="H136" s="565">
        <f>Баланс_МСФО!H108</f>
        <v>1145.202</v>
      </c>
      <c r="I136" s="565">
        <f>Баланс_МСФО!I108</f>
        <v>1447.5610000000001</v>
      </c>
      <c r="J136" s="565">
        <f>Баланс_МСФО!J108</f>
        <v>1943.9999999999998</v>
      </c>
      <c r="K136" s="565">
        <f>Баланс_МСФО!K108</f>
        <v>1344.6000000000001</v>
      </c>
      <c r="L136" s="497"/>
      <c r="M136" s="43"/>
      <c r="N136" s="9"/>
      <c r="O136" s="66"/>
      <c r="P136" s="66"/>
      <c r="Q136" s="565"/>
      <c r="R136" s="565"/>
      <c r="S136" s="565"/>
      <c r="T136" s="565"/>
      <c r="U136" s="565"/>
      <c r="V136" s="4"/>
      <c r="W136" s="4"/>
      <c r="X136" s="4"/>
      <c r="Y136" s="4"/>
      <c r="Z136" s="4"/>
      <c r="AA136" s="4"/>
      <c r="AB136" s="4"/>
      <c r="AC136" s="565"/>
      <c r="AD136" s="565"/>
      <c r="AE136" s="565"/>
      <c r="AF136" s="565"/>
      <c r="AG136" s="565"/>
      <c r="AH136" s="4"/>
      <c r="AI136" s="4"/>
      <c r="AJ136" s="4"/>
      <c r="AK136" s="4"/>
      <c r="AL136" s="4"/>
      <c r="AM136" s="4"/>
      <c r="AN136" s="4"/>
      <c r="AO136" s="4"/>
      <c r="AP136" s="4"/>
      <c r="AQ136" s="4"/>
    </row>
    <row r="137" spans="1:43" ht="15" hidden="1" outlineLevel="1" x14ac:dyDescent="0.25">
      <c r="A137" s="4"/>
      <c r="B137" s="501" t="s">
        <v>875</v>
      </c>
      <c r="C137" s="560"/>
      <c r="D137" s="560"/>
      <c r="E137" s="565"/>
      <c r="F137" s="565">
        <f>Баланс_МСФО!F36</f>
        <v>849.43100000000004</v>
      </c>
      <c r="G137" s="565">
        <f>Баланс_МСФО!G36</f>
        <v>1060.0026000000003</v>
      </c>
      <c r="H137" s="565">
        <f>Баланс_МСФО!H36</f>
        <v>1293.0149999999999</v>
      </c>
      <c r="I137" s="565">
        <f>Баланс_МСФО!I36</f>
        <v>1628.6679999999999</v>
      </c>
      <c r="J137" s="565">
        <f>Баланс_МСФО!J36</f>
        <v>2129.1</v>
      </c>
      <c r="K137" s="565">
        <f>Баланс_МСФО!K36</f>
        <v>1509.2</v>
      </c>
      <c r="L137" s="497"/>
      <c r="M137" s="43"/>
      <c r="N137" s="9"/>
      <c r="O137" s="66"/>
      <c r="P137" s="66"/>
      <c r="Q137" s="565"/>
      <c r="R137" s="565"/>
      <c r="S137" s="565"/>
      <c r="T137" s="565"/>
      <c r="U137" s="565"/>
      <c r="V137" s="4"/>
      <c r="W137" s="4"/>
      <c r="X137" s="4"/>
      <c r="Y137" s="4"/>
      <c r="Z137" s="4"/>
      <c r="AA137" s="4"/>
      <c r="AB137" s="4"/>
      <c r="AC137" s="565"/>
      <c r="AD137" s="565"/>
      <c r="AE137" s="565"/>
      <c r="AF137" s="565"/>
      <c r="AG137" s="565"/>
      <c r="AH137" s="4"/>
      <c r="AI137" s="4"/>
      <c r="AJ137" s="4"/>
      <c r="AK137" s="4"/>
      <c r="AL137" s="4"/>
      <c r="AM137" s="4"/>
      <c r="AN137" s="4"/>
      <c r="AO137" s="4"/>
      <c r="AP137" s="4"/>
      <c r="AQ137" s="4"/>
    </row>
    <row r="138" spans="1:43" ht="15" hidden="1" outlineLevel="1" x14ac:dyDescent="0.25">
      <c r="A138" s="4"/>
      <c r="B138" s="501" t="s">
        <v>876</v>
      </c>
      <c r="C138" s="560"/>
      <c r="D138" s="560"/>
      <c r="E138" s="565"/>
      <c r="F138" s="565">
        <f>Баланс_МСФО!F88</f>
        <v>627.8365</v>
      </c>
      <c r="G138" s="565">
        <f>Баланс_МСФО!G88</f>
        <v>721.64250000000004</v>
      </c>
      <c r="H138" s="565">
        <f>Баланс_МСФО!H88</f>
        <v>832.96350000000007</v>
      </c>
      <c r="I138" s="565">
        <f>Баланс_МСФО!I88</f>
        <v>999.52649999999994</v>
      </c>
      <c r="J138" s="565">
        <f>Баланс_МСФО!J88</f>
        <v>1249.5025000000001</v>
      </c>
      <c r="K138" s="565">
        <f>Баланс_МСФО!K88</f>
        <v>1326.65</v>
      </c>
      <c r="L138" s="497"/>
      <c r="M138" s="43"/>
      <c r="N138" s="9"/>
      <c r="O138" s="66"/>
      <c r="P138" s="66"/>
      <c r="Q138" s="565"/>
      <c r="R138" s="565"/>
      <c r="S138" s="565"/>
      <c r="T138" s="565"/>
      <c r="U138" s="565"/>
      <c r="V138" s="4"/>
      <c r="W138" s="4"/>
      <c r="X138" s="4"/>
      <c r="Y138" s="4"/>
      <c r="Z138" s="4"/>
      <c r="AA138" s="4"/>
      <c r="AB138" s="4"/>
      <c r="AC138" s="565"/>
      <c r="AD138" s="565"/>
      <c r="AE138" s="565"/>
      <c r="AF138" s="565"/>
      <c r="AG138" s="565"/>
      <c r="AH138" s="4"/>
      <c r="AI138" s="4"/>
      <c r="AJ138" s="4"/>
      <c r="AK138" s="4"/>
      <c r="AL138" s="4"/>
      <c r="AM138" s="4"/>
      <c r="AN138" s="4"/>
      <c r="AO138" s="4"/>
      <c r="AP138" s="4"/>
      <c r="AQ138" s="4"/>
    </row>
    <row r="139" spans="1:43" ht="15" hidden="1" outlineLevel="1" x14ac:dyDescent="0.25">
      <c r="A139" s="4"/>
      <c r="B139" s="501" t="s">
        <v>877</v>
      </c>
      <c r="C139" s="560"/>
      <c r="D139" s="560"/>
      <c r="E139" s="565"/>
      <c r="F139" s="565">
        <f>Баланс_МСФО!F90</f>
        <v>65.093999999999994</v>
      </c>
      <c r="G139" s="565">
        <f>Баланс_МСФО!G90</f>
        <v>119.155</v>
      </c>
      <c r="H139" s="565">
        <f>Баланс_МСФО!H90</f>
        <v>163.16399999999999</v>
      </c>
      <c r="I139" s="565">
        <f>Баланс_МСФО!I90</f>
        <v>165.1815</v>
      </c>
      <c r="J139" s="565">
        <f>Баланс_МСФО!J90</f>
        <v>335.88</v>
      </c>
      <c r="K139" s="565">
        <f>Баланс_МСФО!K90</f>
        <v>343.04999999999995</v>
      </c>
      <c r="L139" s="497"/>
      <c r="M139" s="43"/>
      <c r="N139" s="9"/>
      <c r="O139" s="66"/>
      <c r="P139" s="66"/>
      <c r="Q139" s="565"/>
      <c r="R139" s="565"/>
      <c r="S139" s="565"/>
      <c r="T139" s="565"/>
      <c r="U139" s="565"/>
      <c r="V139" s="4"/>
      <c r="W139" s="4"/>
      <c r="X139" s="4"/>
      <c r="Y139" s="4"/>
      <c r="Z139" s="4"/>
      <c r="AA139" s="4"/>
      <c r="AB139" s="4"/>
      <c r="AC139" s="565"/>
      <c r="AD139" s="565"/>
      <c r="AE139" s="565"/>
      <c r="AF139" s="565"/>
      <c r="AG139" s="565"/>
      <c r="AH139" s="4"/>
      <c r="AI139" s="4"/>
      <c r="AJ139" s="4"/>
      <c r="AK139" s="4"/>
      <c r="AL139" s="4"/>
      <c r="AM139" s="4"/>
      <c r="AN139" s="4"/>
      <c r="AO139" s="4"/>
      <c r="AP139" s="4"/>
      <c r="AQ139" s="4"/>
    </row>
    <row r="140" spans="1:43" ht="15" hidden="1" outlineLevel="1" x14ac:dyDescent="0.25">
      <c r="A140" s="4"/>
      <c r="B140" s="501"/>
      <c r="C140" s="560"/>
      <c r="D140" s="560"/>
      <c r="E140" s="565"/>
      <c r="F140" s="565"/>
      <c r="G140" s="565"/>
      <c r="H140" s="565"/>
      <c r="I140" s="565"/>
      <c r="J140" s="565"/>
      <c r="K140" s="565"/>
      <c r="L140" s="497"/>
      <c r="M140" s="43"/>
      <c r="N140" s="9"/>
      <c r="O140" s="66"/>
      <c r="P140" s="66"/>
      <c r="Q140" s="565"/>
      <c r="R140" s="565"/>
      <c r="S140" s="565"/>
      <c r="T140" s="565"/>
      <c r="U140" s="565"/>
      <c r="V140" s="4"/>
      <c r="W140" s="4"/>
      <c r="X140" s="4"/>
      <c r="Y140" s="4"/>
      <c r="Z140" s="4"/>
      <c r="AA140" s="4"/>
      <c r="AB140" s="4"/>
      <c r="AC140" s="565"/>
      <c r="AD140" s="565"/>
      <c r="AE140" s="565"/>
      <c r="AF140" s="565"/>
      <c r="AG140" s="565"/>
      <c r="AH140" s="4"/>
      <c r="AI140" s="4"/>
      <c r="AJ140" s="4"/>
      <c r="AK140" s="4"/>
      <c r="AL140" s="4"/>
      <c r="AM140" s="4"/>
      <c r="AN140" s="4"/>
      <c r="AO140" s="4"/>
      <c r="AP140" s="4"/>
      <c r="AQ140" s="4"/>
    </row>
    <row r="141" spans="1:43" ht="16.5" hidden="1" outlineLevel="1" x14ac:dyDescent="0.3">
      <c r="A141" s="4"/>
      <c r="B141" s="501" t="s">
        <v>850</v>
      </c>
      <c r="C141" s="560"/>
      <c r="D141" s="560"/>
      <c r="E141" s="561"/>
      <c r="F141" s="560">
        <f>МСФО_ввод!F133</f>
        <v>10258</v>
      </c>
      <c r="G141" s="560">
        <f>МСФО_ввод!G133</f>
        <v>10139</v>
      </c>
      <c r="H141" s="560">
        <f>МСФО_ввод!H133</f>
        <v>12926</v>
      </c>
      <c r="I141" s="560">
        <f>МСФО_ввод!I133</f>
        <v>18336</v>
      </c>
      <c r="J141" s="560">
        <f>МСФО_ввод!J133</f>
        <v>21274</v>
      </c>
      <c r="K141" s="560">
        <f>МСФО_ввод!K133</f>
        <v>18249</v>
      </c>
      <c r="L141" s="497"/>
      <c r="M141" s="43"/>
      <c r="N141" s="9"/>
      <c r="O141" s="66"/>
      <c r="P141" s="66"/>
      <c r="Q141" s="560">
        <v>835000</v>
      </c>
      <c r="R141" s="560">
        <v>950000</v>
      </c>
      <c r="S141" s="560">
        <v>838000</v>
      </c>
      <c r="T141" s="560"/>
      <c r="U141" s="560"/>
      <c r="V141" s="4"/>
      <c r="W141" s="4"/>
      <c r="X141" s="4"/>
      <c r="Y141" s="4"/>
      <c r="Z141" s="4"/>
      <c r="AA141" s="4"/>
      <c r="AB141" s="4"/>
      <c r="AC141" s="588">
        <v>1924790</v>
      </c>
      <c r="AD141" s="588">
        <v>1910759</v>
      </c>
      <c r="AE141" s="588">
        <v>1904845</v>
      </c>
      <c r="AF141" s="588"/>
      <c r="AG141" s="588"/>
      <c r="AH141" s="4"/>
      <c r="AI141" s="4"/>
      <c r="AJ141" s="4"/>
      <c r="AK141" s="4"/>
      <c r="AL141" s="4"/>
      <c r="AM141" s="4"/>
      <c r="AN141" s="4"/>
      <c r="AO141" s="4"/>
      <c r="AP141" s="4"/>
      <c r="AQ141" s="4"/>
    </row>
    <row r="142" spans="1:43" ht="15" hidden="1" outlineLevel="1" x14ac:dyDescent="0.25">
      <c r="A142" s="4"/>
      <c r="B142" s="501"/>
      <c r="C142" s="560"/>
      <c r="D142" s="560"/>
      <c r="E142" s="561"/>
      <c r="F142" s="561"/>
      <c r="G142" s="561"/>
      <c r="H142" s="561"/>
      <c r="I142" s="561"/>
      <c r="J142" s="561"/>
      <c r="K142" s="561"/>
      <c r="L142" s="497"/>
      <c r="M142" s="43"/>
      <c r="N142" s="9"/>
      <c r="O142" s="66"/>
      <c r="P142" s="66"/>
      <c r="Q142" s="561"/>
      <c r="R142" s="561"/>
      <c r="S142" s="561"/>
      <c r="T142" s="561"/>
      <c r="U142" s="561"/>
      <c r="V142" s="4"/>
      <c r="W142" s="4"/>
      <c r="X142" s="4"/>
      <c r="Y142" s="4"/>
      <c r="Z142" s="4"/>
      <c r="AA142" s="4"/>
      <c r="AB142" s="4"/>
      <c r="AC142" s="561"/>
      <c r="AD142" s="561"/>
      <c r="AE142" s="561"/>
      <c r="AF142" s="561"/>
      <c r="AG142" s="561"/>
      <c r="AH142" s="4"/>
      <c r="AI142" s="4"/>
      <c r="AJ142" s="4"/>
      <c r="AK142" s="4"/>
      <c r="AL142" s="4"/>
      <c r="AM142" s="4"/>
      <c r="AN142" s="4"/>
      <c r="AO142" s="4"/>
      <c r="AP142" s="4"/>
      <c r="AQ142" s="4"/>
    </row>
    <row r="143" spans="1:43" ht="15" hidden="1" outlineLevel="1" x14ac:dyDescent="0.25">
      <c r="A143" s="4"/>
      <c r="B143" s="501" t="s">
        <v>852</v>
      </c>
      <c r="C143" s="560"/>
      <c r="D143" s="560"/>
      <c r="E143" s="561"/>
      <c r="F143" s="566">
        <f>МСФО_ввод!F139</f>
        <v>30.476900000000001</v>
      </c>
      <c r="G143" s="566">
        <f>МСФО_ввод!G139</f>
        <v>32.196100000000001</v>
      </c>
      <c r="H143" s="566">
        <f>МСФО_ввод!H139</f>
        <v>30.372699999999998</v>
      </c>
      <c r="I143" s="566">
        <f>МСФО_ввод!I139</f>
        <v>32.729199999999999</v>
      </c>
      <c r="J143" s="566">
        <f>МСФО_ввод!J139</f>
        <v>56.258400000000002</v>
      </c>
      <c r="K143" s="566">
        <f>МСФО_ввод!K139</f>
        <v>72.8827</v>
      </c>
      <c r="L143" s="497"/>
      <c r="M143" s="43"/>
      <c r="N143" s="9"/>
      <c r="O143" s="66"/>
      <c r="P143" s="66"/>
      <c r="Q143" s="566">
        <f>I143</f>
        <v>32.729199999999999</v>
      </c>
      <c r="R143" s="566">
        <f>J143</f>
        <v>56.258400000000002</v>
      </c>
      <c r="S143" s="566">
        <f>K143</f>
        <v>72.8827</v>
      </c>
      <c r="T143" s="566"/>
      <c r="U143" s="566"/>
      <c r="V143" s="4"/>
      <c r="W143" s="4"/>
      <c r="X143" s="4"/>
      <c r="Y143" s="4"/>
      <c r="Z143" s="4"/>
      <c r="AA143" s="4"/>
      <c r="AB143" s="4"/>
      <c r="AC143" s="566">
        <f>I143</f>
        <v>32.729199999999999</v>
      </c>
      <c r="AD143" s="566">
        <f>J143</f>
        <v>56.258400000000002</v>
      </c>
      <c r="AE143" s="566">
        <f>K143</f>
        <v>72.8827</v>
      </c>
      <c r="AF143" s="566"/>
      <c r="AG143" s="566"/>
      <c r="AH143" s="4"/>
      <c r="AI143" s="4"/>
      <c r="AJ143" s="4"/>
      <c r="AK143" s="4"/>
      <c r="AL143" s="4"/>
      <c r="AM143" s="4"/>
      <c r="AN143" s="4"/>
      <c r="AO143" s="4"/>
      <c r="AP143" s="4"/>
      <c r="AQ143" s="4"/>
    </row>
    <row r="144" spans="1:43" ht="15" hidden="1" outlineLevel="1" x14ac:dyDescent="0.25">
      <c r="A144" s="4"/>
      <c r="B144" s="501"/>
      <c r="C144" s="560"/>
      <c r="D144" s="560"/>
      <c r="E144" s="561"/>
      <c r="F144" s="561"/>
      <c r="G144" s="561"/>
      <c r="H144" s="561"/>
      <c r="I144" s="561"/>
      <c r="J144" s="561"/>
      <c r="K144" s="561"/>
      <c r="L144" s="497"/>
      <c r="M144" s="43"/>
      <c r="N144" s="9"/>
      <c r="O144" s="66"/>
      <c r="P144" s="66"/>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row>
    <row r="145" spans="1:43" ht="15" hidden="1" outlineLevel="1" x14ac:dyDescent="0.25">
      <c r="A145" s="4"/>
      <c r="B145" s="501"/>
      <c r="C145" s="560"/>
      <c r="D145" s="560"/>
      <c r="E145" s="561"/>
      <c r="F145" s="561"/>
      <c r="G145" s="561"/>
      <c r="H145" s="561"/>
      <c r="I145" s="561"/>
      <c r="J145" s="561"/>
      <c r="K145" s="561"/>
      <c r="L145" s="497"/>
      <c r="M145" s="43"/>
      <c r="N145" s="9"/>
      <c r="O145" s="66"/>
      <c r="P145" s="66"/>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row>
    <row r="146" spans="1:43" collapsed="1" x14ac:dyDescent="0.2">
      <c r="A146" s="4"/>
      <c r="B146" s="4"/>
      <c r="C146" s="43"/>
      <c r="D146" s="43"/>
      <c r="E146" s="497"/>
      <c r="F146" s="497"/>
      <c r="G146" s="497"/>
      <c r="H146" s="497"/>
      <c r="I146" s="498"/>
      <c r="J146" s="498"/>
      <c r="K146" s="498"/>
      <c r="L146" s="497"/>
      <c r="M146" s="43"/>
      <c r="N146" s="9"/>
      <c r="O146" s="66"/>
      <c r="P146" s="66"/>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row>
    <row r="147" spans="1:43" x14ac:dyDescent="0.2">
      <c r="A147" s="4"/>
      <c r="B147" s="4"/>
      <c r="C147" s="43"/>
      <c r="D147" s="43"/>
      <c r="E147" s="497"/>
      <c r="F147" s="497"/>
      <c r="G147" s="497"/>
      <c r="H147" s="497"/>
      <c r="I147" s="498"/>
      <c r="J147" s="498"/>
      <c r="K147" s="498"/>
      <c r="L147" s="497"/>
      <c r="M147" s="43"/>
      <c r="N147" s="9"/>
      <c r="O147" s="66"/>
      <c r="P147" s="66"/>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row>
    <row r="148" spans="1:43" x14ac:dyDescent="0.2">
      <c r="A148" s="4"/>
      <c r="B148" s="4"/>
      <c r="C148" s="43"/>
      <c r="D148" s="43"/>
      <c r="E148" s="497"/>
      <c r="F148" s="497"/>
      <c r="G148" s="497"/>
      <c r="H148" s="497"/>
      <c r="I148" s="498"/>
      <c r="J148" s="498"/>
      <c r="K148" s="498"/>
      <c r="L148" s="497"/>
      <c r="M148" s="43"/>
      <c r="N148" s="9"/>
      <c r="O148" s="66"/>
      <c r="P148" s="66"/>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row>
    <row r="149" spans="1:43" x14ac:dyDescent="0.2">
      <c r="A149" s="4"/>
      <c r="B149" s="4"/>
      <c r="C149" s="43"/>
      <c r="D149" s="43"/>
      <c r="E149" s="497"/>
      <c r="F149" s="497"/>
      <c r="G149" s="497"/>
      <c r="H149" s="497"/>
      <c r="I149" s="498"/>
      <c r="J149" s="498"/>
      <c r="K149" s="498"/>
      <c r="L149" s="497"/>
      <c r="M149" s="43"/>
      <c r="N149" s="9"/>
      <c r="O149" s="66"/>
      <c r="P149" s="66"/>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row>
    <row r="150" spans="1:43" x14ac:dyDescent="0.2">
      <c r="A150" s="4"/>
      <c r="B150" s="4"/>
      <c r="C150" s="43"/>
      <c r="D150" s="43"/>
      <c r="E150" s="497"/>
      <c r="F150" s="497"/>
      <c r="G150" s="497"/>
      <c r="H150" s="497"/>
      <c r="I150" s="498"/>
      <c r="J150" s="498"/>
      <c r="K150" s="498"/>
      <c r="L150" s="497"/>
      <c r="M150" s="43"/>
      <c r="N150" s="9"/>
      <c r="O150" s="66"/>
      <c r="P150" s="66"/>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row>
    <row r="151" spans="1:43" s="68" customFormat="1" ht="12.75" x14ac:dyDescent="0.2">
      <c r="A151" s="69"/>
      <c r="B151" s="69"/>
      <c r="C151" s="69"/>
      <c r="D151" s="69"/>
      <c r="E151" s="69"/>
      <c r="F151" s="69"/>
      <c r="G151" s="69"/>
      <c r="H151" s="69"/>
      <c r="I151" s="231"/>
      <c r="J151" s="231"/>
      <c r="K151" s="69"/>
      <c r="L151" s="69"/>
      <c r="M151" s="69"/>
      <c r="N151" s="231"/>
      <c r="O151" s="70"/>
      <c r="P151" s="70"/>
      <c r="Q151" s="231"/>
      <c r="R151" s="231"/>
      <c r="S151" s="231"/>
      <c r="T151" s="231"/>
      <c r="U151" s="231"/>
      <c r="V151" s="231"/>
      <c r="W151" s="69"/>
      <c r="X151" s="69"/>
      <c r="Y151" s="231"/>
      <c r="Z151" s="231"/>
      <c r="AA151" s="69"/>
      <c r="AB151" s="69"/>
      <c r="AC151" s="231"/>
      <c r="AD151" s="231"/>
      <c r="AE151" s="231"/>
      <c r="AF151" s="231"/>
      <c r="AG151" s="231"/>
      <c r="AH151" s="231"/>
      <c r="AI151" s="69"/>
      <c r="AJ151" s="69"/>
      <c r="AK151" s="231"/>
      <c r="AL151" s="231"/>
      <c r="AM151" s="242"/>
      <c r="AN151" s="242"/>
      <c r="AO151" s="242"/>
    </row>
    <row r="152" spans="1:43" s="68" customFormat="1" ht="12.75" x14ac:dyDescent="0.2">
      <c r="A152" s="69"/>
      <c r="B152" s="69"/>
      <c r="C152" s="69"/>
      <c r="D152" s="69"/>
      <c r="E152" s="69"/>
      <c r="F152" s="69"/>
      <c r="G152" s="69"/>
      <c r="H152" s="69"/>
      <c r="I152" s="231"/>
      <c r="J152" s="231"/>
      <c r="K152" s="69"/>
      <c r="L152" s="69"/>
      <c r="M152" s="69"/>
      <c r="N152" s="231"/>
      <c r="O152" s="70"/>
      <c r="P152" s="70"/>
      <c r="Q152" s="231"/>
      <c r="R152" s="231"/>
      <c r="S152" s="231"/>
      <c r="T152" s="231"/>
      <c r="U152" s="231"/>
      <c r="V152" s="231"/>
      <c r="W152" s="69"/>
      <c r="X152" s="69"/>
      <c r="Y152" s="231"/>
      <c r="Z152" s="231"/>
      <c r="AA152" s="69"/>
      <c r="AB152" s="69"/>
      <c r="AC152" s="231"/>
      <c r="AD152" s="231"/>
      <c r="AE152" s="231"/>
      <c r="AF152" s="231"/>
      <c r="AG152" s="231"/>
      <c r="AH152" s="231"/>
      <c r="AI152" s="69"/>
      <c r="AJ152" s="69"/>
      <c r="AK152" s="231"/>
      <c r="AL152" s="231"/>
      <c r="AM152" s="242"/>
      <c r="AN152" s="242"/>
      <c r="AO152" s="242"/>
    </row>
    <row r="153" spans="1:43" s="68" customFormat="1" ht="12.75" x14ac:dyDescent="0.2">
      <c r="A153" s="69"/>
      <c r="B153" s="69"/>
      <c r="C153" s="69"/>
      <c r="D153" s="69"/>
      <c r="E153" s="69"/>
      <c r="F153" s="69"/>
      <c r="G153" s="69"/>
      <c r="H153" s="69"/>
      <c r="I153" s="231"/>
      <c r="J153" s="231"/>
      <c r="K153" s="69"/>
      <c r="L153" s="69"/>
      <c r="M153" s="69"/>
      <c r="N153" s="231"/>
      <c r="O153" s="70"/>
      <c r="P153" s="70"/>
      <c r="Q153" s="231"/>
      <c r="R153" s="231"/>
      <c r="S153" s="231"/>
      <c r="T153" s="231"/>
      <c r="U153" s="231"/>
      <c r="V153" s="231"/>
      <c r="W153" s="69"/>
      <c r="X153" s="69"/>
      <c r="Y153" s="231"/>
      <c r="Z153" s="231"/>
      <c r="AA153" s="69"/>
      <c r="AB153" s="69"/>
      <c r="AC153" s="231"/>
      <c r="AD153" s="231"/>
      <c r="AE153" s="231"/>
      <c r="AF153" s="231"/>
      <c r="AG153" s="231"/>
      <c r="AH153" s="231"/>
      <c r="AI153" s="69"/>
      <c r="AJ153" s="69"/>
      <c r="AK153" s="231"/>
      <c r="AL153" s="231"/>
      <c r="AM153" s="242"/>
      <c r="AN153" s="242"/>
      <c r="AO153" s="242"/>
    </row>
    <row r="154" spans="1:43" s="68" customFormat="1" ht="12.75" x14ac:dyDescent="0.2">
      <c r="A154" s="69"/>
      <c r="B154" s="69"/>
      <c r="C154" s="69"/>
      <c r="D154" s="69"/>
      <c r="E154" s="69"/>
      <c r="F154" s="69"/>
      <c r="G154" s="69"/>
      <c r="H154" s="69"/>
      <c r="I154" s="231"/>
      <c r="J154" s="231"/>
      <c r="K154" s="69"/>
      <c r="L154" s="69"/>
      <c r="M154" s="69"/>
      <c r="N154" s="231"/>
      <c r="O154" s="70"/>
      <c r="P154" s="70"/>
      <c r="Q154" s="231"/>
      <c r="R154" s="231"/>
      <c r="S154" s="231"/>
      <c r="T154" s="231"/>
      <c r="U154" s="231"/>
      <c r="V154" s="231"/>
      <c r="W154" s="69"/>
      <c r="X154" s="69"/>
      <c r="Y154" s="231"/>
      <c r="Z154" s="231"/>
      <c r="AA154" s="69"/>
      <c r="AB154" s="69"/>
      <c r="AC154" s="231"/>
      <c r="AD154" s="231"/>
      <c r="AE154" s="231"/>
      <c r="AF154" s="231"/>
      <c r="AG154" s="231"/>
      <c r="AH154" s="231"/>
      <c r="AI154" s="69"/>
      <c r="AJ154" s="69"/>
      <c r="AK154" s="231"/>
      <c r="AL154" s="231"/>
      <c r="AM154" s="242"/>
      <c r="AN154" s="242"/>
      <c r="AO154" s="242"/>
    </row>
    <row r="155" spans="1:43" s="68" customFormat="1" ht="12.75" x14ac:dyDescent="0.2">
      <c r="A155" s="69"/>
      <c r="B155" s="69"/>
      <c r="C155" s="69"/>
      <c r="D155" s="69"/>
      <c r="E155" s="69"/>
      <c r="F155" s="69"/>
      <c r="G155" s="69"/>
      <c r="H155" s="69"/>
      <c r="I155" s="231"/>
      <c r="J155" s="231"/>
      <c r="K155" s="69"/>
      <c r="L155" s="69"/>
      <c r="M155" s="69"/>
      <c r="N155" s="231"/>
      <c r="O155" s="70"/>
      <c r="P155" s="70"/>
      <c r="Q155" s="231"/>
      <c r="R155" s="231"/>
      <c r="S155" s="231"/>
      <c r="T155" s="231"/>
      <c r="U155" s="231"/>
      <c r="V155" s="231"/>
      <c r="W155" s="69"/>
      <c r="X155" s="69"/>
      <c r="Y155" s="231"/>
      <c r="Z155" s="231"/>
      <c r="AA155" s="69"/>
      <c r="AB155" s="69"/>
      <c r="AC155" s="231"/>
      <c r="AD155" s="231"/>
      <c r="AE155" s="231"/>
      <c r="AF155" s="231"/>
      <c r="AG155" s="231"/>
      <c r="AH155" s="231"/>
      <c r="AI155" s="69"/>
      <c r="AJ155" s="69"/>
      <c r="AK155" s="231"/>
      <c r="AL155" s="231"/>
      <c r="AM155" s="242"/>
      <c r="AN155" s="242"/>
      <c r="AO155" s="242"/>
    </row>
    <row r="156" spans="1:43" s="68" customFormat="1" ht="12.75" x14ac:dyDescent="0.2">
      <c r="A156" s="69"/>
      <c r="B156" s="69"/>
      <c r="C156" s="69"/>
      <c r="D156" s="69"/>
      <c r="E156" s="69"/>
      <c r="F156" s="69"/>
      <c r="G156" s="69"/>
      <c r="H156" s="69"/>
      <c r="I156" s="231"/>
      <c r="J156" s="231"/>
      <c r="K156" s="69"/>
      <c r="L156" s="69"/>
      <c r="M156" s="69"/>
      <c r="N156" s="231"/>
      <c r="O156" s="70"/>
      <c r="P156" s="70"/>
      <c r="Q156" s="231"/>
      <c r="R156" s="231"/>
      <c r="S156" s="231"/>
      <c r="T156" s="231"/>
      <c r="U156" s="231"/>
      <c r="V156" s="231"/>
      <c r="W156" s="69"/>
      <c r="X156" s="69"/>
      <c r="Y156" s="231"/>
      <c r="Z156" s="231"/>
      <c r="AA156" s="69"/>
      <c r="AB156" s="69"/>
      <c r="AC156" s="231"/>
      <c r="AD156" s="231"/>
      <c r="AE156" s="231"/>
      <c r="AF156" s="231"/>
      <c r="AG156" s="231"/>
      <c r="AH156" s="231"/>
      <c r="AI156" s="69"/>
      <c r="AJ156" s="69"/>
      <c r="AK156" s="231"/>
      <c r="AL156" s="231"/>
      <c r="AM156" s="242"/>
      <c r="AN156" s="242"/>
      <c r="AO156" s="242"/>
    </row>
    <row r="157" spans="1:43" s="68" customFormat="1" ht="12.75" x14ac:dyDescent="0.2">
      <c r="A157" s="69"/>
      <c r="B157" s="69"/>
      <c r="C157" s="69"/>
      <c r="D157" s="69"/>
      <c r="E157" s="69"/>
      <c r="F157" s="69"/>
      <c r="G157" s="69"/>
      <c r="H157" s="69"/>
      <c r="I157" s="231"/>
      <c r="J157" s="231"/>
      <c r="K157" s="69"/>
      <c r="L157" s="69"/>
      <c r="M157" s="69"/>
      <c r="N157" s="231"/>
      <c r="O157" s="70"/>
      <c r="P157" s="70"/>
      <c r="Q157" s="231"/>
      <c r="R157" s="231"/>
      <c r="S157" s="231"/>
      <c r="T157" s="231"/>
      <c r="U157" s="231"/>
      <c r="V157" s="231"/>
      <c r="W157" s="69"/>
      <c r="X157" s="69"/>
      <c r="Y157" s="231"/>
      <c r="Z157" s="231"/>
      <c r="AA157" s="69"/>
      <c r="AB157" s="69"/>
      <c r="AC157" s="231"/>
      <c r="AD157" s="231"/>
      <c r="AE157" s="231"/>
      <c r="AF157" s="231"/>
      <c r="AG157" s="231"/>
      <c r="AH157" s="231"/>
      <c r="AI157" s="69"/>
      <c r="AJ157" s="69"/>
      <c r="AK157" s="231"/>
      <c r="AL157" s="231"/>
      <c r="AM157" s="242"/>
      <c r="AN157" s="242"/>
      <c r="AO157" s="242"/>
    </row>
    <row r="158" spans="1:43" x14ac:dyDescent="0.2">
      <c r="A158" s="4"/>
      <c r="B158" s="4"/>
      <c r="C158" s="4"/>
      <c r="D158" s="4"/>
      <c r="E158" s="4"/>
      <c r="F158" s="4"/>
      <c r="G158" s="4"/>
      <c r="H158" s="4"/>
      <c r="I158" s="38"/>
      <c r="J158" s="38"/>
      <c r="K158" s="4"/>
      <c r="L158" s="4"/>
      <c r="M158" s="4"/>
      <c r="N158" s="38"/>
      <c r="O158" s="66"/>
      <c r="P158" s="66"/>
      <c r="Q158" s="38"/>
      <c r="R158" s="38"/>
      <c r="S158" s="38"/>
      <c r="T158" s="38"/>
      <c r="U158" s="38"/>
      <c r="V158" s="38"/>
      <c r="W158" s="4"/>
      <c r="X158" s="4"/>
      <c r="Y158" s="38"/>
      <c r="Z158" s="38"/>
      <c r="AA158" s="4"/>
      <c r="AB158" s="4"/>
      <c r="AC158" s="38"/>
      <c r="AD158" s="38"/>
      <c r="AE158" s="38"/>
      <c r="AF158" s="38"/>
      <c r="AG158" s="38"/>
      <c r="AH158" s="38"/>
      <c r="AI158" s="4"/>
      <c r="AJ158" s="4"/>
      <c r="AK158" s="38"/>
      <c r="AL158" s="38"/>
      <c r="AM158" s="4"/>
      <c r="AN158" s="4"/>
      <c r="AO158" s="4"/>
    </row>
    <row r="159" spans="1:43" x14ac:dyDescent="0.2">
      <c r="A159" s="4"/>
      <c r="B159" s="4"/>
      <c r="C159" s="4"/>
      <c r="D159" s="4"/>
      <c r="E159" s="4"/>
      <c r="F159" s="4"/>
      <c r="G159" s="4"/>
      <c r="H159" s="4"/>
      <c r="I159" s="38"/>
      <c r="J159" s="38"/>
      <c r="K159" s="4"/>
      <c r="L159" s="4"/>
      <c r="M159" s="4"/>
      <c r="N159" s="38"/>
      <c r="O159" s="66"/>
      <c r="P159" s="66"/>
      <c r="Q159" s="38"/>
      <c r="R159" s="38"/>
      <c r="S159" s="38"/>
      <c r="T159" s="38"/>
      <c r="U159" s="38"/>
      <c r="V159" s="38"/>
      <c r="W159" s="4"/>
      <c r="X159" s="4"/>
      <c r="Y159" s="38"/>
      <c r="Z159" s="38"/>
      <c r="AA159" s="4"/>
      <c r="AB159" s="4"/>
      <c r="AC159" s="38"/>
      <c r="AD159" s="38"/>
      <c r="AE159" s="38"/>
      <c r="AF159" s="38"/>
      <c r="AG159" s="38"/>
      <c r="AH159" s="38"/>
      <c r="AI159" s="4"/>
      <c r="AJ159" s="4"/>
      <c r="AK159" s="38"/>
      <c r="AL159" s="38"/>
      <c r="AM159" s="4"/>
      <c r="AN159" s="4"/>
      <c r="AO159" s="4"/>
    </row>
    <row r="160" spans="1:43" x14ac:dyDescent="0.2">
      <c r="A160" s="4"/>
      <c r="B160" s="4"/>
      <c r="C160" s="4"/>
      <c r="D160" s="4"/>
      <c r="E160" s="4"/>
      <c r="F160" s="4"/>
      <c r="G160" s="4"/>
      <c r="H160" s="4"/>
      <c r="I160" s="38"/>
      <c r="J160" s="38"/>
      <c r="K160" s="4"/>
      <c r="L160" s="4"/>
      <c r="M160" s="4"/>
      <c r="N160" s="38"/>
      <c r="O160" s="66"/>
      <c r="P160" s="66"/>
      <c r="Q160" s="38"/>
      <c r="R160" s="38"/>
      <c r="S160" s="38"/>
      <c r="T160" s="38"/>
      <c r="U160" s="38"/>
      <c r="V160" s="38"/>
      <c r="W160" s="4"/>
      <c r="X160" s="4"/>
      <c r="Y160" s="38"/>
      <c r="Z160" s="38"/>
      <c r="AA160" s="4"/>
      <c r="AB160" s="4"/>
      <c r="AC160" s="38"/>
      <c r="AD160" s="38"/>
      <c r="AE160" s="38"/>
      <c r="AF160" s="38"/>
      <c r="AG160" s="38"/>
      <c r="AH160" s="38"/>
      <c r="AI160" s="4"/>
      <c r="AJ160" s="4"/>
      <c r="AK160" s="38"/>
      <c r="AL160" s="38"/>
      <c r="AM160" s="4"/>
      <c r="AN160" s="4"/>
      <c r="AO160" s="4"/>
    </row>
    <row r="161" spans="1:41" x14ac:dyDescent="0.2">
      <c r="A161" s="4"/>
      <c r="B161" s="4"/>
      <c r="C161" s="4"/>
      <c r="D161" s="4"/>
      <c r="E161" s="4"/>
      <c r="F161" s="4"/>
      <c r="G161" s="4"/>
      <c r="H161" s="4"/>
      <c r="I161" s="38"/>
      <c r="J161" s="38"/>
      <c r="K161" s="4"/>
      <c r="L161" s="4"/>
      <c r="M161" s="4"/>
      <c r="N161" s="38"/>
      <c r="O161" s="66"/>
      <c r="P161" s="66"/>
      <c r="Q161" s="38"/>
      <c r="R161" s="38"/>
      <c r="S161" s="38"/>
      <c r="T161" s="38"/>
      <c r="U161" s="38"/>
      <c r="V161" s="38"/>
      <c r="W161" s="4"/>
      <c r="X161" s="4"/>
      <c r="Y161" s="38"/>
      <c r="Z161" s="38"/>
      <c r="AA161" s="4"/>
      <c r="AB161" s="4"/>
      <c r="AC161" s="38"/>
      <c r="AD161" s="38"/>
      <c r="AE161" s="38"/>
      <c r="AF161" s="38"/>
      <c r="AG161" s="38"/>
      <c r="AH161" s="38"/>
      <c r="AI161" s="4"/>
      <c r="AJ161" s="4"/>
      <c r="AK161" s="38"/>
      <c r="AL161" s="38"/>
      <c r="AM161" s="4"/>
      <c r="AN161" s="4"/>
      <c r="AO161" s="4"/>
    </row>
    <row r="162" spans="1:41" x14ac:dyDescent="0.2">
      <c r="A162" s="4"/>
      <c r="B162" s="4"/>
      <c r="C162" s="4"/>
      <c r="D162" s="4"/>
      <c r="E162" s="4"/>
      <c r="F162" s="4"/>
      <c r="G162" s="4"/>
      <c r="H162" s="4"/>
      <c r="I162" s="38"/>
      <c r="J162" s="38"/>
      <c r="K162" s="4"/>
      <c r="L162" s="4"/>
      <c r="M162" s="4"/>
      <c r="N162" s="38"/>
      <c r="O162" s="66"/>
      <c r="P162" s="66"/>
      <c r="Q162" s="38"/>
      <c r="R162" s="38"/>
      <c r="S162" s="38"/>
      <c r="T162" s="38"/>
      <c r="U162" s="38"/>
      <c r="V162" s="38"/>
      <c r="W162" s="4"/>
      <c r="X162" s="4"/>
      <c r="Y162" s="38"/>
      <c r="Z162" s="38"/>
      <c r="AA162" s="4"/>
      <c r="AB162" s="4"/>
      <c r="AC162" s="38"/>
      <c r="AD162" s="38"/>
      <c r="AE162" s="38"/>
      <c r="AF162" s="38"/>
      <c r="AG162" s="38"/>
      <c r="AH162" s="38"/>
      <c r="AI162" s="4"/>
      <c r="AJ162" s="4"/>
      <c r="AK162" s="38"/>
      <c r="AL162" s="38"/>
      <c r="AM162" s="4"/>
      <c r="AN162" s="4"/>
      <c r="AO162" s="4"/>
    </row>
    <row r="163" spans="1:41" x14ac:dyDescent="0.2">
      <c r="A163" s="4"/>
      <c r="B163" s="4"/>
      <c r="C163" s="4"/>
      <c r="D163" s="4"/>
      <c r="E163" s="4"/>
      <c r="F163" s="4"/>
      <c r="G163" s="4"/>
      <c r="H163" s="4"/>
      <c r="I163" s="38"/>
      <c r="J163" s="38"/>
      <c r="K163" s="4"/>
      <c r="L163" s="4"/>
      <c r="M163" s="4"/>
      <c r="N163" s="38"/>
      <c r="O163" s="66"/>
      <c r="P163" s="66"/>
      <c r="Q163" s="38"/>
      <c r="R163" s="38"/>
      <c r="S163" s="38"/>
      <c r="T163" s="38"/>
      <c r="U163" s="38"/>
      <c r="V163" s="38"/>
      <c r="W163" s="4"/>
      <c r="X163" s="4"/>
      <c r="Y163" s="38"/>
      <c r="Z163" s="38"/>
      <c r="AA163" s="4"/>
      <c r="AB163" s="4"/>
      <c r="AC163" s="38"/>
      <c r="AD163" s="38"/>
      <c r="AE163" s="38"/>
      <c r="AF163" s="38"/>
      <c r="AG163" s="38"/>
      <c r="AH163" s="38"/>
      <c r="AI163" s="4"/>
      <c r="AJ163" s="4"/>
      <c r="AK163" s="38"/>
      <c r="AL163" s="38"/>
      <c r="AM163" s="4"/>
      <c r="AN163" s="4"/>
      <c r="AO163" s="4"/>
    </row>
    <row r="164" spans="1:41" x14ac:dyDescent="0.2">
      <c r="A164" s="4"/>
      <c r="B164" s="4"/>
      <c r="C164" s="4"/>
      <c r="D164" s="4"/>
      <c r="E164" s="4"/>
      <c r="F164" s="4"/>
      <c r="G164" s="4"/>
      <c r="H164" s="4"/>
      <c r="I164" s="38"/>
      <c r="J164" s="38"/>
      <c r="K164" s="4"/>
      <c r="L164" s="4"/>
      <c r="M164" s="4"/>
      <c r="N164" s="38"/>
      <c r="O164" s="66"/>
      <c r="P164" s="66"/>
      <c r="Q164" s="38"/>
      <c r="R164" s="38"/>
      <c r="S164" s="38"/>
      <c r="T164" s="38"/>
      <c r="U164" s="38"/>
      <c r="V164" s="38"/>
      <c r="W164" s="4"/>
      <c r="X164" s="4"/>
      <c r="Y164" s="38"/>
      <c r="Z164" s="38"/>
      <c r="AA164" s="4"/>
      <c r="AB164" s="4"/>
      <c r="AC164" s="38"/>
      <c r="AD164" s="38"/>
      <c r="AE164" s="38"/>
      <c r="AF164" s="38"/>
      <c r="AG164" s="38"/>
      <c r="AH164" s="38"/>
      <c r="AI164" s="4"/>
      <c r="AJ164" s="4"/>
      <c r="AK164" s="38"/>
      <c r="AL164" s="38"/>
      <c r="AM164" s="4"/>
      <c r="AN164" s="4"/>
      <c r="AO164" s="4"/>
    </row>
    <row r="165" spans="1:41" x14ac:dyDescent="0.2">
      <c r="A165" s="4"/>
      <c r="B165" s="4"/>
      <c r="C165" s="4"/>
      <c r="D165" s="4"/>
      <c r="E165" s="4"/>
      <c r="F165" s="4"/>
      <c r="G165" s="4"/>
      <c r="H165" s="4"/>
      <c r="I165" s="38"/>
      <c r="J165" s="38"/>
      <c r="K165" s="4"/>
      <c r="L165" s="4"/>
      <c r="M165" s="4"/>
      <c r="N165" s="38"/>
      <c r="O165" s="66"/>
      <c r="P165" s="66"/>
      <c r="Q165" s="38"/>
      <c r="R165" s="38"/>
      <c r="S165" s="38"/>
      <c r="T165" s="38"/>
      <c r="U165" s="38"/>
      <c r="V165" s="38"/>
      <c r="W165" s="4"/>
      <c r="X165" s="4"/>
      <c r="Y165" s="38"/>
      <c r="Z165" s="38"/>
      <c r="AA165" s="4"/>
      <c r="AB165" s="4"/>
      <c r="AC165" s="38"/>
      <c r="AD165" s="38"/>
      <c r="AE165" s="38"/>
      <c r="AF165" s="38"/>
      <c r="AG165" s="38"/>
      <c r="AH165" s="38"/>
      <c r="AI165" s="4"/>
      <c r="AJ165" s="4"/>
      <c r="AK165" s="38"/>
      <c r="AL165" s="38"/>
      <c r="AM165" s="4"/>
      <c r="AN165" s="4"/>
      <c r="AO165" s="4"/>
    </row>
    <row r="166" spans="1:41" x14ac:dyDescent="0.2">
      <c r="A166" s="4"/>
      <c r="B166" s="4"/>
      <c r="C166" s="4"/>
      <c r="D166" s="4"/>
      <c r="E166" s="4"/>
      <c r="F166" s="4"/>
      <c r="G166" s="4"/>
      <c r="H166" s="4"/>
      <c r="I166" s="38"/>
      <c r="J166" s="38"/>
      <c r="K166" s="4"/>
      <c r="L166" s="4"/>
      <c r="M166" s="4"/>
      <c r="N166" s="38"/>
      <c r="O166" s="66"/>
      <c r="P166" s="66"/>
      <c r="Q166" s="38"/>
      <c r="R166" s="38"/>
      <c r="S166" s="38"/>
      <c r="T166" s="38"/>
      <c r="U166" s="38"/>
      <c r="V166" s="38"/>
      <c r="W166" s="4"/>
      <c r="X166" s="4"/>
      <c r="Y166" s="38"/>
      <c r="Z166" s="38"/>
      <c r="AA166" s="4"/>
      <c r="AB166" s="4"/>
      <c r="AC166" s="38"/>
      <c r="AD166" s="38"/>
      <c r="AE166" s="38"/>
      <c r="AF166" s="38"/>
      <c r="AG166" s="38"/>
      <c r="AH166" s="38"/>
      <c r="AI166" s="4"/>
      <c r="AJ166" s="4"/>
      <c r="AK166" s="38"/>
      <c r="AL166" s="38"/>
      <c r="AM166" s="4"/>
      <c r="AN166" s="4"/>
      <c r="AO166" s="4"/>
    </row>
    <row r="167" spans="1:41" x14ac:dyDescent="0.2">
      <c r="A167" s="4"/>
      <c r="B167" s="4"/>
      <c r="C167" s="4"/>
      <c r="D167" s="4"/>
      <c r="E167" s="4"/>
      <c r="F167" s="4"/>
      <c r="G167" s="4"/>
      <c r="H167" s="4"/>
      <c r="I167" s="38"/>
      <c r="J167" s="38"/>
      <c r="K167" s="4"/>
      <c r="L167" s="4"/>
      <c r="M167" s="4"/>
      <c r="N167" s="38"/>
      <c r="O167" s="66"/>
      <c r="P167" s="66"/>
      <c r="Q167" s="38"/>
      <c r="R167" s="38"/>
      <c r="S167" s="38"/>
      <c r="T167" s="38"/>
      <c r="U167" s="38"/>
      <c r="V167" s="38"/>
      <c r="W167" s="4"/>
      <c r="X167" s="4"/>
      <c r="Y167" s="38"/>
      <c r="Z167" s="38"/>
      <c r="AA167" s="4"/>
      <c r="AB167" s="4"/>
      <c r="AC167" s="38"/>
      <c r="AD167" s="38"/>
      <c r="AE167" s="38"/>
      <c r="AF167" s="38"/>
      <c r="AG167" s="38"/>
      <c r="AH167" s="38"/>
      <c r="AI167" s="4"/>
      <c r="AJ167" s="4"/>
      <c r="AK167" s="38"/>
      <c r="AL167" s="38"/>
      <c r="AM167" s="4"/>
      <c r="AN167" s="4"/>
      <c r="AO167" s="4"/>
    </row>
    <row r="168" spans="1:41" x14ac:dyDescent="0.2">
      <c r="A168" s="4"/>
      <c r="B168" s="4"/>
      <c r="C168" s="4"/>
      <c r="D168" s="4"/>
      <c r="E168" s="4"/>
      <c r="F168" s="4"/>
      <c r="G168" s="4"/>
      <c r="H168" s="4"/>
      <c r="I168" s="38"/>
      <c r="J168" s="38"/>
      <c r="K168" s="4"/>
      <c r="L168" s="4"/>
      <c r="M168" s="4"/>
      <c r="N168" s="38"/>
      <c r="O168" s="66"/>
      <c r="P168" s="66"/>
      <c r="Q168" s="38"/>
      <c r="R168" s="38"/>
      <c r="S168" s="38"/>
      <c r="T168" s="38"/>
      <c r="U168" s="38"/>
      <c r="V168" s="38"/>
      <c r="W168" s="4"/>
      <c r="X168" s="4"/>
      <c r="Y168" s="38"/>
      <c r="Z168" s="38"/>
      <c r="AA168" s="4"/>
      <c r="AB168" s="4"/>
      <c r="AC168" s="38"/>
      <c r="AD168" s="38"/>
      <c r="AE168" s="38"/>
      <c r="AF168" s="38"/>
      <c r="AG168" s="38"/>
      <c r="AH168" s="38"/>
      <c r="AI168" s="4"/>
      <c r="AJ168" s="4"/>
      <c r="AK168" s="38"/>
      <c r="AL168" s="38"/>
      <c r="AM168" s="4"/>
      <c r="AN168" s="4"/>
      <c r="AO168" s="4"/>
    </row>
    <row r="169" spans="1:41" x14ac:dyDescent="0.2">
      <c r="A169" s="4"/>
      <c r="B169" s="4"/>
      <c r="C169" s="4"/>
      <c r="D169" s="4"/>
      <c r="E169" s="4"/>
      <c r="F169" s="4"/>
      <c r="G169" s="4"/>
      <c r="H169" s="4"/>
      <c r="I169" s="38"/>
      <c r="J169" s="38"/>
      <c r="K169" s="4"/>
      <c r="L169" s="4"/>
      <c r="M169" s="4"/>
      <c r="N169" s="38"/>
      <c r="O169" s="66"/>
      <c r="P169" s="66"/>
      <c r="Q169" s="38"/>
      <c r="R169" s="38"/>
      <c r="S169" s="38"/>
      <c r="T169" s="38"/>
      <c r="U169" s="38"/>
      <c r="V169" s="38"/>
      <c r="W169" s="4"/>
      <c r="X169" s="4"/>
      <c r="Y169" s="38"/>
      <c r="Z169" s="38"/>
      <c r="AA169" s="4"/>
      <c r="AB169" s="4"/>
      <c r="AC169" s="38"/>
      <c r="AD169" s="38"/>
      <c r="AE169" s="38"/>
      <c r="AF169" s="38"/>
      <c r="AG169" s="38"/>
      <c r="AH169" s="38"/>
      <c r="AI169" s="4"/>
      <c r="AJ169" s="4"/>
      <c r="AK169" s="38"/>
      <c r="AL169" s="38"/>
      <c r="AM169" s="4"/>
      <c r="AN169" s="4"/>
      <c r="AO169" s="4"/>
    </row>
    <row r="170" spans="1:41" x14ac:dyDescent="0.2">
      <c r="A170" s="4"/>
      <c r="B170" s="4"/>
      <c r="C170" s="4"/>
      <c r="D170" s="4"/>
      <c r="E170" s="4"/>
      <c r="F170" s="4"/>
      <c r="G170" s="4"/>
      <c r="H170" s="4"/>
      <c r="I170" s="38"/>
      <c r="J170" s="38"/>
      <c r="K170" s="4"/>
      <c r="L170" s="4"/>
      <c r="M170" s="4"/>
      <c r="N170" s="38"/>
      <c r="O170" s="66"/>
      <c r="P170" s="66"/>
      <c r="Q170" s="38"/>
      <c r="R170" s="38"/>
      <c r="S170" s="38"/>
      <c r="T170" s="38"/>
      <c r="U170" s="38"/>
      <c r="V170" s="38"/>
      <c r="W170" s="4"/>
      <c r="X170" s="4"/>
      <c r="Y170" s="38"/>
      <c r="Z170" s="38"/>
      <c r="AA170" s="4"/>
      <c r="AB170" s="4"/>
      <c r="AC170" s="38"/>
      <c r="AD170" s="38"/>
      <c r="AE170" s="38"/>
      <c r="AF170" s="38"/>
      <c r="AG170" s="38"/>
      <c r="AH170" s="38"/>
      <c r="AI170" s="4"/>
      <c r="AJ170" s="4"/>
      <c r="AK170" s="38"/>
      <c r="AL170" s="38"/>
      <c r="AM170" s="4"/>
      <c r="AN170" s="4"/>
      <c r="AO170" s="4"/>
    </row>
    <row r="171" spans="1:41" x14ac:dyDescent="0.2">
      <c r="A171" s="4"/>
      <c r="B171" s="4"/>
      <c r="C171" s="4"/>
      <c r="D171" s="4"/>
      <c r="E171" s="4"/>
      <c r="F171" s="4"/>
      <c r="G171" s="4"/>
      <c r="H171" s="4"/>
      <c r="I171" s="38"/>
      <c r="J171" s="38"/>
      <c r="K171" s="4"/>
      <c r="L171" s="4"/>
      <c r="M171" s="4"/>
      <c r="N171" s="38"/>
      <c r="O171" s="66"/>
      <c r="P171" s="66"/>
      <c r="Q171" s="38"/>
      <c r="R171" s="38"/>
      <c r="S171" s="38"/>
      <c r="T171" s="38"/>
      <c r="U171" s="38"/>
      <c r="V171" s="38"/>
      <c r="W171" s="4"/>
      <c r="X171" s="4"/>
      <c r="Y171" s="38"/>
      <c r="Z171" s="38"/>
      <c r="AA171" s="4"/>
      <c r="AB171" s="4"/>
      <c r="AC171" s="38"/>
      <c r="AD171" s="38"/>
      <c r="AE171" s="38"/>
      <c r="AF171" s="38"/>
      <c r="AG171" s="38"/>
      <c r="AH171" s="38"/>
      <c r="AI171" s="4"/>
      <c r="AJ171" s="4"/>
      <c r="AK171" s="38"/>
      <c r="AL171" s="38"/>
      <c r="AM171" s="4"/>
      <c r="AN171" s="4"/>
      <c r="AO171" s="4"/>
    </row>
    <row r="172" spans="1:41" x14ac:dyDescent="0.2">
      <c r="A172" s="4"/>
      <c r="B172" s="4"/>
      <c r="C172" s="4"/>
      <c r="D172" s="4"/>
      <c r="E172" s="4"/>
      <c r="F172" s="4"/>
      <c r="G172" s="4"/>
      <c r="H172" s="4"/>
      <c r="I172" s="38"/>
      <c r="J172" s="38"/>
      <c r="K172" s="4"/>
      <c r="L172" s="4"/>
      <c r="M172" s="4"/>
      <c r="N172" s="38"/>
      <c r="O172" s="66"/>
      <c r="P172" s="66"/>
      <c r="Q172" s="38"/>
      <c r="R172" s="38"/>
      <c r="S172" s="38"/>
      <c r="T172" s="38"/>
      <c r="U172" s="38"/>
      <c r="V172" s="38"/>
      <c r="W172" s="4"/>
      <c r="X172" s="4"/>
      <c r="Y172" s="38"/>
      <c r="Z172" s="38"/>
      <c r="AA172" s="4"/>
      <c r="AB172" s="4"/>
      <c r="AC172" s="38"/>
      <c r="AD172" s="38"/>
      <c r="AE172" s="38"/>
      <c r="AF172" s="38"/>
      <c r="AG172" s="38"/>
      <c r="AH172" s="38"/>
      <c r="AI172" s="4"/>
      <c r="AJ172" s="4"/>
      <c r="AK172" s="38"/>
      <c r="AL172" s="38"/>
      <c r="AM172" s="4"/>
      <c r="AN172" s="4"/>
      <c r="AO172" s="4"/>
    </row>
    <row r="173" spans="1:41" x14ac:dyDescent="0.2">
      <c r="A173" s="4"/>
      <c r="B173" s="4"/>
      <c r="C173" s="4"/>
      <c r="D173" s="4"/>
      <c r="E173" s="4"/>
      <c r="F173" s="4"/>
      <c r="G173" s="4"/>
      <c r="H173" s="4"/>
      <c r="I173" s="38"/>
      <c r="J173" s="38"/>
      <c r="K173" s="4"/>
      <c r="L173" s="4"/>
      <c r="M173" s="4"/>
      <c r="N173" s="38"/>
      <c r="O173" s="66"/>
      <c r="P173" s="66"/>
      <c r="Q173" s="38"/>
      <c r="R173" s="38"/>
      <c r="S173" s="38"/>
      <c r="T173" s="38"/>
      <c r="U173" s="38"/>
      <c r="V173" s="38"/>
      <c r="W173" s="4"/>
      <c r="X173" s="4"/>
      <c r="Y173" s="38"/>
      <c r="Z173" s="38"/>
      <c r="AA173" s="4"/>
      <c r="AB173" s="4"/>
      <c r="AC173" s="38"/>
      <c r="AD173" s="38"/>
      <c r="AE173" s="38"/>
      <c r="AF173" s="38"/>
      <c r="AG173" s="38"/>
      <c r="AH173" s="38"/>
      <c r="AI173" s="4"/>
      <c r="AJ173" s="4"/>
      <c r="AK173" s="38"/>
      <c r="AL173" s="38"/>
      <c r="AM173" s="4"/>
      <c r="AN173" s="4"/>
      <c r="AO173" s="4"/>
    </row>
    <row r="174" spans="1:41" x14ac:dyDescent="0.2">
      <c r="A174" s="4"/>
      <c r="B174" s="4"/>
      <c r="C174" s="4"/>
      <c r="D174" s="4"/>
      <c r="E174" s="4"/>
      <c r="F174" s="4"/>
      <c r="G174" s="4"/>
      <c r="H174" s="4"/>
      <c r="I174" s="38"/>
      <c r="J174" s="38"/>
      <c r="K174" s="4"/>
      <c r="L174" s="4"/>
      <c r="M174" s="4"/>
      <c r="N174" s="38"/>
      <c r="O174" s="66"/>
      <c r="P174" s="66"/>
      <c r="Q174" s="38"/>
      <c r="R174" s="38"/>
      <c r="S174" s="38"/>
      <c r="T174" s="38"/>
      <c r="U174" s="38"/>
      <c r="V174" s="38"/>
      <c r="W174" s="4"/>
      <c r="X174" s="4"/>
      <c r="Y174" s="38"/>
      <c r="Z174" s="38"/>
      <c r="AA174" s="4"/>
      <c r="AB174" s="4"/>
      <c r="AC174" s="38"/>
      <c r="AD174" s="38"/>
      <c r="AE174" s="38"/>
      <c r="AF174" s="38"/>
      <c r="AG174" s="38"/>
      <c r="AH174" s="38"/>
      <c r="AI174" s="4"/>
      <c r="AJ174" s="4"/>
      <c r="AK174" s="38"/>
      <c r="AL174" s="38"/>
      <c r="AM174" s="4"/>
      <c r="AN174" s="4"/>
      <c r="AO174" s="4"/>
    </row>
    <row r="175" spans="1:41" x14ac:dyDescent="0.2">
      <c r="A175" s="4"/>
      <c r="B175" s="4"/>
      <c r="C175" s="4"/>
      <c r="D175" s="4"/>
      <c r="E175" s="4"/>
      <c r="F175" s="4"/>
      <c r="G175" s="4"/>
      <c r="H175" s="4"/>
      <c r="I175" s="38"/>
      <c r="J175" s="38"/>
      <c r="K175" s="4"/>
      <c r="L175" s="4"/>
      <c r="M175" s="4"/>
      <c r="N175" s="38"/>
      <c r="O175" s="66"/>
      <c r="P175" s="66"/>
      <c r="Q175" s="38"/>
      <c r="R175" s="38"/>
      <c r="S175" s="38"/>
      <c r="T175" s="38"/>
      <c r="U175" s="38"/>
      <c r="V175" s="38"/>
      <c r="W175" s="4"/>
      <c r="X175" s="4"/>
      <c r="Y175" s="38"/>
      <c r="Z175" s="38"/>
      <c r="AA175" s="4"/>
      <c r="AB175" s="4"/>
      <c r="AC175" s="38"/>
      <c r="AD175" s="38"/>
      <c r="AE175" s="38"/>
      <c r="AF175" s="38"/>
      <c r="AG175" s="38"/>
      <c r="AH175" s="38"/>
      <c r="AI175" s="4"/>
      <c r="AJ175" s="4"/>
      <c r="AK175" s="38"/>
      <c r="AL175" s="38"/>
      <c r="AM175" s="4"/>
      <c r="AN175" s="4"/>
      <c r="AO175" s="4"/>
    </row>
    <row r="176" spans="1:41" x14ac:dyDescent="0.2">
      <c r="A176" s="4"/>
      <c r="B176" s="4"/>
      <c r="C176" s="4"/>
      <c r="D176" s="4"/>
      <c r="E176" s="4"/>
      <c r="F176" s="4"/>
      <c r="G176" s="4"/>
      <c r="H176" s="4"/>
      <c r="I176" s="38"/>
      <c r="J176" s="38"/>
      <c r="K176" s="4"/>
      <c r="L176" s="4"/>
      <c r="M176" s="4"/>
      <c r="N176" s="38"/>
      <c r="O176" s="66"/>
      <c r="P176" s="66"/>
      <c r="Q176" s="38"/>
      <c r="R176" s="38"/>
      <c r="S176" s="38"/>
      <c r="T176" s="38"/>
      <c r="U176" s="38"/>
      <c r="V176" s="38"/>
      <c r="W176" s="4"/>
      <c r="X176" s="4"/>
      <c r="Y176" s="38"/>
      <c r="Z176" s="38"/>
      <c r="AA176" s="4"/>
      <c r="AB176" s="4"/>
      <c r="AC176" s="38"/>
      <c r="AD176" s="38"/>
      <c r="AE176" s="38"/>
      <c r="AF176" s="38"/>
      <c r="AG176" s="38"/>
      <c r="AH176" s="38"/>
      <c r="AI176" s="4"/>
      <c r="AJ176" s="4"/>
      <c r="AK176" s="38"/>
      <c r="AL176" s="38"/>
      <c r="AM176" s="4"/>
      <c r="AN176" s="4"/>
      <c r="AO176" s="4"/>
    </row>
    <row r="177" spans="1:41" x14ac:dyDescent="0.2">
      <c r="A177" s="4"/>
      <c r="B177" s="4"/>
      <c r="C177" s="4"/>
      <c r="D177" s="4"/>
      <c r="E177" s="4"/>
      <c r="F177" s="4"/>
      <c r="G177" s="4"/>
      <c r="H177" s="4"/>
      <c r="I177" s="38"/>
      <c r="J177" s="38"/>
      <c r="K177" s="4"/>
      <c r="L177" s="4"/>
      <c r="M177" s="4"/>
      <c r="N177" s="38"/>
      <c r="O177" s="66"/>
      <c r="P177" s="66"/>
      <c r="Q177" s="38"/>
      <c r="R177" s="38"/>
      <c r="S177" s="38"/>
      <c r="T177" s="38"/>
      <c r="U177" s="38"/>
      <c r="V177" s="38"/>
      <c r="W177" s="4"/>
      <c r="X177" s="4"/>
      <c r="Y177" s="38"/>
      <c r="Z177" s="38"/>
      <c r="AA177" s="4"/>
      <c r="AB177" s="4"/>
      <c r="AC177" s="38"/>
      <c r="AD177" s="38"/>
      <c r="AE177" s="38"/>
      <c r="AF177" s="38"/>
      <c r="AG177" s="38"/>
      <c r="AH177" s="38"/>
      <c r="AI177" s="4"/>
      <c r="AJ177" s="4"/>
      <c r="AK177" s="38"/>
      <c r="AL177" s="38"/>
      <c r="AM177" s="4"/>
      <c r="AN177" s="4"/>
      <c r="AO177" s="4"/>
    </row>
    <row r="178" spans="1:41" x14ac:dyDescent="0.2">
      <c r="A178" s="4"/>
      <c r="B178" s="4"/>
      <c r="C178" s="4"/>
      <c r="D178" s="4"/>
      <c r="E178" s="4"/>
      <c r="F178" s="4"/>
      <c r="G178" s="4"/>
      <c r="H178" s="4"/>
      <c r="I178" s="38"/>
      <c r="J178" s="38"/>
      <c r="K178" s="4"/>
      <c r="L178" s="4"/>
      <c r="M178" s="4"/>
      <c r="N178" s="38"/>
      <c r="O178" s="66"/>
      <c r="P178" s="66"/>
      <c r="Q178" s="38"/>
      <c r="R178" s="38"/>
      <c r="S178" s="38"/>
      <c r="T178" s="38"/>
      <c r="U178" s="38"/>
      <c r="V178" s="38"/>
      <c r="W178" s="4"/>
      <c r="X178" s="4"/>
      <c r="Y178" s="38"/>
      <c r="Z178" s="38"/>
      <c r="AA178" s="4"/>
      <c r="AB178" s="4"/>
      <c r="AC178" s="38"/>
      <c r="AD178" s="38"/>
      <c r="AE178" s="38"/>
      <c r="AF178" s="38"/>
      <c r="AG178" s="38"/>
      <c r="AH178" s="38"/>
      <c r="AI178" s="4"/>
      <c r="AJ178" s="4"/>
      <c r="AK178" s="38"/>
      <c r="AL178" s="38"/>
      <c r="AM178" s="4"/>
      <c r="AN178" s="4"/>
      <c r="AO178" s="4"/>
    </row>
    <row r="179" spans="1:41" x14ac:dyDescent="0.2">
      <c r="A179" s="4"/>
      <c r="B179" s="4"/>
      <c r="C179" s="4"/>
      <c r="D179" s="4"/>
      <c r="E179" s="4"/>
      <c r="F179" s="4"/>
      <c r="G179" s="4"/>
      <c r="H179" s="4"/>
      <c r="I179" s="38"/>
      <c r="J179" s="38"/>
      <c r="K179" s="4"/>
      <c r="L179" s="4"/>
      <c r="M179" s="4"/>
      <c r="N179" s="38"/>
      <c r="O179" s="66"/>
      <c r="P179" s="66"/>
      <c r="Q179" s="38"/>
      <c r="R179" s="38"/>
      <c r="S179" s="38"/>
      <c r="T179" s="38"/>
      <c r="U179" s="38"/>
      <c r="V179" s="38"/>
      <c r="W179" s="4"/>
      <c r="X179" s="4"/>
      <c r="Y179" s="38"/>
      <c r="Z179" s="38"/>
      <c r="AA179" s="4"/>
      <c r="AB179" s="4"/>
      <c r="AC179" s="38"/>
      <c r="AD179" s="38"/>
      <c r="AE179" s="38"/>
      <c r="AF179" s="38"/>
      <c r="AG179" s="38"/>
      <c r="AH179" s="38"/>
      <c r="AI179" s="4"/>
      <c r="AJ179" s="4"/>
      <c r="AK179" s="38"/>
      <c r="AL179" s="38"/>
      <c r="AM179" s="4"/>
      <c r="AN179" s="4"/>
      <c r="AO179" s="4"/>
    </row>
    <row r="180" spans="1:41" x14ac:dyDescent="0.2">
      <c r="A180" s="4"/>
      <c r="B180" s="4"/>
      <c r="C180" s="4"/>
      <c r="D180" s="4"/>
      <c r="E180" s="4"/>
      <c r="F180" s="4"/>
      <c r="G180" s="4"/>
      <c r="H180" s="4"/>
      <c r="I180" s="38"/>
      <c r="J180" s="38"/>
      <c r="K180" s="4"/>
      <c r="L180" s="4"/>
      <c r="M180" s="4"/>
      <c r="N180" s="38"/>
      <c r="O180" s="66"/>
      <c r="P180" s="66"/>
      <c r="Q180" s="38"/>
      <c r="R180" s="38"/>
      <c r="S180" s="38"/>
      <c r="T180" s="38"/>
      <c r="U180" s="38"/>
      <c r="V180" s="38"/>
      <c r="W180" s="4"/>
      <c r="X180" s="4"/>
      <c r="Y180" s="38"/>
      <c r="Z180" s="38"/>
      <c r="AA180" s="4"/>
      <c r="AB180" s="4"/>
      <c r="AC180" s="38"/>
      <c r="AD180" s="38"/>
      <c r="AE180" s="38"/>
      <c r="AF180" s="38"/>
      <c r="AG180" s="38"/>
      <c r="AH180" s="38"/>
      <c r="AI180" s="4"/>
      <c r="AJ180" s="4"/>
      <c r="AK180" s="38"/>
      <c r="AL180" s="38"/>
      <c r="AM180" s="4"/>
      <c r="AN180" s="4"/>
      <c r="AO180" s="4"/>
    </row>
    <row r="181" spans="1:41" x14ac:dyDescent="0.2">
      <c r="A181" s="4"/>
      <c r="B181" s="4"/>
      <c r="C181" s="4"/>
      <c r="D181" s="4"/>
      <c r="E181" s="4"/>
      <c r="F181" s="4"/>
      <c r="G181" s="4"/>
      <c r="H181" s="4"/>
      <c r="I181" s="38"/>
      <c r="J181" s="38"/>
      <c r="K181" s="4"/>
      <c r="L181" s="4"/>
      <c r="M181" s="4"/>
      <c r="N181" s="38"/>
      <c r="O181" s="66"/>
      <c r="P181" s="66"/>
      <c r="Q181" s="38"/>
      <c r="R181" s="38"/>
      <c r="S181" s="38"/>
      <c r="T181" s="38"/>
      <c r="U181" s="38"/>
      <c r="V181" s="38"/>
      <c r="W181" s="4"/>
      <c r="X181" s="4"/>
      <c r="Y181" s="38"/>
      <c r="Z181" s="38"/>
      <c r="AA181" s="4"/>
      <c r="AB181" s="4"/>
      <c r="AC181" s="38"/>
      <c r="AD181" s="38"/>
      <c r="AE181" s="38"/>
      <c r="AF181" s="38"/>
      <c r="AG181" s="38"/>
      <c r="AH181" s="38"/>
      <c r="AI181" s="4"/>
      <c r="AJ181" s="4"/>
      <c r="AK181" s="38"/>
      <c r="AL181" s="38"/>
      <c r="AM181" s="4"/>
      <c r="AN181" s="4"/>
      <c r="AO181" s="4"/>
    </row>
    <row r="182" spans="1:41" x14ac:dyDescent="0.2">
      <c r="A182" s="4"/>
      <c r="B182" s="4"/>
      <c r="C182" s="4"/>
      <c r="D182" s="4"/>
      <c r="E182" s="4"/>
      <c r="F182" s="4"/>
      <c r="G182" s="4"/>
      <c r="H182" s="4"/>
      <c r="I182" s="38"/>
      <c r="J182" s="38"/>
      <c r="K182" s="4"/>
      <c r="L182" s="4"/>
      <c r="M182" s="4"/>
      <c r="N182" s="38"/>
      <c r="O182" s="66"/>
      <c r="P182" s="66"/>
      <c r="Q182" s="38"/>
      <c r="R182" s="38"/>
      <c r="S182" s="38"/>
      <c r="T182" s="38"/>
      <c r="U182" s="38"/>
      <c r="V182" s="38"/>
      <c r="W182" s="4"/>
      <c r="X182" s="4"/>
      <c r="Y182" s="38"/>
      <c r="Z182" s="38"/>
      <c r="AA182" s="4"/>
      <c r="AB182" s="4"/>
      <c r="AC182" s="38"/>
      <c r="AD182" s="38"/>
      <c r="AE182" s="38"/>
      <c r="AF182" s="38"/>
      <c r="AG182" s="38"/>
      <c r="AH182" s="38"/>
      <c r="AI182" s="4"/>
      <c r="AJ182" s="4"/>
      <c r="AK182" s="38"/>
      <c r="AL182" s="38"/>
      <c r="AM182" s="4"/>
      <c r="AN182" s="4"/>
      <c r="AO182" s="4"/>
    </row>
    <row r="183" spans="1:41" x14ac:dyDescent="0.2">
      <c r="A183" s="4"/>
      <c r="B183" s="4"/>
      <c r="C183" s="4"/>
      <c r="D183" s="4"/>
      <c r="E183" s="4"/>
      <c r="F183" s="4"/>
      <c r="G183" s="4"/>
      <c r="H183" s="4"/>
      <c r="I183" s="38"/>
      <c r="J183" s="38"/>
      <c r="K183" s="4"/>
      <c r="L183" s="4"/>
      <c r="M183" s="4"/>
      <c r="N183" s="38"/>
      <c r="O183" s="66"/>
      <c r="P183" s="66"/>
      <c r="Q183" s="38"/>
      <c r="R183" s="38"/>
      <c r="S183" s="38"/>
      <c r="T183" s="38"/>
      <c r="U183" s="38"/>
      <c r="V183" s="38"/>
      <c r="W183" s="4"/>
      <c r="X183" s="4"/>
      <c r="Y183" s="38"/>
      <c r="Z183" s="38"/>
      <c r="AA183" s="4"/>
      <c r="AB183" s="4"/>
      <c r="AC183" s="38"/>
      <c r="AD183" s="38"/>
      <c r="AE183" s="38"/>
      <c r="AF183" s="38"/>
      <c r="AG183" s="38"/>
      <c r="AH183" s="38"/>
      <c r="AI183" s="4"/>
      <c r="AJ183" s="4"/>
      <c r="AK183" s="38"/>
      <c r="AL183" s="38"/>
      <c r="AM183" s="4"/>
      <c r="AN183" s="4"/>
      <c r="AO183" s="4"/>
    </row>
    <row r="184" spans="1:41" x14ac:dyDescent="0.2">
      <c r="A184" s="4"/>
      <c r="B184" s="4"/>
      <c r="C184" s="4"/>
      <c r="D184" s="4"/>
      <c r="E184" s="4"/>
      <c r="F184" s="4"/>
      <c r="G184" s="4"/>
      <c r="H184" s="4"/>
      <c r="I184" s="38"/>
      <c r="J184" s="38"/>
      <c r="K184" s="4"/>
      <c r="L184" s="4"/>
      <c r="M184" s="4"/>
      <c r="N184" s="38"/>
      <c r="O184" s="66"/>
      <c r="P184" s="66"/>
      <c r="Q184" s="38"/>
      <c r="R184" s="38"/>
      <c r="S184" s="38"/>
      <c r="T184" s="38"/>
      <c r="U184" s="38"/>
      <c r="V184" s="38"/>
      <c r="W184" s="4"/>
      <c r="X184" s="4"/>
      <c r="Y184" s="38"/>
      <c r="Z184" s="38"/>
      <c r="AA184" s="4"/>
      <c r="AB184" s="4"/>
      <c r="AC184" s="38"/>
      <c r="AD184" s="38"/>
      <c r="AE184" s="38"/>
      <c r="AF184" s="38"/>
      <c r="AG184" s="38"/>
      <c r="AH184" s="38"/>
      <c r="AI184" s="4"/>
      <c r="AJ184" s="4"/>
      <c r="AK184" s="38"/>
      <c r="AL184" s="38"/>
      <c r="AM184" s="4"/>
      <c r="AN184" s="4"/>
      <c r="AO184" s="4"/>
    </row>
    <row r="185" spans="1:41" x14ac:dyDescent="0.2">
      <c r="A185" s="4"/>
      <c r="B185" s="4"/>
      <c r="C185" s="4"/>
      <c r="D185" s="4"/>
      <c r="E185" s="4"/>
      <c r="F185" s="4"/>
      <c r="G185" s="4"/>
      <c r="H185" s="4"/>
      <c r="I185" s="38"/>
      <c r="J185" s="38"/>
      <c r="K185" s="4"/>
      <c r="L185" s="4"/>
      <c r="M185" s="4"/>
      <c r="N185" s="38"/>
      <c r="O185" s="66"/>
      <c r="P185" s="66"/>
      <c r="Q185" s="38"/>
      <c r="R185" s="38"/>
      <c r="S185" s="38"/>
      <c r="T185" s="38"/>
      <c r="U185" s="38"/>
      <c r="V185" s="38"/>
      <c r="W185" s="4"/>
      <c r="X185" s="4"/>
      <c r="Y185" s="38"/>
      <c r="Z185" s="38"/>
      <c r="AA185" s="4"/>
      <c r="AB185" s="4"/>
      <c r="AC185" s="38"/>
      <c r="AD185" s="38"/>
      <c r="AE185" s="38"/>
      <c r="AF185" s="38"/>
      <c r="AG185" s="38"/>
      <c r="AH185" s="38"/>
      <c r="AI185" s="4"/>
      <c r="AJ185" s="4"/>
      <c r="AK185" s="38"/>
      <c r="AL185" s="38"/>
      <c r="AM185" s="4"/>
      <c r="AN185" s="4"/>
      <c r="AO185" s="4"/>
    </row>
    <row r="186" spans="1:41" x14ac:dyDescent="0.2">
      <c r="A186" s="4"/>
      <c r="B186" s="4"/>
      <c r="C186" s="4"/>
      <c r="D186" s="4"/>
      <c r="E186" s="4"/>
      <c r="F186" s="4"/>
      <c r="G186" s="4"/>
      <c r="H186" s="4"/>
      <c r="I186" s="38"/>
      <c r="J186" s="38"/>
      <c r="K186" s="4"/>
      <c r="L186" s="4"/>
      <c r="M186" s="4"/>
      <c r="N186" s="38"/>
      <c r="O186" s="66"/>
      <c r="P186" s="66"/>
      <c r="Q186" s="38"/>
      <c r="R186" s="38"/>
      <c r="S186" s="38"/>
      <c r="T186" s="38"/>
      <c r="U186" s="38"/>
      <c r="V186" s="38"/>
      <c r="W186" s="4"/>
      <c r="X186" s="4"/>
      <c r="Y186" s="38"/>
      <c r="Z186" s="38"/>
      <c r="AA186" s="4"/>
      <c r="AB186" s="4"/>
      <c r="AC186" s="38"/>
      <c r="AD186" s="38"/>
      <c r="AE186" s="38"/>
      <c r="AF186" s="38"/>
      <c r="AG186" s="38"/>
      <c r="AH186" s="38"/>
      <c r="AI186" s="4"/>
      <c r="AJ186" s="4"/>
      <c r="AK186" s="38"/>
      <c r="AL186" s="38"/>
      <c r="AM186" s="4"/>
      <c r="AN186" s="4"/>
      <c r="AO186" s="4"/>
    </row>
    <row r="187" spans="1:41" x14ac:dyDescent="0.2">
      <c r="A187" s="4"/>
      <c r="B187" s="4"/>
      <c r="C187" s="4"/>
      <c r="D187" s="4"/>
      <c r="E187" s="4"/>
      <c r="F187" s="4"/>
      <c r="G187" s="4"/>
      <c r="H187" s="4"/>
      <c r="I187" s="38"/>
      <c r="J187" s="38"/>
      <c r="K187" s="4"/>
      <c r="L187" s="4"/>
      <c r="M187" s="4"/>
      <c r="N187" s="38"/>
      <c r="O187" s="66"/>
      <c r="P187" s="66"/>
      <c r="Q187" s="38"/>
      <c r="R187" s="38"/>
      <c r="S187" s="38"/>
      <c r="T187" s="38"/>
      <c r="U187" s="38"/>
      <c r="V187" s="38"/>
      <c r="W187" s="4"/>
      <c r="X187" s="4"/>
      <c r="Y187" s="38"/>
      <c r="Z187" s="38"/>
      <c r="AA187" s="4"/>
      <c r="AB187" s="4"/>
      <c r="AC187" s="38"/>
      <c r="AD187" s="38"/>
      <c r="AE187" s="38"/>
      <c r="AF187" s="38"/>
      <c r="AG187" s="38"/>
      <c r="AH187" s="38"/>
      <c r="AI187" s="4"/>
      <c r="AJ187" s="4"/>
      <c r="AK187" s="38"/>
      <c r="AL187" s="38"/>
      <c r="AM187" s="4"/>
      <c r="AN187" s="4"/>
      <c r="AO187" s="4"/>
    </row>
    <row r="188" spans="1:41" x14ac:dyDescent="0.2">
      <c r="A188" s="4"/>
      <c r="B188" s="4"/>
      <c r="C188" s="4"/>
      <c r="D188" s="4"/>
      <c r="E188" s="4"/>
      <c r="F188" s="4"/>
      <c r="G188" s="4"/>
      <c r="H188" s="4"/>
      <c r="I188" s="38"/>
      <c r="J188" s="38"/>
      <c r="K188" s="4"/>
      <c r="L188" s="4"/>
      <c r="M188" s="4"/>
      <c r="N188" s="38"/>
      <c r="O188" s="66"/>
      <c r="P188" s="66"/>
      <c r="Q188" s="38"/>
      <c r="R188" s="38"/>
      <c r="S188" s="38"/>
      <c r="T188" s="38"/>
      <c r="U188" s="38"/>
      <c r="V188" s="38"/>
      <c r="W188" s="4"/>
      <c r="X188" s="4"/>
      <c r="Y188" s="38"/>
      <c r="Z188" s="38"/>
      <c r="AA188" s="4"/>
      <c r="AB188" s="4"/>
      <c r="AC188" s="38"/>
      <c r="AD188" s="38"/>
      <c r="AE188" s="38"/>
      <c r="AF188" s="38"/>
      <c r="AG188" s="38"/>
      <c r="AH188" s="38"/>
      <c r="AI188" s="4"/>
      <c r="AJ188" s="4"/>
      <c r="AK188" s="38"/>
      <c r="AL188" s="38"/>
      <c r="AM188" s="4"/>
      <c r="AN188" s="4"/>
      <c r="AO188" s="4"/>
    </row>
    <row r="189" spans="1:41" x14ac:dyDescent="0.2">
      <c r="A189" s="4"/>
      <c r="B189" s="4"/>
      <c r="C189" s="4"/>
      <c r="D189" s="4"/>
      <c r="E189" s="4"/>
      <c r="F189" s="4"/>
      <c r="G189" s="4"/>
      <c r="H189" s="4"/>
      <c r="I189" s="38"/>
      <c r="J189" s="38"/>
      <c r="K189" s="4"/>
      <c r="L189" s="4"/>
      <c r="M189" s="4"/>
      <c r="N189" s="38"/>
      <c r="O189" s="66"/>
      <c r="P189" s="66"/>
      <c r="Q189" s="38"/>
      <c r="R189" s="38"/>
      <c r="S189" s="38"/>
      <c r="T189" s="38"/>
      <c r="U189" s="38"/>
      <c r="V189" s="38"/>
      <c r="W189" s="4"/>
      <c r="X189" s="4"/>
      <c r="Y189" s="38"/>
      <c r="Z189" s="38"/>
      <c r="AA189" s="4"/>
      <c r="AB189" s="4"/>
      <c r="AC189" s="38"/>
      <c r="AD189" s="38"/>
      <c r="AE189" s="38"/>
      <c r="AF189" s="38"/>
      <c r="AG189" s="38"/>
      <c r="AH189" s="38"/>
      <c r="AI189" s="4"/>
      <c r="AJ189" s="4"/>
      <c r="AK189" s="38"/>
      <c r="AL189" s="38"/>
      <c r="AM189" s="4"/>
      <c r="AN189" s="4"/>
      <c r="AO189" s="4"/>
    </row>
    <row r="190" spans="1:41" x14ac:dyDescent="0.2">
      <c r="A190" s="4"/>
      <c r="B190" s="4"/>
      <c r="C190" s="4"/>
      <c r="D190" s="4"/>
      <c r="E190" s="4"/>
      <c r="F190" s="4"/>
      <c r="G190" s="4"/>
      <c r="H190" s="4"/>
      <c r="I190" s="38"/>
      <c r="J190" s="38"/>
      <c r="K190" s="4"/>
      <c r="L190" s="4"/>
      <c r="M190" s="4"/>
      <c r="N190" s="38"/>
      <c r="O190" s="66"/>
      <c r="P190" s="66"/>
      <c r="Q190" s="38"/>
      <c r="R190" s="38"/>
      <c r="S190" s="38"/>
      <c r="T190" s="38"/>
      <c r="U190" s="38"/>
      <c r="V190" s="38"/>
      <c r="W190" s="4"/>
      <c r="X190" s="4"/>
      <c r="Y190" s="38"/>
      <c r="Z190" s="38"/>
      <c r="AA190" s="4"/>
      <c r="AB190" s="4"/>
      <c r="AC190" s="38"/>
      <c r="AD190" s="38"/>
      <c r="AE190" s="38"/>
      <c r="AF190" s="38"/>
      <c r="AG190" s="38"/>
      <c r="AH190" s="38"/>
      <c r="AI190" s="4"/>
      <c r="AJ190" s="4"/>
      <c r="AK190" s="38"/>
      <c r="AL190" s="38"/>
      <c r="AM190" s="4"/>
      <c r="AN190" s="4"/>
      <c r="AO190" s="4"/>
    </row>
    <row r="191" spans="1:41" x14ac:dyDescent="0.2">
      <c r="A191" s="4"/>
      <c r="B191" s="4"/>
      <c r="C191" s="4"/>
      <c r="D191" s="4"/>
      <c r="E191" s="4"/>
      <c r="F191" s="4"/>
      <c r="G191" s="4"/>
      <c r="H191" s="4"/>
      <c r="I191" s="38"/>
      <c r="J191" s="38"/>
      <c r="K191" s="4"/>
      <c r="L191" s="4"/>
      <c r="M191" s="4"/>
      <c r="N191" s="38"/>
      <c r="O191" s="66"/>
      <c r="P191" s="66"/>
      <c r="Q191" s="38"/>
      <c r="R191" s="38"/>
      <c r="S191" s="38"/>
      <c r="T191" s="38"/>
      <c r="U191" s="38"/>
      <c r="V191" s="38"/>
      <c r="W191" s="4"/>
      <c r="X191" s="4"/>
      <c r="Y191" s="38"/>
      <c r="Z191" s="38"/>
      <c r="AA191" s="4"/>
      <c r="AB191" s="4"/>
      <c r="AC191" s="38"/>
      <c r="AD191" s="38"/>
      <c r="AE191" s="38"/>
      <c r="AF191" s="38"/>
      <c r="AG191" s="38"/>
      <c r="AH191" s="38"/>
      <c r="AI191" s="4"/>
      <c r="AJ191" s="4"/>
      <c r="AK191" s="38"/>
      <c r="AL191" s="38"/>
      <c r="AM191" s="4"/>
      <c r="AN191" s="4"/>
      <c r="AO191" s="4"/>
    </row>
    <row r="192" spans="1:41" x14ac:dyDescent="0.2">
      <c r="A192" s="4"/>
      <c r="B192" s="4"/>
      <c r="C192" s="4"/>
      <c r="D192" s="4"/>
      <c r="E192" s="4"/>
      <c r="F192" s="4"/>
      <c r="G192" s="4"/>
      <c r="H192" s="4"/>
      <c r="I192" s="38"/>
      <c r="J192" s="38"/>
      <c r="K192" s="4"/>
      <c r="L192" s="4"/>
      <c r="M192" s="4"/>
      <c r="N192" s="38"/>
      <c r="O192" s="66"/>
      <c r="P192" s="66"/>
      <c r="Q192" s="38"/>
      <c r="R192" s="38"/>
      <c r="S192" s="38"/>
      <c r="T192" s="38"/>
      <c r="U192" s="38"/>
      <c r="V192" s="38"/>
      <c r="W192" s="4"/>
      <c r="X192" s="4"/>
      <c r="Y192" s="38"/>
      <c r="Z192" s="38"/>
      <c r="AA192" s="4"/>
      <c r="AB192" s="4"/>
      <c r="AC192" s="38"/>
      <c r="AD192" s="38"/>
      <c r="AE192" s="38"/>
      <c r="AF192" s="38"/>
      <c r="AG192" s="38"/>
      <c r="AH192" s="38"/>
      <c r="AI192" s="4"/>
      <c r="AJ192" s="4"/>
      <c r="AK192" s="38"/>
      <c r="AL192" s="38"/>
      <c r="AM192" s="4"/>
      <c r="AN192" s="4"/>
      <c r="AO192" s="4"/>
    </row>
    <row r="193" spans="1:41" x14ac:dyDescent="0.2">
      <c r="A193" s="4"/>
      <c r="B193" s="4"/>
      <c r="C193" s="4"/>
      <c r="D193" s="4"/>
      <c r="E193" s="4"/>
      <c r="F193" s="4"/>
      <c r="G193" s="4"/>
      <c r="H193" s="4"/>
      <c r="I193" s="38"/>
      <c r="J193" s="38"/>
      <c r="K193" s="4"/>
      <c r="L193" s="4"/>
      <c r="M193" s="4"/>
      <c r="N193" s="38"/>
      <c r="O193" s="66"/>
      <c r="P193" s="66"/>
      <c r="Q193" s="38"/>
      <c r="R193" s="38"/>
      <c r="S193" s="38"/>
      <c r="T193" s="38"/>
      <c r="U193" s="38"/>
      <c r="V193" s="38"/>
      <c r="W193" s="4"/>
      <c r="X193" s="4"/>
      <c r="Y193" s="38"/>
      <c r="Z193" s="38"/>
      <c r="AA193" s="4"/>
      <c r="AB193" s="4"/>
      <c r="AC193" s="38"/>
      <c r="AD193" s="38"/>
      <c r="AE193" s="38"/>
      <c r="AF193" s="38"/>
      <c r="AG193" s="38"/>
      <c r="AH193" s="38"/>
      <c r="AI193" s="4"/>
      <c r="AJ193" s="4"/>
      <c r="AK193" s="38"/>
      <c r="AL193" s="38"/>
      <c r="AM193" s="4"/>
      <c r="AN193" s="4"/>
      <c r="AO193" s="4"/>
    </row>
    <row r="194" spans="1:41" x14ac:dyDescent="0.2">
      <c r="A194" s="4"/>
      <c r="B194" s="4"/>
      <c r="C194" s="4"/>
      <c r="D194" s="4"/>
      <c r="E194" s="4"/>
      <c r="F194" s="4"/>
      <c r="G194" s="4"/>
      <c r="H194" s="4"/>
      <c r="I194" s="38"/>
      <c r="J194" s="38"/>
      <c r="K194" s="4"/>
      <c r="L194" s="4"/>
      <c r="M194" s="4"/>
      <c r="N194" s="38"/>
      <c r="O194" s="66"/>
      <c r="P194" s="66"/>
      <c r="Q194" s="38"/>
      <c r="R194" s="38"/>
      <c r="S194" s="38"/>
      <c r="T194" s="38"/>
      <c r="U194" s="38"/>
      <c r="V194" s="38"/>
      <c r="W194" s="4"/>
      <c r="X194" s="4"/>
      <c r="Y194" s="38"/>
      <c r="Z194" s="38"/>
      <c r="AA194" s="4"/>
      <c r="AB194" s="4"/>
      <c r="AC194" s="38"/>
      <c r="AD194" s="38"/>
      <c r="AE194" s="38"/>
      <c r="AF194" s="38"/>
      <c r="AG194" s="38"/>
      <c r="AH194" s="38"/>
      <c r="AI194" s="4"/>
      <c r="AJ194" s="4"/>
      <c r="AK194" s="38"/>
      <c r="AL194" s="38"/>
      <c r="AM194" s="4"/>
      <c r="AN194" s="4"/>
      <c r="AO194" s="4"/>
    </row>
    <row r="195" spans="1:41" x14ac:dyDescent="0.2">
      <c r="A195" s="4"/>
      <c r="B195" s="4"/>
      <c r="C195" s="4"/>
      <c r="D195" s="4"/>
      <c r="E195" s="4"/>
      <c r="F195" s="4"/>
      <c r="G195" s="4"/>
      <c r="H195" s="4"/>
      <c r="I195" s="38"/>
      <c r="J195" s="38"/>
      <c r="K195" s="4"/>
      <c r="L195" s="4"/>
      <c r="M195" s="4"/>
      <c r="N195" s="38"/>
      <c r="O195" s="66"/>
      <c r="P195" s="66"/>
      <c r="Q195" s="38"/>
      <c r="R195" s="38"/>
      <c r="S195" s="38"/>
      <c r="T195" s="38"/>
      <c r="U195" s="38"/>
      <c r="V195" s="38"/>
      <c r="W195" s="4"/>
      <c r="X195" s="4"/>
      <c r="Y195" s="38"/>
      <c r="Z195" s="38"/>
      <c r="AA195" s="4"/>
      <c r="AB195" s="4"/>
      <c r="AC195" s="38"/>
      <c r="AD195" s="38"/>
      <c r="AE195" s="38"/>
      <c r="AF195" s="38"/>
      <c r="AG195" s="38"/>
      <c r="AH195" s="38"/>
      <c r="AI195" s="4"/>
      <c r="AJ195" s="4"/>
      <c r="AK195" s="38"/>
      <c r="AL195" s="38"/>
      <c r="AM195" s="4"/>
      <c r="AN195" s="4"/>
      <c r="AO195" s="4"/>
    </row>
    <row r="196" spans="1:41" x14ac:dyDescent="0.2">
      <c r="A196" s="4"/>
      <c r="B196" s="4"/>
      <c r="C196" s="4"/>
      <c r="D196" s="4"/>
      <c r="E196" s="4"/>
      <c r="F196" s="4"/>
      <c r="G196" s="4"/>
      <c r="H196" s="4"/>
      <c r="I196" s="38"/>
      <c r="J196" s="38"/>
      <c r="K196" s="4"/>
      <c r="L196" s="4"/>
      <c r="M196" s="4"/>
      <c r="N196" s="38"/>
      <c r="O196" s="66"/>
      <c r="P196" s="66"/>
      <c r="Q196" s="38"/>
      <c r="R196" s="38"/>
      <c r="S196" s="38"/>
      <c r="T196" s="38"/>
      <c r="U196" s="38"/>
      <c r="V196" s="38"/>
      <c r="W196" s="4"/>
      <c r="X196" s="4"/>
      <c r="Y196" s="38"/>
      <c r="Z196" s="38"/>
      <c r="AA196" s="4"/>
      <c r="AB196" s="4"/>
      <c r="AC196" s="38"/>
      <c r="AD196" s="38"/>
      <c r="AE196" s="38"/>
      <c r="AF196" s="38"/>
      <c r="AG196" s="38"/>
      <c r="AH196" s="38"/>
      <c r="AI196" s="4"/>
      <c r="AJ196" s="4"/>
      <c r="AK196" s="38"/>
      <c r="AL196" s="38"/>
      <c r="AM196" s="4"/>
      <c r="AN196" s="4"/>
      <c r="AO196" s="4"/>
    </row>
    <row r="197" spans="1:41" x14ac:dyDescent="0.2">
      <c r="A197" s="4"/>
      <c r="B197" s="4"/>
      <c r="C197" s="4"/>
      <c r="D197" s="4"/>
      <c r="E197" s="4"/>
      <c r="F197" s="4"/>
      <c r="G197" s="4"/>
      <c r="H197" s="4"/>
      <c r="I197" s="38"/>
      <c r="J197" s="38"/>
      <c r="K197" s="4"/>
      <c r="L197" s="4"/>
      <c r="M197" s="4"/>
      <c r="N197" s="38"/>
      <c r="O197" s="66"/>
      <c r="P197" s="66"/>
      <c r="Q197" s="38"/>
      <c r="R197" s="38"/>
      <c r="S197" s="38"/>
      <c r="T197" s="38"/>
      <c r="U197" s="38"/>
      <c r="V197" s="38"/>
      <c r="W197" s="4"/>
      <c r="X197" s="4"/>
      <c r="Y197" s="38"/>
      <c r="Z197" s="38"/>
      <c r="AA197" s="4"/>
      <c r="AB197" s="4"/>
      <c r="AC197" s="38"/>
      <c r="AD197" s="38"/>
      <c r="AE197" s="38"/>
      <c r="AF197" s="38"/>
      <c r="AG197" s="38"/>
      <c r="AH197" s="38"/>
      <c r="AI197" s="4"/>
      <c r="AJ197" s="4"/>
      <c r="AK197" s="38"/>
      <c r="AL197" s="38"/>
      <c r="AM197" s="4"/>
      <c r="AN197" s="4"/>
      <c r="AO197" s="4"/>
    </row>
    <row r="198" spans="1:41" x14ac:dyDescent="0.2">
      <c r="A198" s="4"/>
      <c r="B198" s="4"/>
      <c r="C198" s="4"/>
      <c r="D198" s="4"/>
      <c r="E198" s="4"/>
      <c r="F198" s="4"/>
      <c r="G198" s="4"/>
      <c r="H198" s="4"/>
      <c r="I198" s="38"/>
      <c r="J198" s="38"/>
      <c r="K198" s="4"/>
      <c r="L198" s="4"/>
      <c r="M198" s="4"/>
      <c r="N198" s="38"/>
      <c r="O198" s="66"/>
      <c r="P198" s="66"/>
      <c r="Q198" s="38"/>
      <c r="R198" s="38"/>
      <c r="S198" s="38"/>
      <c r="T198" s="38"/>
      <c r="U198" s="38"/>
      <c r="V198" s="38"/>
      <c r="W198" s="4"/>
      <c r="X198" s="4"/>
      <c r="Y198" s="38"/>
      <c r="Z198" s="38"/>
      <c r="AA198" s="4"/>
      <c r="AB198" s="4"/>
      <c r="AC198" s="38"/>
      <c r="AD198" s="38"/>
      <c r="AE198" s="38"/>
      <c r="AF198" s="38"/>
      <c r="AG198" s="38"/>
      <c r="AH198" s="38"/>
      <c r="AI198" s="4"/>
      <c r="AJ198" s="4"/>
      <c r="AK198" s="38"/>
      <c r="AL198" s="38"/>
      <c r="AM198" s="4"/>
      <c r="AN198" s="4"/>
      <c r="AO198" s="4"/>
    </row>
    <row r="199" spans="1:41" x14ac:dyDescent="0.2">
      <c r="A199" s="4"/>
      <c r="B199" s="4"/>
      <c r="C199" s="4"/>
      <c r="D199" s="4"/>
      <c r="E199" s="4"/>
      <c r="F199" s="4"/>
      <c r="G199" s="4"/>
      <c r="H199" s="4"/>
      <c r="I199" s="38"/>
      <c r="J199" s="38"/>
      <c r="K199" s="4"/>
      <c r="L199" s="4"/>
      <c r="M199" s="4"/>
      <c r="N199" s="38"/>
      <c r="O199" s="66"/>
      <c r="P199" s="66"/>
      <c r="Q199" s="38"/>
      <c r="R199" s="38"/>
      <c r="S199" s="38"/>
      <c r="T199" s="38"/>
      <c r="U199" s="38"/>
      <c r="V199" s="38"/>
      <c r="W199" s="4"/>
      <c r="X199" s="4"/>
      <c r="Y199" s="38"/>
      <c r="Z199" s="38"/>
      <c r="AA199" s="4"/>
      <c r="AB199" s="4"/>
      <c r="AC199" s="38"/>
      <c r="AD199" s="38"/>
      <c r="AE199" s="38"/>
      <c r="AF199" s="38"/>
      <c r="AG199" s="38"/>
      <c r="AH199" s="38"/>
      <c r="AI199" s="4"/>
      <c r="AJ199" s="4"/>
      <c r="AK199" s="38"/>
      <c r="AL199" s="38"/>
      <c r="AM199" s="4"/>
      <c r="AN199" s="4"/>
      <c r="AO199" s="4"/>
    </row>
    <row r="200" spans="1:41" x14ac:dyDescent="0.2">
      <c r="A200" s="4"/>
      <c r="B200" s="4"/>
      <c r="C200" s="4"/>
      <c r="D200" s="4"/>
      <c r="E200" s="4"/>
      <c r="F200" s="4"/>
      <c r="G200" s="4"/>
      <c r="H200" s="4"/>
      <c r="I200" s="38"/>
      <c r="J200" s="38"/>
      <c r="K200" s="4"/>
      <c r="L200" s="4"/>
      <c r="M200" s="4"/>
      <c r="N200" s="38"/>
      <c r="O200" s="66"/>
      <c r="P200" s="66"/>
      <c r="Q200" s="38"/>
      <c r="R200" s="38"/>
      <c r="S200" s="38"/>
      <c r="T200" s="38"/>
      <c r="U200" s="38"/>
      <c r="V200" s="38"/>
      <c r="W200" s="4"/>
      <c r="X200" s="4"/>
      <c r="Y200" s="38"/>
      <c r="Z200" s="38"/>
      <c r="AA200" s="4"/>
      <c r="AB200" s="4"/>
      <c r="AC200" s="38"/>
      <c r="AD200" s="38"/>
      <c r="AE200" s="38"/>
      <c r="AF200" s="38"/>
      <c r="AG200" s="38"/>
      <c r="AH200" s="38"/>
      <c r="AI200" s="4"/>
      <c r="AJ200" s="4"/>
      <c r="AK200" s="38"/>
      <c r="AL200" s="38"/>
      <c r="AM200" s="4"/>
      <c r="AN200" s="4"/>
      <c r="AO200" s="4"/>
    </row>
    <row r="201" spans="1:41" x14ac:dyDescent="0.2">
      <c r="A201" s="4"/>
      <c r="B201" s="4"/>
      <c r="C201" s="4"/>
      <c r="D201" s="4"/>
      <c r="E201" s="4"/>
      <c r="F201" s="4"/>
      <c r="G201" s="4"/>
      <c r="H201" s="4"/>
      <c r="I201" s="38"/>
      <c r="J201" s="38"/>
      <c r="K201" s="4"/>
      <c r="L201" s="4"/>
      <c r="M201" s="4"/>
      <c r="N201" s="38"/>
      <c r="O201" s="66"/>
      <c r="P201" s="66"/>
      <c r="Q201" s="38"/>
      <c r="R201" s="38"/>
      <c r="S201" s="38"/>
      <c r="T201" s="38"/>
      <c r="U201" s="38"/>
      <c r="V201" s="38"/>
      <c r="W201" s="4"/>
      <c r="X201" s="4"/>
      <c r="Y201" s="38"/>
      <c r="Z201" s="38"/>
      <c r="AA201" s="4"/>
      <c r="AB201" s="4"/>
      <c r="AC201" s="38"/>
      <c r="AD201" s="38"/>
      <c r="AE201" s="38"/>
      <c r="AF201" s="38"/>
      <c r="AG201" s="38"/>
      <c r="AH201" s="38"/>
      <c r="AI201" s="4"/>
      <c r="AJ201" s="4"/>
      <c r="AK201" s="38"/>
      <c r="AL201" s="38"/>
      <c r="AM201" s="4"/>
      <c r="AN201" s="4"/>
      <c r="AO201" s="4"/>
    </row>
    <row r="202" spans="1:41" x14ac:dyDescent="0.2">
      <c r="A202" s="4"/>
      <c r="B202" s="4"/>
      <c r="C202" s="4"/>
      <c r="D202" s="4"/>
      <c r="E202" s="4"/>
      <c r="F202" s="4"/>
      <c r="G202" s="4"/>
      <c r="H202" s="4"/>
      <c r="I202" s="38"/>
      <c r="J202" s="38"/>
      <c r="K202" s="4"/>
      <c r="L202" s="4"/>
      <c r="M202" s="4"/>
      <c r="N202" s="38"/>
      <c r="O202" s="66"/>
      <c r="P202" s="66"/>
      <c r="Q202" s="38"/>
      <c r="R202" s="38"/>
      <c r="S202" s="38"/>
      <c r="T202" s="38"/>
      <c r="U202" s="38"/>
      <c r="V202" s="38"/>
      <c r="W202" s="4"/>
      <c r="X202" s="4"/>
      <c r="Y202" s="38"/>
      <c r="Z202" s="38"/>
      <c r="AA202" s="4"/>
      <c r="AB202" s="4"/>
      <c r="AC202" s="38"/>
      <c r="AD202" s="38"/>
      <c r="AE202" s="38"/>
      <c r="AF202" s="38"/>
      <c r="AG202" s="38"/>
      <c r="AH202" s="38"/>
      <c r="AI202" s="4"/>
      <c r="AJ202" s="4"/>
      <c r="AK202" s="38"/>
      <c r="AL202" s="38"/>
      <c r="AM202" s="4"/>
      <c r="AN202" s="4"/>
      <c r="AO202" s="4"/>
    </row>
    <row r="203" spans="1:41" x14ac:dyDescent="0.2">
      <c r="A203" s="4"/>
      <c r="B203" s="4"/>
      <c r="C203" s="4"/>
      <c r="D203" s="4"/>
      <c r="E203" s="4"/>
      <c r="F203" s="4"/>
      <c r="G203" s="4"/>
      <c r="H203" s="4"/>
      <c r="I203" s="38"/>
      <c r="J203" s="38"/>
      <c r="K203" s="4"/>
      <c r="L203" s="4"/>
      <c r="M203" s="4"/>
      <c r="N203" s="38"/>
      <c r="O203" s="66"/>
      <c r="P203" s="66"/>
      <c r="Q203" s="38"/>
      <c r="R203" s="38"/>
      <c r="S203" s="38"/>
      <c r="T203" s="38"/>
      <c r="U203" s="38"/>
      <c r="V203" s="38"/>
      <c r="W203" s="4"/>
      <c r="X203" s="4"/>
      <c r="Y203" s="38"/>
      <c r="Z203" s="38"/>
      <c r="AA203" s="4"/>
      <c r="AB203" s="4"/>
      <c r="AC203" s="38"/>
      <c r="AD203" s="38"/>
      <c r="AE203" s="38"/>
      <c r="AF203" s="38"/>
      <c r="AG203" s="38"/>
      <c r="AH203" s="38"/>
      <c r="AI203" s="4"/>
      <c r="AJ203" s="4"/>
      <c r="AK203" s="38"/>
      <c r="AL203" s="38"/>
      <c r="AM203" s="4"/>
      <c r="AN203" s="4"/>
      <c r="AO203" s="4"/>
    </row>
    <row r="204" spans="1:41" x14ac:dyDescent="0.2">
      <c r="A204" s="4"/>
      <c r="B204" s="4"/>
      <c r="C204" s="4"/>
      <c r="D204" s="4"/>
      <c r="E204" s="4"/>
      <c r="F204" s="4"/>
      <c r="G204" s="4"/>
      <c r="H204" s="4"/>
      <c r="I204" s="38"/>
      <c r="J204" s="38"/>
      <c r="K204" s="4"/>
      <c r="L204" s="4"/>
      <c r="M204" s="4"/>
      <c r="N204" s="38"/>
      <c r="O204" s="66"/>
      <c r="P204" s="66"/>
      <c r="Q204" s="38"/>
      <c r="R204" s="38"/>
      <c r="S204" s="38"/>
      <c r="T204" s="38"/>
      <c r="U204" s="38"/>
      <c r="V204" s="38"/>
      <c r="W204" s="4"/>
      <c r="X204" s="4"/>
      <c r="Y204" s="38"/>
      <c r="Z204" s="38"/>
      <c r="AA204" s="4"/>
      <c r="AB204" s="4"/>
      <c r="AC204" s="38"/>
      <c r="AD204" s="38"/>
      <c r="AE204" s="38"/>
      <c r="AF204" s="38"/>
      <c r="AG204" s="38"/>
      <c r="AH204" s="38"/>
      <c r="AI204" s="4"/>
      <c r="AJ204" s="4"/>
      <c r="AK204" s="38"/>
      <c r="AL204" s="38"/>
      <c r="AM204" s="4"/>
      <c r="AN204" s="4"/>
      <c r="AO204" s="4"/>
    </row>
    <row r="205" spans="1:41" x14ac:dyDescent="0.2">
      <c r="A205" s="4"/>
      <c r="B205" s="4"/>
      <c r="C205" s="4"/>
      <c r="D205" s="4"/>
      <c r="E205" s="4"/>
      <c r="F205" s="4"/>
      <c r="G205" s="4"/>
      <c r="H205" s="4"/>
      <c r="I205" s="38"/>
      <c r="J205" s="38"/>
      <c r="K205" s="4"/>
      <c r="L205" s="4"/>
      <c r="M205" s="4"/>
      <c r="N205" s="38"/>
      <c r="O205" s="66"/>
      <c r="P205" s="66"/>
      <c r="Q205" s="38"/>
      <c r="R205" s="38"/>
      <c r="S205" s="38"/>
      <c r="T205" s="38"/>
      <c r="U205" s="38"/>
      <c r="V205" s="38"/>
      <c r="W205" s="4"/>
      <c r="X205" s="4"/>
      <c r="Y205" s="38"/>
      <c r="Z205" s="38"/>
      <c r="AA205" s="4"/>
      <c r="AB205" s="4"/>
      <c r="AC205" s="38"/>
      <c r="AD205" s="38"/>
      <c r="AE205" s="38"/>
      <c r="AF205" s="38"/>
      <c r="AG205" s="38"/>
      <c r="AH205" s="38"/>
      <c r="AI205" s="4"/>
      <c r="AJ205" s="4"/>
      <c r="AK205" s="38"/>
      <c r="AL205" s="38"/>
      <c r="AM205" s="4"/>
      <c r="AN205" s="4"/>
      <c r="AO205" s="4"/>
    </row>
    <row r="206" spans="1:41" x14ac:dyDescent="0.2">
      <c r="A206" s="4"/>
      <c r="B206" s="4"/>
      <c r="C206" s="4"/>
      <c r="D206" s="4"/>
      <c r="E206" s="4"/>
      <c r="F206" s="4"/>
      <c r="G206" s="4"/>
      <c r="H206" s="4"/>
      <c r="I206" s="38"/>
      <c r="J206" s="38"/>
      <c r="K206" s="4"/>
      <c r="L206" s="4"/>
      <c r="M206" s="4"/>
      <c r="N206" s="38"/>
      <c r="O206" s="66"/>
      <c r="P206" s="66"/>
      <c r="Q206" s="38"/>
      <c r="R206" s="38"/>
      <c r="S206" s="38"/>
      <c r="T206" s="38"/>
      <c r="U206" s="38"/>
      <c r="V206" s="38"/>
      <c r="W206" s="4"/>
      <c r="X206" s="4"/>
      <c r="Y206" s="38"/>
      <c r="Z206" s="38"/>
      <c r="AA206" s="4"/>
      <c r="AB206" s="4"/>
      <c r="AC206" s="38"/>
      <c r="AD206" s="38"/>
      <c r="AE206" s="38"/>
      <c r="AF206" s="38"/>
      <c r="AG206" s="38"/>
      <c r="AH206" s="38"/>
      <c r="AI206" s="4"/>
      <c r="AJ206" s="4"/>
      <c r="AK206" s="38"/>
      <c r="AL206" s="38"/>
      <c r="AM206" s="4"/>
      <c r="AN206" s="4"/>
      <c r="AO206" s="4"/>
    </row>
    <row r="207" spans="1:41" x14ac:dyDescent="0.2">
      <c r="A207" s="4"/>
      <c r="B207" s="4"/>
      <c r="C207" s="4"/>
      <c r="D207" s="4"/>
      <c r="E207" s="4"/>
      <c r="F207" s="4"/>
      <c r="G207" s="4"/>
      <c r="H207" s="4"/>
      <c r="I207" s="38"/>
      <c r="J207" s="38"/>
      <c r="K207" s="4"/>
      <c r="L207" s="4"/>
      <c r="M207" s="4"/>
      <c r="N207" s="38"/>
      <c r="O207" s="66"/>
      <c r="P207" s="66"/>
      <c r="Q207" s="38"/>
      <c r="R207" s="38"/>
      <c r="S207" s="38"/>
      <c r="T207" s="38"/>
      <c r="U207" s="38"/>
      <c r="V207" s="38"/>
      <c r="W207" s="4"/>
      <c r="X207" s="4"/>
      <c r="Y207" s="38"/>
      <c r="Z207" s="38"/>
      <c r="AA207" s="4"/>
      <c r="AB207" s="4"/>
      <c r="AC207" s="38"/>
      <c r="AD207" s="38"/>
      <c r="AE207" s="38"/>
      <c r="AF207" s="38"/>
      <c r="AG207" s="38"/>
      <c r="AH207" s="38"/>
      <c r="AI207" s="4"/>
      <c r="AJ207" s="4"/>
      <c r="AK207" s="38"/>
      <c r="AL207" s="38"/>
      <c r="AM207" s="4"/>
      <c r="AN207" s="4"/>
      <c r="AO207" s="4"/>
    </row>
    <row r="208" spans="1:41" x14ac:dyDescent="0.2">
      <c r="A208" s="4"/>
      <c r="B208" s="4"/>
      <c r="C208" s="4"/>
      <c r="D208" s="4"/>
      <c r="E208" s="4"/>
      <c r="F208" s="4"/>
      <c r="G208" s="4"/>
      <c r="H208" s="4"/>
      <c r="I208" s="38"/>
      <c r="J208" s="38"/>
      <c r="K208" s="4"/>
      <c r="L208" s="4"/>
      <c r="M208" s="4"/>
      <c r="N208" s="38"/>
      <c r="O208" s="66"/>
      <c r="P208" s="66"/>
      <c r="Q208" s="38"/>
      <c r="R208" s="38"/>
      <c r="S208" s="38"/>
      <c r="T208" s="38"/>
      <c r="U208" s="38"/>
      <c r="V208" s="38"/>
      <c r="W208" s="4"/>
      <c r="X208" s="4"/>
      <c r="Y208" s="38"/>
      <c r="Z208" s="38"/>
      <c r="AA208" s="4"/>
      <c r="AB208" s="4"/>
      <c r="AC208" s="38"/>
      <c r="AD208" s="38"/>
      <c r="AE208" s="38"/>
      <c r="AF208" s="38"/>
      <c r="AG208" s="38"/>
      <c r="AH208" s="38"/>
      <c r="AI208" s="4"/>
      <c r="AJ208" s="4"/>
      <c r="AK208" s="38"/>
      <c r="AL208" s="38"/>
      <c r="AM208" s="4"/>
      <c r="AN208" s="4"/>
      <c r="AO208" s="4"/>
    </row>
    <row r="209" spans="1:41" x14ac:dyDescent="0.2">
      <c r="A209" s="4"/>
      <c r="B209" s="4"/>
      <c r="C209" s="4"/>
      <c r="D209" s="4"/>
      <c r="E209" s="4"/>
      <c r="F209" s="4"/>
      <c r="G209" s="4"/>
      <c r="H209" s="4"/>
      <c r="I209" s="38"/>
      <c r="J209" s="38"/>
      <c r="K209" s="4"/>
      <c r="L209" s="4"/>
      <c r="M209" s="4"/>
      <c r="N209" s="38"/>
      <c r="O209" s="66"/>
      <c r="P209" s="66"/>
      <c r="Q209" s="38"/>
      <c r="R209" s="38"/>
      <c r="S209" s="38"/>
      <c r="T209" s="38"/>
      <c r="U209" s="38"/>
      <c r="V209" s="38"/>
      <c r="W209" s="4"/>
      <c r="X209" s="4"/>
      <c r="Y209" s="38"/>
      <c r="Z209" s="38"/>
      <c r="AA209" s="4"/>
      <c r="AB209" s="4"/>
      <c r="AC209" s="38"/>
      <c r="AD209" s="38"/>
      <c r="AE209" s="38"/>
      <c r="AF209" s="38"/>
      <c r="AG209" s="38"/>
      <c r="AH209" s="38"/>
      <c r="AI209" s="4"/>
      <c r="AJ209" s="4"/>
      <c r="AK209" s="38"/>
      <c r="AL209" s="38"/>
      <c r="AM209" s="4"/>
      <c r="AN209" s="4"/>
      <c r="AO209" s="4"/>
    </row>
    <row r="210" spans="1:41" x14ac:dyDescent="0.2">
      <c r="A210" s="4"/>
      <c r="B210" s="4"/>
      <c r="C210" s="4"/>
      <c r="D210" s="4"/>
      <c r="E210" s="4"/>
      <c r="F210" s="4"/>
      <c r="G210" s="4"/>
      <c r="H210" s="4"/>
      <c r="I210" s="38"/>
      <c r="J210" s="38"/>
      <c r="K210" s="4"/>
      <c r="L210" s="4"/>
      <c r="M210" s="4"/>
      <c r="N210" s="38"/>
      <c r="O210" s="66"/>
      <c r="P210" s="66"/>
      <c r="Q210" s="38"/>
      <c r="R210" s="38"/>
      <c r="S210" s="38"/>
      <c r="T210" s="38"/>
      <c r="U210" s="38"/>
      <c r="V210" s="38"/>
      <c r="W210" s="4"/>
      <c r="X210" s="4"/>
      <c r="Y210" s="38"/>
      <c r="Z210" s="38"/>
      <c r="AA210" s="4"/>
      <c r="AB210" s="4"/>
      <c r="AC210" s="38"/>
      <c r="AD210" s="38"/>
      <c r="AE210" s="38"/>
      <c r="AF210" s="38"/>
      <c r="AG210" s="38"/>
      <c r="AH210" s="38"/>
      <c r="AI210" s="4"/>
      <c r="AJ210" s="4"/>
      <c r="AK210" s="38"/>
      <c r="AL210" s="38"/>
      <c r="AM210" s="4"/>
      <c r="AN210" s="4"/>
      <c r="AO210" s="4"/>
    </row>
    <row r="211" spans="1:41" x14ac:dyDescent="0.2">
      <c r="A211" s="4"/>
      <c r="B211" s="4"/>
      <c r="C211" s="4"/>
      <c r="D211" s="4"/>
      <c r="E211" s="4"/>
      <c r="F211" s="4"/>
      <c r="G211" s="4"/>
      <c r="H211" s="4"/>
      <c r="I211" s="38"/>
      <c r="J211" s="38"/>
      <c r="K211" s="4"/>
      <c r="L211" s="4"/>
      <c r="M211" s="4"/>
      <c r="N211" s="38"/>
      <c r="O211" s="66"/>
      <c r="P211" s="66"/>
      <c r="Q211" s="38"/>
      <c r="R211" s="38"/>
      <c r="S211" s="38"/>
      <c r="T211" s="38"/>
      <c r="U211" s="38"/>
      <c r="V211" s="38"/>
      <c r="W211" s="4"/>
      <c r="X211" s="4"/>
      <c r="Y211" s="38"/>
      <c r="Z211" s="38"/>
      <c r="AA211" s="4"/>
      <c r="AB211" s="4"/>
      <c r="AC211" s="38"/>
      <c r="AD211" s="38"/>
      <c r="AE211" s="38"/>
      <c r="AF211" s="38"/>
      <c r="AG211" s="38"/>
      <c r="AH211" s="38"/>
      <c r="AI211" s="4"/>
      <c r="AJ211" s="4"/>
      <c r="AK211" s="38"/>
      <c r="AL211" s="38"/>
      <c r="AM211" s="4"/>
      <c r="AN211" s="4"/>
      <c r="AO211" s="4"/>
    </row>
    <row r="212" spans="1:41" x14ac:dyDescent="0.2">
      <c r="A212" s="4"/>
      <c r="B212" s="4"/>
      <c r="C212" s="4"/>
      <c r="D212" s="4"/>
      <c r="E212" s="4"/>
      <c r="F212" s="4"/>
      <c r="G212" s="4"/>
      <c r="H212" s="4"/>
      <c r="I212" s="38"/>
      <c r="J212" s="38"/>
      <c r="K212" s="4"/>
      <c r="L212" s="4"/>
      <c r="M212" s="4"/>
      <c r="N212" s="38"/>
      <c r="O212" s="66"/>
      <c r="P212" s="66"/>
      <c r="Q212" s="38"/>
      <c r="R212" s="38"/>
      <c r="S212" s="38"/>
      <c r="T212" s="38"/>
      <c r="U212" s="38"/>
      <c r="V212" s="38"/>
      <c r="W212" s="4"/>
      <c r="X212" s="4"/>
      <c r="Y212" s="38"/>
      <c r="Z212" s="38"/>
      <c r="AA212" s="4"/>
      <c r="AB212" s="4"/>
      <c r="AC212" s="38"/>
      <c r="AD212" s="38"/>
      <c r="AE212" s="38"/>
      <c r="AF212" s="38"/>
      <c r="AG212" s="38"/>
      <c r="AH212" s="38"/>
      <c r="AI212" s="4"/>
      <c r="AJ212" s="4"/>
      <c r="AK212" s="38"/>
      <c r="AL212" s="38"/>
      <c r="AM212" s="4"/>
      <c r="AN212" s="4"/>
      <c r="AO212" s="4"/>
    </row>
    <row r="213" spans="1:41" x14ac:dyDescent="0.2">
      <c r="A213" s="4"/>
      <c r="B213" s="4"/>
      <c r="C213" s="4"/>
      <c r="D213" s="4"/>
      <c r="E213" s="4"/>
      <c r="F213" s="4"/>
      <c r="G213" s="4"/>
      <c r="H213" s="4"/>
      <c r="I213" s="38"/>
      <c r="J213" s="38"/>
      <c r="K213" s="4"/>
      <c r="L213" s="4"/>
      <c r="M213" s="4"/>
      <c r="N213" s="38"/>
      <c r="O213" s="66"/>
      <c r="P213" s="66"/>
      <c r="Q213" s="38"/>
      <c r="R213" s="38"/>
      <c r="S213" s="38"/>
      <c r="T213" s="38"/>
      <c r="U213" s="38"/>
      <c r="V213" s="38"/>
      <c r="W213" s="4"/>
      <c r="X213" s="4"/>
      <c r="Y213" s="38"/>
      <c r="Z213" s="38"/>
      <c r="AA213" s="4"/>
      <c r="AB213" s="4"/>
      <c r="AC213" s="38"/>
      <c r="AD213" s="38"/>
      <c r="AE213" s="38"/>
      <c r="AF213" s="38"/>
      <c r="AG213" s="38"/>
      <c r="AH213" s="38"/>
      <c r="AI213" s="4"/>
      <c r="AJ213" s="4"/>
      <c r="AK213" s="38"/>
      <c r="AL213" s="38"/>
      <c r="AM213" s="4"/>
      <c r="AN213" s="4"/>
      <c r="AO213" s="4"/>
    </row>
    <row r="214" spans="1:41" x14ac:dyDescent="0.2">
      <c r="A214" s="4"/>
      <c r="B214" s="4"/>
      <c r="C214" s="4"/>
      <c r="D214" s="4"/>
      <c r="E214" s="4"/>
      <c r="F214" s="4"/>
      <c r="G214" s="4"/>
      <c r="H214" s="4"/>
      <c r="I214" s="38"/>
      <c r="J214" s="38"/>
      <c r="K214" s="4"/>
      <c r="L214" s="4"/>
      <c r="M214" s="4"/>
      <c r="N214" s="38"/>
      <c r="O214" s="66"/>
      <c r="P214" s="66"/>
      <c r="Q214" s="38"/>
      <c r="R214" s="38"/>
      <c r="S214" s="38"/>
      <c r="T214" s="38"/>
      <c r="U214" s="38"/>
      <c r="V214" s="38"/>
      <c r="W214" s="4"/>
      <c r="X214" s="4"/>
      <c r="Y214" s="38"/>
      <c r="Z214" s="38"/>
      <c r="AA214" s="4"/>
      <c r="AB214" s="4"/>
      <c r="AC214" s="38"/>
      <c r="AD214" s="38"/>
      <c r="AE214" s="38"/>
      <c r="AF214" s="38"/>
      <c r="AG214" s="38"/>
      <c r="AH214" s="38"/>
      <c r="AI214" s="4"/>
      <c r="AJ214" s="4"/>
      <c r="AK214" s="38"/>
      <c r="AL214" s="38"/>
      <c r="AM214" s="4"/>
      <c r="AN214" s="4"/>
      <c r="AO214" s="4"/>
    </row>
  </sheetData>
  <conditionalFormatting sqref="E114:K114">
    <cfRule type="cellIs" dxfId="1" priority="2" operator="greaterThan">
      <formula>0.6</formula>
    </cfRule>
  </conditionalFormatting>
  <conditionalFormatting sqref="E122:K122">
    <cfRule type="cellIs" dxfId="0" priority="1" operator="greaterThan">
      <formula>0.3</formula>
    </cfRule>
  </conditionalFormatting>
  <pageMargins left="0.39" right="0.23" top="0.43" bottom="0.33" header="0.31496062992125984" footer="0.23"/>
  <pageSetup paperSize="9" scale="96" orientation="landscape" r:id="rId1"/>
  <drawing r:id="rId2"/>
  <legacy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Y31"/>
  <sheetViews>
    <sheetView workbookViewId="0">
      <selection activeCell="W6" sqref="W6"/>
    </sheetView>
  </sheetViews>
  <sheetFormatPr defaultColWidth="9.140625" defaultRowHeight="14.25" x14ac:dyDescent="0.2"/>
  <cols>
    <col min="1" max="1" width="3.28515625" style="1" customWidth="1"/>
    <col min="2" max="2" width="27.7109375" style="1" customWidth="1"/>
    <col min="3" max="3" width="11.5703125" style="1" customWidth="1"/>
    <col min="4" max="5" width="10.85546875" style="1" customWidth="1"/>
    <col min="6" max="6" width="9.7109375" style="1" customWidth="1"/>
    <col min="7" max="7" width="10" style="1" customWidth="1"/>
    <col min="8" max="15" width="9.140625" style="1"/>
    <col min="16" max="16" width="10.28515625" style="1" customWidth="1"/>
    <col min="17" max="16384" width="9.140625" style="1"/>
  </cols>
  <sheetData>
    <row r="1" spans="1:25" ht="15.75" x14ac:dyDescent="0.25">
      <c r="A1" s="4"/>
      <c r="B1" s="11" t="s">
        <v>213</v>
      </c>
      <c r="C1" s="4"/>
      <c r="D1" s="4"/>
      <c r="E1" s="4"/>
      <c r="F1" s="4"/>
      <c r="G1" s="4"/>
      <c r="H1" s="4"/>
      <c r="I1" s="4"/>
      <c r="J1" s="4"/>
      <c r="K1" s="4"/>
      <c r="L1" s="4"/>
      <c r="M1" s="4"/>
      <c r="N1" s="4"/>
      <c r="O1" s="4"/>
      <c r="P1" s="4"/>
      <c r="Q1" s="4"/>
      <c r="R1" s="4"/>
      <c r="S1" s="4"/>
      <c r="T1" s="4"/>
      <c r="U1" s="4"/>
      <c r="V1" s="4"/>
      <c r="W1" s="4"/>
      <c r="X1" s="4"/>
      <c r="Y1" s="4"/>
    </row>
    <row r="2" spans="1:25" x14ac:dyDescent="0.2">
      <c r="A2" s="4"/>
      <c r="B2" s="4"/>
      <c r="C2" s="4"/>
      <c r="D2" s="4"/>
      <c r="E2" s="4"/>
      <c r="F2" s="4"/>
      <c r="G2" s="4"/>
      <c r="H2" s="4"/>
      <c r="I2" s="4"/>
      <c r="J2" s="4"/>
      <c r="K2" s="4"/>
      <c r="L2" s="4"/>
      <c r="M2" s="4"/>
      <c r="N2" s="4"/>
      <c r="O2" s="4"/>
      <c r="P2" s="4"/>
      <c r="Q2" s="4"/>
      <c r="R2" s="4"/>
      <c r="S2" s="4"/>
      <c r="T2" s="4"/>
      <c r="U2" s="4"/>
      <c r="V2" s="4"/>
      <c r="W2" s="4"/>
      <c r="X2" s="4"/>
      <c r="Y2" s="4"/>
    </row>
    <row r="3" spans="1:25" x14ac:dyDescent="0.2">
      <c r="A3" s="4"/>
      <c r="B3" s="15"/>
      <c r="C3" s="34">
        <v>40544</v>
      </c>
      <c r="D3" s="34">
        <v>40634</v>
      </c>
      <c r="E3" s="34">
        <v>40725</v>
      </c>
      <c r="F3" s="34">
        <v>40817</v>
      </c>
      <c r="G3" s="34">
        <v>40909</v>
      </c>
      <c r="H3" s="34">
        <v>41000</v>
      </c>
      <c r="I3" s="34">
        <v>41091</v>
      </c>
      <c r="J3" s="34">
        <v>41183</v>
      </c>
      <c r="K3" s="34">
        <v>41275</v>
      </c>
      <c r="L3" s="34">
        <v>41365</v>
      </c>
      <c r="M3" s="34">
        <v>41456</v>
      </c>
      <c r="N3" s="34">
        <v>41548</v>
      </c>
      <c r="O3" s="34">
        <v>41640</v>
      </c>
      <c r="P3" s="34">
        <v>41730</v>
      </c>
      <c r="Q3" s="34">
        <v>41821</v>
      </c>
      <c r="R3" s="34">
        <v>41913</v>
      </c>
      <c r="S3" s="34">
        <v>42005</v>
      </c>
      <c r="T3" s="34">
        <v>42095</v>
      </c>
      <c r="U3" s="34">
        <v>42186</v>
      </c>
      <c r="V3" s="34">
        <v>42278</v>
      </c>
      <c r="W3" s="34">
        <v>42370</v>
      </c>
      <c r="X3" s="34"/>
      <c r="Y3" s="34"/>
    </row>
    <row r="4" spans="1:25" ht="15.75" x14ac:dyDescent="0.25">
      <c r="A4" s="4"/>
      <c r="B4" s="4" t="s">
        <v>214</v>
      </c>
      <c r="C4" s="90">
        <v>0.47870000000000001</v>
      </c>
      <c r="D4" s="90">
        <v>0.78039999999999998</v>
      </c>
      <c r="E4" s="90">
        <v>0.5302</v>
      </c>
      <c r="F4" s="91">
        <v>2.0863999999999998</v>
      </c>
      <c r="G4" s="92">
        <v>0.36749999999999999</v>
      </c>
      <c r="H4" s="90">
        <v>0.48549999999999999</v>
      </c>
      <c r="I4" s="90">
        <v>0.53</v>
      </c>
      <c r="J4" s="90">
        <v>0.3997</v>
      </c>
      <c r="K4" s="90">
        <v>0.41199999999999998</v>
      </c>
      <c r="L4" s="92">
        <v>0.36480000000000001</v>
      </c>
      <c r="M4" s="92">
        <v>0.36099999999999999</v>
      </c>
      <c r="N4" s="92">
        <v>0.26740000000000003</v>
      </c>
      <c r="O4" s="90">
        <v>0.44900000000000001</v>
      </c>
      <c r="P4" s="90">
        <v>0.48499999999999999</v>
      </c>
      <c r="Q4" s="90">
        <v>0.57299999999999995</v>
      </c>
      <c r="R4" s="90">
        <v>0.46229999999999999</v>
      </c>
      <c r="S4" s="35">
        <v>0.60599999999999998</v>
      </c>
      <c r="T4" s="35">
        <v>0.93600000000000005</v>
      </c>
      <c r="U4" s="35">
        <v>0.82299999999999995</v>
      </c>
      <c r="V4" s="35">
        <v>1.1846000000000001</v>
      </c>
      <c r="W4" s="35">
        <v>0.97140000000000004</v>
      </c>
      <c r="X4" s="35"/>
      <c r="Y4" s="35"/>
    </row>
    <row r="5" spans="1:25" ht="15.75" x14ac:dyDescent="0.25">
      <c r="A5" s="4"/>
      <c r="B5" s="4" t="s">
        <v>215</v>
      </c>
      <c r="C5" s="90">
        <v>0.78879999999999995</v>
      </c>
      <c r="D5" s="90">
        <v>0.94410000000000005</v>
      </c>
      <c r="E5" s="90">
        <v>0.73619999999999997</v>
      </c>
      <c r="F5" s="91">
        <v>2.0661</v>
      </c>
      <c r="G5" s="90">
        <v>0.76439999999999997</v>
      </c>
      <c r="H5" s="90">
        <v>0.79820000000000002</v>
      </c>
      <c r="I5" s="90">
        <v>0.78669999999999995</v>
      </c>
      <c r="J5" s="90">
        <v>0.62309999999999999</v>
      </c>
      <c r="K5" s="90">
        <v>0.61399999999999999</v>
      </c>
      <c r="L5" s="90">
        <v>0.66949999999999998</v>
      </c>
      <c r="M5" s="92">
        <v>0.58899999999999997</v>
      </c>
      <c r="N5" s="92">
        <v>0.55000000000000004</v>
      </c>
      <c r="O5" s="92">
        <v>0.57699999999999996</v>
      </c>
      <c r="P5" s="92">
        <v>0.55810000000000004</v>
      </c>
      <c r="Q5" s="92">
        <v>0.54700000000000004</v>
      </c>
      <c r="R5" s="92">
        <v>0.52780000000000005</v>
      </c>
      <c r="S5" s="35">
        <v>0.748</v>
      </c>
      <c r="T5" s="35">
        <v>0.76100000000000001</v>
      </c>
      <c r="U5" s="35">
        <v>0.71599999999999997</v>
      </c>
      <c r="V5" s="35">
        <v>1.3108</v>
      </c>
      <c r="W5" s="35">
        <v>1.585</v>
      </c>
      <c r="X5" s="35"/>
      <c r="Y5" s="35"/>
    </row>
    <row r="6" spans="1:25" ht="15.75" x14ac:dyDescent="0.25">
      <c r="A6" s="4"/>
      <c r="B6" s="4" t="s">
        <v>216</v>
      </c>
      <c r="C6" s="90">
        <v>0.84919999999999995</v>
      </c>
      <c r="D6" s="90">
        <v>1.0264</v>
      </c>
      <c r="E6" s="90">
        <v>1.0834999999999999</v>
      </c>
      <c r="F6" s="91">
        <v>0.41820000000000002</v>
      </c>
      <c r="G6" s="90">
        <v>0.42949999999999999</v>
      </c>
      <c r="H6" s="90">
        <v>0.36809999999999998</v>
      </c>
      <c r="I6" s="90">
        <v>0.35399999999999998</v>
      </c>
      <c r="J6" s="90">
        <v>0.4652</v>
      </c>
      <c r="K6" s="90">
        <v>0.51800000000000002</v>
      </c>
      <c r="L6" s="90">
        <v>0.5595</v>
      </c>
      <c r="M6" s="90">
        <v>0.66100000000000003</v>
      </c>
      <c r="N6" s="90">
        <v>0.71289999999999998</v>
      </c>
      <c r="O6" s="90">
        <v>0.67200000000000004</v>
      </c>
      <c r="P6" s="90">
        <v>0.65529999999999999</v>
      </c>
      <c r="Q6" s="90">
        <v>0.70899999999999996</v>
      </c>
      <c r="R6" s="90">
        <v>0.79400000000000004</v>
      </c>
      <c r="S6" s="35">
        <v>0.875</v>
      </c>
      <c r="T6" s="35">
        <v>0.58399999999999996</v>
      </c>
      <c r="U6" s="35">
        <v>0.53300000000000003</v>
      </c>
      <c r="V6" s="35">
        <v>0.4824</v>
      </c>
      <c r="W6" s="35">
        <v>0.51719999999999999</v>
      </c>
      <c r="X6" s="35"/>
      <c r="Y6" s="35"/>
    </row>
    <row r="7" spans="1:25" x14ac:dyDescent="0.2">
      <c r="A7" s="4"/>
      <c r="B7" s="4"/>
      <c r="C7" s="35"/>
      <c r="D7" s="35"/>
      <c r="E7" s="35"/>
      <c r="F7" s="35"/>
      <c r="G7" s="4"/>
      <c r="H7" s="35"/>
      <c r="I7" s="35"/>
      <c r="J7" s="35"/>
      <c r="K7" s="35"/>
      <c r="L7" s="35"/>
      <c r="M7" s="35"/>
      <c r="N7" s="35"/>
      <c r="O7" s="35"/>
      <c r="P7" s="35"/>
      <c r="Q7" s="35"/>
      <c r="R7" s="35"/>
      <c r="S7" s="35"/>
      <c r="T7" s="35"/>
      <c r="U7" s="35"/>
      <c r="V7" s="35"/>
      <c r="W7" s="35"/>
      <c r="X7" s="35"/>
      <c r="Y7" s="35"/>
    </row>
    <row r="8" spans="1:25" x14ac:dyDescent="0.2">
      <c r="A8" s="4"/>
      <c r="B8" s="4"/>
      <c r="C8" s="4"/>
      <c r="D8" s="4"/>
      <c r="E8" s="4"/>
      <c r="F8" s="4"/>
      <c r="G8" s="4"/>
      <c r="H8" s="35"/>
      <c r="I8" s="35"/>
      <c r="J8" s="35"/>
      <c r="K8" s="35"/>
      <c r="L8" s="35"/>
      <c r="M8" s="35"/>
      <c r="N8" s="35"/>
      <c r="O8" s="35"/>
      <c r="P8" s="35"/>
      <c r="Q8" s="35"/>
      <c r="R8" s="35"/>
      <c r="S8" s="35"/>
      <c r="T8" s="35"/>
      <c r="U8" s="35"/>
      <c r="V8" s="35"/>
      <c r="W8" s="35"/>
      <c r="X8" s="35"/>
      <c r="Y8" s="35"/>
    </row>
    <row r="9" spans="1:25" x14ac:dyDescent="0.2">
      <c r="A9" s="4"/>
      <c r="B9" s="4"/>
      <c r="C9" s="4"/>
      <c r="D9" s="4"/>
      <c r="E9" s="4"/>
      <c r="F9" s="4"/>
      <c r="G9" s="4"/>
      <c r="H9" s="35"/>
      <c r="I9" s="35"/>
      <c r="J9" s="35"/>
      <c r="K9" s="35"/>
      <c r="L9" s="35"/>
      <c r="M9" s="35"/>
      <c r="N9" s="35"/>
      <c r="O9" s="35"/>
      <c r="P9" s="35"/>
      <c r="Q9" s="35"/>
      <c r="R9" s="35"/>
      <c r="S9" s="35"/>
      <c r="T9" s="35"/>
      <c r="U9" s="35"/>
      <c r="V9" s="35"/>
      <c r="W9" s="35"/>
      <c r="X9" s="35"/>
      <c r="Y9" s="35"/>
    </row>
    <row r="10" spans="1:25" x14ac:dyDescent="0.2">
      <c r="A10" s="4"/>
      <c r="B10" s="4"/>
      <c r="C10" s="4"/>
      <c r="D10" s="4"/>
      <c r="E10" s="4"/>
      <c r="F10" s="4"/>
      <c r="G10" s="4"/>
      <c r="H10" s="35"/>
      <c r="I10" s="35"/>
      <c r="J10" s="35"/>
      <c r="K10" s="35"/>
      <c r="L10" s="35"/>
      <c r="M10" s="35"/>
      <c r="N10" s="35"/>
      <c r="O10" s="35"/>
      <c r="P10" s="35"/>
      <c r="Q10" s="35"/>
      <c r="R10" s="35"/>
      <c r="S10" s="35"/>
      <c r="T10" s="35"/>
      <c r="U10" s="35"/>
      <c r="V10" s="35"/>
      <c r="W10" s="35"/>
      <c r="X10" s="35"/>
      <c r="Y10" s="35"/>
    </row>
    <row r="11" spans="1:25" x14ac:dyDescent="0.2">
      <c r="A11" s="4"/>
      <c r="B11" s="4"/>
      <c r="C11" s="4"/>
      <c r="D11" s="4"/>
      <c r="E11" s="4"/>
      <c r="F11" s="4"/>
      <c r="G11" s="4"/>
      <c r="H11" s="4"/>
      <c r="I11" s="4"/>
      <c r="J11" s="4"/>
      <c r="K11" s="4"/>
      <c r="L11" s="4"/>
      <c r="M11" s="4"/>
      <c r="N11" s="4"/>
      <c r="O11" s="4"/>
      <c r="P11" s="4"/>
      <c r="Q11" s="4"/>
      <c r="R11" s="4"/>
      <c r="S11" s="4"/>
      <c r="T11" s="4"/>
      <c r="U11" s="4"/>
      <c r="V11" s="4"/>
      <c r="W11" s="4"/>
      <c r="X11" s="4"/>
      <c r="Y11" s="4"/>
    </row>
    <row r="12" spans="1:25" x14ac:dyDescent="0.2">
      <c r="A12" s="4"/>
      <c r="B12" s="4"/>
      <c r="C12" s="4"/>
      <c r="D12" s="4"/>
      <c r="E12" s="4"/>
      <c r="F12" s="4"/>
      <c r="G12" s="4"/>
      <c r="H12" s="4"/>
      <c r="I12" s="4"/>
      <c r="J12" s="4"/>
      <c r="K12" s="4"/>
      <c r="L12" s="4"/>
      <c r="M12" s="4"/>
      <c r="N12" s="4"/>
      <c r="O12" s="4"/>
      <c r="P12" s="4"/>
      <c r="Q12" s="4"/>
      <c r="R12" s="4"/>
      <c r="S12" s="4"/>
      <c r="T12" s="4"/>
      <c r="U12" s="4"/>
      <c r="V12" s="4"/>
      <c r="W12" s="4"/>
      <c r="X12" s="4"/>
      <c r="Y12" s="4"/>
    </row>
    <row r="13" spans="1:25" x14ac:dyDescent="0.2">
      <c r="A13" s="4"/>
      <c r="B13" s="4"/>
      <c r="C13" s="4"/>
      <c r="D13" s="4"/>
      <c r="E13" s="4"/>
      <c r="F13" s="4"/>
      <c r="G13" s="4"/>
      <c r="H13" s="4"/>
      <c r="I13" s="4"/>
      <c r="J13" s="4"/>
      <c r="K13" s="4"/>
      <c r="L13" s="4"/>
      <c r="M13" s="4"/>
      <c r="N13" s="4"/>
      <c r="O13" s="4"/>
      <c r="P13" s="4"/>
      <c r="Q13" s="4"/>
      <c r="R13" s="4"/>
      <c r="S13" s="4"/>
      <c r="T13" s="4"/>
      <c r="U13" s="4"/>
      <c r="V13" s="4"/>
      <c r="W13" s="4"/>
      <c r="X13" s="4"/>
      <c r="Y13" s="4"/>
    </row>
    <row r="14" spans="1:25" x14ac:dyDescent="0.2">
      <c r="A14" s="4"/>
      <c r="B14" s="4"/>
      <c r="C14" s="4"/>
      <c r="D14" s="4"/>
      <c r="E14" s="4"/>
      <c r="F14" s="4"/>
      <c r="G14" s="4"/>
      <c r="H14" s="4"/>
      <c r="I14" s="4"/>
      <c r="J14" s="4"/>
      <c r="K14" s="4"/>
      <c r="L14" s="4"/>
      <c r="M14" s="4"/>
      <c r="N14" s="4"/>
      <c r="O14" s="4"/>
      <c r="P14" s="4"/>
      <c r="Q14" s="4"/>
      <c r="R14" s="4"/>
      <c r="S14" s="4"/>
      <c r="T14" s="4"/>
      <c r="U14" s="4"/>
      <c r="V14" s="4"/>
      <c r="W14" s="4"/>
      <c r="X14" s="4"/>
      <c r="Y14" s="4"/>
    </row>
    <row r="15" spans="1:25" x14ac:dyDescent="0.2">
      <c r="A15" s="4"/>
      <c r="B15" s="4"/>
      <c r="C15" s="4"/>
      <c r="D15" s="4"/>
      <c r="E15" s="4"/>
      <c r="F15" s="4"/>
      <c r="G15" s="4"/>
      <c r="H15" s="4"/>
      <c r="I15" s="4"/>
      <c r="J15" s="4"/>
      <c r="K15" s="4"/>
      <c r="L15" s="4"/>
      <c r="M15" s="4"/>
      <c r="N15" s="4"/>
      <c r="O15" s="4"/>
      <c r="P15" s="4"/>
      <c r="Q15" s="4"/>
      <c r="R15" s="4"/>
      <c r="S15" s="4"/>
      <c r="T15" s="4"/>
      <c r="U15" s="4"/>
      <c r="V15" s="4"/>
      <c r="W15" s="4"/>
      <c r="X15" s="4"/>
      <c r="Y15" s="4"/>
    </row>
    <row r="16" spans="1:25" x14ac:dyDescent="0.2">
      <c r="A16" s="4"/>
      <c r="B16" s="4"/>
      <c r="C16" s="4"/>
      <c r="D16" s="4"/>
      <c r="E16" s="4"/>
      <c r="F16" s="4"/>
      <c r="G16" s="4"/>
      <c r="H16" s="4"/>
      <c r="I16" s="4"/>
      <c r="J16" s="4"/>
      <c r="K16" s="4"/>
      <c r="L16" s="4"/>
      <c r="M16" s="4"/>
      <c r="N16" s="4"/>
      <c r="O16" s="4"/>
      <c r="P16" s="4"/>
      <c r="Q16" s="4"/>
      <c r="R16" s="4"/>
      <c r="S16" s="4"/>
      <c r="T16" s="4"/>
      <c r="U16" s="4"/>
      <c r="V16" s="4"/>
      <c r="W16" s="4"/>
      <c r="X16" s="4"/>
      <c r="Y16" s="4"/>
    </row>
    <row r="17" spans="1:25" x14ac:dyDescent="0.2">
      <c r="A17" s="4"/>
      <c r="B17" s="4"/>
      <c r="C17" s="4"/>
      <c r="D17" s="4"/>
      <c r="E17" s="4"/>
      <c r="F17" s="4"/>
      <c r="G17" s="4"/>
      <c r="H17" s="4"/>
      <c r="I17" s="4"/>
      <c r="J17" s="4"/>
      <c r="K17" s="4"/>
      <c r="L17" s="4"/>
      <c r="M17" s="4"/>
      <c r="N17" s="4"/>
      <c r="O17" s="4"/>
      <c r="P17" s="4"/>
      <c r="Q17" s="4"/>
      <c r="R17" s="4"/>
      <c r="S17" s="4"/>
      <c r="T17" s="4"/>
      <c r="U17" s="4"/>
      <c r="V17" s="4"/>
      <c r="W17" s="4"/>
      <c r="X17" s="4"/>
      <c r="Y17" s="4"/>
    </row>
    <row r="18" spans="1:25" x14ac:dyDescent="0.2">
      <c r="A18" s="4"/>
      <c r="B18" s="4"/>
      <c r="C18" s="4"/>
      <c r="D18" s="4"/>
      <c r="E18" s="4"/>
      <c r="F18" s="4"/>
      <c r="G18" s="4"/>
      <c r="H18" s="4"/>
      <c r="I18" s="4"/>
      <c r="J18" s="4"/>
      <c r="K18" s="4"/>
      <c r="L18" s="4"/>
      <c r="M18" s="4"/>
      <c r="N18" s="4"/>
      <c r="O18" s="4"/>
      <c r="P18" s="4"/>
      <c r="Q18" s="4"/>
      <c r="R18" s="4"/>
      <c r="S18" s="4"/>
      <c r="T18" s="4"/>
      <c r="U18" s="4"/>
      <c r="V18" s="4"/>
      <c r="W18" s="4"/>
      <c r="X18" s="4"/>
      <c r="Y18" s="4"/>
    </row>
    <row r="19" spans="1:25" x14ac:dyDescent="0.2">
      <c r="A19" s="4"/>
      <c r="B19" s="4"/>
      <c r="C19" s="4"/>
      <c r="D19" s="4"/>
      <c r="E19" s="4"/>
      <c r="F19" s="4"/>
      <c r="G19" s="4"/>
      <c r="H19" s="4"/>
      <c r="I19" s="4"/>
      <c r="J19" s="4"/>
      <c r="K19" s="4"/>
      <c r="L19" s="4"/>
      <c r="M19" s="4"/>
      <c r="N19" s="4"/>
      <c r="O19" s="4"/>
      <c r="P19" s="4"/>
      <c r="Q19" s="4"/>
      <c r="R19" s="4"/>
      <c r="S19" s="4"/>
      <c r="T19" s="4"/>
      <c r="U19" s="4"/>
      <c r="V19" s="4"/>
      <c r="W19" s="4"/>
      <c r="X19" s="4"/>
      <c r="Y19" s="4"/>
    </row>
    <row r="20" spans="1:25" x14ac:dyDescent="0.2">
      <c r="A20" s="4"/>
      <c r="B20" s="4"/>
      <c r="C20" s="4"/>
      <c r="D20" s="4"/>
      <c r="E20" s="4"/>
      <c r="F20" s="4"/>
      <c r="G20" s="4"/>
      <c r="H20" s="4"/>
      <c r="I20" s="4"/>
      <c r="J20" s="4"/>
      <c r="K20" s="4"/>
      <c r="L20" s="4"/>
      <c r="M20" s="4"/>
      <c r="N20" s="4"/>
      <c r="O20" s="4"/>
      <c r="P20" s="4"/>
      <c r="Q20" s="4"/>
      <c r="R20" s="4"/>
      <c r="S20" s="4"/>
      <c r="T20" s="4"/>
      <c r="U20" s="4"/>
      <c r="V20" s="4"/>
      <c r="W20" s="4"/>
      <c r="X20" s="4"/>
      <c r="Y20" s="4"/>
    </row>
    <row r="21" spans="1:25" x14ac:dyDescent="0.2">
      <c r="A21" s="4"/>
      <c r="B21" s="4"/>
      <c r="C21" s="4"/>
      <c r="D21" s="4"/>
      <c r="E21" s="4"/>
      <c r="F21" s="4"/>
      <c r="G21" s="4"/>
      <c r="H21" s="4"/>
      <c r="I21" s="4"/>
      <c r="J21" s="4"/>
      <c r="K21" s="4"/>
      <c r="L21" s="4"/>
      <c r="M21" s="4"/>
      <c r="N21" s="4"/>
      <c r="O21" s="4"/>
      <c r="P21" s="4"/>
      <c r="Q21" s="4"/>
      <c r="R21" s="4"/>
      <c r="S21" s="4"/>
      <c r="T21" s="4"/>
      <c r="U21" s="4"/>
      <c r="V21" s="4"/>
      <c r="W21" s="4"/>
      <c r="X21" s="4"/>
      <c r="Y21" s="4"/>
    </row>
    <row r="22" spans="1:25" x14ac:dyDescent="0.2">
      <c r="A22" s="4"/>
      <c r="B22" s="4"/>
      <c r="C22" s="4"/>
      <c r="D22" s="4"/>
      <c r="E22" s="4"/>
      <c r="F22" s="4"/>
      <c r="G22" s="4"/>
      <c r="H22" s="4"/>
      <c r="I22" s="4"/>
      <c r="J22" s="4"/>
      <c r="K22" s="4"/>
      <c r="L22" s="4"/>
      <c r="M22" s="4"/>
      <c r="N22" s="4"/>
      <c r="O22" s="4"/>
      <c r="P22" s="4"/>
      <c r="Q22" s="4"/>
      <c r="R22" s="4"/>
      <c r="S22" s="4"/>
      <c r="T22" s="4"/>
      <c r="U22" s="4"/>
      <c r="V22" s="4"/>
      <c r="W22" s="4"/>
      <c r="X22" s="4"/>
      <c r="Y22" s="4"/>
    </row>
    <row r="23" spans="1:25" x14ac:dyDescent="0.2">
      <c r="A23" s="4"/>
      <c r="B23" s="4"/>
      <c r="C23" s="4"/>
      <c r="D23" s="4"/>
      <c r="E23" s="4"/>
      <c r="F23" s="4"/>
      <c r="G23" s="4"/>
      <c r="H23" s="4"/>
      <c r="I23" s="4"/>
      <c r="J23" s="4"/>
      <c r="K23" s="4"/>
      <c r="L23" s="4"/>
      <c r="M23" s="4"/>
      <c r="N23" s="4"/>
      <c r="O23" s="4"/>
      <c r="P23" s="4"/>
      <c r="Q23" s="4"/>
      <c r="R23" s="4"/>
      <c r="S23" s="4"/>
      <c r="T23" s="4"/>
      <c r="U23" s="4"/>
      <c r="V23" s="4"/>
      <c r="W23" s="4"/>
      <c r="X23" s="4"/>
      <c r="Y23" s="4"/>
    </row>
    <row r="24" spans="1:25" x14ac:dyDescent="0.2">
      <c r="A24" s="4"/>
      <c r="B24" s="4"/>
      <c r="C24" s="4"/>
      <c r="D24" s="4"/>
      <c r="E24" s="4"/>
      <c r="F24" s="4"/>
      <c r="G24" s="4"/>
      <c r="H24" s="4"/>
      <c r="I24" s="4"/>
      <c r="J24" s="4"/>
      <c r="K24" s="4"/>
      <c r="L24" s="4"/>
      <c r="M24" s="4"/>
      <c r="N24" s="4"/>
      <c r="O24" s="4"/>
      <c r="P24" s="4"/>
      <c r="Q24" s="4"/>
      <c r="R24" s="4"/>
      <c r="S24" s="4"/>
      <c r="T24" s="4"/>
      <c r="U24" s="4"/>
      <c r="V24" s="4"/>
      <c r="W24" s="4"/>
      <c r="X24" s="4"/>
      <c r="Y24" s="4"/>
    </row>
    <row r="25" spans="1:25" x14ac:dyDescent="0.2">
      <c r="A25" s="4"/>
      <c r="B25" s="4"/>
      <c r="C25" s="4"/>
      <c r="D25" s="4"/>
      <c r="E25" s="4"/>
      <c r="F25" s="4"/>
      <c r="G25" s="4"/>
      <c r="H25" s="4"/>
      <c r="I25" s="4"/>
      <c r="J25" s="4"/>
      <c r="K25" s="4"/>
      <c r="L25" s="4"/>
      <c r="M25" s="4"/>
      <c r="N25" s="4"/>
      <c r="O25" s="4"/>
      <c r="P25" s="4"/>
      <c r="Q25" s="4"/>
      <c r="R25" s="4"/>
      <c r="S25" s="4"/>
      <c r="T25" s="4"/>
      <c r="U25" s="4"/>
      <c r="V25" s="4"/>
      <c r="W25" s="4"/>
      <c r="X25" s="4"/>
      <c r="Y25" s="4"/>
    </row>
    <row r="26" spans="1:25" x14ac:dyDescent="0.2">
      <c r="A26" s="4"/>
      <c r="B26" s="4"/>
      <c r="C26" s="4"/>
      <c r="D26" s="4"/>
      <c r="E26" s="4"/>
      <c r="F26" s="4"/>
      <c r="G26" s="4"/>
      <c r="H26" s="4"/>
      <c r="I26" s="4"/>
      <c r="J26" s="4"/>
      <c r="K26" s="4"/>
      <c r="L26" s="4"/>
      <c r="M26" s="4"/>
      <c r="N26" s="4"/>
      <c r="O26" s="4"/>
      <c r="P26" s="4"/>
      <c r="Q26" s="4"/>
      <c r="R26" s="4"/>
      <c r="S26" s="4"/>
      <c r="T26" s="4"/>
      <c r="U26" s="4"/>
      <c r="V26" s="4"/>
      <c r="W26" s="4"/>
      <c r="X26" s="4"/>
      <c r="Y26" s="4"/>
    </row>
    <row r="27" spans="1:25" x14ac:dyDescent="0.2">
      <c r="A27" s="4"/>
      <c r="B27" s="4"/>
      <c r="C27" s="4"/>
      <c r="D27" s="4"/>
      <c r="E27" s="4"/>
      <c r="F27" s="4"/>
      <c r="G27" s="4"/>
      <c r="H27" s="4"/>
      <c r="I27" s="4"/>
      <c r="J27" s="4"/>
      <c r="K27" s="4"/>
      <c r="L27" s="4"/>
      <c r="M27" s="4"/>
      <c r="N27" s="4"/>
      <c r="O27" s="4"/>
      <c r="P27" s="4"/>
      <c r="Q27" s="4"/>
      <c r="R27" s="4"/>
      <c r="S27" s="4"/>
      <c r="T27" s="4"/>
      <c r="U27" s="4"/>
      <c r="V27" s="4"/>
      <c r="W27" s="4"/>
      <c r="X27" s="4"/>
      <c r="Y27" s="4"/>
    </row>
    <row r="28" spans="1:25" x14ac:dyDescent="0.2">
      <c r="A28" s="4"/>
      <c r="B28" s="4"/>
      <c r="C28" s="4"/>
      <c r="D28" s="4"/>
      <c r="E28" s="4"/>
      <c r="F28" s="4"/>
      <c r="G28" s="4"/>
      <c r="H28" s="4"/>
      <c r="I28" s="4"/>
      <c r="J28" s="4"/>
      <c r="K28" s="4"/>
      <c r="L28" s="4"/>
      <c r="M28" s="4"/>
      <c r="N28" s="4"/>
      <c r="O28" s="4"/>
      <c r="P28" s="4"/>
      <c r="Q28" s="4"/>
      <c r="R28" s="4"/>
      <c r="S28" s="4"/>
      <c r="T28" s="4"/>
      <c r="U28" s="4"/>
      <c r="V28" s="4"/>
      <c r="W28" s="4"/>
      <c r="X28" s="4"/>
      <c r="Y28" s="4"/>
    </row>
    <row r="29" spans="1:25" x14ac:dyDescent="0.2">
      <c r="A29" s="4"/>
      <c r="B29" s="4"/>
      <c r="C29" s="4"/>
      <c r="D29" s="4"/>
      <c r="E29" s="4"/>
      <c r="F29" s="4"/>
      <c r="G29" s="4"/>
      <c r="H29" s="4"/>
      <c r="I29" s="4"/>
      <c r="J29" s="4"/>
      <c r="K29" s="4"/>
      <c r="L29" s="4"/>
      <c r="M29" s="4"/>
      <c r="N29" s="4"/>
      <c r="O29" s="4"/>
      <c r="P29" s="4"/>
      <c r="Q29" s="4"/>
      <c r="R29" s="4"/>
      <c r="S29" s="4"/>
      <c r="T29" s="4"/>
      <c r="U29" s="4"/>
      <c r="V29" s="4"/>
      <c r="W29" s="4"/>
      <c r="X29" s="4"/>
      <c r="Y29" s="4"/>
    </row>
    <row r="30" spans="1:25" x14ac:dyDescent="0.2">
      <c r="A30" s="4"/>
      <c r="B30" s="4"/>
      <c r="C30" s="4"/>
      <c r="D30" s="4"/>
      <c r="E30" s="4"/>
      <c r="F30" s="4"/>
      <c r="G30" s="4"/>
      <c r="H30" s="4"/>
      <c r="I30" s="4"/>
      <c r="J30" s="4"/>
      <c r="K30" s="4"/>
      <c r="L30" s="4"/>
      <c r="M30" s="4"/>
      <c r="N30" s="4"/>
      <c r="O30" s="4"/>
      <c r="P30" s="4"/>
      <c r="Q30" s="4"/>
      <c r="R30" s="4"/>
      <c r="S30" s="4"/>
      <c r="T30" s="4"/>
      <c r="U30" s="4"/>
      <c r="V30" s="4"/>
      <c r="W30" s="4"/>
      <c r="X30" s="4"/>
      <c r="Y30" s="4"/>
    </row>
    <row r="31" spans="1:25" x14ac:dyDescent="0.2">
      <c r="A31" s="4"/>
      <c r="B31" s="4"/>
      <c r="C31" s="4"/>
      <c r="D31" s="4"/>
      <c r="E31" s="4"/>
      <c r="F31" s="4"/>
      <c r="G31" s="4"/>
      <c r="H31" s="4"/>
      <c r="I31" s="4"/>
      <c r="J31" s="4"/>
      <c r="K31" s="4"/>
      <c r="L31" s="4"/>
      <c r="M31" s="4"/>
      <c r="N31" s="4"/>
      <c r="O31" s="4"/>
      <c r="P31" s="4"/>
      <c r="Q31" s="4"/>
      <c r="R31" s="4"/>
      <c r="S31" s="4"/>
      <c r="T31" s="4"/>
      <c r="U31" s="4"/>
      <c r="V31" s="4"/>
      <c r="W31" s="4"/>
      <c r="X31" s="4"/>
      <c r="Y31" s="4"/>
    </row>
  </sheetData>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77"/>
  <sheetViews>
    <sheetView topLeftCell="A58" workbookViewId="0">
      <selection activeCell="A78" sqref="A78"/>
    </sheetView>
  </sheetViews>
  <sheetFormatPr defaultColWidth="9.140625" defaultRowHeight="14.25" x14ac:dyDescent="0.2"/>
  <cols>
    <col min="1" max="1" width="63.7109375" style="1" customWidth="1"/>
    <col min="2" max="2" width="11.85546875" style="1" customWidth="1"/>
    <col min="3" max="3" width="13.5703125" style="1" customWidth="1"/>
    <col min="4" max="4" width="15.42578125" style="1" customWidth="1"/>
    <col min="5" max="6" width="14.140625" style="1" customWidth="1"/>
    <col min="7" max="7" width="9.140625" style="1"/>
    <col min="8" max="8" width="14.5703125" style="1" customWidth="1"/>
    <col min="9" max="16384" width="9.140625" style="1"/>
  </cols>
  <sheetData>
    <row r="1" spans="1:9" ht="15" x14ac:dyDescent="0.25">
      <c r="A1" s="12" t="s">
        <v>142</v>
      </c>
      <c r="B1" s="4"/>
      <c r="C1" s="4"/>
      <c r="D1" s="4"/>
      <c r="E1" s="4"/>
      <c r="F1" s="4"/>
      <c r="G1" s="4"/>
      <c r="H1" s="4"/>
      <c r="I1" s="4"/>
    </row>
    <row r="2" spans="1:9" x14ac:dyDescent="0.2">
      <c r="A2" s="4"/>
      <c r="B2" s="4"/>
      <c r="C2" s="4"/>
      <c r="D2" s="4"/>
      <c r="E2" s="4"/>
      <c r="F2" s="4"/>
      <c r="G2" s="4"/>
      <c r="H2" s="4"/>
      <c r="I2" s="4"/>
    </row>
    <row r="3" spans="1:9" ht="15" thickBot="1" x14ac:dyDescent="0.25">
      <c r="A3" s="4" t="s">
        <v>0</v>
      </c>
      <c r="B3" s="4" t="s">
        <v>146</v>
      </c>
      <c r="C3" s="4"/>
      <c r="D3" s="4"/>
      <c r="E3" s="4"/>
      <c r="F3" s="4"/>
      <c r="G3" s="4"/>
      <c r="H3" s="4"/>
      <c r="I3" s="4"/>
    </row>
    <row r="4" spans="1:9" ht="15" x14ac:dyDescent="0.2">
      <c r="A4" s="15"/>
      <c r="B4" s="47" t="s">
        <v>147</v>
      </c>
      <c r="C4" s="42" t="s">
        <v>148</v>
      </c>
      <c r="D4" s="42" t="s">
        <v>138</v>
      </c>
      <c r="E4" s="42" t="s">
        <v>139</v>
      </c>
      <c r="F4" s="42" t="s">
        <v>140</v>
      </c>
      <c r="G4" s="42" t="s">
        <v>141</v>
      </c>
      <c r="H4" s="45" t="s">
        <v>18</v>
      </c>
      <c r="I4" s="4"/>
    </row>
    <row r="5" spans="1:9" ht="15" x14ac:dyDescent="0.25">
      <c r="A5" s="12" t="s">
        <v>145</v>
      </c>
      <c r="B5" s="48"/>
      <c r="C5" s="4"/>
      <c r="D5" s="4"/>
      <c r="E5" s="4"/>
      <c r="F5" s="4"/>
      <c r="G5" s="4"/>
      <c r="H5" s="12"/>
      <c r="I5" s="4"/>
    </row>
    <row r="6" spans="1:9" ht="15" x14ac:dyDescent="0.25">
      <c r="A6" s="4" t="s">
        <v>126</v>
      </c>
      <c r="B6" s="49">
        <v>33010.159</v>
      </c>
      <c r="C6" s="43">
        <v>11787.795</v>
      </c>
      <c r="D6" s="43">
        <v>6815.2879999999996</v>
      </c>
      <c r="E6" s="43">
        <v>7121.152</v>
      </c>
      <c r="F6" s="43">
        <v>2193.7399999999998</v>
      </c>
      <c r="G6" s="43">
        <v>457.07400000000001</v>
      </c>
      <c r="H6" s="46">
        <v>61385.207999999999</v>
      </c>
      <c r="I6" s="4"/>
    </row>
    <row r="7" spans="1:9" ht="15" x14ac:dyDescent="0.25">
      <c r="A7" s="4" t="s">
        <v>127</v>
      </c>
      <c r="B7" s="49">
        <v>14233.699000000001</v>
      </c>
      <c r="C7" s="43">
        <v>4660.4380000000001</v>
      </c>
      <c r="D7" s="43">
        <v>1979.0940000000001</v>
      </c>
      <c r="E7" s="43">
        <v>2427.2350000000001</v>
      </c>
      <c r="F7" s="43">
        <v>861.61099999999999</v>
      </c>
      <c r="G7" s="43">
        <v>176.13200000000001</v>
      </c>
      <c r="H7" s="46">
        <v>24338.208999999999</v>
      </c>
      <c r="I7" s="4"/>
    </row>
    <row r="8" spans="1:9" ht="15" x14ac:dyDescent="0.25">
      <c r="A8" s="4" t="s">
        <v>128</v>
      </c>
      <c r="B8" s="49">
        <v>485.43</v>
      </c>
      <c r="C8" s="43">
        <v>396.01900000000001</v>
      </c>
      <c r="D8" s="43">
        <v>193.572</v>
      </c>
      <c r="E8" s="43">
        <v>150.54599999999999</v>
      </c>
      <c r="F8" s="43">
        <v>33.601999999999997</v>
      </c>
      <c r="G8" s="43">
        <v>5.0090000000000003</v>
      </c>
      <c r="H8" s="46">
        <v>1264.1780000000001</v>
      </c>
      <c r="I8" s="4"/>
    </row>
    <row r="9" spans="1:9" ht="15" x14ac:dyDescent="0.25">
      <c r="A9" s="4" t="s">
        <v>129</v>
      </c>
      <c r="B9" s="49">
        <v>5422.7969999999996</v>
      </c>
      <c r="C9" s="43">
        <v>1880.423</v>
      </c>
      <c r="D9" s="43">
        <v>1527.93</v>
      </c>
      <c r="E9" s="43">
        <v>1445.808</v>
      </c>
      <c r="F9" s="43">
        <v>304.18400000000003</v>
      </c>
      <c r="G9" s="43">
        <v>58.018999999999998</v>
      </c>
      <c r="H9" s="46">
        <v>10639.161</v>
      </c>
      <c r="I9" s="4"/>
    </row>
    <row r="10" spans="1:9" ht="15" x14ac:dyDescent="0.25">
      <c r="A10" s="4" t="s">
        <v>130</v>
      </c>
      <c r="B10" s="49">
        <v>2930.49</v>
      </c>
      <c r="C10" s="43">
        <v>1258.2840000000001</v>
      </c>
      <c r="D10" s="43">
        <v>1205.58</v>
      </c>
      <c r="E10" s="43">
        <v>730.01900000000001</v>
      </c>
      <c r="F10" s="43">
        <v>101.994</v>
      </c>
      <c r="G10" s="43">
        <v>13.492000000000001</v>
      </c>
      <c r="H10" s="46">
        <v>6239.8590000000004</v>
      </c>
      <c r="I10" s="4"/>
    </row>
    <row r="11" spans="1:9" ht="15" x14ac:dyDescent="0.25">
      <c r="A11" s="16" t="s">
        <v>131</v>
      </c>
      <c r="B11" s="50"/>
      <c r="C11" s="10"/>
      <c r="D11" s="10"/>
      <c r="E11" s="10"/>
      <c r="F11" s="10"/>
      <c r="G11" s="10"/>
      <c r="H11" s="16"/>
      <c r="I11" s="4"/>
    </row>
    <row r="12" spans="1:9" ht="15.75" thickBot="1" x14ac:dyDescent="0.3">
      <c r="A12" s="4" t="s">
        <v>132</v>
      </c>
      <c r="B12" s="49">
        <v>3689.9639999999999</v>
      </c>
      <c r="C12" s="43">
        <v>1370.395</v>
      </c>
      <c r="D12" s="43">
        <v>823.67700000000002</v>
      </c>
      <c r="E12" s="43">
        <v>1004.425</v>
      </c>
      <c r="F12" s="43">
        <v>358.98</v>
      </c>
      <c r="G12" s="43">
        <v>122.777</v>
      </c>
      <c r="H12" s="46">
        <v>7370.2179999999998</v>
      </c>
      <c r="I12" s="4"/>
    </row>
    <row r="13" spans="1:9" ht="15.75" thickBot="1" x14ac:dyDescent="0.3">
      <c r="A13" s="52" t="s">
        <v>133</v>
      </c>
      <c r="B13" s="53">
        <v>0.11800000000000001</v>
      </c>
      <c r="C13" s="54">
        <v>0.127</v>
      </c>
      <c r="D13" s="54">
        <v>0.128</v>
      </c>
      <c r="E13" s="54">
        <v>0.152</v>
      </c>
      <c r="F13" s="54">
        <v>0.17199999999999999</v>
      </c>
      <c r="G13" s="54">
        <v>0.27200000000000002</v>
      </c>
      <c r="H13" s="55">
        <v>0.128</v>
      </c>
      <c r="I13" s="4"/>
    </row>
    <row r="14" spans="1:9" ht="15.75" thickBot="1" x14ac:dyDescent="0.3">
      <c r="A14" s="4" t="s">
        <v>134</v>
      </c>
      <c r="B14" s="49">
        <v>305.755</v>
      </c>
      <c r="C14" s="43">
        <v>58.789000000000001</v>
      </c>
      <c r="D14" s="43">
        <v>20.440999999999999</v>
      </c>
      <c r="E14" s="43">
        <v>47.712000000000003</v>
      </c>
      <c r="F14" s="43">
        <v>14.763999999999999</v>
      </c>
      <c r="G14" s="43">
        <v>3.9239999999999999</v>
      </c>
      <c r="H14" s="46">
        <v>451.38600000000002</v>
      </c>
      <c r="I14" s="4"/>
    </row>
    <row r="15" spans="1:9" ht="15" x14ac:dyDescent="0.25">
      <c r="A15" s="56" t="s">
        <v>149</v>
      </c>
      <c r="B15" s="57">
        <v>1.9E-2</v>
      </c>
      <c r="C15" s="58">
        <v>1.3999999999999999E-2</v>
      </c>
      <c r="D15" s="58">
        <v>1.1000000000000001E-2</v>
      </c>
      <c r="E15" s="58">
        <v>1.6E-2</v>
      </c>
      <c r="F15" s="58">
        <v>1.4999999999999999E-2</v>
      </c>
      <c r="G15" s="58">
        <v>0.02</v>
      </c>
      <c r="H15" s="59">
        <v>1.7000000000000001E-2</v>
      </c>
      <c r="I15" s="4"/>
    </row>
    <row r="16" spans="1:9" ht="15.75" thickBot="1" x14ac:dyDescent="0.3">
      <c r="A16" s="60" t="s">
        <v>150</v>
      </c>
      <c r="B16" s="61">
        <v>0.16800000000000001</v>
      </c>
      <c r="C16" s="62">
        <v>0.11599999999999999</v>
      </c>
      <c r="D16" s="62">
        <v>9.1999999999999998E-2</v>
      </c>
      <c r="E16" s="62">
        <v>0.11599999999999999</v>
      </c>
      <c r="F16" s="62">
        <v>9.6000000000000002E-2</v>
      </c>
      <c r="G16" s="62">
        <v>7.9000000000000001E-2</v>
      </c>
      <c r="H16" s="63">
        <v>0.13600000000000001</v>
      </c>
      <c r="I16" s="4"/>
    </row>
    <row r="17" spans="1:9" ht="15" x14ac:dyDescent="0.25">
      <c r="A17" s="12" t="s">
        <v>135</v>
      </c>
      <c r="B17" s="48"/>
      <c r="C17" s="4"/>
      <c r="D17" s="4"/>
      <c r="E17" s="4"/>
      <c r="F17" s="4"/>
      <c r="G17" s="4"/>
      <c r="H17" s="12"/>
      <c r="I17" s="4"/>
    </row>
    <row r="18" spans="1:9" ht="15" x14ac:dyDescent="0.25">
      <c r="A18" s="4" t="s">
        <v>136</v>
      </c>
      <c r="B18" s="49">
        <v>9810.5300000000007</v>
      </c>
      <c r="C18" s="43">
        <v>2178.9090000000001</v>
      </c>
      <c r="D18" s="43">
        <v>1873.453</v>
      </c>
      <c r="E18" s="43">
        <v>2110.0320000000002</v>
      </c>
      <c r="F18" s="43">
        <v>792.57899999999995</v>
      </c>
      <c r="G18" s="43">
        <v>117.717</v>
      </c>
      <c r="H18" s="46">
        <v>16883.22</v>
      </c>
      <c r="I18" s="4"/>
    </row>
    <row r="19" spans="1:9" ht="15.75" thickBot="1" x14ac:dyDescent="0.3">
      <c r="A19" s="4" t="s">
        <v>137</v>
      </c>
      <c r="B19" s="51">
        <v>3739.134</v>
      </c>
      <c r="C19" s="43">
        <v>690.803</v>
      </c>
      <c r="D19" s="43">
        <v>431.56</v>
      </c>
      <c r="E19" s="43">
        <v>414.93299999999999</v>
      </c>
      <c r="F19" s="43">
        <v>88.643000000000001</v>
      </c>
      <c r="G19" s="43">
        <v>3.411</v>
      </c>
      <c r="H19" s="46">
        <v>5368.4830000000002</v>
      </c>
      <c r="I19" s="4"/>
    </row>
    <row r="20" spans="1:9" x14ac:dyDescent="0.2">
      <c r="A20" s="4"/>
      <c r="B20" s="4"/>
      <c r="C20" s="4"/>
      <c r="D20" s="4"/>
      <c r="E20" s="4"/>
      <c r="F20" s="4"/>
      <c r="G20" s="4"/>
      <c r="H20" s="4"/>
      <c r="I20" s="4"/>
    </row>
    <row r="21" spans="1:9" x14ac:dyDescent="0.2">
      <c r="A21" s="4"/>
      <c r="B21" s="4"/>
      <c r="C21" s="4"/>
      <c r="D21" s="4"/>
      <c r="E21" s="4"/>
      <c r="F21" s="4"/>
      <c r="G21" s="4"/>
      <c r="H21" s="4"/>
      <c r="I21" s="4"/>
    </row>
    <row r="22" spans="1:9" x14ac:dyDescent="0.2">
      <c r="A22" s="4" t="s">
        <v>143</v>
      </c>
      <c r="B22" s="4"/>
      <c r="C22" s="4"/>
      <c r="D22" s="4"/>
      <c r="E22" s="4"/>
      <c r="F22" s="4"/>
      <c r="G22" s="4"/>
      <c r="H22" s="4"/>
      <c r="I22" s="4"/>
    </row>
    <row r="23" spans="1:9" x14ac:dyDescent="0.2">
      <c r="A23" s="44" t="s">
        <v>144</v>
      </c>
      <c r="B23" s="4"/>
      <c r="C23" s="4"/>
      <c r="D23" s="4"/>
      <c r="E23" s="4"/>
      <c r="F23" s="4"/>
      <c r="G23" s="4"/>
      <c r="H23" s="4"/>
      <c r="I23" s="4"/>
    </row>
    <row r="24" spans="1:9" x14ac:dyDescent="0.2">
      <c r="A24" s="4"/>
      <c r="B24" s="4"/>
      <c r="C24" s="4"/>
      <c r="D24" s="4"/>
      <c r="E24" s="4"/>
      <c r="F24" s="4"/>
      <c r="G24" s="4"/>
      <c r="H24" s="4"/>
      <c r="I24" s="4"/>
    </row>
    <row r="25" spans="1:9" x14ac:dyDescent="0.2">
      <c r="A25" s="4"/>
      <c r="B25" s="35"/>
      <c r="C25" s="35"/>
      <c r="D25" s="35"/>
      <c r="E25" s="35"/>
      <c r="F25" s="35"/>
      <c r="G25" s="35"/>
      <c r="H25" s="35"/>
      <c r="I25" s="4"/>
    </row>
    <row r="26" spans="1:9" x14ac:dyDescent="0.2">
      <c r="B26" s="41"/>
      <c r="C26" s="41"/>
      <c r="D26" s="41"/>
      <c r="E26" s="41"/>
      <c r="F26" s="41"/>
      <c r="G26" s="41"/>
      <c r="H26" s="41"/>
    </row>
    <row r="27" spans="1:9" x14ac:dyDescent="0.2">
      <c r="B27" s="40"/>
      <c r="C27" s="40"/>
      <c r="D27" s="40"/>
      <c r="E27" s="40"/>
      <c r="F27" s="40"/>
      <c r="G27" s="40"/>
      <c r="H27" s="40"/>
    </row>
    <row r="28" spans="1:9" x14ac:dyDescent="0.2">
      <c r="B28" s="40"/>
      <c r="C28" s="40"/>
      <c r="D28" s="40"/>
      <c r="E28" s="40"/>
      <c r="F28" s="40"/>
      <c r="G28" s="40"/>
      <c r="H28" s="40"/>
    </row>
    <row r="29" spans="1:9" x14ac:dyDescent="0.2">
      <c r="B29" s="40"/>
      <c r="C29" s="40"/>
      <c r="D29" s="40"/>
      <c r="E29" s="40"/>
      <c r="F29" s="40"/>
      <c r="G29" s="40"/>
      <c r="H29" s="40"/>
    </row>
    <row r="30" spans="1:9" x14ac:dyDescent="0.2">
      <c r="B30" s="40"/>
      <c r="C30" s="40"/>
      <c r="D30" s="40"/>
      <c r="E30" s="40"/>
      <c r="F30" s="40"/>
      <c r="G30" s="40"/>
      <c r="H30" s="40"/>
    </row>
    <row r="31" spans="1:9" x14ac:dyDescent="0.2">
      <c r="B31" s="40"/>
      <c r="C31" s="40"/>
      <c r="D31" s="40"/>
      <c r="E31" s="40"/>
      <c r="F31" s="40"/>
      <c r="G31" s="40"/>
      <c r="H31" s="40"/>
    </row>
    <row r="41" spans="1:1" x14ac:dyDescent="0.2">
      <c r="A41" s="1" t="s">
        <v>296</v>
      </c>
    </row>
    <row r="59" spans="1:1" x14ac:dyDescent="0.2">
      <c r="A59" s="1" t="s">
        <v>305</v>
      </c>
    </row>
    <row r="77" spans="1:1" x14ac:dyDescent="0.2">
      <c r="A77" s="1" t="s">
        <v>1004</v>
      </c>
    </row>
  </sheetData>
  <hyperlinks>
    <hyperlink ref="A23" r:id="rId1" xr:uid="{00000000-0004-0000-1000-000000000000}"/>
  </hyperlinks>
  <pageMargins left="0.7" right="0.7" top="0.75" bottom="0.75" header="0.3" footer="0.3"/>
  <pageSetup paperSize="9" orientation="portrait" r:id="rId2"/>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31"/>
  <sheetViews>
    <sheetView zoomScaleNormal="100" workbookViewId="0">
      <pane ySplit="4" topLeftCell="A5" activePane="bottomLeft" state="frozen"/>
      <selection pane="bottomLeft" activeCell="H11" sqref="H11"/>
    </sheetView>
  </sheetViews>
  <sheetFormatPr defaultColWidth="9.140625" defaultRowHeight="15" x14ac:dyDescent="0.2"/>
  <cols>
    <col min="1" max="1" width="3.7109375" style="22" customWidth="1"/>
    <col min="2" max="2" width="17" style="22" customWidth="1"/>
    <col min="3" max="3" width="34" style="22" customWidth="1"/>
    <col min="4" max="4" width="34.85546875" style="22" customWidth="1"/>
    <col min="5" max="5" width="41.85546875" style="22" customWidth="1"/>
    <col min="6" max="16384" width="9.140625" style="22"/>
  </cols>
  <sheetData>
    <row r="1" spans="1:6" ht="6.75" customHeight="1" x14ac:dyDescent="0.2">
      <c r="A1" s="21"/>
      <c r="B1" s="21"/>
      <c r="C1" s="21"/>
      <c r="D1" s="21"/>
      <c r="E1" s="21"/>
      <c r="F1" s="21"/>
    </row>
    <row r="2" spans="1:6" ht="18" x14ac:dyDescent="0.25">
      <c r="A2" s="21"/>
      <c r="B2" s="72" t="s">
        <v>156</v>
      </c>
      <c r="C2" s="21"/>
      <c r="D2" s="21"/>
      <c r="E2" s="21"/>
      <c r="F2" s="21"/>
    </row>
    <row r="3" spans="1:6" ht="6" customHeight="1" x14ac:dyDescent="0.2">
      <c r="A3" s="21"/>
      <c r="B3" s="21"/>
      <c r="C3" s="21"/>
      <c r="D3" s="21"/>
      <c r="E3" s="21"/>
      <c r="F3" s="21"/>
    </row>
    <row r="4" spans="1:6" ht="26.25" customHeight="1" x14ac:dyDescent="0.2">
      <c r="A4" s="21"/>
      <c r="B4" s="73" t="s">
        <v>157</v>
      </c>
      <c r="C4" s="73" t="s">
        <v>158</v>
      </c>
      <c r="D4" s="73" t="s">
        <v>159</v>
      </c>
      <c r="E4" s="73" t="s">
        <v>160</v>
      </c>
      <c r="F4" s="21"/>
    </row>
    <row r="5" spans="1:6" ht="26.25" customHeight="1" x14ac:dyDescent="0.2">
      <c r="A5" s="21"/>
      <c r="B5" s="2236" t="s">
        <v>183</v>
      </c>
      <c r="C5" s="2236"/>
      <c r="D5" s="2236"/>
      <c r="E5" s="2236"/>
      <c r="F5" s="21"/>
    </row>
    <row r="6" spans="1:6" ht="59.25" customHeight="1" x14ac:dyDescent="0.2">
      <c r="A6" s="21"/>
      <c r="B6" s="74" t="s">
        <v>161</v>
      </c>
      <c r="C6" s="74" t="s">
        <v>163</v>
      </c>
      <c r="D6" s="74" t="s">
        <v>165</v>
      </c>
      <c r="E6" s="74" t="s">
        <v>199</v>
      </c>
      <c r="F6" s="75"/>
    </row>
    <row r="7" spans="1:6" ht="87" customHeight="1" x14ac:dyDescent="0.2">
      <c r="A7" s="21"/>
      <c r="B7" s="74" t="s">
        <v>162</v>
      </c>
      <c r="C7" s="74" t="s">
        <v>163</v>
      </c>
      <c r="D7" s="74" t="s">
        <v>164</v>
      </c>
      <c r="E7" s="74" t="s">
        <v>176</v>
      </c>
      <c r="F7" s="75"/>
    </row>
    <row r="8" spans="1:6" ht="51.75" customHeight="1" x14ac:dyDescent="0.2">
      <c r="A8" s="21"/>
      <c r="B8" s="74" t="s">
        <v>166</v>
      </c>
      <c r="C8" s="74" t="s">
        <v>167</v>
      </c>
      <c r="D8" s="74" t="s">
        <v>164</v>
      </c>
      <c r="E8" s="74" t="s">
        <v>177</v>
      </c>
      <c r="F8" s="75"/>
    </row>
    <row r="9" spans="1:6" ht="59.25" customHeight="1" x14ac:dyDescent="0.2">
      <c r="A9" s="21"/>
      <c r="B9" s="74" t="s">
        <v>168</v>
      </c>
      <c r="C9" s="74" t="s">
        <v>169</v>
      </c>
      <c r="D9" s="74" t="s">
        <v>164</v>
      </c>
      <c r="E9" s="74" t="s">
        <v>174</v>
      </c>
      <c r="F9" s="75"/>
    </row>
    <row r="10" spans="1:6" ht="33" customHeight="1" x14ac:dyDescent="0.2">
      <c r="A10" s="21"/>
      <c r="B10" s="74" t="s">
        <v>170</v>
      </c>
      <c r="C10" s="74" t="s">
        <v>171</v>
      </c>
      <c r="D10" s="74" t="s">
        <v>164</v>
      </c>
      <c r="E10" s="74" t="s">
        <v>172</v>
      </c>
      <c r="F10" s="75"/>
    </row>
    <row r="11" spans="1:6" ht="57.75" customHeight="1" x14ac:dyDescent="0.2">
      <c r="A11" s="21"/>
      <c r="B11" s="74" t="s">
        <v>173</v>
      </c>
      <c r="C11" s="74" t="s">
        <v>194</v>
      </c>
      <c r="D11" s="74" t="s">
        <v>175</v>
      </c>
      <c r="E11" s="74" t="s">
        <v>178</v>
      </c>
      <c r="F11" s="21"/>
    </row>
    <row r="12" spans="1:6" ht="59.25" customHeight="1" x14ac:dyDescent="0.2">
      <c r="A12" s="21"/>
      <c r="B12" s="74" t="s">
        <v>193</v>
      </c>
      <c r="C12" s="74" t="s">
        <v>195</v>
      </c>
      <c r="D12" s="74" t="s">
        <v>196</v>
      </c>
      <c r="E12" s="74" t="s">
        <v>197</v>
      </c>
      <c r="F12" s="21"/>
    </row>
    <row r="13" spans="1:6" ht="45.75" customHeight="1" x14ac:dyDescent="0.2">
      <c r="A13" s="21"/>
      <c r="B13" s="74" t="s">
        <v>188</v>
      </c>
      <c r="C13" s="2235" t="s">
        <v>179</v>
      </c>
      <c r="D13" s="2235"/>
      <c r="E13" s="76" t="s">
        <v>180</v>
      </c>
      <c r="F13" s="21"/>
    </row>
    <row r="14" spans="1:6" ht="34.5" customHeight="1" x14ac:dyDescent="0.2">
      <c r="A14" s="21"/>
      <c r="B14" s="2236" t="s">
        <v>182</v>
      </c>
      <c r="C14" s="2236"/>
      <c r="D14" s="2236"/>
      <c r="E14" s="2236"/>
      <c r="F14" s="21"/>
    </row>
    <row r="15" spans="1:6" ht="79.5" customHeight="1" x14ac:dyDescent="0.2">
      <c r="A15" s="21"/>
      <c r="B15" s="74" t="s">
        <v>189</v>
      </c>
      <c r="C15" s="74" t="s">
        <v>152</v>
      </c>
      <c r="D15" s="74" t="s">
        <v>164</v>
      </c>
      <c r="E15" s="74" t="s">
        <v>186</v>
      </c>
      <c r="F15" s="21"/>
    </row>
    <row r="16" spans="1:6" ht="45" x14ac:dyDescent="0.2">
      <c r="A16" s="21"/>
      <c r="B16" s="74" t="s">
        <v>190</v>
      </c>
      <c r="C16" s="74" t="s">
        <v>37</v>
      </c>
      <c r="D16" s="74" t="s">
        <v>164</v>
      </c>
      <c r="E16" s="74" t="s">
        <v>184</v>
      </c>
      <c r="F16" s="21"/>
    </row>
    <row r="17" spans="1:6" ht="45.75" x14ac:dyDescent="0.2">
      <c r="A17" s="21"/>
      <c r="B17" s="74" t="s">
        <v>191</v>
      </c>
      <c r="C17" s="74" t="s">
        <v>152</v>
      </c>
      <c r="D17" s="74" t="s">
        <v>185</v>
      </c>
      <c r="E17" s="74" t="s">
        <v>198</v>
      </c>
      <c r="F17" s="21"/>
    </row>
    <row r="18" spans="1:6" ht="30" x14ac:dyDescent="0.2">
      <c r="A18" s="21"/>
      <c r="B18" s="74" t="s">
        <v>192</v>
      </c>
      <c r="C18" s="74" t="s">
        <v>152</v>
      </c>
      <c r="D18" s="74" t="s">
        <v>187</v>
      </c>
      <c r="E18" s="74" t="s">
        <v>200</v>
      </c>
      <c r="F18" s="21"/>
    </row>
    <row r="19" spans="1:6" x14ac:dyDescent="0.2">
      <c r="A19" s="21"/>
      <c r="B19" s="21"/>
      <c r="C19" s="21"/>
      <c r="D19" s="21"/>
      <c r="E19" s="21"/>
      <c r="F19" s="21"/>
    </row>
    <row r="20" spans="1:6" ht="138.75" customHeight="1" thickBot="1" x14ac:dyDescent="0.25">
      <c r="A20" s="21"/>
      <c r="B20" s="21"/>
      <c r="C20" s="21"/>
      <c r="D20" s="21"/>
      <c r="E20" s="21"/>
      <c r="F20" s="21"/>
    </row>
    <row r="21" spans="1:6" ht="31.5" customHeight="1" x14ac:dyDescent="0.2">
      <c r="A21" s="21"/>
      <c r="B21" s="79" t="s">
        <v>92</v>
      </c>
      <c r="C21" s="2237" t="s">
        <v>206</v>
      </c>
      <c r="D21" s="2238"/>
      <c r="E21" s="2234" t="s">
        <v>207</v>
      </c>
      <c r="F21" s="21"/>
    </row>
    <row r="22" spans="1:6" ht="38.25" customHeight="1" thickBot="1" x14ac:dyDescent="0.25">
      <c r="A22" s="21"/>
      <c r="B22" s="80" t="s">
        <v>93</v>
      </c>
      <c r="C22" s="2239" t="s">
        <v>201</v>
      </c>
      <c r="D22" s="2240"/>
      <c r="E22" s="2234"/>
      <c r="F22" s="21"/>
    </row>
    <row r="23" spans="1:6" ht="23.25" customHeight="1" thickBot="1" x14ac:dyDescent="0.25">
      <c r="A23" s="21"/>
      <c r="B23" s="77"/>
      <c r="C23" s="87" t="s">
        <v>44</v>
      </c>
      <c r="D23" s="81"/>
      <c r="E23" s="21"/>
      <c r="F23" s="21"/>
    </row>
    <row r="24" spans="1:6" ht="74.25" customHeight="1" thickBot="1" x14ac:dyDescent="0.25">
      <c r="A24" s="21"/>
      <c r="B24" s="83" t="s">
        <v>107</v>
      </c>
      <c r="C24" s="2241" t="s">
        <v>212</v>
      </c>
      <c r="D24" s="2242"/>
      <c r="E24" s="84" t="s">
        <v>208</v>
      </c>
      <c r="F24" s="21"/>
    </row>
    <row r="25" spans="1:6" ht="18.75" customHeight="1" x14ac:dyDescent="0.2">
      <c r="A25" s="21"/>
      <c r="B25" s="77"/>
      <c r="C25" s="87" t="s">
        <v>44</v>
      </c>
      <c r="D25" s="82"/>
      <c r="E25" s="21"/>
      <c r="F25" s="21"/>
    </row>
    <row r="26" spans="1:6" ht="28.5" customHeight="1" x14ac:dyDescent="0.2">
      <c r="A26" s="21"/>
      <c r="B26" s="77" t="s">
        <v>122</v>
      </c>
      <c r="C26" s="2232" t="s">
        <v>202</v>
      </c>
      <c r="D26" s="2232"/>
      <c r="E26" s="85" t="s">
        <v>210</v>
      </c>
      <c r="F26" s="21"/>
    </row>
    <row r="27" spans="1:6" ht="20.25" customHeight="1" x14ac:dyDescent="0.2">
      <c r="A27" s="21"/>
      <c r="B27" s="77"/>
      <c r="C27" s="87" t="s">
        <v>44</v>
      </c>
      <c r="D27" s="82"/>
      <c r="E27" s="85"/>
      <c r="F27" s="21"/>
    </row>
    <row r="28" spans="1:6" ht="30" customHeight="1" x14ac:dyDescent="0.2">
      <c r="A28" s="21"/>
      <c r="B28" s="77" t="s">
        <v>204</v>
      </c>
      <c r="C28" s="2233" t="s">
        <v>203</v>
      </c>
      <c r="D28" s="2233"/>
      <c r="E28" s="85" t="s">
        <v>211</v>
      </c>
      <c r="F28" s="21"/>
    </row>
    <row r="29" spans="1:6" ht="17.25" customHeight="1" x14ac:dyDescent="0.2">
      <c r="A29" s="21"/>
      <c r="B29" s="77"/>
      <c r="C29" s="88" t="s">
        <v>45</v>
      </c>
      <c r="D29" s="82"/>
      <c r="E29" s="85"/>
      <c r="F29" s="21"/>
    </row>
    <row r="30" spans="1:6" ht="29.25" customHeight="1" x14ac:dyDescent="0.2">
      <c r="A30" s="21"/>
      <c r="B30" s="77" t="s">
        <v>205</v>
      </c>
      <c r="C30" s="89" t="s">
        <v>152</v>
      </c>
      <c r="D30" s="78"/>
      <c r="E30" s="86" t="s">
        <v>209</v>
      </c>
      <c r="F30" s="21"/>
    </row>
    <row r="31" spans="1:6" x14ac:dyDescent="0.2">
      <c r="A31" s="21"/>
      <c r="B31" s="21"/>
      <c r="C31" s="21"/>
      <c r="D31" s="21"/>
      <c r="E31" s="21"/>
      <c r="F31" s="21"/>
    </row>
  </sheetData>
  <mergeCells count="9">
    <mergeCell ref="C26:D26"/>
    <mergeCell ref="C28:D28"/>
    <mergeCell ref="E21:E22"/>
    <mergeCell ref="C13:D13"/>
    <mergeCell ref="B5:E5"/>
    <mergeCell ref="B14:E14"/>
    <mergeCell ref="C21:D21"/>
    <mergeCell ref="C22:D22"/>
    <mergeCell ref="C24:D24"/>
  </mergeCells>
  <pageMargins left="0.27559055118110237" right="0.27559055118110237" top="0.35433070866141736" bottom="0.43307086614173229" header="0.31496062992125984" footer="0.31496062992125984"/>
  <pageSetup paperSize="9" orientation="landscape"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8"/>
  <sheetViews>
    <sheetView workbookViewId="0">
      <selection activeCell="N20" sqref="N20"/>
    </sheetView>
  </sheetViews>
  <sheetFormatPr defaultRowHeight="15" x14ac:dyDescent="0.25"/>
  <cols>
    <col min="1" max="1" width="2.7109375" customWidth="1"/>
  </cols>
  <sheetData>
    <row r="1" spans="1:11" ht="15.75" x14ac:dyDescent="0.25">
      <c r="A1" s="21"/>
      <c r="B1" s="21"/>
      <c r="C1" s="21"/>
      <c r="D1" s="21"/>
      <c r="E1" s="21"/>
      <c r="F1" s="21"/>
      <c r="G1" s="21"/>
      <c r="H1" s="21"/>
      <c r="I1" s="21"/>
      <c r="J1" s="21"/>
      <c r="K1" s="22"/>
    </row>
    <row r="2" spans="1:11" ht="15.75" x14ac:dyDescent="0.25">
      <c r="A2" s="23"/>
      <c r="B2" s="23" t="s">
        <v>48</v>
      </c>
      <c r="C2" s="23"/>
      <c r="D2" s="23"/>
      <c r="E2" s="23"/>
      <c r="F2" s="23"/>
      <c r="G2" s="23"/>
      <c r="H2" s="23"/>
      <c r="I2" s="23"/>
      <c r="J2" s="23"/>
      <c r="K2" s="22"/>
    </row>
    <row r="3" spans="1:11" ht="15.75" x14ac:dyDescent="0.25">
      <c r="A3" s="21"/>
      <c r="B3" s="21"/>
      <c r="C3" s="21"/>
      <c r="D3" s="21"/>
      <c r="E3" s="21"/>
      <c r="F3" s="21"/>
      <c r="G3" s="21"/>
      <c r="H3" s="21"/>
      <c r="I3" s="21"/>
      <c r="J3" s="21"/>
      <c r="K3" s="22"/>
    </row>
    <row r="4" spans="1:11" ht="15.75" x14ac:dyDescent="0.25">
      <c r="A4" s="21"/>
      <c r="B4" s="24"/>
      <c r="C4" s="21" t="s">
        <v>42</v>
      </c>
      <c r="D4" s="21"/>
      <c r="E4" s="21"/>
      <c r="F4" s="21"/>
      <c r="G4" s="21"/>
      <c r="H4" s="21"/>
      <c r="I4" s="21"/>
      <c r="J4" s="21"/>
      <c r="K4" s="22"/>
    </row>
    <row r="5" spans="1:11" ht="15.75" x14ac:dyDescent="0.25">
      <c r="A5" s="21"/>
      <c r="B5" s="24" t="s">
        <v>44</v>
      </c>
      <c r="C5" s="21" t="s">
        <v>41</v>
      </c>
      <c r="D5" s="21"/>
      <c r="E5" s="21"/>
      <c r="F5" s="21"/>
      <c r="G5" s="21"/>
      <c r="H5" s="21"/>
      <c r="I5" s="21"/>
      <c r="J5" s="21"/>
      <c r="K5" s="22"/>
    </row>
    <row r="6" spans="1:11" ht="15.75" x14ac:dyDescent="0.25">
      <c r="A6" s="21"/>
      <c r="B6" s="24" t="s">
        <v>44</v>
      </c>
      <c r="C6" s="21" t="s">
        <v>43</v>
      </c>
      <c r="D6" s="21"/>
      <c r="E6" s="21"/>
      <c r="F6" s="21"/>
      <c r="G6" s="21"/>
      <c r="H6" s="21"/>
      <c r="I6" s="21"/>
      <c r="J6" s="21"/>
      <c r="K6" s="22"/>
    </row>
    <row r="7" spans="1:11" ht="15.75" x14ac:dyDescent="0.25">
      <c r="A7" s="21"/>
      <c r="B7" s="25" t="s">
        <v>45</v>
      </c>
      <c r="C7" s="26" t="s">
        <v>40</v>
      </c>
      <c r="D7" s="26"/>
      <c r="E7" s="26"/>
      <c r="F7" s="26"/>
      <c r="G7" s="27"/>
      <c r="H7" s="27"/>
      <c r="I7" s="21"/>
      <c r="J7" s="21"/>
      <c r="K7" s="22"/>
    </row>
    <row r="8" spans="1:11" ht="6.75" customHeight="1" x14ac:dyDescent="0.25">
      <c r="A8" s="21"/>
      <c r="B8" s="24"/>
      <c r="C8" s="21"/>
      <c r="D8" s="21"/>
      <c r="E8" s="21"/>
      <c r="F8" s="21"/>
      <c r="G8" s="21"/>
      <c r="H8" s="21"/>
      <c r="I8" s="21"/>
      <c r="J8" s="21"/>
      <c r="K8" s="22"/>
    </row>
    <row r="9" spans="1:11" ht="15.75" x14ac:dyDescent="0.25">
      <c r="A9" s="21"/>
      <c r="B9" s="24" t="s">
        <v>44</v>
      </c>
      <c r="C9" s="21" t="s">
        <v>46</v>
      </c>
      <c r="D9" s="21"/>
      <c r="E9" s="21"/>
      <c r="F9" s="21"/>
      <c r="G9" s="21"/>
      <c r="H9" s="21"/>
      <c r="I9" s="21"/>
      <c r="J9" s="21"/>
      <c r="K9" s="22"/>
    </row>
    <row r="10" spans="1:11" s="18" customFormat="1" ht="15.75" x14ac:dyDescent="0.25">
      <c r="A10" s="11"/>
      <c r="B10" s="25" t="s">
        <v>45</v>
      </c>
      <c r="C10" s="26" t="s">
        <v>47</v>
      </c>
      <c r="D10" s="26"/>
      <c r="E10" s="26"/>
      <c r="F10" s="26"/>
      <c r="G10" s="26"/>
      <c r="H10" s="26"/>
      <c r="I10" s="11"/>
      <c r="J10" s="11"/>
      <c r="K10" s="28"/>
    </row>
    <row r="11" spans="1:11" ht="15.75" x14ac:dyDescent="0.25">
      <c r="A11" s="21"/>
      <c r="B11" s="24"/>
      <c r="C11" s="21"/>
      <c r="D11" s="21"/>
      <c r="E11" s="21"/>
      <c r="F11" s="21"/>
      <c r="G11" s="21"/>
      <c r="H11" s="21"/>
      <c r="I11" s="21"/>
      <c r="J11" s="21"/>
      <c r="K11" s="22"/>
    </row>
    <row r="12" spans="1:11" ht="15.75" x14ac:dyDescent="0.25">
      <c r="A12" s="23"/>
      <c r="B12" s="32"/>
      <c r="C12" s="23"/>
      <c r="D12" s="23"/>
      <c r="E12" s="23"/>
      <c r="F12" s="23"/>
      <c r="G12" s="23"/>
      <c r="H12" s="23"/>
      <c r="I12" s="23"/>
      <c r="J12" s="23"/>
      <c r="K12" s="22"/>
    </row>
    <row r="13" spans="1:11" ht="15.75" x14ac:dyDescent="0.25">
      <c r="A13" s="21"/>
      <c r="B13" s="21"/>
      <c r="C13" s="21"/>
      <c r="D13" s="21"/>
      <c r="E13" s="21"/>
      <c r="F13" s="21"/>
      <c r="G13" s="21"/>
      <c r="H13" s="21"/>
      <c r="I13" s="21"/>
      <c r="J13" s="21"/>
      <c r="K13" s="22"/>
    </row>
    <row r="14" spans="1:11" ht="15.75" x14ac:dyDescent="0.25">
      <c r="A14" s="21"/>
      <c r="B14" s="24"/>
      <c r="C14" s="21"/>
      <c r="D14" s="21"/>
      <c r="E14" s="21"/>
      <c r="F14" s="21"/>
      <c r="G14" s="21"/>
      <c r="H14" s="21"/>
      <c r="I14" s="21"/>
      <c r="J14" s="21"/>
      <c r="K14" s="22"/>
    </row>
    <row r="15" spans="1:11" ht="15.75" x14ac:dyDescent="0.25">
      <c r="A15" s="21"/>
      <c r="B15" s="24"/>
      <c r="C15" s="21"/>
      <c r="D15" s="21"/>
      <c r="E15" s="21"/>
      <c r="F15" s="21"/>
      <c r="G15" s="21"/>
      <c r="H15" s="21"/>
      <c r="I15" s="21"/>
      <c r="J15" s="21"/>
      <c r="K15" s="22"/>
    </row>
    <row r="16" spans="1:11" x14ac:dyDescent="0.25">
      <c r="A16" s="19"/>
      <c r="B16" s="20"/>
      <c r="C16" s="19"/>
      <c r="D16" s="19"/>
      <c r="E16" s="19"/>
      <c r="F16" s="19"/>
      <c r="G16" s="19"/>
      <c r="H16" s="19"/>
      <c r="I16" s="19"/>
      <c r="J16" s="19"/>
    </row>
    <row r="17" spans="1:10" x14ac:dyDescent="0.25">
      <c r="A17" s="19"/>
      <c r="B17" s="20"/>
      <c r="C17" s="19"/>
      <c r="D17" s="19"/>
      <c r="E17" s="19"/>
      <c r="F17" s="19"/>
      <c r="G17" s="19"/>
      <c r="H17" s="19"/>
      <c r="I17" s="19"/>
      <c r="J17" s="19"/>
    </row>
    <row r="18" spans="1:10" ht="15.75" x14ac:dyDescent="0.25">
      <c r="A18" s="19"/>
      <c r="B18" s="2246" t="s">
        <v>51</v>
      </c>
      <c r="C18" s="2247"/>
      <c r="D18" s="2247"/>
      <c r="E18" s="2247"/>
      <c r="F18" s="2247"/>
      <c r="G18" s="2247"/>
      <c r="H18" s="2247"/>
      <c r="I18" s="21"/>
      <c r="J18" s="19"/>
    </row>
    <row r="19" spans="1:10" ht="15.75" x14ac:dyDescent="0.25">
      <c r="A19" s="19"/>
      <c r="B19" s="2246" t="s">
        <v>52</v>
      </c>
      <c r="C19" s="2247"/>
      <c r="D19" s="2247"/>
      <c r="E19" s="2247"/>
      <c r="F19" s="2247"/>
      <c r="G19" s="2247"/>
      <c r="H19" s="2247"/>
      <c r="I19" s="21"/>
      <c r="J19" s="19"/>
    </row>
    <row r="20" spans="1:10" ht="60" customHeight="1" x14ac:dyDescent="0.25">
      <c r="A20" s="19"/>
      <c r="B20" s="2246" t="s">
        <v>53</v>
      </c>
      <c r="C20" s="2247"/>
      <c r="D20" s="2247"/>
      <c r="E20" s="2247"/>
      <c r="F20" s="2247"/>
      <c r="G20" s="2247"/>
      <c r="H20" s="2247"/>
      <c r="I20" s="21"/>
      <c r="J20" s="19"/>
    </row>
    <row r="21" spans="1:10" ht="15.75" x14ac:dyDescent="0.25">
      <c r="A21" s="19"/>
      <c r="B21" s="2246" t="s">
        <v>49</v>
      </c>
      <c r="C21" s="2247"/>
      <c r="D21" s="2247"/>
      <c r="E21" s="2247"/>
      <c r="F21" s="2247"/>
      <c r="G21" s="2247"/>
      <c r="H21" s="2247"/>
      <c r="I21" s="21"/>
      <c r="J21" s="19"/>
    </row>
    <row r="22" spans="1:10" ht="15.75" x14ac:dyDescent="0.25">
      <c r="A22" s="31"/>
      <c r="B22" s="2246" t="s">
        <v>50</v>
      </c>
      <c r="C22" s="2247"/>
      <c r="D22" s="2247"/>
      <c r="E22" s="2247"/>
      <c r="F22" s="2247"/>
      <c r="G22" s="2247"/>
      <c r="H22" s="2247"/>
      <c r="I22" s="21"/>
      <c r="J22" s="19"/>
    </row>
    <row r="23" spans="1:10" ht="15.75" x14ac:dyDescent="0.25">
      <c r="A23" s="31"/>
      <c r="B23" s="21"/>
      <c r="C23" s="21"/>
      <c r="D23" s="21"/>
      <c r="E23" s="21"/>
      <c r="F23" s="21"/>
      <c r="G23" s="21"/>
      <c r="H23" s="21"/>
      <c r="I23" s="21"/>
      <c r="J23" s="19"/>
    </row>
    <row r="24" spans="1:10" ht="18.75" customHeight="1" x14ac:dyDescent="0.3">
      <c r="A24" s="31"/>
      <c r="B24" s="4"/>
      <c r="C24" s="29" t="s">
        <v>54</v>
      </c>
      <c r="D24" s="2245" t="s">
        <v>60</v>
      </c>
      <c r="E24" s="2243"/>
      <c r="F24" s="2243"/>
      <c r="G24" s="21"/>
      <c r="H24" s="21"/>
      <c r="I24" s="21"/>
      <c r="J24" s="19"/>
    </row>
    <row r="25" spans="1:10" x14ac:dyDescent="0.25">
      <c r="A25" s="31"/>
      <c r="B25" s="4"/>
      <c r="C25" s="30">
        <v>1</v>
      </c>
      <c r="D25" s="2248" t="s">
        <v>55</v>
      </c>
      <c r="E25" s="2243"/>
      <c r="F25" s="2243"/>
      <c r="G25" s="4"/>
      <c r="H25" s="4"/>
      <c r="I25" s="19"/>
      <c r="J25" s="19"/>
    </row>
    <row r="26" spans="1:10" ht="15" customHeight="1" x14ac:dyDescent="0.25">
      <c r="A26" s="31"/>
      <c r="B26" s="4"/>
      <c r="C26" s="30">
        <v>2</v>
      </c>
      <c r="D26" s="2248" t="s">
        <v>56</v>
      </c>
      <c r="E26" s="2243"/>
      <c r="F26" s="2243"/>
      <c r="G26" s="4"/>
      <c r="H26" s="4"/>
      <c r="I26" s="19"/>
      <c r="J26" s="19"/>
    </row>
    <row r="27" spans="1:10" ht="15" customHeight="1" x14ac:dyDescent="0.25">
      <c r="A27" s="31"/>
      <c r="B27" s="4"/>
      <c r="C27" s="30">
        <v>3</v>
      </c>
      <c r="D27" s="2248" t="s">
        <v>57</v>
      </c>
      <c r="E27" s="2243"/>
      <c r="F27" s="2243"/>
      <c r="G27" s="4"/>
      <c r="H27" s="4"/>
      <c r="I27" s="19"/>
      <c r="J27" s="19"/>
    </row>
    <row r="28" spans="1:10" ht="15" customHeight="1" x14ac:dyDescent="0.25">
      <c r="A28" s="31"/>
      <c r="B28" s="4"/>
      <c r="C28" s="30">
        <v>4</v>
      </c>
      <c r="D28" s="2248" t="s">
        <v>58</v>
      </c>
      <c r="E28" s="2243"/>
      <c r="F28" s="2243"/>
      <c r="G28" s="4"/>
      <c r="H28" s="4"/>
      <c r="I28" s="19"/>
      <c r="J28" s="19"/>
    </row>
    <row r="29" spans="1:10" ht="15" customHeight="1" x14ac:dyDescent="0.25">
      <c r="A29" s="31"/>
      <c r="B29" s="4"/>
      <c r="C29" s="30">
        <v>5</v>
      </c>
      <c r="D29" s="2248" t="s">
        <v>59</v>
      </c>
      <c r="E29" s="2243"/>
      <c r="F29" s="2243"/>
      <c r="G29" s="4"/>
      <c r="H29" s="4"/>
      <c r="I29" s="19"/>
      <c r="J29" s="19"/>
    </row>
    <row r="30" spans="1:10" x14ac:dyDescent="0.25">
      <c r="A30" s="31"/>
      <c r="B30" s="4"/>
      <c r="C30" s="4"/>
      <c r="D30" s="4"/>
      <c r="E30" s="4"/>
      <c r="F30" s="4"/>
      <c r="G30" s="4"/>
      <c r="H30" s="4"/>
      <c r="I30" s="19"/>
      <c r="J30" s="19"/>
    </row>
    <row r="31" spans="1:10" x14ac:dyDescent="0.25">
      <c r="A31" s="31"/>
      <c r="C31" s="4"/>
      <c r="D31" s="4"/>
      <c r="E31" s="4"/>
      <c r="F31" s="4"/>
      <c r="G31" s="4"/>
      <c r="H31" s="4"/>
      <c r="I31" s="19"/>
      <c r="J31" s="19"/>
    </row>
    <row r="32" spans="1:10" x14ac:dyDescent="0.25">
      <c r="A32" s="31"/>
      <c r="B32" s="19"/>
      <c r="C32" s="19"/>
      <c r="D32" s="19"/>
      <c r="E32" s="19"/>
      <c r="F32" s="19"/>
      <c r="G32" s="19"/>
      <c r="H32" s="19"/>
      <c r="I32" s="19"/>
      <c r="J32" s="19"/>
    </row>
    <row r="33" spans="1:10" ht="56.25" customHeight="1" x14ac:dyDescent="0.25">
      <c r="A33" s="31"/>
      <c r="B33" s="2243" t="s">
        <v>75</v>
      </c>
      <c r="C33" s="2244"/>
      <c r="D33" s="2244"/>
      <c r="E33" s="2244"/>
      <c r="F33" s="2244"/>
      <c r="G33" s="2244"/>
      <c r="H33" s="2244"/>
      <c r="I33" s="2244"/>
      <c r="J33" s="2244"/>
    </row>
    <row r="34" spans="1:10" x14ac:dyDescent="0.25">
      <c r="A34" s="31"/>
      <c r="B34" s="19"/>
      <c r="C34" s="19"/>
      <c r="D34" s="19"/>
      <c r="E34" s="19"/>
      <c r="F34" s="19"/>
      <c r="G34" s="19"/>
      <c r="H34" s="19"/>
      <c r="I34" s="19"/>
      <c r="J34" s="19"/>
    </row>
    <row r="35" spans="1:10" x14ac:dyDescent="0.25">
      <c r="A35" s="31"/>
      <c r="B35" s="19"/>
      <c r="C35" s="19"/>
      <c r="D35" s="19"/>
      <c r="E35" s="19"/>
      <c r="F35" s="19"/>
      <c r="G35" s="19"/>
      <c r="H35" s="19"/>
      <c r="I35" s="19"/>
      <c r="J35" s="19"/>
    </row>
    <row r="36" spans="1:10" x14ac:dyDescent="0.25">
      <c r="A36" s="31"/>
      <c r="B36" s="19"/>
      <c r="C36" s="19"/>
      <c r="D36" s="19"/>
      <c r="E36" s="19"/>
      <c r="F36" s="19"/>
      <c r="G36" s="19"/>
      <c r="H36" s="19"/>
      <c r="I36" s="19"/>
      <c r="J36" s="19"/>
    </row>
    <row r="37" spans="1:10" x14ac:dyDescent="0.25">
      <c r="A37" s="31"/>
      <c r="B37" s="19"/>
      <c r="C37" s="19"/>
      <c r="D37" s="19"/>
      <c r="E37" s="19"/>
      <c r="F37" s="19"/>
      <c r="G37" s="19"/>
      <c r="H37" s="19"/>
      <c r="I37" s="19"/>
      <c r="J37" s="19"/>
    </row>
    <row r="38" spans="1:10" x14ac:dyDescent="0.25">
      <c r="A38" s="31"/>
      <c r="B38" s="19"/>
      <c r="C38" s="19"/>
      <c r="D38" s="19"/>
      <c r="E38" s="19"/>
      <c r="F38" s="19"/>
      <c r="G38" s="19"/>
      <c r="H38" s="19"/>
      <c r="I38" s="19"/>
      <c r="J38" s="19"/>
    </row>
  </sheetData>
  <mergeCells count="12">
    <mergeCell ref="B33:J33"/>
    <mergeCell ref="D24:F24"/>
    <mergeCell ref="B18:H18"/>
    <mergeCell ref="B19:H19"/>
    <mergeCell ref="B20:H20"/>
    <mergeCell ref="B21:H21"/>
    <mergeCell ref="B22:H22"/>
    <mergeCell ref="D29:F29"/>
    <mergeCell ref="D25:F25"/>
    <mergeCell ref="D26:F26"/>
    <mergeCell ref="D27:F27"/>
    <mergeCell ref="D28:F28"/>
  </mergeCells>
  <pageMargins left="0.7" right="0.7" top="0.75" bottom="0.75" header="0.3" footer="0.3"/>
  <pageSetup paperSize="9" orientation="portrait" horizontalDpi="180" verticalDpi="180" r:id="rId1"/>
  <drawing r:id="rId2"/>
  <legacyDrawing r:id="rId3"/>
  <oleObjects>
    <mc:AlternateContent xmlns:mc="http://schemas.openxmlformats.org/markup-compatibility/2006">
      <mc:Choice Requires="x14">
        <oleObject progId="Equation.3" shapeId="2049" r:id="rId4">
          <objectPr defaultSize="0" autoPict="0" r:id="rId5">
            <anchor moveWithCells="1" sizeWithCells="1">
              <from>
                <xdr:col>1</xdr:col>
                <xdr:colOff>438150</xdr:colOff>
                <xdr:row>12</xdr:row>
                <xdr:rowOff>38100</xdr:rowOff>
              </from>
              <to>
                <xdr:col>4</xdr:col>
                <xdr:colOff>190500</xdr:colOff>
                <xdr:row>15</xdr:row>
                <xdr:rowOff>142875</xdr:rowOff>
              </to>
            </anchor>
          </objectPr>
        </oleObject>
      </mc:Choice>
      <mc:Fallback>
        <oleObject progId="Equation.3" shapeId="2049"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67573E-FC1F-43C6-98E5-7891F691E9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42</vt:i4>
      </vt:variant>
      <vt:variant>
        <vt:lpstr>Именованные диапазоны</vt:lpstr>
      </vt:variant>
      <vt:variant>
        <vt:i4>50</vt:i4>
      </vt:variant>
    </vt:vector>
  </HeadingPairs>
  <TitlesOfParts>
    <vt:vector size="92" baseType="lpstr">
      <vt:lpstr>Форма 807_коды</vt:lpstr>
      <vt:lpstr>Ф_102_2021</vt:lpstr>
      <vt:lpstr>Ф_102_2020</vt:lpstr>
      <vt:lpstr>Ф_102_2019</vt:lpstr>
      <vt:lpstr>Ф_102_2018</vt:lpstr>
      <vt:lpstr>Ф_102_2017</vt:lpstr>
      <vt:lpstr>Ф_102_2016</vt:lpstr>
      <vt:lpstr>МСФО_ввод</vt:lpstr>
      <vt:lpstr>Ф_808_2023-2017</vt:lpstr>
      <vt:lpstr>Ф_808_2016-2015</vt:lpstr>
      <vt:lpstr>Ф_135_2017-2015</vt:lpstr>
      <vt:lpstr>Ф_135_2024-2018</vt:lpstr>
      <vt:lpstr>Ф_123_2021</vt:lpstr>
      <vt:lpstr>Ф_123_2020</vt:lpstr>
      <vt:lpstr>Ф_123_2019</vt:lpstr>
      <vt:lpstr>Ф_123_2018</vt:lpstr>
      <vt:lpstr>Ф_123_2017</vt:lpstr>
      <vt:lpstr>Ф_123_2016</vt:lpstr>
      <vt:lpstr>Ф_123_2015</vt:lpstr>
      <vt:lpstr>Ф_807_2020-2015</vt:lpstr>
      <vt:lpstr>Ф_807_2023-2021</vt:lpstr>
      <vt:lpstr>Ф_806_2018-2015</vt:lpstr>
      <vt:lpstr>Ф_806_2023-2019</vt:lpstr>
      <vt:lpstr>Ф_806_2024</vt:lpstr>
      <vt:lpstr>Ф_814_2020-2015</vt:lpstr>
      <vt:lpstr>Банк. система_ввод</vt:lpstr>
      <vt:lpstr>Доходы-Расходы_Ф102</vt:lpstr>
      <vt:lpstr>Ввод</vt:lpstr>
      <vt:lpstr>Баланс</vt:lpstr>
      <vt:lpstr>ОФР</vt:lpstr>
      <vt:lpstr>Кредиты</vt:lpstr>
      <vt:lpstr>Капитал_РСБУ</vt:lpstr>
      <vt:lpstr>Капитал</vt:lpstr>
      <vt:lpstr>Баллы</vt:lpstr>
      <vt:lpstr>Баланс_МСФО</vt:lpstr>
      <vt:lpstr>ОПиУ_МСФО</vt:lpstr>
      <vt:lpstr>Кредиты_МСФО</vt:lpstr>
      <vt:lpstr>Коэффициенты_МСФО</vt:lpstr>
      <vt:lpstr>Ликвидность</vt:lpstr>
      <vt:lpstr>Статистика_по группам банков</vt:lpstr>
      <vt:lpstr>К рентабельности</vt:lpstr>
      <vt:lpstr>Глоссарий</vt:lpstr>
      <vt:lpstr>'Форма 807_коды'!sub_7644</vt:lpstr>
      <vt:lpstr>'Форма 807_коды'!sub_7645</vt:lpstr>
      <vt:lpstr>'Форма 807_коды'!sub_7646</vt:lpstr>
      <vt:lpstr>'Форма 807_коды'!sub_7647</vt:lpstr>
      <vt:lpstr>'Форма 807_коды'!sub_7648</vt:lpstr>
      <vt:lpstr>'Форма 807_коды'!sub_7649</vt:lpstr>
      <vt:lpstr>'Форма 807_коды'!sub_7650</vt:lpstr>
      <vt:lpstr>'Форма 807_коды'!sub_7651</vt:lpstr>
      <vt:lpstr>'Форма 807_коды'!sub_7652</vt:lpstr>
      <vt:lpstr>'Форма 807_коды'!sub_7653</vt:lpstr>
      <vt:lpstr>'Форма 807_коды'!sub_7654</vt:lpstr>
      <vt:lpstr>'Форма 807_коды'!sub_7655</vt:lpstr>
      <vt:lpstr>'Форма 807_коды'!sub_7656</vt:lpstr>
      <vt:lpstr>'Форма 807_коды'!sub_7657</vt:lpstr>
      <vt:lpstr>'Форма 807_коды'!sub_7658</vt:lpstr>
      <vt:lpstr>'Форма 807_коды'!sub_7659</vt:lpstr>
      <vt:lpstr>'Форма 807_коды'!sub_7660</vt:lpstr>
      <vt:lpstr>'Форма 807_коды'!sub_7661</vt:lpstr>
      <vt:lpstr>'Форма 807_коды'!sub_7662</vt:lpstr>
      <vt:lpstr>'Форма 807_коды'!sub_7663</vt:lpstr>
      <vt:lpstr>'Форма 807_коды'!sub_7664</vt:lpstr>
      <vt:lpstr>'Форма 807_коды'!sub_7665</vt:lpstr>
      <vt:lpstr>'Форма 807_коды'!sub_7666</vt:lpstr>
      <vt:lpstr>'Форма 807_коды'!sub_7667</vt:lpstr>
      <vt:lpstr>'Форма 807_коды'!sub_7668</vt:lpstr>
      <vt:lpstr>'Форма 807_коды'!sub_7669</vt:lpstr>
      <vt:lpstr>'Форма 807_коды'!sub_7670</vt:lpstr>
      <vt:lpstr>'Форма 807_коды'!sub_7671</vt:lpstr>
      <vt:lpstr>'Форма 807_коды'!sub_7672</vt:lpstr>
      <vt:lpstr>'Форма 807_коды'!sub_7673</vt:lpstr>
      <vt:lpstr>'Форма 807_коды'!sub_7674</vt:lpstr>
      <vt:lpstr>'Форма 807_коды'!sub_7675</vt:lpstr>
      <vt:lpstr>'Форма 807_коды'!sub_7676</vt:lpstr>
      <vt:lpstr>'Форма 807_коды'!sub_7677</vt:lpstr>
      <vt:lpstr>'Форма 807_коды'!sub_7678</vt:lpstr>
      <vt:lpstr>'Форма 807_коды'!sub_7679</vt:lpstr>
      <vt:lpstr>'Форма 807_коды'!sub_7680</vt:lpstr>
      <vt:lpstr>'Форма 807_коды'!sub_7681</vt:lpstr>
      <vt:lpstr>'Форма 807_коды'!sub_7682</vt:lpstr>
      <vt:lpstr>'Форма 807_коды'!sub_7683</vt:lpstr>
      <vt:lpstr>'Форма 807_коды'!sub_7684</vt:lpstr>
      <vt:lpstr>'Форма 807_коды'!sub_7685</vt:lpstr>
      <vt:lpstr>'Форма 807_коды'!sub_7686</vt:lpstr>
      <vt:lpstr>'Форма 807_коды'!sub_7687</vt:lpstr>
      <vt:lpstr>'Форма 807_коды'!sub_7688</vt:lpstr>
      <vt:lpstr>Баланс!Область_печати</vt:lpstr>
      <vt:lpstr>Баланс_МСФО!Область_печати</vt:lpstr>
      <vt:lpstr>Коэффициенты_МСФО!Область_печати</vt:lpstr>
      <vt:lpstr>ОПиУ_МСФО!Область_печати</vt:lpstr>
      <vt:lpstr>ОФР!Область_печати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2026-02-20T17:27:21Z</dcterms:modified>
</cp:coreProperties>
</file>